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8.xml" ContentType="application/vnd.openxmlformats-officedocument.drawing+xml"/>
  <Override PartName="/xl/ctrlProps/ctrlProp19.xml" ContentType="application/vnd.ms-excel.controlproperties+xml"/>
  <Override PartName="/xl/drawings/drawing9.xml" ContentType="application/vnd.openxmlformats-officedocument.drawing+xml"/>
  <Override PartName="/xl/ctrlProps/ctrlProp20.xml" ContentType="application/vnd.ms-excel.controlproperties+xml"/>
  <Override PartName="/xl/drawings/drawing10.xml" ContentType="application/vnd.openxmlformats-officedocument.drawing+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2-ERK\"/>
    </mc:Choice>
  </mc:AlternateContent>
  <xr:revisionPtr revIDLastSave="0" documentId="13_ncr:1_{8C8AB369-BFFE-4CEF-86B0-AC8E42019935}" xr6:coauthVersionLast="47" xr6:coauthVersionMax="47" xr10:uidLastSave="{00000000-0000-0000-0000-000000000000}"/>
  <workbookProtection workbookAlgorithmName="SHA-512" workbookHashValue="HI39UfuJYXSkFHcCJwiTyXR8L/hCnRzg3But9WN4Plvgq1i/LJYsCdcpfbpTRyUevfLDFjAqvPasQ9duEMI13w==" workbookSaltValue="IMgDBBqclc0NHLPjDMjgtg=="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SVS UnterhaltsRG" sheetId="38" r:id="rId3"/>
    <sheet name="SVS GrundRG" sheetId="29" r:id="rId4"/>
    <sheet name="SVS Wirtschaft" sheetId="51" r:id="rId5"/>
    <sheet name="Kal Unter Kita Tausendf" sheetId="62" r:id="rId6"/>
    <sheet name="Kal Grund Kita Tausendf" sheetId="63" r:id="rId7"/>
    <sheet name="Kal Verbrauch Gesamt" sheetId="26" r:id="rId8"/>
    <sheet name="Kal Wirtschaft Gesamt" sheetId="24" r:id="rId9"/>
    <sheet name="Reinigungstage" sheetId="46" r:id="rId10"/>
  </sheets>
  <definedNames>
    <definedName name="berAuftragskosten" localSheetId="6">SVS #REF!</definedName>
    <definedName name="berAuftragskosten" localSheetId="5">SVS #REF!</definedName>
    <definedName name="berAuftragskosten">SVS #REF!</definedName>
    <definedName name="BereichSVSGrundWC">#REF!</definedName>
    <definedName name="berRGTageObjekt">#REF!</definedName>
    <definedName name="_xlnm.Print_Area" localSheetId="0">Inhaltsverzeichnis!$A$1:$K$21</definedName>
    <definedName name="_xlnm.Print_Area" localSheetId="6">'Kal Grund Kita Tausendf'!$A$1:$R$88</definedName>
    <definedName name="_xlnm.Print_Area" localSheetId="5">'Kal Unter Kita Tausendf'!$A$1:$S$91</definedName>
    <definedName name="_xlnm.Print_Area" localSheetId="7">'Kal Verbrauch Gesamt'!$A$1:$G$20</definedName>
    <definedName name="_xlnm.Print_Area" localSheetId="8">'Kal Wirtschaft Gesamt'!$A$1:$J$13</definedName>
    <definedName name="_xlnm.Print_Area" localSheetId="1">Preisübersicht!$A$1:$I$7</definedName>
    <definedName name="_xlnm.Print_Area" localSheetId="9">Reinigungstage!$A$1:$D$31</definedName>
    <definedName name="_xlnm.Print_Area" localSheetId="3">'SVS GrundRG'!$A$1:$I$79</definedName>
    <definedName name="_xlnm.Print_Area" localSheetId="2">'SVS UnterhaltsRG'!$A$1:$I$79</definedName>
    <definedName name="_xlnm.Print_Area" localSheetId="4">'SVS Wirtschaft'!$A$1:$J$79</definedName>
    <definedName name="_xlnm.Print_Titles" localSheetId="6">'Kal Grund Kita Tausendf'!$20:$21</definedName>
    <definedName name="_xlnm.Print_Titles" localSheetId="5">'Kal Unter Kita Tausendf'!$20:$21</definedName>
    <definedName name="_xlnm.Print_Titles" localSheetId="1">Preisübersicht!$1:$5</definedName>
    <definedName name="Ferien">#REF!</definedName>
    <definedName name="sAuftragskosten" localSheetId="6">SVS #REF!</definedName>
    <definedName name="sAuftragskosten" localSheetId="5">SVS #REF!</definedName>
    <definedName name="sAuftragskosten">SVS #REF!</definedName>
    <definedName name="SVListe">#REF!</definedName>
    <definedName name="TTListe">#REF!</definedName>
    <definedName name="Turnus">#REF!</definedName>
    <definedName name="TurnusKita">#REF!</definedName>
    <definedName name="TurnusSchule">#REF!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63" l="1"/>
  <c r="L21" i="62"/>
  <c r="H21" i="1"/>
  <c r="E21" i="1"/>
  <c r="F6" i="1"/>
  <c r="E6" i="3"/>
  <c r="H3" i="26"/>
  <c r="H8" i="26"/>
  <c r="G8" i="26"/>
  <c r="H7" i="26"/>
  <c r="G7" i="26"/>
  <c r="H6" i="26"/>
  <c r="G6" i="26"/>
  <c r="H5" i="26"/>
  <c r="G5" i="26"/>
  <c r="U88" i="63"/>
  <c r="U87" i="63"/>
  <c r="V87" i="63" s="1"/>
  <c r="W87" i="63" s="1"/>
  <c r="U86" i="63"/>
  <c r="U85" i="63"/>
  <c r="U84" i="63"/>
  <c r="V84" i="63" s="1"/>
  <c r="U83" i="63"/>
  <c r="V83" i="63" s="1"/>
  <c r="W83" i="63" s="1"/>
  <c r="U82" i="63"/>
  <c r="U81" i="63"/>
  <c r="U80" i="63"/>
  <c r="U79" i="63"/>
  <c r="U78" i="63"/>
  <c r="U77" i="63"/>
  <c r="U76" i="63"/>
  <c r="U75" i="63"/>
  <c r="U74" i="63"/>
  <c r="U73" i="63"/>
  <c r="U72" i="63"/>
  <c r="U71" i="63"/>
  <c r="U70" i="63"/>
  <c r="U69" i="63"/>
  <c r="U68" i="63"/>
  <c r="U67" i="63"/>
  <c r="U66" i="63"/>
  <c r="U65" i="63"/>
  <c r="U64" i="63"/>
  <c r="U63" i="63"/>
  <c r="U62" i="63"/>
  <c r="U61" i="63"/>
  <c r="U60" i="63"/>
  <c r="U59" i="63"/>
  <c r="U58" i="63"/>
  <c r="U57" i="63"/>
  <c r="U56" i="63"/>
  <c r="U55" i="63"/>
  <c r="U54" i="63"/>
  <c r="U53" i="63"/>
  <c r="V53" i="63" s="1"/>
  <c r="W53" i="63" s="1"/>
  <c r="U52" i="63"/>
  <c r="U51" i="63"/>
  <c r="U50" i="63"/>
  <c r="U49" i="63"/>
  <c r="U48" i="63"/>
  <c r="U47" i="63"/>
  <c r="U46" i="63"/>
  <c r="U45" i="63"/>
  <c r="U44" i="63"/>
  <c r="U43" i="63"/>
  <c r="U42" i="63"/>
  <c r="U41" i="63"/>
  <c r="U40" i="63"/>
  <c r="U39" i="63"/>
  <c r="U38" i="63"/>
  <c r="U37" i="63"/>
  <c r="U36" i="63"/>
  <c r="U35" i="63"/>
  <c r="U34" i="63"/>
  <c r="U33" i="63"/>
  <c r="U32" i="63"/>
  <c r="U31" i="63"/>
  <c r="U30" i="63"/>
  <c r="U29" i="63"/>
  <c r="U28" i="63"/>
  <c r="U27" i="63"/>
  <c r="U26" i="63"/>
  <c r="U25" i="63"/>
  <c r="U24" i="63"/>
  <c r="U23" i="63"/>
  <c r="U22" i="63"/>
  <c r="N88" i="63"/>
  <c r="N87" i="63"/>
  <c r="N86" i="63"/>
  <c r="N85" i="63"/>
  <c r="N84" i="63"/>
  <c r="N83" i="63"/>
  <c r="N82" i="63"/>
  <c r="N81" i="63"/>
  <c r="N80" i="63"/>
  <c r="N79" i="63"/>
  <c r="N78" i="63"/>
  <c r="N77" i="63"/>
  <c r="N76" i="63"/>
  <c r="N75" i="63"/>
  <c r="N74" i="63"/>
  <c r="N73" i="63"/>
  <c r="N72" i="63"/>
  <c r="N71" i="63"/>
  <c r="N70" i="63"/>
  <c r="N69" i="63"/>
  <c r="N68" i="63"/>
  <c r="N67" i="63"/>
  <c r="N66" i="63"/>
  <c r="N65" i="63"/>
  <c r="N64" i="63"/>
  <c r="N63" i="63"/>
  <c r="N62" i="63"/>
  <c r="N61" i="63"/>
  <c r="N60" i="63"/>
  <c r="N59" i="63"/>
  <c r="N58" i="63"/>
  <c r="N57" i="63"/>
  <c r="N56" i="63"/>
  <c r="N55" i="63"/>
  <c r="N54" i="63"/>
  <c r="N53" i="63"/>
  <c r="N52" i="63"/>
  <c r="N51" i="63"/>
  <c r="N50" i="63"/>
  <c r="N49" i="63"/>
  <c r="N48" i="63"/>
  <c r="N47" i="63"/>
  <c r="N46" i="63"/>
  <c r="N45" i="63"/>
  <c r="N44" i="63"/>
  <c r="N43" i="63"/>
  <c r="N42" i="63"/>
  <c r="N41" i="63"/>
  <c r="N40" i="63"/>
  <c r="N39" i="63"/>
  <c r="N38" i="63"/>
  <c r="N37" i="63"/>
  <c r="N36" i="63"/>
  <c r="N35" i="63"/>
  <c r="N34" i="63"/>
  <c r="N33" i="63"/>
  <c r="N32" i="63"/>
  <c r="N31" i="63"/>
  <c r="N30" i="63"/>
  <c r="N29" i="63"/>
  <c r="N28" i="63"/>
  <c r="N27" i="63"/>
  <c r="N26" i="63"/>
  <c r="N25" i="63"/>
  <c r="N24" i="63"/>
  <c r="N23" i="63"/>
  <c r="N22" i="63"/>
  <c r="I21" i="63"/>
  <c r="H21" i="63"/>
  <c r="G21" i="63"/>
  <c r="P88" i="63"/>
  <c r="P87" i="63"/>
  <c r="P86" i="63"/>
  <c r="P85" i="63"/>
  <c r="P84" i="63"/>
  <c r="P83" i="63"/>
  <c r="V82" i="63"/>
  <c r="W82" i="63" s="1"/>
  <c r="X82" i="63" s="1"/>
  <c r="P82" i="63"/>
  <c r="V81" i="63"/>
  <c r="P81" i="63"/>
  <c r="P53" i="63"/>
  <c r="P36" i="63"/>
  <c r="P31" i="63"/>
  <c r="U91" i="62"/>
  <c r="U90" i="62"/>
  <c r="U89" i="62"/>
  <c r="U88" i="62"/>
  <c r="U87" i="62"/>
  <c r="U86" i="62"/>
  <c r="U85" i="62"/>
  <c r="U84" i="62"/>
  <c r="U83" i="62"/>
  <c r="U82" i="62"/>
  <c r="U81" i="62"/>
  <c r="U80" i="62"/>
  <c r="U79" i="62"/>
  <c r="U78" i="62"/>
  <c r="U77" i="62"/>
  <c r="U76" i="62"/>
  <c r="U75" i="62"/>
  <c r="U74" i="62"/>
  <c r="U73" i="62"/>
  <c r="U72" i="62"/>
  <c r="U71" i="62"/>
  <c r="U70" i="62"/>
  <c r="U69" i="62"/>
  <c r="U68" i="62"/>
  <c r="U67" i="62"/>
  <c r="U66" i="62"/>
  <c r="U65" i="62"/>
  <c r="U64" i="62"/>
  <c r="U63" i="62"/>
  <c r="U62" i="62"/>
  <c r="U61" i="62"/>
  <c r="U60" i="62"/>
  <c r="U59" i="62"/>
  <c r="U58" i="62"/>
  <c r="U57" i="62"/>
  <c r="U56" i="62"/>
  <c r="U55" i="62"/>
  <c r="U54" i="62"/>
  <c r="U53" i="62"/>
  <c r="U52" i="62"/>
  <c r="U51" i="62"/>
  <c r="U50" i="62"/>
  <c r="U49" i="62"/>
  <c r="U48" i="62"/>
  <c r="U47" i="62"/>
  <c r="U46" i="62"/>
  <c r="U45" i="62"/>
  <c r="U44" i="62"/>
  <c r="U43" i="62"/>
  <c r="U42" i="62"/>
  <c r="U41" i="62"/>
  <c r="U40" i="62"/>
  <c r="U39" i="62"/>
  <c r="U38" i="62"/>
  <c r="U37" i="62"/>
  <c r="U36" i="62"/>
  <c r="U35" i="62"/>
  <c r="U34" i="62"/>
  <c r="U33" i="62"/>
  <c r="U32" i="62"/>
  <c r="U31" i="62"/>
  <c r="U30" i="62"/>
  <c r="U29" i="62"/>
  <c r="U28" i="62"/>
  <c r="U27" i="62"/>
  <c r="U26" i="62"/>
  <c r="U25" i="62"/>
  <c r="U24" i="62"/>
  <c r="U23" i="62"/>
  <c r="U22" i="62"/>
  <c r="N91" i="62"/>
  <c r="P91" i="62" s="1"/>
  <c r="R91" i="62" s="1"/>
  <c r="N90" i="62"/>
  <c r="N89" i="62"/>
  <c r="P89" i="62" s="1"/>
  <c r="R89" i="62" s="1"/>
  <c r="N88" i="62"/>
  <c r="N87" i="62"/>
  <c r="N86" i="62"/>
  <c r="N85" i="62"/>
  <c r="N84" i="62"/>
  <c r="N83" i="62"/>
  <c r="N82" i="62"/>
  <c r="N81" i="62"/>
  <c r="P81" i="62" s="1"/>
  <c r="R81" i="62" s="1"/>
  <c r="N80" i="62"/>
  <c r="P80" i="62" s="1"/>
  <c r="R80" i="62" s="1"/>
  <c r="N79" i="62"/>
  <c r="P79" i="62" s="1"/>
  <c r="R79" i="62" s="1"/>
  <c r="N78" i="62"/>
  <c r="N77" i="62"/>
  <c r="N76" i="62"/>
  <c r="P76" i="62" s="1"/>
  <c r="R76" i="62" s="1"/>
  <c r="N75" i="62"/>
  <c r="P75" i="62" s="1"/>
  <c r="R75" i="62" s="1"/>
  <c r="N74" i="62"/>
  <c r="N73" i="62"/>
  <c r="N72" i="62"/>
  <c r="N71" i="62"/>
  <c r="P71" i="62" s="1"/>
  <c r="R71" i="62" s="1"/>
  <c r="N70" i="62"/>
  <c r="N69" i="62"/>
  <c r="P69" i="62" s="1"/>
  <c r="R69" i="62" s="1"/>
  <c r="N68" i="62"/>
  <c r="P68" i="62" s="1"/>
  <c r="R68" i="62" s="1"/>
  <c r="N67" i="62"/>
  <c r="N66" i="62"/>
  <c r="N65" i="62"/>
  <c r="N64" i="62"/>
  <c r="N63" i="62"/>
  <c r="N62" i="62"/>
  <c r="N61" i="62"/>
  <c r="N60" i="62"/>
  <c r="N59" i="62"/>
  <c r="N58" i="62"/>
  <c r="P58" i="62" s="1"/>
  <c r="R58" i="62" s="1"/>
  <c r="N57" i="62"/>
  <c r="P57" i="62" s="1"/>
  <c r="R57" i="62" s="1"/>
  <c r="N56" i="62"/>
  <c r="N55" i="62"/>
  <c r="N54" i="62"/>
  <c r="P54" i="62" s="1"/>
  <c r="R54" i="62" s="1"/>
  <c r="N53" i="62"/>
  <c r="P53" i="62" s="1"/>
  <c r="R53" i="62" s="1"/>
  <c r="N52" i="62"/>
  <c r="N51" i="62"/>
  <c r="P51" i="62" s="1"/>
  <c r="R51" i="62" s="1"/>
  <c r="N50" i="62"/>
  <c r="P50" i="62" s="1"/>
  <c r="R50" i="62" s="1"/>
  <c r="N49" i="62"/>
  <c r="P49" i="62" s="1"/>
  <c r="R49" i="62" s="1"/>
  <c r="N48" i="62"/>
  <c r="P48" i="62" s="1"/>
  <c r="R48" i="62" s="1"/>
  <c r="N47" i="62"/>
  <c r="P47" i="62" s="1"/>
  <c r="R47" i="62" s="1"/>
  <c r="N46" i="62"/>
  <c r="P46" i="62" s="1"/>
  <c r="R46" i="62" s="1"/>
  <c r="N45" i="62"/>
  <c r="P45" i="62" s="1"/>
  <c r="R45" i="62" s="1"/>
  <c r="N44" i="62"/>
  <c r="P44" i="62" s="1"/>
  <c r="R44" i="62" s="1"/>
  <c r="N43" i="62"/>
  <c r="P43" i="62" s="1"/>
  <c r="R43" i="62" s="1"/>
  <c r="N42" i="62"/>
  <c r="P42" i="62" s="1"/>
  <c r="R42" i="62" s="1"/>
  <c r="N41" i="62"/>
  <c r="P41" i="62" s="1"/>
  <c r="R41" i="62" s="1"/>
  <c r="N40" i="62"/>
  <c r="P40" i="62" s="1"/>
  <c r="R40" i="62" s="1"/>
  <c r="N39" i="62"/>
  <c r="P39" i="62" s="1"/>
  <c r="R39" i="62" s="1"/>
  <c r="N38" i="62"/>
  <c r="P38" i="62" s="1"/>
  <c r="R38" i="62" s="1"/>
  <c r="N37" i="62"/>
  <c r="P37" i="62" s="1"/>
  <c r="R37" i="62" s="1"/>
  <c r="N36" i="62"/>
  <c r="N35" i="62"/>
  <c r="P35" i="62" s="1"/>
  <c r="R35" i="62" s="1"/>
  <c r="N34" i="62"/>
  <c r="N33" i="62"/>
  <c r="P33" i="62" s="1"/>
  <c r="R33" i="62" s="1"/>
  <c r="N32" i="62"/>
  <c r="P32" i="62" s="1"/>
  <c r="R32" i="62" s="1"/>
  <c r="N31" i="62"/>
  <c r="P31" i="62" s="1"/>
  <c r="R31" i="62" s="1"/>
  <c r="N30" i="62"/>
  <c r="P30" i="62" s="1"/>
  <c r="R30" i="62" s="1"/>
  <c r="N29" i="62"/>
  <c r="N28" i="62"/>
  <c r="P28" i="62" s="1"/>
  <c r="R28" i="62" s="1"/>
  <c r="N27" i="62"/>
  <c r="P27" i="62" s="1"/>
  <c r="R27" i="62" s="1"/>
  <c r="N26" i="62"/>
  <c r="P26" i="62" s="1"/>
  <c r="R26" i="62" s="1"/>
  <c r="N25" i="62"/>
  <c r="P25" i="62" s="1"/>
  <c r="R25" i="62" s="1"/>
  <c r="N24" i="62"/>
  <c r="P24" i="62" s="1"/>
  <c r="R24" i="62" s="1"/>
  <c r="N23" i="62"/>
  <c r="P23" i="62" s="1"/>
  <c r="R23" i="62" s="1"/>
  <c r="N22" i="62"/>
  <c r="P22" i="62" s="1"/>
  <c r="R21" i="62"/>
  <c r="I21" i="62"/>
  <c r="H21" i="62"/>
  <c r="G21" i="62"/>
  <c r="P90" i="62"/>
  <c r="R90" i="62" s="1"/>
  <c r="P88" i="62"/>
  <c r="R88" i="62" s="1"/>
  <c r="P87" i="62"/>
  <c r="R87" i="62" s="1"/>
  <c r="P86" i="62"/>
  <c r="R86" i="62" s="1"/>
  <c r="P85" i="62"/>
  <c r="R85" i="62" s="1"/>
  <c r="P84" i="62"/>
  <c r="R84" i="62" s="1"/>
  <c r="P83" i="62"/>
  <c r="R83" i="62" s="1"/>
  <c r="P82" i="62"/>
  <c r="R82" i="62" s="1"/>
  <c r="P78" i="62"/>
  <c r="R78" i="62" s="1"/>
  <c r="P77" i="62"/>
  <c r="R77" i="62" s="1"/>
  <c r="P74" i="62"/>
  <c r="R74" i="62" s="1"/>
  <c r="P73" i="62"/>
  <c r="R73" i="62" s="1"/>
  <c r="P72" i="62"/>
  <c r="R72" i="62" s="1"/>
  <c r="P70" i="62"/>
  <c r="R70" i="62" s="1"/>
  <c r="P67" i="62"/>
  <c r="R67" i="62" s="1"/>
  <c r="P66" i="62"/>
  <c r="R66" i="62" s="1"/>
  <c r="P65" i="62"/>
  <c r="R65" i="62" s="1"/>
  <c r="P64" i="62"/>
  <c r="R64" i="62" s="1"/>
  <c r="P63" i="62"/>
  <c r="R63" i="62" s="1"/>
  <c r="P62" i="62"/>
  <c r="R62" i="62" s="1"/>
  <c r="P61" i="62"/>
  <c r="R61" i="62" s="1"/>
  <c r="P60" i="62"/>
  <c r="R60" i="62" s="1"/>
  <c r="P59" i="62"/>
  <c r="R59" i="62" s="1"/>
  <c r="P56" i="62"/>
  <c r="R56" i="62" s="1"/>
  <c r="P55" i="62"/>
  <c r="R55" i="62" s="1"/>
  <c r="P52" i="62"/>
  <c r="R52" i="62" s="1"/>
  <c r="P36" i="62"/>
  <c r="R36" i="62" s="1"/>
  <c r="P34" i="62"/>
  <c r="R34" i="62" s="1"/>
  <c r="P29" i="62"/>
  <c r="R29" i="62" s="1"/>
  <c r="H13" i="24"/>
  <c r="G13" i="24" s="1"/>
  <c r="H9" i="24"/>
  <c r="G9" i="24" s="1"/>
  <c r="L88" i="63"/>
  <c r="M88" i="63" s="1"/>
  <c r="L87" i="63"/>
  <c r="M87" i="63" s="1"/>
  <c r="L86" i="63"/>
  <c r="M86" i="63" s="1"/>
  <c r="L85" i="63"/>
  <c r="M85" i="63" s="1"/>
  <c r="L84" i="63"/>
  <c r="M84" i="63" s="1"/>
  <c r="L83" i="63"/>
  <c r="M83" i="63" s="1"/>
  <c r="L82" i="63"/>
  <c r="M82" i="63" s="1"/>
  <c r="L81" i="63"/>
  <c r="M81" i="63" s="1"/>
  <c r="L80" i="63"/>
  <c r="M80" i="63" s="1"/>
  <c r="L79" i="63"/>
  <c r="M79" i="63" s="1"/>
  <c r="L78" i="63"/>
  <c r="M78" i="63" s="1"/>
  <c r="L77" i="63"/>
  <c r="M77" i="63" s="1"/>
  <c r="L76" i="63"/>
  <c r="M76" i="63" s="1"/>
  <c r="L75" i="63"/>
  <c r="M75" i="63" s="1"/>
  <c r="L74" i="63"/>
  <c r="M74" i="63" s="1"/>
  <c r="L73" i="63"/>
  <c r="M73" i="63" s="1"/>
  <c r="L72" i="63"/>
  <c r="M72" i="63" s="1"/>
  <c r="L71" i="63"/>
  <c r="M71" i="63" s="1"/>
  <c r="L70" i="63"/>
  <c r="M70" i="63" s="1"/>
  <c r="L69" i="63"/>
  <c r="M69" i="63" s="1"/>
  <c r="L68" i="63"/>
  <c r="M68" i="63" s="1"/>
  <c r="L67" i="63"/>
  <c r="M67" i="63" s="1"/>
  <c r="L66" i="63"/>
  <c r="M66" i="63" s="1"/>
  <c r="L65" i="63"/>
  <c r="M65" i="63" s="1"/>
  <c r="L64" i="63"/>
  <c r="M64" i="63" s="1"/>
  <c r="L63" i="63"/>
  <c r="M63" i="63" s="1"/>
  <c r="L62" i="63"/>
  <c r="M62" i="63" s="1"/>
  <c r="L61" i="63"/>
  <c r="M61" i="63" s="1"/>
  <c r="L60" i="63"/>
  <c r="M60" i="63" s="1"/>
  <c r="L59" i="63"/>
  <c r="M59" i="63" s="1"/>
  <c r="L58" i="63"/>
  <c r="M58" i="63" s="1"/>
  <c r="L57" i="63"/>
  <c r="M57" i="63" s="1"/>
  <c r="L56" i="63"/>
  <c r="M56" i="63" s="1"/>
  <c r="L55" i="63"/>
  <c r="M55" i="63" s="1"/>
  <c r="L54" i="63"/>
  <c r="M54" i="63" s="1"/>
  <c r="L53" i="63"/>
  <c r="M53" i="63" s="1"/>
  <c r="L52" i="63"/>
  <c r="M52" i="63" s="1"/>
  <c r="L51" i="63"/>
  <c r="M51" i="63" s="1"/>
  <c r="L50" i="63"/>
  <c r="M50" i="63" s="1"/>
  <c r="L49" i="63"/>
  <c r="M49" i="63" s="1"/>
  <c r="L48" i="63"/>
  <c r="M48" i="63" s="1"/>
  <c r="L47" i="63"/>
  <c r="M47" i="63" s="1"/>
  <c r="L46" i="63"/>
  <c r="M46" i="63" s="1"/>
  <c r="L45" i="63"/>
  <c r="M45" i="63" s="1"/>
  <c r="L44" i="63"/>
  <c r="M44" i="63" s="1"/>
  <c r="L43" i="63"/>
  <c r="M43" i="63" s="1"/>
  <c r="L42" i="63"/>
  <c r="M42" i="63" s="1"/>
  <c r="L41" i="63"/>
  <c r="M41" i="63" s="1"/>
  <c r="L40" i="63"/>
  <c r="M40" i="63" s="1"/>
  <c r="L39" i="63"/>
  <c r="M39" i="63" s="1"/>
  <c r="L38" i="63"/>
  <c r="M38" i="63" s="1"/>
  <c r="L37" i="63"/>
  <c r="M37" i="63" s="1"/>
  <c r="L36" i="63"/>
  <c r="M36" i="63" s="1"/>
  <c r="L35" i="63"/>
  <c r="M35" i="63" s="1"/>
  <c r="L34" i="63"/>
  <c r="M34" i="63" s="1"/>
  <c r="L33" i="63"/>
  <c r="M33" i="63" s="1"/>
  <c r="L32" i="63"/>
  <c r="M32" i="63" s="1"/>
  <c r="L31" i="63"/>
  <c r="M31" i="63" s="1"/>
  <c r="L30" i="63"/>
  <c r="M30" i="63" s="1"/>
  <c r="L29" i="63"/>
  <c r="M29" i="63" s="1"/>
  <c r="L28" i="63"/>
  <c r="M28" i="63" s="1"/>
  <c r="L27" i="63"/>
  <c r="M27" i="63" s="1"/>
  <c r="L26" i="63"/>
  <c r="M26" i="63" s="1"/>
  <c r="L25" i="63"/>
  <c r="M25" i="63" s="1"/>
  <c r="L24" i="63"/>
  <c r="M24" i="63" s="1"/>
  <c r="L23" i="63"/>
  <c r="M23" i="63" s="1"/>
  <c r="L22" i="63"/>
  <c r="L91" i="62"/>
  <c r="M91" i="62" s="1"/>
  <c r="L90" i="62"/>
  <c r="M90" i="62" s="1"/>
  <c r="L89" i="62"/>
  <c r="M89" i="62" s="1"/>
  <c r="L88" i="62"/>
  <c r="M88" i="62" s="1"/>
  <c r="L87" i="62"/>
  <c r="M87" i="62" s="1"/>
  <c r="L86" i="62"/>
  <c r="M86" i="62" s="1"/>
  <c r="L85" i="62"/>
  <c r="M85" i="62" s="1"/>
  <c r="L84" i="62"/>
  <c r="M84" i="62" s="1"/>
  <c r="L83" i="62"/>
  <c r="M83" i="62" s="1"/>
  <c r="L82" i="62"/>
  <c r="M82" i="62" s="1"/>
  <c r="L81" i="62"/>
  <c r="M81" i="62" s="1"/>
  <c r="L80" i="62"/>
  <c r="M80" i="62" s="1"/>
  <c r="L79" i="62"/>
  <c r="M79" i="62" s="1"/>
  <c r="L78" i="62"/>
  <c r="M78" i="62" s="1"/>
  <c r="L77" i="62"/>
  <c r="M77" i="62" s="1"/>
  <c r="L76" i="62"/>
  <c r="M76" i="62" s="1"/>
  <c r="L75" i="62"/>
  <c r="M75" i="62" s="1"/>
  <c r="L74" i="62"/>
  <c r="M74" i="62" s="1"/>
  <c r="L73" i="62"/>
  <c r="M73" i="62" s="1"/>
  <c r="L72" i="62"/>
  <c r="M72" i="62" s="1"/>
  <c r="L71" i="62"/>
  <c r="M71" i="62" s="1"/>
  <c r="L70" i="62"/>
  <c r="M70" i="62" s="1"/>
  <c r="L69" i="62"/>
  <c r="M69" i="62" s="1"/>
  <c r="L68" i="62"/>
  <c r="M68" i="62" s="1"/>
  <c r="L67" i="62"/>
  <c r="M67" i="62" s="1"/>
  <c r="L66" i="62"/>
  <c r="M66" i="62" s="1"/>
  <c r="L65" i="62"/>
  <c r="M65" i="62" s="1"/>
  <c r="L64" i="62"/>
  <c r="M64" i="62" s="1"/>
  <c r="L63" i="62"/>
  <c r="M63" i="62" s="1"/>
  <c r="L62" i="62"/>
  <c r="M62" i="62" s="1"/>
  <c r="L61" i="62"/>
  <c r="M61" i="62" s="1"/>
  <c r="L60" i="62"/>
  <c r="M60" i="62" s="1"/>
  <c r="L59" i="62"/>
  <c r="M59" i="62" s="1"/>
  <c r="L58" i="62"/>
  <c r="M58" i="62" s="1"/>
  <c r="L57" i="62"/>
  <c r="M57" i="62" s="1"/>
  <c r="L56" i="62"/>
  <c r="M56" i="62" s="1"/>
  <c r="L55" i="62"/>
  <c r="M55" i="62" s="1"/>
  <c r="L54" i="62"/>
  <c r="M54" i="62" s="1"/>
  <c r="L53" i="62"/>
  <c r="M53" i="62" s="1"/>
  <c r="L52" i="62"/>
  <c r="M52" i="62" s="1"/>
  <c r="L51" i="62"/>
  <c r="M51" i="62" s="1"/>
  <c r="L50" i="62"/>
  <c r="M50" i="62" s="1"/>
  <c r="L49" i="62"/>
  <c r="M49" i="62" s="1"/>
  <c r="L48" i="62"/>
  <c r="M48" i="62" s="1"/>
  <c r="L47" i="62"/>
  <c r="M47" i="62" s="1"/>
  <c r="L46" i="62"/>
  <c r="M46" i="62" s="1"/>
  <c r="L45" i="62"/>
  <c r="M45" i="62" s="1"/>
  <c r="L44" i="62"/>
  <c r="M44" i="62" s="1"/>
  <c r="L43" i="62"/>
  <c r="M43" i="62" s="1"/>
  <c r="L42" i="62"/>
  <c r="M42" i="62" s="1"/>
  <c r="L41" i="62"/>
  <c r="M41" i="62" s="1"/>
  <c r="L40" i="62"/>
  <c r="M40" i="62" s="1"/>
  <c r="L39" i="62"/>
  <c r="M39" i="62" s="1"/>
  <c r="L38" i="62"/>
  <c r="M38" i="62" s="1"/>
  <c r="L37" i="62"/>
  <c r="M37" i="62" s="1"/>
  <c r="L36" i="62"/>
  <c r="M36" i="62" s="1"/>
  <c r="L35" i="62"/>
  <c r="M35" i="62" s="1"/>
  <c r="L34" i="62"/>
  <c r="M34" i="62" s="1"/>
  <c r="L33" i="62"/>
  <c r="M33" i="62" s="1"/>
  <c r="L32" i="62"/>
  <c r="M32" i="62" s="1"/>
  <c r="L31" i="62"/>
  <c r="M31" i="62" s="1"/>
  <c r="L30" i="62"/>
  <c r="M30" i="62" s="1"/>
  <c r="L29" i="62"/>
  <c r="M29" i="62" s="1"/>
  <c r="L28" i="62"/>
  <c r="M28" i="62" s="1"/>
  <c r="L27" i="62"/>
  <c r="M27" i="62" s="1"/>
  <c r="L26" i="62"/>
  <c r="M26" i="62" s="1"/>
  <c r="L25" i="62"/>
  <c r="M25" i="62" s="1"/>
  <c r="L24" i="62"/>
  <c r="M24" i="62" s="1"/>
  <c r="L23" i="62"/>
  <c r="M23" i="62" s="1"/>
  <c r="L22" i="62"/>
  <c r="M22" i="62" s="1"/>
  <c r="D22" i="46"/>
  <c r="D21" i="46"/>
  <c r="D20" i="46"/>
  <c r="D19" i="46"/>
  <c r="D18" i="46"/>
  <c r="H11" i="24" s="1"/>
  <c r="G11" i="24" s="1"/>
  <c r="D17" i="46"/>
  <c r="D16" i="46"/>
  <c r="D15" i="46"/>
  <c r="D14" i="46"/>
  <c r="D13" i="46"/>
  <c r="D12" i="46"/>
  <c r="D11" i="46"/>
  <c r="D10" i="46"/>
  <c r="C22" i="46"/>
  <c r="C21" i="46"/>
  <c r="B22" i="46"/>
  <c r="B21" i="46"/>
  <c r="B20" i="46"/>
  <c r="B19" i="46"/>
  <c r="B18" i="46"/>
  <c r="B17" i="46"/>
  <c r="B16" i="46"/>
  <c r="B15" i="46"/>
  <c r="B14" i="46"/>
  <c r="B13" i="46"/>
  <c r="B12" i="46"/>
  <c r="B11" i="46"/>
  <c r="B10" i="46"/>
  <c r="B13" i="63"/>
  <c r="B4" i="63"/>
  <c r="N2" i="63"/>
  <c r="B13" i="62"/>
  <c r="B4" i="62"/>
  <c r="N2" i="62"/>
  <c r="X87" i="63" l="1"/>
  <c r="X83" i="63"/>
  <c r="W81" i="63"/>
  <c r="X81" i="63" s="1"/>
  <c r="W84" i="63"/>
  <c r="X84" i="63" s="1"/>
  <c r="H12" i="24"/>
  <c r="G12" i="24" s="1"/>
  <c r="H10" i="24"/>
  <c r="G10" i="24" s="1"/>
  <c r="H8" i="24"/>
  <c r="G8" i="24" s="1"/>
  <c r="H7" i="24"/>
  <c r="G7" i="24" s="1"/>
  <c r="H5" i="24"/>
  <c r="G5" i="24" s="1"/>
  <c r="H6" i="24"/>
  <c r="G6" i="24" s="1"/>
  <c r="M22" i="63"/>
  <c r="I9" i="63"/>
  <c r="J9" i="63"/>
  <c r="J10" i="63"/>
  <c r="I10" i="63"/>
  <c r="I11" i="63"/>
  <c r="I12" i="63"/>
  <c r="T91" i="62"/>
  <c r="V91" i="62"/>
  <c r="Q91" i="62"/>
  <c r="S91" i="62" s="1"/>
  <c r="V90" i="62"/>
  <c r="V89" i="62"/>
  <c r="V88" i="62"/>
  <c r="V87" i="62"/>
  <c r="V86" i="62"/>
  <c r="V85" i="62"/>
  <c r="V84" i="62"/>
  <c r="V83" i="62"/>
  <c r="V82" i="62"/>
  <c r="V81" i="62"/>
  <c r="V80" i="62"/>
  <c r="V79" i="62"/>
  <c r="V78" i="62"/>
  <c r="V77" i="62"/>
  <c r="V76" i="62"/>
  <c r="V75" i="62"/>
  <c r="V74" i="62"/>
  <c r="V73" i="62"/>
  <c r="V72" i="62"/>
  <c r="V71" i="62"/>
  <c r="V70" i="62"/>
  <c r="V69" i="62"/>
  <c r="V68" i="62"/>
  <c r="V67" i="62"/>
  <c r="Q66" i="62"/>
  <c r="S66" i="62" s="1"/>
  <c r="V66" i="62"/>
  <c r="T66" i="62"/>
  <c r="V65" i="62"/>
  <c r="V64" i="62"/>
  <c r="V63" i="62"/>
  <c r="V62" i="62"/>
  <c r="V61" i="62"/>
  <c r="V60" i="62"/>
  <c r="V59" i="62"/>
  <c r="Q58" i="62"/>
  <c r="S58" i="62" s="1"/>
  <c r="T58" i="62"/>
  <c r="V58" i="62"/>
  <c r="V57" i="62"/>
  <c r="V56" i="62"/>
  <c r="V55" i="62"/>
  <c r="V54" i="62"/>
  <c r="V53" i="62"/>
  <c r="V52" i="62"/>
  <c r="V51" i="62"/>
  <c r="V50" i="62"/>
  <c r="V49" i="62"/>
  <c r="V48" i="62"/>
  <c r="V47" i="62"/>
  <c r="V46" i="62"/>
  <c r="V45" i="62"/>
  <c r="V44" i="62"/>
  <c r="V43" i="62"/>
  <c r="V42" i="62"/>
  <c r="V41" i="62"/>
  <c r="V40" i="62"/>
  <c r="V39" i="62"/>
  <c r="V38" i="62"/>
  <c r="V37" i="62"/>
  <c r="V36" i="62"/>
  <c r="V35" i="62"/>
  <c r="V34" i="62"/>
  <c r="V33" i="62"/>
  <c r="V32" i="62"/>
  <c r="T31" i="62"/>
  <c r="V31" i="62"/>
  <c r="V30" i="62"/>
  <c r="V29" i="62"/>
  <c r="V28" i="62"/>
  <c r="V27" i="62"/>
  <c r="V26" i="62"/>
  <c r="V25" i="62"/>
  <c r="V24" i="62"/>
  <c r="V23" i="62"/>
  <c r="V22" i="62"/>
  <c r="J7" i="62"/>
  <c r="I4" i="62"/>
  <c r="M21" i="62"/>
  <c r="J5" i="62"/>
  <c r="J10" i="62"/>
  <c r="I8" i="62"/>
  <c r="I9" i="62"/>
  <c r="I10" i="62"/>
  <c r="I6" i="62"/>
  <c r="J13" i="62"/>
  <c r="I7" i="62"/>
  <c r="J4" i="62"/>
  <c r="J11" i="62"/>
  <c r="I12" i="62"/>
  <c r="I5" i="62"/>
  <c r="J8" i="62"/>
  <c r="J9" i="62"/>
  <c r="I11" i="62"/>
  <c r="J12" i="62"/>
  <c r="J6" i="62"/>
  <c r="I13" i="62"/>
  <c r="V88" i="63"/>
  <c r="W88" i="63" s="1"/>
  <c r="X88" i="63" s="1"/>
  <c r="V86" i="63"/>
  <c r="W86" i="63" s="1"/>
  <c r="X86" i="63" s="1"/>
  <c r="V85" i="63"/>
  <c r="W85" i="63" s="1"/>
  <c r="X85" i="63" s="1"/>
  <c r="V80" i="63"/>
  <c r="W80" i="63" s="1"/>
  <c r="X80" i="63" s="1"/>
  <c r="V79" i="63"/>
  <c r="W79" i="63" s="1"/>
  <c r="X79" i="63" s="1"/>
  <c r="V78" i="63"/>
  <c r="W78" i="63" s="1"/>
  <c r="X78" i="63" s="1"/>
  <c r="V77" i="63"/>
  <c r="W77" i="63" s="1"/>
  <c r="V76" i="63"/>
  <c r="W76" i="63" s="1"/>
  <c r="V75" i="63"/>
  <c r="W75" i="63" s="1"/>
  <c r="V74" i="63"/>
  <c r="W74" i="63" s="1"/>
  <c r="V73" i="63"/>
  <c r="W73" i="63" s="1"/>
  <c r="V72" i="63"/>
  <c r="W72" i="63" s="1"/>
  <c r="V71" i="63"/>
  <c r="W71" i="63" s="1"/>
  <c r="V70" i="63"/>
  <c r="W70" i="63" s="1"/>
  <c r="V69" i="63"/>
  <c r="W69" i="63" s="1"/>
  <c r="V68" i="63"/>
  <c r="W68" i="63" s="1"/>
  <c r="X68" i="63" s="1"/>
  <c r="V67" i="63"/>
  <c r="W67" i="63" s="1"/>
  <c r="X67" i="63" s="1"/>
  <c r="V66" i="63"/>
  <c r="W66" i="63" s="1"/>
  <c r="X66" i="63" s="1"/>
  <c r="V65" i="63"/>
  <c r="W65" i="63" s="1"/>
  <c r="X65" i="63" s="1"/>
  <c r="V64" i="63"/>
  <c r="W64" i="63" s="1"/>
  <c r="X64" i="63" s="1"/>
  <c r="V63" i="63"/>
  <c r="W63" i="63" s="1"/>
  <c r="V62" i="63"/>
  <c r="W62" i="63" s="1"/>
  <c r="V61" i="63"/>
  <c r="W61" i="63" s="1"/>
  <c r="V60" i="63"/>
  <c r="W60" i="63" s="1"/>
  <c r="V59" i="63"/>
  <c r="W59" i="63" s="1"/>
  <c r="V58" i="63"/>
  <c r="W58" i="63" s="1"/>
  <c r="V57" i="63"/>
  <c r="W57" i="63" s="1"/>
  <c r="X57" i="63" s="1"/>
  <c r="V56" i="63"/>
  <c r="W56" i="63" s="1"/>
  <c r="V55" i="63"/>
  <c r="W55" i="63" s="1"/>
  <c r="V54" i="63"/>
  <c r="W54" i="63" s="1"/>
  <c r="V52" i="63"/>
  <c r="W52" i="63" s="1"/>
  <c r="V51" i="63"/>
  <c r="W51" i="63" s="1"/>
  <c r="V50" i="63"/>
  <c r="W50" i="63" s="1"/>
  <c r="V49" i="63"/>
  <c r="W49" i="63" s="1"/>
  <c r="V48" i="63"/>
  <c r="W48" i="63" s="1"/>
  <c r="V47" i="63"/>
  <c r="W47" i="63" s="1"/>
  <c r="V46" i="63"/>
  <c r="W46" i="63" s="1"/>
  <c r="V45" i="63"/>
  <c r="W45" i="63" s="1"/>
  <c r="V44" i="63"/>
  <c r="W44" i="63" s="1"/>
  <c r="X44" i="63" s="1"/>
  <c r="V43" i="63"/>
  <c r="W43" i="63" s="1"/>
  <c r="V42" i="63"/>
  <c r="W42" i="63" s="1"/>
  <c r="V41" i="63"/>
  <c r="W41" i="63" s="1"/>
  <c r="V40" i="63"/>
  <c r="W40" i="63" s="1"/>
  <c r="V39" i="63"/>
  <c r="W39" i="63" s="1"/>
  <c r="V38" i="63"/>
  <c r="W38" i="63" s="1"/>
  <c r="V37" i="63"/>
  <c r="W37" i="63"/>
  <c r="V36" i="63"/>
  <c r="W36" i="63" s="1"/>
  <c r="V35" i="63"/>
  <c r="W35" i="63" s="1"/>
  <c r="X35" i="63" s="1"/>
  <c r="V34" i="63"/>
  <c r="W34" i="63" s="1"/>
  <c r="X34" i="63" s="1"/>
  <c r="V33" i="63"/>
  <c r="W33" i="63" s="1"/>
  <c r="X33" i="63" s="1"/>
  <c r="V32" i="63"/>
  <c r="W32" i="63" s="1"/>
  <c r="X32" i="63" s="1"/>
  <c r="V31" i="63"/>
  <c r="W31" i="63" s="1"/>
  <c r="X31" i="63" s="1"/>
  <c r="V30" i="63"/>
  <c r="W30" i="63" s="1"/>
  <c r="V29" i="63"/>
  <c r="W29" i="63" s="1"/>
  <c r="X29" i="63" s="1"/>
  <c r="V28" i="63"/>
  <c r="W28" i="63" s="1"/>
  <c r="X28" i="63" s="1"/>
  <c r="V27" i="63"/>
  <c r="W27" i="63" s="1"/>
  <c r="X27" i="63" s="1"/>
  <c r="V26" i="63"/>
  <c r="W26" i="63" s="1"/>
  <c r="X26" i="63" s="1"/>
  <c r="V25" i="63"/>
  <c r="W25" i="63" s="1"/>
  <c r="X25" i="63" s="1"/>
  <c r="V24" i="63"/>
  <c r="W24" i="63" s="1"/>
  <c r="X24" i="63" s="1"/>
  <c r="V23" i="63"/>
  <c r="W23" i="63" s="1"/>
  <c r="X23" i="63" s="1"/>
  <c r="V22" i="63"/>
  <c r="W22" i="63" s="1"/>
  <c r="X22" i="63" s="1"/>
  <c r="P80" i="63"/>
  <c r="P79" i="63"/>
  <c r="P78" i="63"/>
  <c r="X77" i="63"/>
  <c r="P77" i="63"/>
  <c r="X76" i="63"/>
  <c r="P76" i="63"/>
  <c r="X75" i="63"/>
  <c r="P75" i="63"/>
  <c r="X74" i="63"/>
  <c r="P74" i="63"/>
  <c r="X73" i="63"/>
  <c r="P73" i="63"/>
  <c r="X72" i="63"/>
  <c r="P72" i="63"/>
  <c r="X71" i="63"/>
  <c r="P71" i="63"/>
  <c r="X70" i="63"/>
  <c r="P70" i="63"/>
  <c r="X69" i="63"/>
  <c r="P69" i="63"/>
  <c r="P68" i="63"/>
  <c r="P67" i="63"/>
  <c r="P66" i="63"/>
  <c r="P65" i="63"/>
  <c r="P64" i="63"/>
  <c r="X63" i="63"/>
  <c r="P63" i="63"/>
  <c r="X62" i="63"/>
  <c r="P62" i="63"/>
  <c r="X61" i="63"/>
  <c r="P61" i="63"/>
  <c r="X60" i="63"/>
  <c r="P60" i="63"/>
  <c r="X59" i="63"/>
  <c r="P59" i="63"/>
  <c r="P58" i="63"/>
  <c r="X58" i="63"/>
  <c r="P57" i="63"/>
  <c r="P56" i="63"/>
  <c r="X56" i="63"/>
  <c r="P55" i="63"/>
  <c r="X55" i="63"/>
  <c r="X54" i="63"/>
  <c r="P54" i="63"/>
  <c r="X53" i="63"/>
  <c r="P52" i="63"/>
  <c r="X52" i="63"/>
  <c r="P51" i="63"/>
  <c r="X51" i="63"/>
  <c r="X50" i="63"/>
  <c r="P50" i="63"/>
  <c r="P49" i="63"/>
  <c r="X49" i="63"/>
  <c r="P48" i="63"/>
  <c r="X48" i="63"/>
  <c r="P47" i="63"/>
  <c r="X47" i="63"/>
  <c r="P46" i="63"/>
  <c r="X46" i="63"/>
  <c r="X45" i="63"/>
  <c r="P45" i="63"/>
  <c r="P44" i="63"/>
  <c r="P43" i="63"/>
  <c r="X43" i="63"/>
  <c r="X42" i="63"/>
  <c r="P42" i="63"/>
  <c r="X41" i="63"/>
  <c r="P41" i="63"/>
  <c r="P40" i="63"/>
  <c r="X40" i="63"/>
  <c r="X39" i="63"/>
  <c r="P39" i="63"/>
  <c r="X38" i="63"/>
  <c r="P38" i="63"/>
  <c r="P37" i="63"/>
  <c r="X37" i="63"/>
  <c r="X36" i="63"/>
  <c r="P35" i="63"/>
  <c r="P34" i="63"/>
  <c r="P33" i="63"/>
  <c r="P32" i="63"/>
  <c r="X30" i="63"/>
  <c r="P30" i="63"/>
  <c r="S30" i="63"/>
  <c r="P29" i="63"/>
  <c r="P28" i="63"/>
  <c r="P27" i="63"/>
  <c r="P26" i="63"/>
  <c r="P25" i="63"/>
  <c r="P24" i="63"/>
  <c r="P23" i="63"/>
  <c r="P22" i="63"/>
  <c r="R22" i="62"/>
  <c r="P21" i="62"/>
  <c r="D17" i="51"/>
  <c r="D17" i="29"/>
  <c r="D17" i="38"/>
  <c r="D18" i="38"/>
  <c r="F18" i="38" s="1"/>
  <c r="D19" i="38"/>
  <c r="D20" i="38"/>
  <c r="F20" i="38" s="1"/>
  <c r="D21" i="38"/>
  <c r="D22" i="38"/>
  <c r="F22" i="38"/>
  <c r="D76" i="51"/>
  <c r="D76" i="29"/>
  <c r="J12" i="63" l="1"/>
  <c r="J11" i="63"/>
  <c r="M21" i="63"/>
  <c r="J6" i="63"/>
  <c r="J5" i="63"/>
  <c r="I6" i="63"/>
  <c r="J7" i="63"/>
  <c r="I8" i="63"/>
  <c r="J8" i="63"/>
  <c r="I7" i="63"/>
  <c r="I5" i="63"/>
  <c r="I4" i="63"/>
  <c r="J4" i="63"/>
  <c r="N13" i="62"/>
  <c r="N14" i="62"/>
  <c r="O14" i="62" s="1"/>
  <c r="N14" i="63"/>
  <c r="R30" i="63"/>
  <c r="Q30" i="63"/>
  <c r="P21" i="63"/>
  <c r="H18" i="38"/>
  <c r="H20" i="38"/>
  <c r="M12" i="62" l="1"/>
  <c r="O13" i="62"/>
  <c r="M11" i="62"/>
  <c r="L8" i="63"/>
  <c r="L9" i="63"/>
  <c r="L10" i="63"/>
  <c r="L11" i="63"/>
  <c r="O14" i="63"/>
  <c r="D76" i="38"/>
  <c r="D23" i="38" s="1"/>
  <c r="D24" i="38" s="1"/>
  <c r="F24" i="38" s="1"/>
  <c r="F57" i="51"/>
  <c r="F42" i="51"/>
  <c r="F34" i="51"/>
  <c r="F59" i="51" s="1"/>
  <c r="F57" i="29"/>
  <c r="F42" i="29"/>
  <c r="F34" i="29"/>
  <c r="F59" i="29" s="1"/>
  <c r="F57" i="38"/>
  <c r="F42" i="38"/>
  <c r="F34" i="38"/>
  <c r="F59" i="38" s="1"/>
  <c r="E2" i="24"/>
  <c r="F28" i="51" l="1"/>
  <c r="D23" i="51"/>
  <c r="D21" i="51"/>
  <c r="D19" i="51"/>
  <c r="F28" i="29"/>
  <c r="D23" i="29"/>
  <c r="D21" i="29"/>
  <c r="D19" i="29"/>
  <c r="F28" i="38"/>
  <c r="B2" i="26" l="1"/>
  <c r="B2" i="24"/>
  <c r="D2" i="26" l="1"/>
  <c r="E1" i="51" l="1"/>
  <c r="C2" i="38" l="1"/>
  <c r="C2" i="29"/>
  <c r="C2" i="51"/>
  <c r="C2" i="3" l="1"/>
  <c r="E1" i="46" l="1"/>
  <c r="E1" i="29"/>
  <c r="E1" i="38"/>
  <c r="I2" i="1"/>
  <c r="K68" i="51" l="1"/>
  <c r="K67" i="51"/>
  <c r="K66" i="51"/>
  <c r="K65" i="51"/>
  <c r="K60" i="51"/>
  <c r="K56" i="51"/>
  <c r="H56" i="51"/>
  <c r="K55" i="51"/>
  <c r="H55" i="51"/>
  <c r="K54" i="51"/>
  <c r="H54" i="51"/>
  <c r="K53" i="51"/>
  <c r="H53" i="51"/>
  <c r="K52" i="51"/>
  <c r="H52" i="51"/>
  <c r="K51" i="51"/>
  <c r="H51" i="51"/>
  <c r="K50" i="51"/>
  <c r="H50" i="51"/>
  <c r="K48" i="51"/>
  <c r="H48" i="51"/>
  <c r="K47" i="51"/>
  <c r="H47" i="51"/>
  <c r="K46" i="51"/>
  <c r="H46" i="51"/>
  <c r="K41" i="51"/>
  <c r="H41" i="51"/>
  <c r="K40" i="51"/>
  <c r="H40" i="51"/>
  <c r="K39" i="51"/>
  <c r="H39" i="51"/>
  <c r="K38" i="51"/>
  <c r="H38" i="51"/>
  <c r="K33" i="51"/>
  <c r="H33" i="51"/>
  <c r="K32" i="51"/>
  <c r="H32" i="51"/>
  <c r="H28" i="51"/>
  <c r="K27" i="51"/>
  <c r="H27" i="51"/>
  <c r="K25" i="51"/>
  <c r="F14" i="51"/>
  <c r="D26" i="51" s="1"/>
  <c r="K13" i="51"/>
  <c r="H13" i="51"/>
  <c r="H14" i="51" s="1"/>
  <c r="K14" i="51" s="1"/>
  <c r="K12" i="51"/>
  <c r="H12" i="51"/>
  <c r="K11" i="51"/>
  <c r="H11" i="51"/>
  <c r="K10" i="51"/>
  <c r="H10" i="51"/>
  <c r="K9" i="51"/>
  <c r="H9" i="51"/>
  <c r="H34" i="51" l="1"/>
  <c r="K34" i="51" s="1"/>
  <c r="H42" i="51"/>
  <c r="K42" i="51" s="1"/>
  <c r="H57" i="51"/>
  <c r="H59" i="51" s="1"/>
  <c r="H60" i="51" s="1"/>
  <c r="F26" i="51"/>
  <c r="H26" i="51" s="1"/>
  <c r="D18" i="51"/>
  <c r="D20" i="51"/>
  <c r="D22" i="51"/>
  <c r="D24" i="51"/>
  <c r="H61" i="51"/>
  <c r="I13" i="24" s="1"/>
  <c r="K61" i="51"/>
  <c r="J13" i="24" l="1"/>
  <c r="K13" i="24"/>
  <c r="I11" i="24"/>
  <c r="I12" i="24"/>
  <c r="I9" i="24"/>
  <c r="I10" i="24"/>
  <c r="I7" i="24"/>
  <c r="I8" i="24"/>
  <c r="I5" i="24"/>
  <c r="I6" i="24"/>
  <c r="K17" i="51"/>
  <c r="F61" i="51"/>
  <c r="F62" i="51" s="1"/>
  <c r="K62" i="51" s="1"/>
  <c r="K5" i="51"/>
  <c r="K28" i="51"/>
  <c r="K23" i="51"/>
  <c r="K21" i="51"/>
  <c r="K19" i="51"/>
  <c r="H29" i="51"/>
  <c r="K29" i="51" s="1"/>
  <c r="K57" i="51"/>
  <c r="A1" i="51"/>
  <c r="F22" i="51"/>
  <c r="H22" i="51" s="1"/>
  <c r="F24" i="51"/>
  <c r="H24" i="51" s="1"/>
  <c r="F20" i="51"/>
  <c r="H20" i="51" s="1"/>
  <c r="F18" i="51"/>
  <c r="F29" i="51" s="1"/>
  <c r="J11" i="24" l="1"/>
  <c r="K11" i="24"/>
  <c r="J12" i="24"/>
  <c r="K12" i="24"/>
  <c r="J9" i="24"/>
  <c r="K9" i="24"/>
  <c r="J10" i="24"/>
  <c r="K10" i="24"/>
  <c r="K7" i="24"/>
  <c r="J7" i="24"/>
  <c r="J8" i="24"/>
  <c r="K8" i="24"/>
  <c r="J5" i="24"/>
  <c r="K5" i="24"/>
  <c r="J6" i="24"/>
  <c r="K6" i="24"/>
  <c r="H18" i="51"/>
  <c r="B2" i="46"/>
  <c r="F6" i="3" l="1"/>
  <c r="I21" i="1"/>
  <c r="K3" i="24"/>
  <c r="K68" i="29"/>
  <c r="K67" i="29"/>
  <c r="K66" i="29"/>
  <c r="K65" i="29"/>
  <c r="K60" i="29"/>
  <c r="K56" i="29"/>
  <c r="K55" i="29"/>
  <c r="K54" i="29"/>
  <c r="K53" i="29"/>
  <c r="K52" i="29"/>
  <c r="K51" i="29"/>
  <c r="K50" i="29"/>
  <c r="K48" i="29"/>
  <c r="K47" i="29"/>
  <c r="K46" i="29"/>
  <c r="K41" i="29"/>
  <c r="K40" i="29"/>
  <c r="K39" i="29"/>
  <c r="K38" i="29"/>
  <c r="K33" i="29"/>
  <c r="K32" i="29"/>
  <c r="K27" i="29"/>
  <c r="K25" i="29"/>
  <c r="K13" i="29"/>
  <c r="K12" i="29"/>
  <c r="K11" i="29"/>
  <c r="K10" i="29"/>
  <c r="K9" i="29"/>
  <c r="K68" i="38"/>
  <c r="K67" i="38"/>
  <c r="K66" i="38"/>
  <c r="K65" i="38"/>
  <c r="K60" i="38"/>
  <c r="K56" i="38"/>
  <c r="K55" i="38"/>
  <c r="K54" i="38"/>
  <c r="K53" i="38"/>
  <c r="K52" i="38"/>
  <c r="K51" i="38"/>
  <c r="K50" i="38"/>
  <c r="K48" i="38"/>
  <c r="K47" i="38"/>
  <c r="K46" i="38"/>
  <c r="K41" i="38"/>
  <c r="K40" i="38"/>
  <c r="K39" i="38"/>
  <c r="K38" i="38"/>
  <c r="K33" i="38"/>
  <c r="K32" i="38"/>
  <c r="K27" i="38"/>
  <c r="K25" i="38"/>
  <c r="K13" i="38"/>
  <c r="K12" i="38"/>
  <c r="K11" i="38"/>
  <c r="K10" i="38"/>
  <c r="K9" i="38"/>
  <c r="H56" i="29"/>
  <c r="H55" i="29"/>
  <c r="H54" i="29"/>
  <c r="H53" i="29"/>
  <c r="H52" i="29"/>
  <c r="H51" i="29"/>
  <c r="H50" i="29"/>
  <c r="H48" i="29"/>
  <c r="H47" i="29"/>
  <c r="H46" i="29"/>
  <c r="H41" i="29"/>
  <c r="H40" i="29"/>
  <c r="H39" i="29"/>
  <c r="H38" i="29"/>
  <c r="H33" i="29"/>
  <c r="H32" i="29"/>
  <c r="H28" i="29"/>
  <c r="H27" i="29"/>
  <c r="H13" i="29"/>
  <c r="H14" i="29" s="1"/>
  <c r="K14" i="29" s="1"/>
  <c r="H12" i="29"/>
  <c r="H11" i="29"/>
  <c r="H10" i="29"/>
  <c r="H9" i="29"/>
  <c r="H56" i="38"/>
  <c r="H55" i="38"/>
  <c r="H54" i="38"/>
  <c r="H53" i="38"/>
  <c r="H52" i="38"/>
  <c r="H51" i="38"/>
  <c r="H50" i="38"/>
  <c r="H48" i="38"/>
  <c r="H47" i="38"/>
  <c r="H46" i="38"/>
  <c r="H41" i="38"/>
  <c r="H40" i="38"/>
  <c r="H39" i="38"/>
  <c r="H38" i="38"/>
  <c r="H33" i="38"/>
  <c r="H32" i="38"/>
  <c r="H28" i="38"/>
  <c r="H27" i="38"/>
  <c r="H13" i="38"/>
  <c r="H14" i="38" s="1"/>
  <c r="K14" i="38" s="1"/>
  <c r="H12" i="38"/>
  <c r="H11" i="38"/>
  <c r="H10" i="38"/>
  <c r="H9" i="38"/>
  <c r="F14" i="38"/>
  <c r="D26" i="38" s="1"/>
  <c r="F26" i="38" s="1"/>
  <c r="F14" i="29"/>
  <c r="D18" i="29" s="1"/>
  <c r="B3" i="3"/>
  <c r="D20" i="29" l="1"/>
  <c r="F20" i="29" s="1"/>
  <c r="D26" i="29"/>
  <c r="F26" i="29" s="1"/>
  <c r="H34" i="38"/>
  <c r="K34" i="38" s="1"/>
  <c r="F18" i="29"/>
  <c r="D24" i="29"/>
  <c r="F24" i="29" s="1"/>
  <c r="D22" i="29"/>
  <c r="H42" i="38"/>
  <c r="K42" i="38" s="1"/>
  <c r="H57" i="38"/>
  <c r="H22" i="38"/>
  <c r="H34" i="29"/>
  <c r="K34" i="29" s="1"/>
  <c r="H42" i="29"/>
  <c r="K42" i="29" s="1"/>
  <c r="H57" i="29"/>
  <c r="H26" i="38"/>
  <c r="K61" i="38"/>
  <c r="H61" i="38"/>
  <c r="K61" i="29"/>
  <c r="H61" i="29"/>
  <c r="O87" i="63" l="1"/>
  <c r="O88" i="63"/>
  <c r="O85" i="63"/>
  <c r="O86" i="63"/>
  <c r="O83" i="63"/>
  <c r="O84" i="63"/>
  <c r="O81" i="63"/>
  <c r="O82" i="63"/>
  <c r="O79" i="63"/>
  <c r="O80" i="63"/>
  <c r="O77" i="63"/>
  <c r="O78" i="63"/>
  <c r="O75" i="63"/>
  <c r="O76" i="63"/>
  <c r="O73" i="63"/>
  <c r="O74" i="63"/>
  <c r="O71" i="63"/>
  <c r="O72" i="63"/>
  <c r="O69" i="63"/>
  <c r="O70" i="63"/>
  <c r="O67" i="63"/>
  <c r="O68" i="63"/>
  <c r="O65" i="63"/>
  <c r="O66" i="63"/>
  <c r="O64" i="63"/>
  <c r="O62" i="63"/>
  <c r="O63" i="63"/>
  <c r="O60" i="63"/>
  <c r="O61" i="63"/>
  <c r="O58" i="63"/>
  <c r="O59" i="63"/>
  <c r="O57" i="63"/>
  <c r="O55" i="63"/>
  <c r="O56" i="63"/>
  <c r="O53" i="63"/>
  <c r="O54" i="63"/>
  <c r="O51" i="63"/>
  <c r="O52" i="63"/>
  <c r="O49" i="63"/>
  <c r="O50" i="63"/>
  <c r="O47" i="63"/>
  <c r="O48" i="63"/>
  <c r="O45" i="63"/>
  <c r="O46" i="63"/>
  <c r="O43" i="63"/>
  <c r="O44" i="63"/>
  <c r="O41" i="63"/>
  <c r="O42" i="63"/>
  <c r="O39" i="63"/>
  <c r="O40" i="63"/>
  <c r="O37" i="63"/>
  <c r="O38" i="63"/>
  <c r="O35" i="63"/>
  <c r="O36" i="63"/>
  <c r="O33" i="63"/>
  <c r="O34" i="63"/>
  <c r="O31" i="63"/>
  <c r="O32" i="63"/>
  <c r="O29" i="63"/>
  <c r="O30" i="63"/>
  <c r="O28" i="63"/>
  <c r="O26" i="63"/>
  <c r="O27" i="63"/>
  <c r="O24" i="63"/>
  <c r="O25" i="63"/>
  <c r="O22" i="63"/>
  <c r="O23" i="63"/>
  <c r="O90" i="62"/>
  <c r="O91" i="62"/>
  <c r="O88" i="62"/>
  <c r="O89" i="62"/>
  <c r="O86" i="62"/>
  <c r="O87" i="62"/>
  <c r="O84" i="62"/>
  <c r="O85" i="62"/>
  <c r="O82" i="62"/>
  <c r="O83" i="62"/>
  <c r="O80" i="62"/>
  <c r="O81" i="62"/>
  <c r="O78" i="62"/>
  <c r="O79" i="62"/>
  <c r="O76" i="62"/>
  <c r="O77" i="62"/>
  <c r="O74" i="62"/>
  <c r="O75" i="62"/>
  <c r="O72" i="62"/>
  <c r="O73" i="62"/>
  <c r="O70" i="62"/>
  <c r="O71" i="62"/>
  <c r="O68" i="62"/>
  <c r="O69" i="62"/>
  <c r="O66" i="62"/>
  <c r="O67" i="62"/>
  <c r="O64" i="62"/>
  <c r="O65" i="62"/>
  <c r="O62" i="62"/>
  <c r="O63" i="62"/>
  <c r="O60" i="62"/>
  <c r="O61" i="62"/>
  <c r="O58" i="62"/>
  <c r="O59" i="62"/>
  <c r="O56" i="62"/>
  <c r="O57" i="62"/>
  <c r="O54" i="62"/>
  <c r="O55" i="62"/>
  <c r="O52" i="62"/>
  <c r="O53" i="62"/>
  <c r="O50" i="62"/>
  <c r="O51" i="62"/>
  <c r="O48" i="62"/>
  <c r="O49" i="62"/>
  <c r="O46" i="62"/>
  <c r="O47" i="62"/>
  <c r="O44" i="62"/>
  <c r="O45" i="62"/>
  <c r="O42" i="62"/>
  <c r="O43" i="62"/>
  <c r="O40" i="62"/>
  <c r="O41" i="62"/>
  <c r="O38" i="62"/>
  <c r="O39" i="62"/>
  <c r="O36" i="62"/>
  <c r="O37" i="62"/>
  <c r="O34" i="62"/>
  <c r="O35" i="62"/>
  <c r="O32" i="62"/>
  <c r="O33" i="62"/>
  <c r="O30" i="62"/>
  <c r="O31" i="62"/>
  <c r="Q31" i="62" s="1"/>
  <c r="S31" i="62" s="1"/>
  <c r="O28" i="62"/>
  <c r="O29" i="62"/>
  <c r="O26" i="62"/>
  <c r="O27" i="62"/>
  <c r="O24" i="62"/>
  <c r="O25" i="62"/>
  <c r="O22" i="62"/>
  <c r="O23" i="62"/>
  <c r="K17" i="29"/>
  <c r="K17" i="38"/>
  <c r="K19" i="38"/>
  <c r="H18" i="29"/>
  <c r="F61" i="29"/>
  <c r="F62" i="29" s="1"/>
  <c r="K62" i="29" s="1"/>
  <c r="F61" i="38"/>
  <c r="F62" i="38" s="1"/>
  <c r="K5" i="29"/>
  <c r="K5" i="38"/>
  <c r="K28" i="29"/>
  <c r="K23" i="29"/>
  <c r="K21" i="29"/>
  <c r="K19" i="29"/>
  <c r="K28" i="38"/>
  <c r="K23" i="38"/>
  <c r="K21" i="38"/>
  <c r="H26" i="29"/>
  <c r="H20" i="29"/>
  <c r="A1" i="29"/>
  <c r="A1" i="38"/>
  <c r="F22" i="29"/>
  <c r="H22" i="29" s="1"/>
  <c r="H24" i="38"/>
  <c r="H59" i="38"/>
  <c r="H60" i="38" s="1"/>
  <c r="K57" i="38"/>
  <c r="H29" i="29"/>
  <c r="K29" i="29" s="1"/>
  <c r="F29" i="38"/>
  <c r="H29" i="38"/>
  <c r="K29" i="38" s="1"/>
  <c r="H59" i="29"/>
  <c r="H60" i="29" s="1"/>
  <c r="K57" i="29"/>
  <c r="H24" i="29"/>
  <c r="S67" i="63" l="1"/>
  <c r="Q67" i="63"/>
  <c r="R67" i="63" s="1"/>
  <c r="S68" i="63"/>
  <c r="Q68" i="63"/>
  <c r="R68" i="63" s="1"/>
  <c r="S66" i="63"/>
  <c r="Q66" i="63"/>
  <c r="R66" i="63" s="1"/>
  <c r="S48" i="63"/>
  <c r="Q48" i="63"/>
  <c r="R48" i="63" s="1"/>
  <c r="Q87" i="63"/>
  <c r="R87" i="63" s="1"/>
  <c r="S87" i="63"/>
  <c r="Q88" i="63"/>
  <c r="R88" i="63" s="1"/>
  <c r="S88" i="63"/>
  <c r="S86" i="63"/>
  <c r="Q86" i="63"/>
  <c r="R86" i="63" s="1"/>
  <c r="S83" i="63"/>
  <c r="Q83" i="63"/>
  <c r="R83" i="63" s="1"/>
  <c r="Q81" i="63"/>
  <c r="R81" i="63" s="1"/>
  <c r="S81" i="63"/>
  <c r="S82" i="63"/>
  <c r="Q82" i="63"/>
  <c r="R82" i="63" s="1"/>
  <c r="S79" i="63"/>
  <c r="Q79" i="63"/>
  <c r="R79" i="63" s="1"/>
  <c r="S76" i="63"/>
  <c r="Q76" i="63"/>
  <c r="R76" i="63" s="1"/>
  <c r="S72" i="63"/>
  <c r="Q72" i="63"/>
  <c r="R72" i="63" s="1"/>
  <c r="S70" i="63"/>
  <c r="Q70" i="63"/>
  <c r="R70" i="63" s="1"/>
  <c r="S63" i="63"/>
  <c r="Q63" i="63"/>
  <c r="R63" i="63" s="1"/>
  <c r="S58" i="63"/>
  <c r="Q58" i="63"/>
  <c r="R58" i="63" s="1"/>
  <c r="S55" i="63"/>
  <c r="Q55" i="63"/>
  <c r="R55" i="63" s="1"/>
  <c r="S53" i="63"/>
  <c r="Q53" i="63"/>
  <c r="R53" i="63" s="1"/>
  <c r="S50" i="63"/>
  <c r="Q50" i="63"/>
  <c r="R50" i="63" s="1"/>
  <c r="S45" i="63"/>
  <c r="Q45" i="63"/>
  <c r="R45" i="63" s="1"/>
  <c r="S43" i="63"/>
  <c r="Q43" i="63"/>
  <c r="R43" i="63" s="1"/>
  <c r="S40" i="63"/>
  <c r="Q40" i="63"/>
  <c r="R40" i="63" s="1"/>
  <c r="S29" i="63"/>
  <c r="Q29" i="63"/>
  <c r="R29" i="63" s="1"/>
  <c r="S25" i="63"/>
  <c r="Q25" i="63"/>
  <c r="R25" i="63" s="1"/>
  <c r="S85" i="63"/>
  <c r="Q85" i="63"/>
  <c r="R85" i="63" s="1"/>
  <c r="S80" i="63"/>
  <c r="Q80" i="63"/>
  <c r="R80" i="63" s="1"/>
  <c r="S69" i="63"/>
  <c r="Q69" i="63"/>
  <c r="R69" i="63" s="1"/>
  <c r="S54" i="63"/>
  <c r="Q54" i="63"/>
  <c r="R54" i="63" s="1"/>
  <c r="S42" i="63"/>
  <c r="Q42" i="63"/>
  <c r="R42" i="63" s="1"/>
  <c r="S27" i="63"/>
  <c r="Q27" i="63"/>
  <c r="R27" i="63" s="1"/>
  <c r="S84" i="63"/>
  <c r="Q84" i="63"/>
  <c r="R84" i="63" s="1"/>
  <c r="S65" i="63"/>
  <c r="Q65" i="63"/>
  <c r="R65" i="63" s="1"/>
  <c r="S75" i="63"/>
  <c r="Q75" i="63"/>
  <c r="R75" i="63" s="1"/>
  <c r="S61" i="63"/>
  <c r="Q61" i="63"/>
  <c r="R61" i="63" s="1"/>
  <c r="S57" i="63"/>
  <c r="Q57" i="63"/>
  <c r="R57" i="63" s="1"/>
  <c r="S56" i="63"/>
  <c r="Q56" i="63"/>
  <c r="R56" i="63" s="1"/>
  <c r="S49" i="63"/>
  <c r="Q49" i="63"/>
  <c r="R49" i="63" s="1"/>
  <c r="S44" i="63"/>
  <c r="Q44" i="63"/>
  <c r="R44" i="63" s="1"/>
  <c r="S41" i="63"/>
  <c r="Q41" i="63"/>
  <c r="R41" i="63" s="1"/>
  <c r="S37" i="63"/>
  <c r="Q37" i="63"/>
  <c r="R37" i="63" s="1"/>
  <c r="S35" i="63"/>
  <c r="Q35" i="63"/>
  <c r="R35" i="63" s="1"/>
  <c r="S36" i="63"/>
  <c r="Q36" i="63"/>
  <c r="R36" i="63" s="1"/>
  <c r="S34" i="63"/>
  <c r="Q34" i="63"/>
  <c r="R34" i="63" s="1"/>
  <c r="S28" i="63"/>
  <c r="Q28" i="63"/>
  <c r="R28" i="63" s="1"/>
  <c r="S22" i="63"/>
  <c r="Q22" i="63"/>
  <c r="R22" i="63" s="1"/>
  <c r="S77" i="63"/>
  <c r="Q77" i="63"/>
  <c r="R77" i="63" s="1"/>
  <c r="S78" i="63"/>
  <c r="Q78" i="63"/>
  <c r="R78" i="63" s="1"/>
  <c r="S73" i="63"/>
  <c r="Q73" i="63"/>
  <c r="R73" i="63" s="1"/>
  <c r="S74" i="63"/>
  <c r="Q74" i="63"/>
  <c r="R74" i="63" s="1"/>
  <c r="S71" i="63"/>
  <c r="Q71" i="63"/>
  <c r="R71" i="63" s="1"/>
  <c r="S62" i="63"/>
  <c r="Q62" i="63"/>
  <c r="R62" i="63" s="1"/>
  <c r="S60" i="63"/>
  <c r="Q60" i="63"/>
  <c r="R60" i="63" s="1"/>
  <c r="S59" i="63"/>
  <c r="Q59" i="63"/>
  <c r="R59" i="63" s="1"/>
  <c r="S51" i="63"/>
  <c r="Q51" i="63"/>
  <c r="R51" i="63" s="1"/>
  <c r="S52" i="63"/>
  <c r="Q52" i="63"/>
  <c r="R52" i="63" s="1"/>
  <c r="S47" i="63"/>
  <c r="Q47" i="63"/>
  <c r="R47" i="63" s="1"/>
  <c r="S46" i="63"/>
  <c r="Q46" i="63"/>
  <c r="R46" i="63" s="1"/>
  <c r="S39" i="63"/>
  <c r="Q39" i="63"/>
  <c r="R39" i="63" s="1"/>
  <c r="S38" i="63"/>
  <c r="Q38" i="63"/>
  <c r="R38" i="63" s="1"/>
  <c r="S33" i="63"/>
  <c r="Q33" i="63"/>
  <c r="R33" i="63" s="1"/>
  <c r="S31" i="63"/>
  <c r="Q31" i="63"/>
  <c r="R31" i="63" s="1"/>
  <c r="S32" i="63"/>
  <c r="Q32" i="63"/>
  <c r="R32" i="63" s="1"/>
  <c r="S24" i="63"/>
  <c r="Q24" i="63"/>
  <c r="R24" i="63" s="1"/>
  <c r="S23" i="63"/>
  <c r="Q23" i="63"/>
  <c r="R23" i="63" s="1"/>
  <c r="S64" i="63"/>
  <c r="Q64" i="63"/>
  <c r="R64" i="63" s="1"/>
  <c r="S26" i="63"/>
  <c r="Q26" i="63"/>
  <c r="Q70" i="62"/>
  <c r="S70" i="62" s="1"/>
  <c r="T70" i="62"/>
  <c r="Q71" i="62"/>
  <c r="S71" i="62" s="1"/>
  <c r="T71" i="62"/>
  <c r="Q69" i="62"/>
  <c r="S69" i="62" s="1"/>
  <c r="T69" i="62"/>
  <c r="Q49" i="62"/>
  <c r="S49" i="62" s="1"/>
  <c r="T49" i="62"/>
  <c r="Q90" i="62"/>
  <c r="S90" i="62" s="1"/>
  <c r="T90" i="62"/>
  <c r="Q89" i="62"/>
  <c r="S89" i="62" s="1"/>
  <c r="T89" i="62"/>
  <c r="Q86" i="62"/>
  <c r="S86" i="62" s="1"/>
  <c r="T86" i="62"/>
  <c r="Q84" i="62"/>
  <c r="S84" i="62" s="1"/>
  <c r="T84" i="62"/>
  <c r="Q85" i="62"/>
  <c r="S85" i="62" s="1"/>
  <c r="T85" i="62"/>
  <c r="Q82" i="62"/>
  <c r="S82" i="62" s="1"/>
  <c r="T82" i="62"/>
  <c r="Q79" i="62"/>
  <c r="S79" i="62" s="1"/>
  <c r="T79" i="62"/>
  <c r="Q75" i="62"/>
  <c r="S75" i="62" s="1"/>
  <c r="T75" i="62"/>
  <c r="Q73" i="62"/>
  <c r="S73" i="62" s="1"/>
  <c r="T73" i="62"/>
  <c r="Q65" i="62"/>
  <c r="S65" i="62" s="1"/>
  <c r="T65" i="62"/>
  <c r="Q60" i="62"/>
  <c r="S60" i="62" s="1"/>
  <c r="T60" i="62"/>
  <c r="Q56" i="62"/>
  <c r="S56" i="62" s="1"/>
  <c r="T56" i="62"/>
  <c r="Q54" i="62"/>
  <c r="S54" i="62" s="1"/>
  <c r="T54" i="62"/>
  <c r="Q51" i="62"/>
  <c r="S51" i="62" s="1"/>
  <c r="T51" i="62"/>
  <c r="Q46" i="62"/>
  <c r="S46" i="62" s="1"/>
  <c r="T46" i="62"/>
  <c r="Q44" i="62"/>
  <c r="S44" i="62" s="1"/>
  <c r="T44" i="62"/>
  <c r="Q41" i="62"/>
  <c r="S41" i="62" s="1"/>
  <c r="T41" i="62"/>
  <c r="Q30" i="62"/>
  <c r="S30" i="62" s="1"/>
  <c r="T30" i="62"/>
  <c r="Q25" i="62"/>
  <c r="S25" i="62" s="1"/>
  <c r="T25" i="62"/>
  <c r="Q88" i="62"/>
  <c r="S88" i="62" s="1"/>
  <c r="T88" i="62"/>
  <c r="Q83" i="62"/>
  <c r="S83" i="62" s="1"/>
  <c r="T83" i="62"/>
  <c r="Q72" i="62"/>
  <c r="S72" i="62" s="1"/>
  <c r="T72" i="62"/>
  <c r="Q55" i="62"/>
  <c r="S55" i="62" s="1"/>
  <c r="T55" i="62"/>
  <c r="Q43" i="62"/>
  <c r="S43" i="62" s="1"/>
  <c r="T43" i="62"/>
  <c r="Q27" i="62"/>
  <c r="S27" i="62" s="1"/>
  <c r="T27" i="62"/>
  <c r="Q28" i="62"/>
  <c r="S28" i="62" s="1"/>
  <c r="T28" i="62"/>
  <c r="Q87" i="62"/>
  <c r="S87" i="62" s="1"/>
  <c r="T87" i="62"/>
  <c r="Q68" i="62"/>
  <c r="S68" i="62" s="1"/>
  <c r="T68" i="62"/>
  <c r="Q78" i="62"/>
  <c r="S78" i="62" s="1"/>
  <c r="T78" i="62"/>
  <c r="Q63" i="62"/>
  <c r="S63" i="62" s="1"/>
  <c r="T63" i="62"/>
  <c r="Q59" i="62"/>
  <c r="S59" i="62" s="1"/>
  <c r="T59" i="62"/>
  <c r="Q57" i="62"/>
  <c r="S57" i="62" s="1"/>
  <c r="T57" i="62"/>
  <c r="Q50" i="62"/>
  <c r="S50" i="62" s="1"/>
  <c r="T50" i="62"/>
  <c r="Q45" i="62"/>
  <c r="S45" i="62" s="1"/>
  <c r="T45" i="62"/>
  <c r="Q42" i="62"/>
  <c r="S42" i="62" s="1"/>
  <c r="T42" i="62"/>
  <c r="Q38" i="62"/>
  <c r="S38" i="62" s="1"/>
  <c r="T38" i="62"/>
  <c r="Q36" i="62"/>
  <c r="S36" i="62" s="1"/>
  <c r="T36" i="62"/>
  <c r="Q37" i="62"/>
  <c r="S37" i="62" s="1"/>
  <c r="T37" i="62"/>
  <c r="Q35" i="62"/>
  <c r="S35" i="62" s="1"/>
  <c r="T35" i="62"/>
  <c r="Q29" i="62"/>
  <c r="S29" i="62" s="1"/>
  <c r="T29" i="62"/>
  <c r="Q22" i="62"/>
  <c r="T22" i="62"/>
  <c r="Q80" i="62"/>
  <c r="S80" i="62" s="1"/>
  <c r="T80" i="62"/>
  <c r="Q81" i="62"/>
  <c r="S81" i="62" s="1"/>
  <c r="T81" i="62"/>
  <c r="Q76" i="62"/>
  <c r="S76" i="62" s="1"/>
  <c r="T76" i="62"/>
  <c r="Q77" i="62"/>
  <c r="S77" i="62" s="1"/>
  <c r="T77" i="62"/>
  <c r="Q74" i="62"/>
  <c r="S74" i="62" s="1"/>
  <c r="T74" i="62"/>
  <c r="Q64" i="62"/>
  <c r="S64" i="62" s="1"/>
  <c r="T64" i="62"/>
  <c r="Q62" i="62"/>
  <c r="S62" i="62" s="1"/>
  <c r="T62" i="62"/>
  <c r="Q61" i="62"/>
  <c r="S61" i="62" s="1"/>
  <c r="T61" i="62"/>
  <c r="Q52" i="62"/>
  <c r="S52" i="62" s="1"/>
  <c r="T52" i="62"/>
  <c r="Q53" i="62"/>
  <c r="S53" i="62" s="1"/>
  <c r="T53" i="62"/>
  <c r="Q48" i="62"/>
  <c r="S48" i="62" s="1"/>
  <c r="T48" i="62"/>
  <c r="Q47" i="62"/>
  <c r="S47" i="62" s="1"/>
  <c r="T47" i="62"/>
  <c r="Q40" i="62"/>
  <c r="S40" i="62" s="1"/>
  <c r="T40" i="62"/>
  <c r="Q39" i="62"/>
  <c r="S39" i="62" s="1"/>
  <c r="T39" i="62"/>
  <c r="Q34" i="62"/>
  <c r="S34" i="62" s="1"/>
  <c r="T34" i="62"/>
  <c r="Q32" i="62"/>
  <c r="S32" i="62" s="1"/>
  <c r="T32" i="62"/>
  <c r="Q33" i="62"/>
  <c r="S33" i="62" s="1"/>
  <c r="T33" i="62"/>
  <c r="Q24" i="62"/>
  <c r="S24" i="62" s="1"/>
  <c r="T24" i="62"/>
  <c r="Q23" i="62"/>
  <c r="S23" i="62" s="1"/>
  <c r="T23" i="62"/>
  <c r="Q67" i="62"/>
  <c r="S67" i="62" s="1"/>
  <c r="T67" i="62"/>
  <c r="Q26" i="62"/>
  <c r="S26" i="62" s="1"/>
  <c r="T26" i="62"/>
  <c r="F29" i="29"/>
  <c r="K62" i="38"/>
  <c r="S14" i="63" l="1"/>
  <c r="Q21" i="63"/>
  <c r="R26" i="63"/>
  <c r="Q21" i="62"/>
  <c r="S21" i="62" s="1"/>
  <c r="S22" i="62"/>
  <c r="T14" i="62"/>
  <c r="D6" i="3" l="1"/>
  <c r="G21" i="1"/>
  <c r="R21" i="63"/>
  <c r="F21" i="1"/>
  <c r="C6" i="3"/>
  <c r="J21" i="1" l="1"/>
  <c r="K21" i="1" s="1"/>
  <c r="G6" i="3"/>
  <c r="I6" i="3" l="1"/>
  <c r="G7" i="3"/>
  <c r="I7" i="3" l="1"/>
  <c r="H6" i="3"/>
  <c r="H7" i="3" s="1"/>
</calcChain>
</file>

<file path=xl/sharedStrings.xml><?xml version="1.0" encoding="utf-8"?>
<sst xmlns="http://schemas.openxmlformats.org/spreadsheetml/2006/main" count="1629" uniqueCount="359">
  <si>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</si>
  <si>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</si>
  <si>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</si>
  <si>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</si>
  <si>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</si>
  <si>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</si>
  <si>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</si>
  <si>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</si>
  <si>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</si>
  <si>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</si>
  <si>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</si>
  <si>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</si>
  <si>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</si>
  <si>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</si>
  <si>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</si>
  <si>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</si>
  <si>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</si>
  <si>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</si>
  <si>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</si>
  <si>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</si>
  <si>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</si>
  <si>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</si>
  <si>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</si>
  <si>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</si>
  <si>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</si>
  <si>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</si>
  <si>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</si>
  <si>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</si>
  <si>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</si>
  <si>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</si>
  <si>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</si>
  <si>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</si>
  <si>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</si>
  <si>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</si>
  <si>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</si>
  <si>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</si>
  <si>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</si>
  <si>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</si>
  <si>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</si>
  <si>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</si>
  <si>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</si>
  <si>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</si>
  <si>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</si>
  <si>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</si>
  <si>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</si>
  <si>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</si>
  <si>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</si>
  <si>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</si>
  <si>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</si>
  <si>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</si>
  <si>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</si>
  <si>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</si>
  <si>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</si>
  <si>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</si>
  <si>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</si>
  <si>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</si>
  <si>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</si>
  <si>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</si>
  <si>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</si>
  <si>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</si>
  <si>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</si>
  <si>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</si>
  <si>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</si>
  <si>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</si>
  <si>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</si>
  <si>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</si>
  <si>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</si>
  <si>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</si>
  <si>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</si>
  <si>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</si>
  <si>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</si>
  <si>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</si>
  <si>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</si>
  <si>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</si>
  <si>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</si>
  <si>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</si>
  <si>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</si>
  <si>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</si>
  <si>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</si>
  <si>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</si>
  <si>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</si>
  <si>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</si>
  <si>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</si>
  <si>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</si>
  <si>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</si>
  <si>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</si>
  <si>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</si>
  <si>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</si>
  <si>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</si>
  <si>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</si>
  <si>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</si>
  <si>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</si>
  <si>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</si>
  <si>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</si>
  <si>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</si>
  <si>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Bodenart</t>
  </si>
  <si>
    <t>Objektname</t>
  </si>
  <si>
    <t>Raum-
nummer</t>
  </si>
  <si>
    <t>Raumbe-
zeichnung</t>
  </si>
  <si>
    <t>Reinigungs-
gruppe</t>
  </si>
  <si>
    <t>Zurück zum Inhaltsverzeichnis</t>
  </si>
  <si>
    <t>Kalkulation des Stundenverrechnungssatzes Grundreinigung</t>
  </si>
  <si>
    <t>Kalkulation des Stundenverrechnungssatzes Unterhaltsreinigung</t>
  </si>
  <si>
    <t>Bieter:</t>
  </si>
  <si>
    <t>Reini-
gungs-
intervall</t>
  </si>
  <si>
    <t>Leistungs-
werte 
(m²/h)</t>
  </si>
  <si>
    <t>aufge-
legter 
Teppich</t>
  </si>
  <si>
    <t>Anzahl 
Schmutz-
fang</t>
  </si>
  <si>
    <t>Reini-
gungs-
tage / Jahr</t>
  </si>
  <si>
    <t>Reinigungs-
fläche / Jahr 
(m²)</t>
  </si>
  <si>
    <t>SVS
(€/h)</t>
  </si>
  <si>
    <t>Reinigungs-
stunden / 
Jahr</t>
  </si>
  <si>
    <t>Preis / Jahr 
(€)</t>
  </si>
  <si>
    <t>Objekt</t>
  </si>
  <si>
    <t>Netto-Preis / Jahr (€)</t>
  </si>
  <si>
    <t>Reinigungs-
fläche 
(m²)</t>
  </si>
  <si>
    <t>Reinigungsart</t>
  </si>
  <si>
    <t>Leistungs-
tage/Jahr</t>
  </si>
  <si>
    <t>Menge je Woche</t>
  </si>
  <si>
    <t>Leistungs-stunden pro Tag in h</t>
  </si>
  <si>
    <t>Leistungs-stunden pro Jahr in h</t>
  </si>
  <si>
    <t>SVS (€/h)</t>
  </si>
  <si>
    <t>Artikel</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</si>
  <si>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</si>
  <si>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</si>
  <si>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</si>
  <si>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</si>
  <si>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</si>
  <si>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</si>
  <si>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</si>
  <si>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</si>
  <si>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</si>
  <si>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</si>
  <si>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</si>
  <si>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</si>
  <si>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</si>
  <si>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</si>
  <si>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</si>
  <si>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</si>
  <si>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Preis für eine Reinigung 
(€)</t>
  </si>
  <si>
    <t>Reini-gungen / Jahr</t>
  </si>
  <si>
    <t>M2</t>
  </si>
  <si>
    <t>M1</t>
  </si>
  <si>
    <t>J6</t>
  </si>
  <si>
    <t>J5</t>
  </si>
  <si>
    <t>J4</t>
  </si>
  <si>
    <t>J3</t>
  </si>
  <si>
    <t>J2</t>
  </si>
  <si>
    <t>J1</t>
  </si>
  <si>
    <t>J0,5</t>
  </si>
  <si>
    <t>Objektart</t>
  </si>
  <si>
    <t>nB</t>
  </si>
  <si>
    <t>Reinigungs-intervall</t>
  </si>
  <si>
    <t>Einheit</t>
  </si>
  <si>
    <t>Reinigungstage</t>
  </si>
  <si>
    <t>Nettopreis</t>
  </si>
  <si>
    <t>Bruttopreis</t>
  </si>
  <si>
    <t>Kalkulation des Stundenverrechnungssatzes Wirtschaftsleistungen</t>
  </si>
  <si>
    <t>Kalkulation</t>
  </si>
  <si>
    <t>Unterhaltsreinigung</t>
  </si>
  <si>
    <t>Straße</t>
  </si>
  <si>
    <t>PLZ</t>
  </si>
  <si>
    <t>Ort</t>
  </si>
  <si>
    <t xml:space="preserve">Leistungs-werte 
(m²/h) </t>
  </si>
  <si>
    <t>Jahres- 
reinigungs-
fläche (m²)</t>
  </si>
  <si>
    <t>Lage</t>
  </si>
  <si>
    <t>Grundreinigung</t>
  </si>
  <si>
    <t>Vertragsbeginn</t>
  </si>
  <si>
    <t>Vertragsende</t>
  </si>
  <si>
    <t>Verlängerung</t>
  </si>
  <si>
    <t>max. Laufzeit bis</t>
  </si>
  <si>
    <t>Reinigungs-gruppe 
(RG)</t>
  </si>
  <si>
    <t>Unternehmen</t>
  </si>
  <si>
    <t>Telefon</t>
  </si>
  <si>
    <t>Fax</t>
  </si>
  <si>
    <t>Ansprechpartner</t>
  </si>
  <si>
    <t>E-Mailadresse</t>
  </si>
  <si>
    <t>Internetadresse</t>
  </si>
  <si>
    <t>Kurzname</t>
  </si>
  <si>
    <t>Gebäude</t>
  </si>
  <si>
    <t>Gebäudeteil</t>
  </si>
  <si>
    <t>Los</t>
  </si>
  <si>
    <t>Stunden für eine Reinigung (h)</t>
  </si>
  <si>
    <t>Anzahl 
der Räume</t>
  </si>
  <si>
    <t>Preisübersicht</t>
  </si>
  <si>
    <r>
      <t xml:space="preserve">Kalkulation </t>
    </r>
    <r>
      <rPr>
        <b/>
        <sz val="8"/>
        <rFont val="Verdana"/>
        <family val="2"/>
      </rPr>
      <t>Wirtschaftsleistungen</t>
    </r>
  </si>
  <si>
    <r>
      <rPr>
        <b/>
        <sz val="8"/>
        <rFont val="Verdana"/>
        <family val="2"/>
      </rPr>
      <t>Reinigungstage</t>
    </r>
    <r>
      <rPr>
        <sz val="8"/>
        <rFont val="Verdana"/>
        <family val="2"/>
      </rPr>
      <t xml:space="preserve"> pro Objekt und Reinigungsart</t>
    </r>
  </si>
  <si>
    <r>
      <rPr>
        <b/>
        <sz val="8"/>
        <rFont val="Verdana"/>
        <family val="2"/>
      </rPr>
      <t>Preisübersicht</t>
    </r>
    <r>
      <rPr>
        <sz val="8"/>
        <rFont val="Verdana"/>
        <family val="2"/>
      </rPr>
      <t xml:space="preserve"> pro Jahr (in €)</t>
    </r>
  </si>
  <si>
    <t>Anzahl / 
Jahr</t>
  </si>
  <si>
    <t>Preis pro 
Einheit (€)</t>
  </si>
  <si>
    <t>Netto-Preis / 
Jahr (€)</t>
  </si>
  <si>
    <t>maximale Reinigungstage
im Jahr für
Reinigungsintervall 5</t>
  </si>
  <si>
    <t>Reinigungsintervall</t>
  </si>
  <si>
    <t>Ausfüllhinweise 
(nur 1 Häkchen setzen):</t>
  </si>
  <si>
    <r>
      <t xml:space="preserve">Vorgaben
</t>
    </r>
    <r>
      <rPr>
        <sz val="8"/>
        <rFont val="Verdana"/>
        <family val="2"/>
      </rPr>
      <t>Die Vorgaben bei den Sozialversicherungsbeiträgen entsprechen den gesetzlichen Mindestangaben.</t>
    </r>
  </si>
  <si>
    <t>2026
in %</t>
  </si>
  <si>
    <t>Krankenversicherungzusatzbeitrag
(halber Zusatzbeitrag Arbeitgeberanteil vom durchschnittlichen Zusatzbeitrag von 2,90 %)</t>
  </si>
  <si>
    <t>Kita Tausendf</t>
  </si>
  <si>
    <t>Los 6</t>
  </si>
  <si>
    <t>Kindertagesstätte Tausendfüßler</t>
  </si>
  <si>
    <t>inkl. Kita Bergmännchen und JC Teenietreff</t>
  </si>
  <si>
    <t>Sülzestraße 1a</t>
  </si>
  <si>
    <t>39418</t>
  </si>
  <si>
    <t>Staßfurt</t>
  </si>
  <si>
    <t>Kalkulation Verbrauchsmaterial</t>
  </si>
  <si>
    <t>2.1</t>
  </si>
  <si>
    <t>1.OG</t>
  </si>
  <si>
    <t>Sanitär</t>
  </si>
  <si>
    <t>Fliesen</t>
  </si>
  <si>
    <t>2.2</t>
  </si>
  <si>
    <t>Gruppenraum</t>
  </si>
  <si>
    <t>Linoleum</t>
  </si>
  <si>
    <t>2.4</t>
  </si>
  <si>
    <t>2.5</t>
  </si>
  <si>
    <t>Garderobe</t>
  </si>
  <si>
    <t>2.6</t>
  </si>
  <si>
    <t>Leiterin KiTa</t>
  </si>
  <si>
    <t>2.7</t>
  </si>
  <si>
    <t>Treppenraum</t>
  </si>
  <si>
    <t>2.8</t>
  </si>
  <si>
    <t>Waschmachinenraum</t>
  </si>
  <si>
    <t>2.9</t>
  </si>
  <si>
    <t>WC/Dusche</t>
  </si>
  <si>
    <t>Flur</t>
  </si>
  <si>
    <t>Computerraum</t>
  </si>
  <si>
    <t>Ruheraum</t>
  </si>
  <si>
    <t>Sanitär Jungen</t>
  </si>
  <si>
    <t>2.16</t>
  </si>
  <si>
    <t>WC Jungen</t>
  </si>
  <si>
    <t>2.17</t>
  </si>
  <si>
    <t>WC Mädchen</t>
  </si>
  <si>
    <t>2.18</t>
  </si>
  <si>
    <t>Sanitär Mädchen</t>
  </si>
  <si>
    <t>2.19</t>
  </si>
  <si>
    <t>WC</t>
  </si>
  <si>
    <t>Flurbereich</t>
  </si>
  <si>
    <t>2.27</t>
  </si>
  <si>
    <t>2.28</t>
  </si>
  <si>
    <t>2.29</t>
  </si>
  <si>
    <t>1.0</t>
  </si>
  <si>
    <t>EG</t>
  </si>
  <si>
    <t>Teeküche</t>
  </si>
  <si>
    <t>1.1</t>
  </si>
  <si>
    <t>1.2</t>
  </si>
  <si>
    <t>1.3</t>
  </si>
  <si>
    <t>1.4</t>
  </si>
  <si>
    <t>1.5</t>
  </si>
  <si>
    <t>Eingang 2</t>
  </si>
  <si>
    <t>1.5.1</t>
  </si>
  <si>
    <t>1.5.2</t>
  </si>
  <si>
    <t>1.6</t>
  </si>
  <si>
    <t>1.8</t>
  </si>
  <si>
    <t>Spielgeräte</t>
  </si>
  <si>
    <t>1.9</t>
  </si>
  <si>
    <t>1.10</t>
  </si>
  <si>
    <t>1.11</t>
  </si>
  <si>
    <t>Fernseh/Video-Raum</t>
  </si>
  <si>
    <t>1.12</t>
  </si>
  <si>
    <t>Bastelraum</t>
  </si>
  <si>
    <t>1.13</t>
  </si>
  <si>
    <t>Töpfchenraum</t>
  </si>
  <si>
    <t>1.14</t>
  </si>
  <si>
    <t>Playstation-Raum</t>
  </si>
  <si>
    <t>1.15</t>
  </si>
  <si>
    <t>JC Teenietreff</t>
  </si>
  <si>
    <t>Eingangsbereich JC Teenietreff</t>
  </si>
  <si>
    <t>1.17</t>
  </si>
  <si>
    <t>PUMI/Abstellraum</t>
  </si>
  <si>
    <t>1.19</t>
  </si>
  <si>
    <t>Aufenthaltsraum Erzieher</t>
  </si>
  <si>
    <t>1.20</t>
  </si>
  <si>
    <t>Bewegungsraum</t>
  </si>
  <si>
    <t>1.23</t>
  </si>
  <si>
    <t>Kinderküche</t>
  </si>
  <si>
    <t>1.24</t>
  </si>
  <si>
    <t>Lebensmittellager</t>
  </si>
  <si>
    <t>1.25</t>
  </si>
  <si>
    <t>Küche</t>
  </si>
  <si>
    <t>1.27</t>
  </si>
  <si>
    <t>1.27.1</t>
  </si>
  <si>
    <t>1.29</t>
  </si>
  <si>
    <t>Spielraum</t>
  </si>
  <si>
    <t>1.30</t>
  </si>
  <si>
    <t>1.31</t>
  </si>
  <si>
    <t>1.32</t>
  </si>
  <si>
    <t>1.33</t>
  </si>
  <si>
    <t>0.1</t>
  </si>
  <si>
    <t>Keller</t>
  </si>
  <si>
    <t>Kinderwagengarage</t>
  </si>
  <si>
    <t>Beton</t>
  </si>
  <si>
    <t>0.2</t>
  </si>
  <si>
    <t>Billardraum</t>
  </si>
  <si>
    <t>0.3</t>
  </si>
  <si>
    <t>Tischtennisraum</t>
  </si>
  <si>
    <t>0.4</t>
  </si>
  <si>
    <t>Aufenthalt Teenietreff</t>
  </si>
  <si>
    <t>0.5</t>
  </si>
  <si>
    <t>Treppenraum 1</t>
  </si>
  <si>
    <t>0.5.1</t>
  </si>
  <si>
    <t>0.5.2</t>
  </si>
  <si>
    <t>0.7</t>
  </si>
  <si>
    <t>0.8</t>
  </si>
  <si>
    <t>Fitnessraum</t>
  </si>
  <si>
    <t>0.15</t>
  </si>
  <si>
    <t>Treppenraum 2</t>
  </si>
  <si>
    <t>0.17</t>
  </si>
  <si>
    <t>0.17.1</t>
  </si>
  <si>
    <t>0.19</t>
  </si>
  <si>
    <t>Kellergang</t>
  </si>
  <si>
    <t>Gruppe</t>
  </si>
  <si>
    <t>Verkehr</t>
  </si>
  <si>
    <t>Büro</t>
  </si>
  <si>
    <t>Treppe</t>
  </si>
  <si>
    <t>Technik</t>
  </si>
  <si>
    <t>Unterricht</t>
  </si>
  <si>
    <t>Versorgung</t>
  </si>
  <si>
    <t>Funktion</t>
  </si>
  <si>
    <t>Sport</t>
  </si>
  <si>
    <t>Papierhandtücher, 
Recyclingpapier natur
2-lagig,
Blattgröße ca. 24,5 cm x 23 cm,
5. 000 Blatt pro Einheit</t>
  </si>
  <si>
    <t>Karton</t>
  </si>
  <si>
    <t>Recycling-Tissue-Toilettenpapier, 
2 lagig, 
Blattgröße 11x9,4 cm,
250 Blatt pro Rolle, 
100% Altpapier,
64 Rollen pro Einheit</t>
  </si>
  <si>
    <t>Paket</t>
  </si>
  <si>
    <t>* Waschlotion</t>
  </si>
  <si>
    <t>Liter</t>
  </si>
  <si>
    <t>* Flächendesinfektion</t>
  </si>
  <si>
    <t>Küchenleistung:
Wirtschaftsleistung 1100 - 1145</t>
  </si>
  <si>
    <t>Küchenleistung:
Wirtschaftsleistung 1150 - 1220</t>
  </si>
  <si>
    <t>Küchenleistung:
Wirtschaftsleistung 1225 - 1230</t>
  </si>
  <si>
    <t>Küchenleistung:
Wirtschaftsleistung 1235 - 1240</t>
  </si>
  <si>
    <t>Küchenleistung:
Wirtschaftsleistung 1245 - 1260</t>
  </si>
  <si>
    <t>Wäscheleistung:
Wirtschaftsleistung 1265</t>
  </si>
  <si>
    <t>Wäscheleistung:
Wirtschaftsleistung 1270</t>
  </si>
  <si>
    <t>Wäscheleistung:
Wirtschaftsleistung 1275 - 1280</t>
  </si>
  <si>
    <t>Wäscheleistung:
Wirtschaftsleistung 1285</t>
  </si>
  <si>
    <t>Kita</t>
  </si>
  <si>
    <t>UnterhaltsRG</t>
  </si>
  <si>
    <t>Reinigungs-häufigkeit</t>
  </si>
  <si>
    <t>GrundRG</t>
  </si>
  <si>
    <t>Wirtschaft</t>
  </si>
  <si>
    <t>Verbrauch</t>
  </si>
  <si>
    <t>Preiszusammenstellung Los 6</t>
  </si>
  <si>
    <t>Jahrespreis in €</t>
  </si>
  <si>
    <t>MwSt.</t>
  </si>
  <si>
    <t>Jahrespreis Reinigung</t>
  </si>
  <si>
    <t>SVS UnterhaltsRG</t>
  </si>
  <si>
    <t>SVS GrundRG</t>
  </si>
  <si>
    <t>SVS Wirtschaft</t>
  </si>
  <si>
    <t>Wertungspreis (netto) in €</t>
  </si>
  <si>
    <t>Wertungspreis (brutto) in €</t>
  </si>
  <si>
    <t>Reinigungstage 
 maximal
 (UnterhaltsRG)</t>
  </si>
  <si>
    <t>Sachsen-Anhalt</t>
  </si>
  <si>
    <t>Der angegebene Verbrauch stellt eine Prognose des voraussichtlichen Bezugs von Sanitärverbrauchsmaterialien dar.</t>
  </si>
  <si>
    <t>Die tatsächlichen Werte können vom geplanten Bedarf abweichen.</t>
  </si>
  <si>
    <t>Die Abrechnung erfolgt auf Grundlage des nachweislich ermittelten tatsächlichen Verbrauchs.</t>
  </si>
  <si>
    <t>* Da die Produktbeschreibungen nicht vollständig vorliegen, gilt folgende Festlegung: Der Auftragnehmer liefert das benötigte Verbrauchsmaterial.</t>
  </si>
  <si>
    <t>Im Lieferschein sind die einzelnen Positionen detailliert aufzuführen.</t>
  </si>
  <si>
    <t xml:space="preserve">Eine vom Auftraggeber benannte Person überprüft anschließend, ob die Anzahl der gelieferten Positionen mit den Angaben im Lieferschein übereinstimmt. </t>
  </si>
  <si>
    <t>Eine Kopie des Lieferscheins ist dieser Kontrollperson auszuhändigen.</t>
  </si>
  <si>
    <t>Die Abrechnung erfolgt anschließend auf Basis der im Lieferschein dokumentierten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</si>
</sst>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_-* #,##0.00\ [$€]_-;\-* #,##0.00\ [$€]_-;_-* &quot;-&quot;??\ [$€]_-;_-@_-"/>
    <numFmt numFmtId="166" formatCode="0.000"/>
    <numFmt numFmtId="167" formatCode="#,##0.000"/>
    <numFmt numFmtId="168" formatCode="&quot;Bitte &quot;0&quot; Werte eintragen.&quot;"/>
  </numFmts>
  <fonts count="44"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sz val="8"/>
      <color indexed="10"/>
      <name val="Verdana"/>
      <family val="2"/>
    </font>
    <font>
      <vertAlign val="superscript"/>
      <sz val="8"/>
      <name val="Verdana"/>
      <family val="2"/>
    </font>
    <font>
      <b/>
      <sz val="10"/>
      <name val="Verdana"/>
      <family val="2"/>
    </font>
    <font>
      <sz val="8"/>
      <color indexed="8"/>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sz val="8"/>
      <color indexed="55"/>
      <name val="Verdana"/>
      <family val="2"/>
    </font>
    <font>
      <sz val="8"/>
      <color rgb="FF9C0000"/>
      <name val="Verdana"/>
      <family val="2"/>
    </font>
    <font>
      <sz val="8"/>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D2E6C4"/>
        <bgColor indexed="64"/>
      </patternFill>
    </fill>
    <fill>
      <patternFill patternType="solid">
        <fgColor rgb="FFFFC7CE"/>
        <bgColor indexed="64"/>
      </patternFill>
    </fill>
    <fill>
      <patternFill patternType="solid">
        <fgColor indexed="50"/>
        <bgColor indexed="64"/>
      </patternFill>
    </fill>
    <fill>
      <patternFill patternType="lightGray"/>
    </fill>
  </fills>
  <borders count="2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s>
  <cellStyleXfs count="6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7" fillId="0" borderId="0" applyNumberFormat="0" applyFill="0" applyBorder="0" applyAlignment="0" applyProtection="0"/>
    <xf numFmtId="0" fontId="38" fillId="0" borderId="0"/>
    <xf numFmtId="0" fontId="1"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cellStyleXfs>
  <cellXfs count="181">
    <xf numFmtId="0" fontId="0" fillId="0" borderId="0" xfId="0"/>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4" fillId="0" borderId="0" xfId="55" applyFont="1" applyAlignment="1">
      <alignment vertical="center"/>
    </xf>
    <xf numFmtId="0" fontId="4" fillId="0" borderId="0" xfId="55" applyFont="1"/>
    <xf numFmtId="0" fontId="4" fillId="0" borderId="0" xfId="55" applyFont="1" applyAlignment="1">
      <alignment horizontal="left" vertical="center"/>
    </xf>
    <xf numFmtId="0" fontId="4" fillId="0" borderId="0" xfId="58" applyFont="1" applyAlignment="1">
      <alignment vertical="center"/>
    </xf>
    <xf numFmtId="2" fontId="8" fillId="26" borderId="11" xfId="58" applyNumberFormat="1" applyFont="1" applyFill="1" applyBorder="1" applyAlignment="1" applyProtection="1">
      <alignment horizontal="center" vertical="center"/>
      <protection locked="0"/>
    </xf>
    <xf numFmtId="166" fontId="4" fillId="26" borderId="11" xfId="58" applyNumberFormat="1" applyFont="1" applyFill="1" applyBorder="1" applyAlignment="1" applyProtection="1">
      <alignment horizontal="center" vertical="center"/>
      <protection locked="0"/>
    </xf>
    <xf numFmtId="2" fontId="6" fillId="26" borderId="13" xfId="58" applyNumberFormat="1" applyFont="1" applyFill="1" applyBorder="1" applyAlignment="1" applyProtection="1">
      <alignment vertical="center"/>
      <protection locked="0"/>
    </xf>
    <xf numFmtId="2" fontId="6" fillId="26" borderId="12" xfId="58" applyNumberFormat="1" applyFont="1" applyFill="1" applyBorder="1" applyAlignment="1" applyProtection="1">
      <alignment vertical="center"/>
      <protection locked="0"/>
    </xf>
    <xf numFmtId="2" fontId="6" fillId="26" borderId="0" xfId="58" applyNumberFormat="1" applyFont="1" applyFill="1" applyAlignment="1" applyProtection="1">
      <alignment vertical="center"/>
      <protection locked="0"/>
    </xf>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30" fillId="0" borderId="0" xfId="0" applyFont="1" applyAlignment="1">
      <alignment vertical="center"/>
    </xf>
    <xf numFmtId="0" fontId="2" fillId="0" borderId="0" xfId="58" applyFont="1" applyAlignment="1">
      <alignment vertical="center"/>
    </xf>
    <xf numFmtId="0" fontId="4" fillId="0" borderId="11" xfId="0" applyFont="1" applyBorder="1" applyAlignment="1">
      <alignment vertical="center"/>
    </xf>
    <xf numFmtId="0" fontId="4" fillId="0" borderId="11" xfId="0" applyFont="1" applyBorder="1" applyAlignment="1">
      <alignment horizontal="left" vertical="center"/>
    </xf>
    <xf numFmtId="0" fontId="10" fillId="0" borderId="0" xfId="59" applyFont="1" applyAlignment="1" applyProtection="1">
      <alignment vertical="center"/>
    </xf>
    <xf numFmtId="0" fontId="6" fillId="0" borderId="0" xfId="55" applyFont="1" applyAlignment="1">
      <alignment vertical="center"/>
    </xf>
    <xf numFmtId="0" fontId="10" fillId="0" borderId="0" xfId="60" applyFont="1" applyAlignment="1" applyProtection="1">
      <alignment vertical="center"/>
    </xf>
    <xf numFmtId="0" fontId="4" fillId="0" borderId="0" xfId="55" applyFont="1" applyAlignment="1" applyProtection="1">
      <alignment vertical="center"/>
      <protection locked="0"/>
    </xf>
    <xf numFmtId="168" fontId="34" fillId="0" borderId="0" xfId="55" applyNumberFormat="1" applyFont="1" applyAlignment="1">
      <alignment horizontal="left" vertical="center"/>
    </xf>
    <xf numFmtId="0" fontId="4" fillId="0" borderId="0" xfId="55" applyFont="1" applyAlignment="1">
      <alignment vertical="center" wrapText="1"/>
    </xf>
    <xf numFmtId="0" fontId="2" fillId="0" borderId="0" xfId="55" applyFont="1" applyAlignment="1">
      <alignment vertical="center"/>
    </xf>
    <xf numFmtId="0" fontId="10" fillId="0" borderId="0" xfId="39" applyFont="1" applyAlignment="1" applyProtection="1">
      <alignment horizontal="left" vertical="center"/>
    </xf>
    <xf numFmtId="0" fontId="4" fillId="0" borderId="11" xfId="55" applyFont="1" applyBorder="1" applyAlignment="1">
      <alignment vertical="center" wrapText="1"/>
    </xf>
    <xf numFmtId="0" fontId="4" fillId="24" borderId="16" xfId="55" applyFont="1" applyFill="1" applyBorder="1" applyAlignment="1">
      <alignment horizontal="center" vertical="center" wrapText="1"/>
    </xf>
    <xf numFmtId="0" fontId="4" fillId="24" borderId="16" xfId="55" applyFont="1" applyFill="1" applyBorder="1" applyAlignment="1">
      <alignment horizontal="center" vertical="center"/>
    </xf>
    <xf numFmtId="0" fontId="4" fillId="24" borderId="19" xfId="55" applyFont="1" applyFill="1" applyBorder="1" applyAlignment="1">
      <alignment horizontal="center" vertical="center" wrapText="1"/>
    </xf>
    <xf numFmtId="0" fontId="4" fillId="0" borderId="10" xfId="55" applyFont="1" applyBorder="1" applyAlignment="1">
      <alignment vertical="center" wrapText="1"/>
    </xf>
    <xf numFmtId="4" fontId="4" fillId="0" borderId="10" xfId="55" applyNumberFormat="1" applyFont="1" applyBorder="1" applyAlignment="1">
      <alignment horizontal="center" vertical="center" wrapText="1"/>
    </xf>
    <xf numFmtId="4" fontId="10" fillId="0" borderId="10" xfId="39" applyNumberFormat="1" applyFont="1" applyBorder="1" applyAlignment="1" applyProtection="1">
      <alignment vertical="center" wrapText="1"/>
    </xf>
    <xf numFmtId="4" fontId="4" fillId="0" borderId="10" xfId="0" applyNumberFormat="1" applyFont="1" applyBorder="1" applyAlignment="1">
      <alignment vertical="center" wrapText="1"/>
    </xf>
    <xf numFmtId="0" fontId="4" fillId="0" borderId="0" xfId="0" applyFont="1" applyAlignment="1" applyProtection="1">
      <alignment vertical="center"/>
      <protection locked="0"/>
    </xf>
    <xf numFmtId="3" fontId="4" fillId="0" borderId="10" xfId="0" applyNumberFormat="1" applyFont="1" applyBorder="1" applyAlignment="1">
      <alignment horizontal="center" vertical="center" wrapText="1"/>
    </xf>
    <xf numFmtId="0" fontId="4" fillId="0" borderId="10" xfId="55" applyFont="1" applyBorder="1" applyAlignment="1">
      <alignment horizontal="center" vertical="center" wrapText="1"/>
    </xf>
    <xf numFmtId="4" fontId="4" fillId="0" borderId="10" xfId="55" applyNumberFormat="1" applyFont="1" applyBorder="1" applyAlignment="1">
      <alignment horizontal="right" vertical="center" wrapText="1"/>
    </xf>
    <xf numFmtId="0" fontId="4" fillId="0" borderId="23" xfId="55" applyFont="1" applyBorder="1" applyAlignment="1">
      <alignment horizontal="center" vertical="center"/>
    </xf>
    <xf numFmtId="0" fontId="4" fillId="0" borderId="23" xfId="55" applyFont="1" applyBorder="1" applyAlignment="1">
      <alignment vertical="center"/>
    </xf>
    <xf numFmtId="0" fontId="4" fillId="0" borderId="23" xfId="55" applyFont="1" applyBorder="1" applyAlignment="1">
      <alignment vertical="center" wrapText="1"/>
    </xf>
    <xf numFmtId="4" fontId="4" fillId="0" borderId="23" xfId="55" applyNumberFormat="1" applyFont="1" applyBorder="1" applyAlignment="1">
      <alignment horizontal="center" vertical="center" wrapText="1"/>
    </xf>
    <xf numFmtId="4" fontId="4" fillId="0" borderId="23" xfId="55" applyNumberFormat="1" applyFont="1" applyBorder="1" applyAlignment="1">
      <alignment horizontal="right" vertical="center" wrapText="1"/>
    </xf>
    <xf numFmtId="0" fontId="4" fillId="0" borderId="0" xfId="0" applyFont="1" applyAlignment="1">
      <alignment horizontal="right"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34" fillId="0" borderId="0" xfId="0" applyFont="1" applyAlignment="1">
      <alignment horizontal="left" vertical="center"/>
    </xf>
    <xf numFmtId="0" fontId="4" fillId="0" borderId="0" xfId="44" applyFont="1" applyAlignment="1">
      <alignment horizontal="left" vertical="center" wrapText="1"/>
    </xf>
    <xf numFmtId="4" fontId="4" fillId="0" borderId="10" xfId="0" applyNumberFormat="1" applyFont="1" applyBorder="1" applyAlignment="1">
      <alignment horizontal="center" vertical="center" wrapText="1"/>
    </xf>
    <xf numFmtId="0" fontId="4" fillId="24" borderId="10" xfId="0" applyFont="1" applyFill="1" applyBorder="1" applyAlignment="1">
      <alignment horizontal="left" vertical="center"/>
    </xf>
    <xf numFmtId="14" fontId="4" fillId="0" borderId="10" xfId="0" applyNumberFormat="1" applyFont="1" applyBorder="1" applyAlignment="1">
      <alignment vertical="center"/>
    </xf>
    <xf numFmtId="0" fontId="39" fillId="0" borderId="0" xfId="0" applyFont="1" applyAlignment="1">
      <alignment vertical="center"/>
    </xf>
    <xf numFmtId="0" fontId="4" fillId="0" borderId="10" xfId="0" applyFont="1" applyBorder="1" applyAlignment="1">
      <alignment vertical="center"/>
    </xf>
    <xf numFmtId="0" fontId="4" fillId="0" borderId="10" xfId="44" applyFont="1" applyBorder="1" applyAlignment="1">
      <alignment vertical="center" wrapText="1"/>
    </xf>
    <xf numFmtId="2" fontId="34" fillId="0" borderId="0" xfId="0" applyNumberFormat="1" applyFont="1" applyAlignment="1">
      <alignment vertical="center"/>
    </xf>
    <xf numFmtId="2" fontId="4" fillId="0" borderId="0" xfId="0" applyNumberFormat="1" applyFont="1" applyAlignment="1">
      <alignment vertical="center"/>
    </xf>
    <xf numFmtId="2" fontId="8" fillId="0" borderId="0" xfId="0" applyNumberFormat="1" applyFont="1" applyAlignment="1">
      <alignment vertical="center"/>
    </xf>
    <xf numFmtId="166" fontId="8" fillId="0" borderId="11" xfId="0" applyNumberFormat="1" applyFont="1" applyBorder="1" applyAlignment="1">
      <alignment horizontal="center" vertical="center"/>
    </xf>
    <xf numFmtId="0" fontId="34" fillId="0" borderId="0" xfId="0" applyFont="1" applyAlignment="1">
      <alignment vertical="center"/>
    </xf>
    <xf numFmtId="2" fontId="4" fillId="0" borderId="0" xfId="0" applyNumberFormat="1" applyFont="1" applyAlignment="1">
      <alignment horizontal="center" vertical="center"/>
    </xf>
    <xf numFmtId="2" fontId="8" fillId="0" borderId="0" xfId="0" applyNumberFormat="1" applyFont="1" applyAlignment="1">
      <alignment horizontal="center" vertical="center"/>
    </xf>
    <xf numFmtId="0" fontId="35" fillId="0" borderId="0" xfId="0" applyFont="1" applyAlignment="1">
      <alignment vertical="center"/>
    </xf>
    <xf numFmtId="2" fontId="4" fillId="0" borderId="11" xfId="0" applyNumberFormat="1" applyFont="1" applyBorder="1" applyAlignment="1">
      <alignment horizontal="center" vertical="center"/>
    </xf>
    <xf numFmtId="166" fontId="8"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166" fontId="4" fillId="0" borderId="11"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0" xfId="0" applyNumberFormat="1" applyFont="1" applyAlignment="1">
      <alignment horizontal="center" vertical="center"/>
    </xf>
    <xf numFmtId="166" fontId="8" fillId="0" borderId="0" xfId="0" applyNumberFormat="1" applyFont="1" applyAlignment="1">
      <alignment horizontal="center" vertical="center"/>
    </xf>
    <xf numFmtId="2" fontId="6" fillId="0" borderId="0" xfId="0" applyNumberFormat="1" applyFont="1" applyAlignment="1">
      <alignment vertical="center"/>
    </xf>
    <xf numFmtId="0" fontId="36" fillId="0" borderId="0" xfId="0" applyFont="1" applyAlignment="1" applyProtection="1">
      <alignment vertical="center"/>
      <protection locked="0"/>
    </xf>
    <xf numFmtId="0" fontId="4" fillId="0" borderId="0" xfId="58" applyFont="1" applyAlignment="1">
      <alignment horizontal="left" vertical="center"/>
    </xf>
    <xf numFmtId="2" fontId="4" fillId="0" borderId="0" xfId="58" applyNumberFormat="1" applyFont="1" applyAlignment="1">
      <alignment vertical="center"/>
    </xf>
    <xf numFmtId="2" fontId="8" fillId="0" borderId="0" xfId="58" applyNumberFormat="1" applyFont="1" applyAlignment="1">
      <alignment vertical="center"/>
    </xf>
    <xf numFmtId="166" fontId="8" fillId="0" borderId="11" xfId="58" applyNumberFormat="1" applyFont="1" applyBorder="1" applyAlignment="1">
      <alignment horizontal="center" vertical="center"/>
    </xf>
    <xf numFmtId="2" fontId="4" fillId="0" borderId="0" xfId="58" applyNumberFormat="1" applyFont="1" applyAlignment="1">
      <alignment horizontal="center" vertical="center"/>
    </xf>
    <xf numFmtId="2" fontId="8" fillId="0" borderId="0" xfId="58" applyNumberFormat="1" applyFont="1" applyAlignment="1">
      <alignment horizontal="center" vertical="center"/>
    </xf>
    <xf numFmtId="0" fontId="35" fillId="0" borderId="0" xfId="58" applyFont="1" applyAlignment="1">
      <alignment vertical="center"/>
    </xf>
    <xf numFmtId="2" fontId="4" fillId="0" borderId="11" xfId="58" applyNumberFormat="1" applyFont="1" applyBorder="1" applyAlignment="1">
      <alignment horizontal="center" vertical="center"/>
    </xf>
    <xf numFmtId="0" fontId="34" fillId="0" borderId="0" xfId="58" applyFont="1" applyAlignment="1">
      <alignment vertical="center"/>
    </xf>
    <xf numFmtId="166" fontId="8" fillId="0" borderId="12" xfId="58" applyNumberFormat="1" applyFont="1" applyBorder="1" applyAlignment="1">
      <alignment horizontal="center" vertical="center"/>
    </xf>
    <xf numFmtId="2" fontId="8" fillId="0" borderId="12" xfId="58" applyNumberFormat="1" applyFont="1" applyBorder="1" applyAlignment="1">
      <alignment horizontal="center" vertical="center"/>
    </xf>
    <xf numFmtId="166" fontId="4" fillId="0" borderId="11" xfId="58" applyNumberFormat="1" applyFont="1" applyBorder="1" applyAlignment="1">
      <alignment horizontal="center" vertical="center"/>
    </xf>
    <xf numFmtId="167" fontId="4" fillId="0" borderId="11" xfId="58" applyNumberFormat="1" applyFont="1" applyBorder="1" applyAlignment="1">
      <alignment horizontal="center" vertical="center"/>
    </xf>
    <xf numFmtId="167" fontId="4" fillId="0" borderId="0" xfId="58" applyNumberFormat="1" applyFont="1" applyAlignment="1">
      <alignment horizontal="center" vertical="center"/>
    </xf>
    <xf numFmtId="166" fontId="8" fillId="0" borderId="0" xfId="58" applyNumberFormat="1" applyFont="1" applyAlignment="1">
      <alignment horizontal="center" vertical="center"/>
    </xf>
    <xf numFmtId="2" fontId="6" fillId="0" borderId="0" xfId="58" applyNumberFormat="1" applyFont="1" applyAlignment="1">
      <alignment vertical="center"/>
    </xf>
    <xf numFmtId="0" fontId="4" fillId="0" borderId="0" xfId="58" applyFont="1" applyAlignment="1">
      <alignment horizontal="right" vertical="center" wrapText="1"/>
    </xf>
    <xf numFmtId="0" fontId="4" fillId="0" borderId="0" xfId="58" applyFont="1" applyAlignment="1" applyProtection="1">
      <alignment vertical="center"/>
      <protection locked="0"/>
    </xf>
    <xf numFmtId="0" fontId="4" fillId="0" borderId="10" xfId="0" applyFont="1" applyBorder="1" applyAlignment="1">
      <alignment horizontal="center" vertical="center" wrapText="1"/>
    </xf>
    <xf numFmtId="0" fontId="32" fillId="24" borderId="20" xfId="0" applyFont="1" applyFill="1" applyBorder="1" applyAlignment="1">
      <alignment vertical="center"/>
    </xf>
    <xf numFmtId="0" fontId="8" fillId="24" borderId="11" xfId="0" applyFont="1" applyFill="1" applyBorder="1" applyAlignment="1">
      <alignment vertical="center"/>
    </xf>
    <xf numFmtId="0" fontId="8" fillId="24" borderId="21" xfId="0" applyFont="1" applyFill="1" applyBorder="1" applyAlignment="1">
      <alignment vertical="center"/>
    </xf>
    <xf numFmtId="4" fontId="4" fillId="26" borderId="10" xfId="0" applyNumberFormat="1" applyFont="1" applyFill="1" applyBorder="1" applyAlignment="1" applyProtection="1">
      <alignment vertical="center"/>
      <protection locked="0"/>
    </xf>
    <xf numFmtId="4" fontId="4" fillId="0" borderId="10" xfId="0" applyNumberFormat="1" applyFont="1" applyBorder="1" applyAlignment="1">
      <alignment vertical="center"/>
    </xf>
    <xf numFmtId="0" fontId="4" fillId="24" borderId="14" xfId="0" applyFont="1" applyFill="1" applyBorder="1" applyAlignment="1">
      <alignment horizontal="left" vertical="center" wrapText="1"/>
    </xf>
    <xf numFmtId="0" fontId="4" fillId="24" borderId="14" xfId="0" applyFont="1" applyFill="1" applyBorder="1" applyAlignment="1">
      <alignment vertical="center" wrapText="1"/>
    </xf>
    <xf numFmtId="4" fontId="4" fillId="0" borderId="0" xfId="0" applyNumberFormat="1" applyFont="1" applyAlignment="1">
      <alignment vertical="center"/>
    </xf>
    <xf numFmtId="0" fontId="42" fillId="28" borderId="0" xfId="0" applyFont="1" applyFill="1" applyAlignment="1">
      <alignment vertical="center"/>
    </xf>
    <xf numFmtId="0" fontId="4" fillId="29" borderId="0" xfId="0" applyFont="1" applyFill="1" applyAlignment="1">
      <alignment vertical="center"/>
    </xf>
    <xf numFmtId="168" fontId="34" fillId="0" borderId="0" xfId="0" applyNumberFormat="1" applyFont="1" applyAlignment="1">
      <alignment horizontal="left" vertical="center"/>
    </xf>
    <xf numFmtId="0" fontId="4" fillId="25" borderId="10" xfId="0" applyFont="1" applyFill="1" applyBorder="1" applyAlignment="1">
      <alignment vertical="center" wrapText="1"/>
    </xf>
    <xf numFmtId="4" fontId="4" fillId="25" borderId="10" xfId="0" applyNumberFormat="1" applyFont="1" applyFill="1" applyBorder="1" applyAlignment="1">
      <alignment vertical="center" wrapText="1"/>
    </xf>
    <xf numFmtId="4" fontId="43" fillId="0" borderId="10" xfId="0" applyNumberFormat="1" applyFont="1" applyBorder="1" applyAlignment="1">
      <alignment vertical="center" wrapText="1"/>
    </xf>
    <xf numFmtId="49" fontId="4" fillId="0" borderId="1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4" fontId="4" fillId="26" borderId="10" xfId="0" applyNumberFormat="1" applyFont="1" applyFill="1" applyBorder="1" applyAlignment="1" applyProtection="1">
      <alignment vertical="center" wrapText="1"/>
      <protection locked="0"/>
    </xf>
    <xf numFmtId="0" fontId="42" fillId="0" borderId="0" xfId="0" applyFont="1" applyAlignment="1">
      <alignment vertical="center"/>
    </xf>
    <xf numFmtId="0" fontId="4" fillId="24" borderId="10" xfId="0" applyFont="1" applyFill="1" applyBorder="1" applyAlignment="1">
      <alignment horizontal="center" vertical="center"/>
    </xf>
    <xf numFmtId="4" fontId="4" fillId="0" borderId="10" xfId="0" applyNumberFormat="1" applyFont="1" applyBorder="1" applyAlignment="1">
      <alignment horizontal="center" vertical="center"/>
    </xf>
    <xf numFmtId="0" fontId="4" fillId="0" borderId="10" xfId="0" applyFont="1" applyBorder="1"/>
    <xf numFmtId="4" fontId="33" fillId="0" borderId="10" xfId="0" applyNumberFormat="1" applyFont="1" applyBorder="1" applyAlignment="1">
      <alignment horizontal="center" vertical="center"/>
    </xf>
    <xf numFmtId="4" fontId="41" fillId="0" borderId="10" xfId="0" applyNumberFormat="1" applyFont="1" applyBorder="1" applyAlignment="1">
      <alignment horizontal="center" vertical="center"/>
    </xf>
    <xf numFmtId="4" fontId="41" fillId="30" borderId="10" xfId="0" applyNumberFormat="1" applyFont="1" applyFill="1" applyBorder="1" applyAlignment="1">
      <alignment horizontal="center" vertical="center"/>
    </xf>
    <xf numFmtId="4" fontId="41" fillId="27" borderId="10" xfId="0" applyNumberFormat="1" applyFont="1" applyFill="1" applyBorder="1" applyAlignment="1">
      <alignment horizontal="center" vertical="center"/>
    </xf>
    <xf numFmtId="4" fontId="4" fillId="27" borderId="10" xfId="0" applyNumberFormat="1" applyFont="1" applyFill="1" applyBorder="1" applyAlignment="1">
      <alignment horizontal="center" vertical="center"/>
    </xf>
    <xf numFmtId="4" fontId="4" fillId="30" borderId="10" xfId="0" applyNumberFormat="1" applyFont="1" applyFill="1" applyBorder="1" applyAlignment="1">
      <alignment horizontal="center" vertical="center"/>
    </xf>
    <xf numFmtId="0" fontId="36" fillId="0" borderId="0" xfId="0" applyFont="1" applyAlignment="1" applyProtection="1">
      <alignment horizontal="center" vertical="center"/>
      <protection locked="0"/>
    </xf>
    <xf numFmtId="4" fontId="4" fillId="26" borderId="10" xfId="55" applyNumberFormat="1" applyFont="1" applyFill="1" applyBorder="1" applyAlignment="1" applyProtection="1">
      <alignment horizontal="right" vertical="center" wrapText="1"/>
      <protection locked="0"/>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0" borderId="10" xfId="0" applyFont="1" applyBorder="1" applyAlignment="1">
      <alignment horizontal="right" vertical="center" wrapText="1"/>
    </xf>
    <xf numFmtId="3" fontId="4" fillId="0" borderId="10" xfId="0" applyNumberFormat="1" applyFont="1" applyBorder="1" applyAlignment="1">
      <alignment horizontal="center" vertical="center" wrapText="1"/>
    </xf>
    <xf numFmtId="4" fontId="4" fillId="0" borderId="10" xfId="0" applyNumberFormat="1" applyFont="1" applyBorder="1" applyAlignment="1">
      <alignment horizontal="right" vertical="center" wrapText="1"/>
    </xf>
    <xf numFmtId="0" fontId="4" fillId="0" borderId="0" xfId="0" applyFont="1" applyAlignment="1">
      <alignment horizontal="center" vertical="center" wrapText="1"/>
    </xf>
    <xf numFmtId="0" fontId="4" fillId="24" borderId="14" xfId="0" applyFont="1" applyFill="1" applyBorder="1" applyAlignment="1">
      <alignment horizontal="center" vertical="center" wrapText="1"/>
    </xf>
    <xf numFmtId="0" fontId="2" fillId="0" borderId="15" xfId="0" applyFont="1" applyBorder="1" applyAlignment="1">
      <alignment horizontal="center" vertical="center" wrapText="1"/>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19"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0"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32" fillId="24" borderId="0" xfId="0" applyNumberFormat="1" applyFont="1" applyFill="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left"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4" fillId="0" borderId="0" xfId="58" applyFont="1" applyAlignment="1">
      <alignment horizontal="left" vertical="center" wrapText="1"/>
    </xf>
    <xf numFmtId="2" fontId="8" fillId="0" borderId="0" xfId="58" applyNumberFormat="1" applyFont="1" applyAlignment="1">
      <alignment horizontal="left" vertical="center"/>
    </xf>
    <xf numFmtId="2" fontId="32" fillId="24" borderId="0" xfId="58" applyNumberFormat="1" applyFont="1" applyFill="1" applyAlignment="1">
      <alignment horizontal="left" vertical="center"/>
    </xf>
    <xf numFmtId="2" fontId="8" fillId="0" borderId="0" xfId="58" applyNumberFormat="1" applyFont="1" applyAlignment="1">
      <alignment horizontal="left" vertical="center" wrapText="1"/>
    </xf>
    <xf numFmtId="0" fontId="10" fillId="0" borderId="14" xfId="39" applyFont="1" applyBorder="1" applyAlignment="1" applyProtection="1">
      <alignment horizontal="left" vertical="center"/>
    </xf>
    <xf numFmtId="0" fontId="10" fillId="0" borderId="12" xfId="39" applyFont="1" applyBorder="1" applyAlignment="1" applyProtection="1">
      <alignment horizontal="left" vertical="center"/>
    </xf>
    <xf numFmtId="0" fontId="10" fillId="0" borderId="15" xfId="39" applyFont="1" applyBorder="1" applyAlignment="1" applyProtection="1">
      <alignment horizontal="left" vertical="center"/>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44"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0" borderId="14" xfId="44" applyFont="1" applyBorder="1" applyAlignment="1">
      <alignment horizontal="left" vertical="center"/>
    </xf>
    <xf numFmtId="0" fontId="4" fillId="0" borderId="14" xfId="0" applyFont="1" applyBorder="1" applyAlignment="1">
      <alignment horizontal="left" vertical="center"/>
    </xf>
    <xf numFmtId="49" fontId="4" fillId="0" borderId="14" xfId="44" applyNumberFormat="1" applyFont="1" applyBorder="1" applyAlignment="1">
      <alignment horizontal="left" vertical="center"/>
    </xf>
    <xf numFmtId="0" fontId="4" fillId="24" borderId="22" xfId="0" applyFont="1" applyFill="1" applyBorder="1" applyAlignment="1">
      <alignment horizontal="left" vertical="center" wrapText="1"/>
    </xf>
    <xf numFmtId="0" fontId="4" fillId="24" borderId="20" xfId="0" applyFont="1" applyFill="1" applyBorder="1" applyAlignment="1">
      <alignment horizontal="left" vertical="center" wrapText="1"/>
    </xf>
    <xf numFmtId="0" fontId="4" fillId="24" borderId="19" xfId="0" applyFont="1" applyFill="1" applyBorder="1" applyAlignment="1">
      <alignment vertical="center" wrapText="1"/>
    </xf>
    <xf numFmtId="0" fontId="4" fillId="24" borderId="13" xfId="0" applyFont="1" applyFill="1" applyBorder="1" applyAlignment="1">
      <alignment vertical="center" wrapText="1"/>
    </xf>
    <xf numFmtId="0" fontId="4" fillId="24" borderId="17" xfId="0" applyFont="1" applyFill="1" applyBorder="1" applyAlignment="1">
      <alignment vertical="center" wrapText="1"/>
    </xf>
    <xf numFmtId="0" fontId="4" fillId="24" borderId="16"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4" fillId="0" borderId="0" xfId="55" applyFont="1" applyAlignment="1">
      <alignment horizontal="left" vertical="center" wrapText="1"/>
    </xf>
    <xf numFmtId="0" fontId="4" fillId="0" borderId="11" xfId="55" applyFont="1" applyBorder="1" applyAlignment="1">
      <alignment horizontal="left" vertical="center" wrapText="1"/>
    </xf>
    <xf numFmtId="0" fontId="4" fillId="0" borderId="0" xfId="55" applyFont="1" applyAlignment="1">
      <alignment vertical="center" wrapText="1"/>
    </xf>
  </cellXfs>
  <cellStyles count="61">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Hyperlink_Tabelle1 2" xfId="59" xr:uid="{26C4F5BF-AB6A-4865-A0FE-CA8287DD32F9}"/>
    <cellStyle name="Komma 2" xfId="38" xr:uid="{00000000-0005-0000-0000-000026000000}"/>
    <cellStyle name="Link" xfId="39" builtinId="8"/>
    <cellStyle name="Link 2" xfId="60" xr:uid="{89552312-80C8-41E8-8BC3-D0AE3C9A9E31}"/>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32">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31"/>
      <tableStyleElement type="headerRow" dxfId="30"/>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D2" lockText="1"/>
</file>

<file path=xl/ctrlProps/ctrlProp11.xml><?xml version="1.0" encoding="utf-8"?>
<formControlPr xmlns="http://schemas.microsoft.com/office/spreadsheetml/2009/9/main" objectType="CheckBox" fmlaLink="M2" lockText="1"/>
</file>

<file path=xl/ctrlProps/ctrlProp12.xml><?xml version="1.0" encoding="utf-8"?>
<formControlPr xmlns="http://schemas.microsoft.com/office/spreadsheetml/2009/9/main" objectType="CheckBox" fmlaLink="M3" lockText="1"/>
</file>

<file path=xl/ctrlProps/ctrlProp13.xml><?xml version="1.0" encoding="utf-8"?>
<formControlPr xmlns="http://schemas.microsoft.com/office/spreadsheetml/2009/9/main" objectType="CheckBox" fmlaLink="M4" lockText="1"/>
</file>

<file path=xl/ctrlProps/ctrlProp14.xml><?xml version="1.0" encoding="utf-8"?>
<formControlPr xmlns="http://schemas.microsoft.com/office/spreadsheetml/2009/9/main" objectType="CheckBox" fmlaLink="M5" lockText="1"/>
</file>

<file path=xl/ctrlProps/ctrlProp15.xml><?xml version="1.0" encoding="utf-8"?>
<formControlPr xmlns="http://schemas.microsoft.com/office/spreadsheetml/2009/9/main" objectType="CheckBox" fmlaLink="M2" lockText="1"/>
</file>

<file path=xl/ctrlProps/ctrlProp16.xml><?xml version="1.0" encoding="utf-8"?>
<formControlPr xmlns="http://schemas.microsoft.com/office/spreadsheetml/2009/9/main" objectType="CheckBox" fmlaLink="M3" lockText="1"/>
</file>

<file path=xl/ctrlProps/ctrlProp17.xml><?xml version="1.0" encoding="utf-8"?>
<formControlPr xmlns="http://schemas.microsoft.com/office/spreadsheetml/2009/9/main" objectType="CheckBox" fmlaLink="M4" lockText="1"/>
</file>

<file path=xl/ctrlProps/ctrlProp18.xml><?xml version="1.0" encoding="utf-8"?>
<formControlPr xmlns="http://schemas.microsoft.com/office/spreadsheetml/2009/9/main" objectType="CheckBox" fmlaLink="M5" lockText="1"/>
</file>

<file path=xl/ctrlProps/ctrlProp19.xml><?xml version="1.0" encoding="utf-8"?>
<formControlPr xmlns="http://schemas.microsoft.com/office/spreadsheetml/2009/9/main" objectType="CheckBox" fmlaLink="C2" lockText="1"/>
</file>

<file path=xl/ctrlProps/ctrlProp2.xml><?xml version="1.0" encoding="utf-8"?>
<formControlPr xmlns="http://schemas.microsoft.com/office/spreadsheetml/2009/9/main" objectType="CheckBox" fmlaLink="$H$4" lockText="1"/>
</file>

<file path=xl/ctrlProps/ctrlProp20.xml><?xml version="1.0" encoding="utf-8"?>
<formControlPr xmlns="http://schemas.microsoft.com/office/spreadsheetml/2009/9/main" objectType="CheckBox" fmlaLink="D2" lockText="1"/>
</file>

<file path=xl/ctrlProps/ctrlProp21.xml><?xml version="1.0" encoding="utf-8"?>
<formControlPr xmlns="http://schemas.microsoft.com/office/spreadsheetml/2009/9/main" objectType="CheckBox" fmlaLink="D1" lockText="1"/>
</file>

<file path=xl/ctrlProps/ctrlProp3.xml><?xml version="1.0" encoding="utf-8"?>
<formControlPr xmlns="http://schemas.microsoft.com/office/spreadsheetml/2009/9/main" objectType="CheckBox" fmlaLink="$H$5" lockText="1"/>
</file>

<file path=xl/ctrlProps/ctrlProp4.xml><?xml version="1.0" encoding="utf-8"?>
<formControlPr xmlns="http://schemas.microsoft.com/office/spreadsheetml/2009/9/main" objectType="CheckBox" fmlaLink="B2" lockText="1"/>
</file>

<file path=xl/ctrlProps/ctrlProp5.xml><?xml version="1.0" encoding="utf-8"?>
<formControlPr xmlns="http://schemas.microsoft.com/office/spreadsheetml/2009/9/main" objectType="CheckBox" fmlaLink="D1" lockText="1"/>
</file>

<file path=xl/ctrlProps/ctrlProp6.xml><?xml version="1.0" encoding="utf-8"?>
<formControlPr xmlns="http://schemas.microsoft.com/office/spreadsheetml/2009/9/main" objectType="CheckBox" fmlaLink="D2" lockText="1"/>
</file>

<file path=xl/ctrlProps/ctrlProp7.xml><?xml version="1.0" encoding="utf-8"?>
<formControlPr xmlns="http://schemas.microsoft.com/office/spreadsheetml/2009/9/main" objectType="CheckBox" fmlaLink="D1" lockText="1"/>
</file>

<file path=xl/ctrlProps/ctrlProp8.xml><?xml version="1.0" encoding="utf-8"?>
<formControlPr xmlns="http://schemas.microsoft.com/office/spreadsheetml/2009/9/main" objectType="CheckBox" fmlaLink="D2" lockText="1"/>
</file>

<file path=xl/ctrlProps/ctrlProp9.xml><?xml version="1.0" encoding="utf-8"?>
<formControlPr xmlns="http://schemas.microsoft.com/office/spreadsheetml/2009/9/main" objectType="CheckBox" fmlaLink="D1"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247650</xdr:rowOff>
        </xdr:from>
        <xdr:to>
          <xdr:col>3</xdr:col>
          <xdr:colOff>809625</xdr:colOff>
          <xdr:row>1</xdr:row>
          <xdr:rowOff>114300</xdr:rowOff>
        </xdr:to>
        <xdr:sp macro="" textlink="">
          <xdr:nvSpPr>
            <xdr:cNvPr id="41985" name="Check Box 1" descr="Hinweis" hidden="1">
              <a:extLst>
                <a:ext uri="{63B3BB69-23CF-44E3-9099-C40C66FF867C}">
                  <a14:compatExt spid="_x0000_s41985"/>
                </a:ext>
                <a:ext uri="{FF2B5EF4-FFF2-40B4-BE49-F238E27FC236}">
                  <a16:creationId xmlns:a16="http://schemas.microsoft.com/office/drawing/2014/main" id="{00000000-0008-0000-0900-000001A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123825</xdr:rowOff>
        </xdr:from>
        <xdr:to>
          <xdr:col>3</xdr:col>
          <xdr:colOff>552450</xdr:colOff>
          <xdr:row>0</xdr:row>
          <xdr:rowOff>409575</xdr:rowOff>
        </xdr:to>
        <xdr:sp macro="" textlink="">
          <xdr:nvSpPr>
            <xdr:cNvPr id="26626" name="Check Box 2" descr="Hinweis"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276225</xdr:rowOff>
        </xdr:to>
        <xdr:sp macro="" textlink="">
          <xdr:nvSpPr>
            <xdr:cNvPr id="26628" name="Check Box 4" descr="Hinweis"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95250</xdr:rowOff>
        </xdr:from>
        <xdr:to>
          <xdr:col>3</xdr:col>
          <xdr:colOff>552450</xdr:colOff>
          <xdr:row>0</xdr:row>
          <xdr:rowOff>381000</xdr:rowOff>
        </xdr:to>
        <xdr:sp macro="" textlink="">
          <xdr:nvSpPr>
            <xdr:cNvPr id="27649" name="Check Box 1" descr="Hinweis"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400050</xdr:rowOff>
        </xdr:from>
        <xdr:to>
          <xdr:col>3</xdr:col>
          <xdr:colOff>552450</xdr:colOff>
          <xdr:row>1</xdr:row>
          <xdr:rowOff>257175</xdr:rowOff>
        </xdr:to>
        <xdr:sp macro="" textlink="">
          <xdr:nvSpPr>
            <xdr:cNvPr id="27650" name="Check Box 2" descr="Hinweis"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133350</xdr:rowOff>
        </xdr:from>
        <xdr:to>
          <xdr:col>3</xdr:col>
          <xdr:colOff>552450</xdr:colOff>
          <xdr:row>0</xdr:row>
          <xdr:rowOff>419100</xdr:rowOff>
        </xdr:to>
        <xdr:sp macro="" textlink="">
          <xdr:nvSpPr>
            <xdr:cNvPr id="30723" name="Check Box 3" descr="Hinweis"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285750</xdr:rowOff>
        </xdr:to>
        <xdr:sp macro="" textlink="">
          <xdr:nvSpPr>
            <xdr:cNvPr id="30724" name="Check Box 4" descr="Hinweis"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500-000001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6498" name="Check Box 2" descr="Hinweis 2" hidden="1">
              <a:extLst>
                <a:ext uri="{63B3BB69-23CF-44E3-9099-C40C66FF867C}">
                  <a14:compatExt spid="_x0000_s106498"/>
                </a:ext>
                <a:ext uri="{FF2B5EF4-FFF2-40B4-BE49-F238E27FC236}">
                  <a16:creationId xmlns:a16="http://schemas.microsoft.com/office/drawing/2014/main" id="{00000000-0008-0000-0500-000002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6499" name="Check Box 3" descr="Hinweis 3" hidden="1">
              <a:extLst>
                <a:ext uri="{63B3BB69-23CF-44E3-9099-C40C66FF867C}">
                  <a14:compatExt spid="_x0000_s106499"/>
                </a:ext>
                <a:ext uri="{FF2B5EF4-FFF2-40B4-BE49-F238E27FC236}">
                  <a16:creationId xmlns:a16="http://schemas.microsoft.com/office/drawing/2014/main" id="{00000000-0008-0000-0500-000003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6500" name="Check Box 4" descr="Hinweis 3" hidden="1">
              <a:extLst>
                <a:ext uri="{63B3BB69-23CF-44E3-9099-C40C66FF867C}">
                  <a14:compatExt spid="_x0000_s106500"/>
                </a:ext>
                <a:ext uri="{FF2B5EF4-FFF2-40B4-BE49-F238E27FC236}">
                  <a16:creationId xmlns:a16="http://schemas.microsoft.com/office/drawing/2014/main" id="{00000000-0008-0000-0500-000004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600-000001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07522" name="Check Box 2" descr="Hinweis 2" hidden="1">
              <a:extLst>
                <a:ext uri="{63B3BB69-23CF-44E3-9099-C40C66FF867C}">
                  <a14:compatExt spid="_x0000_s107522"/>
                </a:ext>
                <a:ext uri="{FF2B5EF4-FFF2-40B4-BE49-F238E27FC236}">
                  <a16:creationId xmlns:a16="http://schemas.microsoft.com/office/drawing/2014/main" id="{00000000-0008-0000-0600-000002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07523" name="Check Box 3" descr="Hinweis 3" hidden="1">
              <a:extLst>
                <a:ext uri="{63B3BB69-23CF-44E3-9099-C40C66FF867C}">
                  <a14:compatExt spid="_x0000_s107523"/>
                </a:ext>
                <a:ext uri="{FF2B5EF4-FFF2-40B4-BE49-F238E27FC236}">
                  <a16:creationId xmlns:a16="http://schemas.microsoft.com/office/drawing/2014/main" id="{00000000-0008-0000-0600-000003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07524" name="Check Box 4" descr="Hinweis 3" hidden="1">
              <a:extLst>
                <a:ext uri="{63B3BB69-23CF-44E3-9099-C40C66FF867C}">
                  <a14:compatExt spid="_x0000_s107524"/>
                </a:ext>
                <a:ext uri="{FF2B5EF4-FFF2-40B4-BE49-F238E27FC236}">
                  <a16:creationId xmlns:a16="http://schemas.microsoft.com/office/drawing/2014/main" id="{00000000-0008-0000-0600-000004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1</xdr:row>
          <xdr:rowOff>47625</xdr:rowOff>
        </xdr:from>
        <xdr:to>
          <xdr:col>2</xdr:col>
          <xdr:colOff>1733550</xdr:colOff>
          <xdr:row>2</xdr:row>
          <xdr:rowOff>38100</xdr:rowOff>
        </xdr:to>
        <xdr:sp macro="" textlink="">
          <xdr:nvSpPr>
            <xdr:cNvPr id="39940" name="Check Box 4" descr="Hinweis" hidden="1">
              <a:extLst>
                <a:ext uri="{63B3BB69-23CF-44E3-9099-C40C66FF867C}">
                  <a14:compatExt spid="_x0000_s39940"/>
                </a:ext>
                <a:ext uri="{FF2B5EF4-FFF2-40B4-BE49-F238E27FC236}">
                  <a16:creationId xmlns:a16="http://schemas.microsoft.com/office/drawing/2014/main" id="{00000000-0008-0000-0700-0000049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xdr:row>
          <xdr:rowOff>38100</xdr:rowOff>
        </xdr:from>
        <xdr:to>
          <xdr:col>3</xdr:col>
          <xdr:colOff>885825</xdr:colOff>
          <xdr:row>2</xdr:row>
          <xdr:rowOff>38100</xdr:rowOff>
        </xdr:to>
        <xdr:sp macro="" textlink="">
          <xdr:nvSpPr>
            <xdr:cNvPr id="50177" name="Check Box 1" descr="Hinweis" hidden="1">
              <a:extLst>
                <a:ext uri="{63B3BB69-23CF-44E3-9099-C40C66FF867C}">
                  <a14:compatExt spid="_x0000_s50177"/>
                </a:ext>
                <a:ext uri="{FF2B5EF4-FFF2-40B4-BE49-F238E27FC236}">
                  <a16:creationId xmlns:a16="http://schemas.microsoft.com/office/drawing/2014/main" id="{00000000-0008-0000-0800-000001C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L979"/>
  <sheetViews>
    <sheetView showGridLines="0" tabSelected="1" zoomScaleNormal="100" workbookViewId="0">
      <selection activeCell="C3" sqref="C3"/>
    </sheetView>
  </sheetViews>
  <sheetFormatPr baseColWidth="10" defaultColWidth="11.42578125" defaultRowHeight="10.5" x14ac:dyDescent="0.2"/>
  <cols>
    <col min="1" max="1" width="5.28515625" style="3" customWidth="1"/>
    <col min="2" max="2" width="15.5703125" style="4" customWidth="1"/>
    <col min="3" max="3" width="32.42578125" style="4" customWidth="1"/>
    <col min="4" max="4" width="18.140625" style="3" customWidth="1"/>
    <col min="5" max="5" width="15.28515625" style="23" customWidth="1"/>
    <col min="6" max="7" width="11.5703125" style="3" customWidth="1"/>
    <col min="8" max="8" width="12" style="3" customWidth="1"/>
    <col min="9" max="9" width="11.5703125" style="3" customWidth="1"/>
    <col min="10" max="11" width="12.7109375" style="3" customWidth="1"/>
    <col min="12" max="13" width="11.42578125" style="3" customWidth="1"/>
    <col min="14" max="16384" width="11.42578125" style="3"/>
  </cols>
  <sheetData>
    <row r="1" spans="1:12" x14ac:dyDescent="0.2">
      <c r="A1" s="57"/>
    </row>
    <row r="2" spans="1:12" ht="32.450000000000003" customHeight="1" x14ac:dyDescent="0.2">
      <c r="B2" s="58" t="s">
        <v>91</v>
      </c>
      <c r="G2" s="131" t="s">
        <v>193</v>
      </c>
      <c r="H2" s="131"/>
      <c r="I2" s="130"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130"/>
      <c r="K2" s="130"/>
      <c r="L2" s="130"/>
    </row>
    <row r="3" spans="1:12" ht="15" customHeight="1" x14ac:dyDescent="0.2">
      <c r="B3" s="60" t="s">
        <v>172</v>
      </c>
      <c r="C3" s="22"/>
      <c r="E3" s="60" t="s">
        <v>167</v>
      </c>
      <c r="F3" s="61">
        <v>46235</v>
      </c>
      <c r="G3" s="62"/>
      <c r="H3" s="45" t="b">
        <v>0</v>
      </c>
      <c r="I3" s="130"/>
      <c r="J3" s="130"/>
      <c r="K3" s="130"/>
      <c r="L3" s="130"/>
    </row>
    <row r="4" spans="1:12" ht="15" customHeight="1" x14ac:dyDescent="0.2">
      <c r="B4" s="60" t="s">
        <v>160</v>
      </c>
      <c r="C4" s="22"/>
      <c r="E4" s="60" t="s">
        <v>168</v>
      </c>
      <c r="F4" s="61">
        <v>47695</v>
      </c>
      <c r="G4" s="62"/>
      <c r="H4" s="45" t="b">
        <v>0</v>
      </c>
      <c r="I4" s="130"/>
      <c r="J4" s="130"/>
      <c r="K4" s="130"/>
      <c r="L4" s="130"/>
    </row>
    <row r="5" spans="1:12" ht="15" customHeight="1" x14ac:dyDescent="0.2">
      <c r="B5" s="60" t="s">
        <v>161</v>
      </c>
      <c r="C5" s="22"/>
      <c r="E5" s="60" t="s">
        <v>169</v>
      </c>
      <c r="F5" s="63">
        <v>2</v>
      </c>
      <c r="G5" s="62"/>
      <c r="H5" s="45" t="b">
        <v>0</v>
      </c>
      <c r="I5" s="130"/>
      <c r="J5" s="130"/>
      <c r="K5" s="130"/>
      <c r="L5" s="130"/>
    </row>
    <row r="6" spans="1:12" ht="15" customHeight="1" x14ac:dyDescent="0.2">
      <c r="B6" s="60" t="s">
        <v>162</v>
      </c>
      <c r="C6" s="22"/>
      <c r="E6" s="60" t="s">
        <v>170</v>
      </c>
      <c r="F6" s="61">
        <f>DATE(YEAR($F$4)+$F$5,MONTH($F$4),DAY($F$4))</f>
        <v>48426</v>
      </c>
      <c r="I6" s="130"/>
      <c r="J6" s="130"/>
      <c r="K6" s="130"/>
      <c r="L6" s="130"/>
    </row>
    <row r="7" spans="1:12" ht="15" customHeight="1" x14ac:dyDescent="0.2">
      <c r="B7" s="60" t="s">
        <v>173</v>
      </c>
      <c r="C7" s="22"/>
    </row>
    <row r="8" spans="1:12" ht="15" customHeight="1" x14ac:dyDescent="0.2">
      <c r="B8" s="60" t="s">
        <v>174</v>
      </c>
      <c r="C8" s="22"/>
    </row>
    <row r="9" spans="1:12" ht="15" customHeight="1" x14ac:dyDescent="0.2">
      <c r="B9" s="60" t="s">
        <v>175</v>
      </c>
      <c r="C9" s="22"/>
    </row>
    <row r="10" spans="1:12" ht="15" customHeight="1" x14ac:dyDescent="0.2">
      <c r="B10" s="60" t="s">
        <v>176</v>
      </c>
      <c r="C10" s="22"/>
    </row>
    <row r="11" spans="1:12" ht="15" customHeight="1" x14ac:dyDescent="0.2">
      <c r="B11" s="60" t="s">
        <v>177</v>
      </c>
      <c r="C11" s="22"/>
    </row>
    <row r="12" spans="1:12" ht="24.95" customHeight="1" x14ac:dyDescent="0.2"/>
    <row r="13" spans="1:12" ht="19.899999999999999" customHeight="1" x14ac:dyDescent="0.2">
      <c r="B13" s="4" t="s">
        <v>0</v>
      </c>
      <c r="C13" s="4" t="s">
        <v>198</v>
      </c>
      <c r="E13" s="3"/>
    </row>
    <row r="14" spans="1:12" ht="15" customHeight="1" x14ac:dyDescent="0.2">
      <c r="B14" s="36" t="s">
        <v>184</v>
      </c>
      <c r="E14" s="3"/>
    </row>
    <row r="15" spans="1:12" ht="15" customHeight="1" x14ac:dyDescent="0.2">
      <c r="B15" s="36" t="s">
        <v>344</v>
      </c>
      <c r="E15" s="3"/>
    </row>
    <row r="16" spans="1:12" ht="15" customHeight="1" x14ac:dyDescent="0.2">
      <c r="B16" s="36" t="s">
        <v>345</v>
      </c>
      <c r="E16" s="3"/>
    </row>
    <row r="17" spans="2:11" ht="15" customHeight="1" x14ac:dyDescent="0.2">
      <c r="B17" s="5" t="s">
        <v>346</v>
      </c>
      <c r="C17" s="3"/>
      <c r="E17" s="3"/>
    </row>
    <row r="18" spans="2:11" ht="15" customHeight="1" x14ac:dyDescent="0.2">
      <c r="B18" s="5" t="s">
        <v>154</v>
      </c>
      <c r="C18" s="3"/>
      <c r="E18" s="3"/>
    </row>
    <row r="19" spans="2:11" ht="15" customHeight="1" x14ac:dyDescent="0.2"/>
    <row r="20" spans="2:11" ht="90" customHeight="1" x14ac:dyDescent="0.2">
      <c r="B20" s="1" t="s">
        <v>178</v>
      </c>
      <c r="C20" s="1" t="s">
        <v>179</v>
      </c>
      <c r="D20" s="1" t="s">
        <v>180</v>
      </c>
      <c r="E20" s="1" t="s">
        <v>349</v>
      </c>
      <c r="F20" s="1" t="s">
        <v>335</v>
      </c>
      <c r="G20" s="1" t="s">
        <v>337</v>
      </c>
      <c r="H20" s="1" t="s">
        <v>339</v>
      </c>
      <c r="I20" s="1" t="s">
        <v>338</v>
      </c>
      <c r="J20" s="1" t="s">
        <v>347</v>
      </c>
      <c r="K20" s="1" t="s">
        <v>348</v>
      </c>
    </row>
    <row r="21" spans="2:11" ht="35.1" customHeight="1" x14ac:dyDescent="0.2">
      <c r="B21" s="64" t="s">
        <v>197</v>
      </c>
      <c r="C21" s="64" t="s">
        <v>199</v>
      </c>
      <c r="D21" s="64" t="s">
        <v>200</v>
      </c>
      <c r="E21" s="59">
        <f>'Kal Unter Kita Tausendf'!L21</f>
        <v>247.5</v>
      </c>
      <c r="F21" s="43">
        <f ca="1">'Kal Unter Kita Tausendf'!Q21</f>
        <v>0</v>
      </c>
      <c r="G21" s="43">
        <f>'Kal Grund Kita Tausendf'!Q21</f>
        <v>0</v>
      </c>
      <c r="H21" s="43">
        <f>SUMIF('Kal Verbrauch Gesamt'!$B$5:$B8,$B$21,'Kal Verbrauch Gesamt'!$G$5:$G8)</f>
        <v>0</v>
      </c>
      <c r="I21" s="43">
        <f ca="1">SUMIF('Kal Wirtschaft Gesamt'!$B$5:$B13,$B$21,'Kal Wirtschaft Gesamt'!$J$5:$J13)</f>
        <v>0</v>
      </c>
      <c r="J21" s="44">
        <f ca="1">ROUND(SUM($F$21:$I$21),2)</f>
        <v>0</v>
      </c>
      <c r="K21" s="44">
        <f ca="1">ROUND($J$21* 1.19,2)</f>
        <v>0</v>
      </c>
    </row>
    <row r="22" spans="2:11" ht="15" customHeight="1" x14ac:dyDescent="0.2"/>
    <row r="23" spans="2:11" ht="15" customHeight="1" x14ac:dyDescent="0.2"/>
    <row r="24" spans="2:11" ht="15" customHeight="1" x14ac:dyDescent="0.2"/>
    <row r="25" spans="2:11" ht="15" customHeight="1" x14ac:dyDescent="0.2"/>
    <row r="26" spans="2:11" ht="15" customHeight="1" x14ac:dyDescent="0.2"/>
    <row r="27" spans="2:11" ht="15" customHeight="1" x14ac:dyDescent="0.2"/>
    <row r="28" spans="2:11" ht="15" customHeight="1" x14ac:dyDescent="0.2"/>
    <row r="29" spans="2:11" ht="15" customHeight="1" x14ac:dyDescent="0.2"/>
    <row r="30" spans="2:11" ht="15" customHeight="1" x14ac:dyDescent="0.2"/>
    <row r="31" spans="2:11" ht="15" customHeight="1" x14ac:dyDescent="0.2"/>
    <row r="32" spans="2: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WYqoq6XNkl2R4i0ZHMIu9t6qAVKmDA5/1Ie/bv2migN2TDSMu8BtNLutcKSca8r51Mp4TRnyuzaErZsxcwp25w==" saltValue="eaeBgzpJtjqYpBhKeEGf7A==" spinCount="100000" sheet="1" objects="1" scenarios="1"/>
  <mergeCells count="2">
    <mergeCell ref="I2:L6"/>
    <mergeCell ref="G2:H2"/>
  </mergeCells>
  <phoneticPr fontId="3" type="noConversion"/>
  <hyperlinks>
    <hyperlink ref="B14" location="'Preisübersicht'!A1" display="Preisübersicht" xr:uid="{8965A11C-364F-40AD-A4FD-13781F70F6F5}"/>
    <hyperlink ref="B15" location="'SVS UnterhaltsRG'!A1" display="SVS UnterhaltsRG" xr:uid="{0FB566E6-410D-4F1F-96BB-F9EE639B4F6E}"/>
    <hyperlink ref="B16" location="'SVS GrundRG'!A1" display="SVS GrundRG" xr:uid="{5164927B-6E46-4E7D-8113-A0434EDE094B}"/>
    <hyperlink ref="B17" location="'SVS Wirtschaft'!A1" display="SVS Wirtschaft" xr:uid="{2808ABBC-4643-4C79-8877-73355662066E}"/>
    <hyperlink ref="B18" location="'Reinigungstage'!A1" display="Reinigungstage" xr:uid="{9818014C-CDA1-4D3E-935B-8BBA057DE0CB}"/>
    <hyperlink ref="F21" location="'Kal Unter Kita Tausendf'!$Q$21" display="'Kal Unter Kita Tausendf'!$Q$21" xr:uid="{6EAD99E8-E650-48FB-9DF9-6D9FB783A098}"/>
    <hyperlink ref="G21" location="'Kal Grund Kita Tausendf'!$Q$21" display="'Kal Grund Kita Tausendf'!$Q$21" xr:uid="{E6243DCF-4D30-4E95-A1EF-42F729B16114}"/>
    <hyperlink ref="H21" location="'Kal Verbrauch Gesamt'!G5:G8" display="'Kal Verbrauch Gesamt'!G5:G8" xr:uid="{7D3B9127-BFB4-485C-AA59-CFD7F039D8A6}"/>
    <hyperlink ref="I21" location="'Kal Wirtschaft Gesamt'!J5:J13" display="'Kal Wirtschaft Gesamt'!J5:J13" xr:uid="{6062F0B7-8857-44D1-95D1-474054AB4D91}"/>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&amp;N&amp;RInhaltsverzeichnis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9">
    <tabColor indexed="16"/>
  </sheetPr>
  <dimension ref="A1:I31"/>
  <sheetViews>
    <sheetView showGridLines="0" zoomScaleNormal="100" workbookViewId="0"/>
  </sheetViews>
  <sheetFormatPr baseColWidth="10" defaultColWidth="6.42578125" defaultRowHeight="10.5" x14ac:dyDescent="0.15"/>
  <cols>
    <col min="1" max="1" width="22.42578125" style="6" customWidth="1"/>
    <col min="2" max="4" width="13.7109375" style="23" customWidth="1"/>
    <col min="5" max="52" width="13.7109375" style="6" customWidth="1"/>
    <col min="53" max="16384" width="6.42578125" style="6"/>
  </cols>
  <sheetData>
    <row r="1" spans="1:9" s="3" customFormat="1" ht="35.450000000000003" customHeight="1" x14ac:dyDescent="0.2">
      <c r="A1" s="3" t="s">
        <v>186</v>
      </c>
      <c r="B1" s="23"/>
      <c r="C1" s="23"/>
      <c r="D1" s="128" t="b">
        <v>0</v>
      </c>
      <c r="E1" s="130" t="str">
        <f>IF(D1=TRUE,"Hier muss nichts ausgefüllt werden. Sie sehen hier die Reinigungsarten mit den maximalen Reinigungstagen. Mehrere Tabellen greifen hierauf zu.","")</f>
        <v/>
      </c>
      <c r="F1" s="130"/>
      <c r="G1" s="130"/>
      <c r="H1" s="130"/>
      <c r="I1" s="36" t="s">
        <v>100</v>
      </c>
    </row>
    <row r="2" spans="1:9" s="3" customFormat="1" ht="26.45" customHeight="1" x14ac:dyDescent="0.2">
      <c r="A2" s="3" t="s">
        <v>103</v>
      </c>
      <c r="B2" s="4" t="str">
        <f>IF(Inhaltsverzeichnis!$C$3="","",Inhaltsverzeichnis!$C$3)</f>
        <v/>
      </c>
      <c r="C2" s="23"/>
      <c r="D2" s="23"/>
      <c r="E2" s="130"/>
      <c r="F2" s="130"/>
      <c r="G2" s="130"/>
      <c r="H2" s="130"/>
    </row>
    <row r="3" spans="1:9" s="3" customFormat="1" ht="15" customHeight="1" x14ac:dyDescent="0.2">
      <c r="B3" s="23"/>
      <c r="C3" s="23"/>
      <c r="D3" s="23"/>
      <c r="E3" s="24"/>
      <c r="F3" s="24"/>
    </row>
    <row r="4" spans="1:9" ht="25.5" customHeight="1" x14ac:dyDescent="0.15">
      <c r="A4" s="119" t="s">
        <v>113</v>
      </c>
      <c r="B4" s="119" t="s">
        <v>197</v>
      </c>
      <c r="C4" s="119" t="s">
        <v>197</v>
      </c>
      <c r="D4" s="119" t="s">
        <v>197</v>
      </c>
    </row>
    <row r="5" spans="1:9" ht="25.5" customHeight="1" x14ac:dyDescent="0.15">
      <c r="A5" s="119" t="s">
        <v>150</v>
      </c>
      <c r="B5" s="119" t="s">
        <v>334</v>
      </c>
      <c r="C5" s="119" t="s">
        <v>334</v>
      </c>
      <c r="D5" s="119" t="s">
        <v>334</v>
      </c>
    </row>
    <row r="6" spans="1:9" ht="25.5" customHeight="1" x14ac:dyDescent="0.15">
      <c r="A6" s="119" t="s">
        <v>116</v>
      </c>
      <c r="B6" s="1" t="s">
        <v>335</v>
      </c>
      <c r="C6" s="1" t="s">
        <v>337</v>
      </c>
      <c r="D6" s="1" t="s">
        <v>338</v>
      </c>
    </row>
    <row r="7" spans="1:9" ht="35.1" customHeight="1" x14ac:dyDescent="0.15">
      <c r="A7" s="1" t="s">
        <v>191</v>
      </c>
      <c r="B7" s="120">
        <v>247.5</v>
      </c>
      <c r="C7" s="120">
        <v>1</v>
      </c>
      <c r="D7" s="120">
        <v>247.5</v>
      </c>
    </row>
    <row r="8" spans="1:9" ht="6" customHeight="1" x14ac:dyDescent="0.15">
      <c r="A8" s="121"/>
      <c r="B8" s="55"/>
      <c r="C8" s="55"/>
      <c r="D8" s="55"/>
    </row>
    <row r="9" spans="1:9" ht="25.5" customHeight="1" x14ac:dyDescent="0.15">
      <c r="A9" s="119" t="s">
        <v>192</v>
      </c>
      <c r="B9" s="1" t="s">
        <v>336</v>
      </c>
      <c r="C9" s="1" t="s">
        <v>336</v>
      </c>
      <c r="D9" s="1" t="s">
        <v>336</v>
      </c>
    </row>
    <row r="10" spans="1:9" ht="15" customHeight="1" x14ac:dyDescent="0.15">
      <c r="A10" s="122">
        <v>12</v>
      </c>
      <c r="B10" s="123">
        <f t="shared" ref="B10:B17" si="0">ROUND($B$7/5*A10,2)</f>
        <v>594</v>
      </c>
      <c r="C10" s="124"/>
      <c r="D10" s="123">
        <f t="shared" ref="D10:D17" si="1">ROUND($D$7/5*A10,2)</f>
        <v>594</v>
      </c>
    </row>
    <row r="11" spans="1:9" ht="15" customHeight="1" x14ac:dyDescent="0.15">
      <c r="A11" s="122">
        <v>10</v>
      </c>
      <c r="B11" s="123">
        <f t="shared" si="0"/>
        <v>495</v>
      </c>
      <c r="C11" s="124"/>
      <c r="D11" s="123">
        <f t="shared" si="1"/>
        <v>495</v>
      </c>
    </row>
    <row r="12" spans="1:9" ht="15" customHeight="1" x14ac:dyDescent="0.15">
      <c r="A12" s="122">
        <v>7</v>
      </c>
      <c r="B12" s="123">
        <f t="shared" si="0"/>
        <v>346.5</v>
      </c>
      <c r="C12" s="124"/>
      <c r="D12" s="123">
        <f t="shared" si="1"/>
        <v>346.5</v>
      </c>
    </row>
    <row r="13" spans="1:9" ht="15" customHeight="1" x14ac:dyDescent="0.15">
      <c r="A13" s="122">
        <v>6</v>
      </c>
      <c r="B13" s="123">
        <f t="shared" si="0"/>
        <v>297</v>
      </c>
      <c r="C13" s="124"/>
      <c r="D13" s="123">
        <f t="shared" si="1"/>
        <v>297</v>
      </c>
    </row>
    <row r="14" spans="1:9" ht="15" customHeight="1" x14ac:dyDescent="0.15">
      <c r="A14" s="122">
        <v>5</v>
      </c>
      <c r="B14" s="120">
        <f t="shared" si="0"/>
        <v>247.5</v>
      </c>
      <c r="C14" s="124"/>
      <c r="D14" s="120">
        <f t="shared" si="1"/>
        <v>247.5</v>
      </c>
    </row>
    <row r="15" spans="1:9" ht="15" customHeight="1" x14ac:dyDescent="0.15">
      <c r="A15" s="122">
        <v>4</v>
      </c>
      <c r="B15" s="123">
        <f t="shared" si="0"/>
        <v>198</v>
      </c>
      <c r="C15" s="124"/>
      <c r="D15" s="123">
        <f t="shared" si="1"/>
        <v>198</v>
      </c>
    </row>
    <row r="16" spans="1:9" ht="15" customHeight="1" x14ac:dyDescent="0.15">
      <c r="A16" s="122">
        <v>3</v>
      </c>
      <c r="B16" s="120">
        <f t="shared" si="0"/>
        <v>148.5</v>
      </c>
      <c r="C16" s="124"/>
      <c r="D16" s="123">
        <f t="shared" si="1"/>
        <v>148.5</v>
      </c>
    </row>
    <row r="17" spans="1:4" ht="15" customHeight="1" x14ac:dyDescent="0.15">
      <c r="A17" s="122">
        <v>2.5</v>
      </c>
      <c r="B17" s="123">
        <f t="shared" si="0"/>
        <v>123.75</v>
      </c>
      <c r="C17" s="124"/>
      <c r="D17" s="123">
        <f t="shared" si="1"/>
        <v>123.75</v>
      </c>
    </row>
    <row r="18" spans="1:4" ht="15" customHeight="1" x14ac:dyDescent="0.15">
      <c r="A18" s="122">
        <v>2</v>
      </c>
      <c r="B18" s="120">
        <f>ROUND(B7*104.29/251,2)</f>
        <v>102.84</v>
      </c>
      <c r="C18" s="124"/>
      <c r="D18" s="120">
        <f>ROUND(D7*104.29/251,2)</f>
        <v>102.84</v>
      </c>
    </row>
    <row r="19" spans="1:4" ht="15" customHeight="1" x14ac:dyDescent="0.15">
      <c r="A19" s="122">
        <v>1</v>
      </c>
      <c r="B19" s="120">
        <f>ROUND(B7*52.14/251,2)</f>
        <v>51.41</v>
      </c>
      <c r="C19" s="124"/>
      <c r="D19" s="120">
        <f>ROUND(D7*52.14/251,2)</f>
        <v>51.41</v>
      </c>
    </row>
    <row r="20" spans="1:4" ht="15" customHeight="1" x14ac:dyDescent="0.15">
      <c r="A20" s="122">
        <v>0.5</v>
      </c>
      <c r="B20" s="123">
        <f>ROUND(B7*26.07/251,2)</f>
        <v>25.71</v>
      </c>
      <c r="C20" s="124"/>
      <c r="D20" s="123">
        <f>ROUND(D7*26.07/251,2)</f>
        <v>25.71</v>
      </c>
    </row>
    <row r="21" spans="1:4" ht="15" customHeight="1" x14ac:dyDescent="0.15">
      <c r="A21" s="122" t="s">
        <v>141</v>
      </c>
      <c r="B21" s="125">
        <f>ROUND(12*2,2)</f>
        <v>24</v>
      </c>
      <c r="C21" s="125">
        <f>ROUND(12*2,2)</f>
        <v>24</v>
      </c>
      <c r="D21" s="125">
        <f>ROUND(12*2,2)</f>
        <v>24</v>
      </c>
    </row>
    <row r="22" spans="1:4" ht="15" customHeight="1" x14ac:dyDescent="0.15">
      <c r="A22" s="122" t="s">
        <v>142</v>
      </c>
      <c r="B22" s="125">
        <f>ROUND(12*1,2)</f>
        <v>12</v>
      </c>
      <c r="C22" s="125">
        <f>ROUND(12*1,2)</f>
        <v>12</v>
      </c>
      <c r="D22" s="126">
        <f>ROUND(12*1,2)</f>
        <v>12</v>
      </c>
    </row>
    <row r="23" spans="1:4" ht="15" customHeight="1" x14ac:dyDescent="0.15">
      <c r="A23" s="122" t="s">
        <v>143</v>
      </c>
      <c r="B23" s="123">
        <v>6</v>
      </c>
      <c r="C23" s="123">
        <v>6</v>
      </c>
      <c r="D23" s="123">
        <v>6</v>
      </c>
    </row>
    <row r="24" spans="1:4" ht="15" customHeight="1" x14ac:dyDescent="0.15">
      <c r="A24" s="122" t="s">
        <v>144</v>
      </c>
      <c r="B24" s="123">
        <v>5</v>
      </c>
      <c r="C24" s="123">
        <v>5</v>
      </c>
      <c r="D24" s="123">
        <v>5</v>
      </c>
    </row>
    <row r="25" spans="1:4" ht="15" customHeight="1" x14ac:dyDescent="0.15">
      <c r="A25" s="122" t="s">
        <v>145</v>
      </c>
      <c r="B25" s="123">
        <v>4</v>
      </c>
      <c r="C25" s="123">
        <v>4</v>
      </c>
      <c r="D25" s="123">
        <v>4</v>
      </c>
    </row>
    <row r="26" spans="1:4" ht="15" customHeight="1" x14ac:dyDescent="0.15">
      <c r="A26" s="122" t="s">
        <v>146</v>
      </c>
      <c r="B26" s="123">
        <v>3</v>
      </c>
      <c r="C26" s="123">
        <v>3</v>
      </c>
      <c r="D26" s="123">
        <v>3</v>
      </c>
    </row>
    <row r="27" spans="1:4" ht="15" customHeight="1" x14ac:dyDescent="0.15">
      <c r="A27" s="122" t="s">
        <v>147</v>
      </c>
      <c r="B27" s="123">
        <v>2</v>
      </c>
      <c r="C27" s="123">
        <v>2</v>
      </c>
      <c r="D27" s="123">
        <v>2</v>
      </c>
    </row>
    <row r="28" spans="1:4" ht="15" customHeight="1" x14ac:dyDescent="0.15">
      <c r="A28" s="122" t="s">
        <v>148</v>
      </c>
      <c r="B28" s="123">
        <v>1</v>
      </c>
      <c r="C28" s="120">
        <v>1</v>
      </c>
      <c r="D28" s="123">
        <v>1</v>
      </c>
    </row>
    <row r="29" spans="1:4" ht="15" customHeight="1" x14ac:dyDescent="0.15">
      <c r="A29" s="120" t="s">
        <v>149</v>
      </c>
      <c r="B29" s="123">
        <v>0.5</v>
      </c>
      <c r="C29" s="123">
        <v>0.5</v>
      </c>
      <c r="D29" s="123">
        <v>0.5</v>
      </c>
    </row>
    <row r="30" spans="1:4" ht="15" customHeight="1" x14ac:dyDescent="0.15">
      <c r="A30" s="120">
        <v>0</v>
      </c>
      <c r="B30" s="120">
        <v>0</v>
      </c>
      <c r="C30" s="127"/>
      <c r="D30" s="120">
        <v>0</v>
      </c>
    </row>
    <row r="31" spans="1:4" ht="15" customHeight="1" x14ac:dyDescent="0.15">
      <c r="A31" s="120" t="s">
        <v>151</v>
      </c>
      <c r="B31" s="124"/>
      <c r="C31" s="124"/>
      <c r="D31" s="124"/>
    </row>
  </sheetData>
  <sheetProtection algorithmName="SHA-512" hashValue="/Mg+vdn7uhSeIHtu/uGQPJH0+9i7CiV0P78u+VVVUcRXDcawDw78m2DoumiaMAcT6PTR4F9ZdlAwrh8+MoZkBg==" saltValue="CIB9wALMYqK8NJbhIIzabg==" spinCount="100000" sheet="1" objects="1" scenarios="1"/>
  <mergeCells count="1">
    <mergeCell ref="E1:H2"/>
  </mergeCells>
  <dataValidations count="2">
    <dataValidation type="textLength" operator="equal" allowBlank="1" showInputMessage="1" showErrorMessage="1" prompt="Reinigung erfolgt 1 Mal monatlich." sqref="A22" xr:uid="{00000000-0002-0000-1700-000000000000}">
      <formula1>2</formula1>
    </dataValidation>
    <dataValidation type="textLength" operator="equal" allowBlank="1" showInputMessage="1" showErrorMessage="1" prompt="Reinigung erfolgt 2 Mal monatlich." sqref="A21" xr:uid="{00000000-0002-0000-1700-000001000000}">
      <formula1>2</formula1>
    </dataValidation>
  </dataValidations>
  <hyperlinks>
    <hyperlink ref="I1" location="Inhaltsverzeichnis!A1" display="Zurück zum Inhaltsverzeichnis" xr:uid="{00000000-0004-0000-1700-0000000000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&amp;N&amp;RReinigungstage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Hinweis">
                <anchor moveWithCells="1">
                  <from>
                    <xdr:col>3</xdr:col>
                    <xdr:colOff>85725</xdr:colOff>
                    <xdr:row>0</xdr:row>
                    <xdr:rowOff>247650</xdr:rowOff>
                  </from>
                  <to>
                    <xdr:col>3</xdr:col>
                    <xdr:colOff>809625</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I7"/>
  <sheetViews>
    <sheetView showGridLines="0" zoomScaleNormal="100" workbookViewId="0"/>
  </sheetViews>
  <sheetFormatPr baseColWidth="10" defaultColWidth="11.42578125" defaultRowHeight="15" customHeight="1" x14ac:dyDescent="0.2"/>
  <cols>
    <col min="1" max="1" width="25.7109375" style="3" customWidth="1"/>
    <col min="2" max="2" width="15.7109375" style="3" customWidth="1"/>
    <col min="3" max="6" width="14.28515625" style="3" customWidth="1"/>
    <col min="7" max="9" width="16.7109375" style="3" customWidth="1"/>
    <col min="10" max="16384" width="11.42578125" style="3"/>
  </cols>
  <sheetData>
    <row r="1" spans="1:9" ht="29.1" customHeight="1" x14ac:dyDescent="0.2">
      <c r="A1" s="3" t="s">
        <v>187</v>
      </c>
      <c r="D1" s="24"/>
      <c r="G1" s="5" t="s">
        <v>100</v>
      </c>
    </row>
    <row r="2" spans="1:9" ht="24" customHeight="1" x14ac:dyDescent="0.2">
      <c r="B2" s="45" t="b">
        <v>0</v>
      </c>
      <c r="C2" s="136" t="str">
        <f>IF(B2=TRUE,"Hier muss nichts ausgefüllt werden. Füllen Sie zunächst in den folgenden Tabellen die gelben Zellen aus. Kehren Sie dann zu dieser Tabelle zurück.","")</f>
        <v/>
      </c>
      <c r="D2" s="136"/>
      <c r="E2" s="136"/>
      <c r="F2" s="136"/>
      <c r="G2" s="136"/>
    </row>
    <row r="3" spans="1:9" ht="24" customHeight="1" x14ac:dyDescent="0.2">
      <c r="A3" s="27" t="s">
        <v>103</v>
      </c>
      <c r="B3" s="28" t="str">
        <f>IF(Inhaltsverzeichnis!$C$3="", "",Inhaltsverzeichnis!$C$3)</f>
        <v/>
      </c>
      <c r="C3" s="4"/>
      <c r="D3" s="4"/>
    </row>
    <row r="4" spans="1:9" s="23" customFormat="1" ht="29.1" customHeight="1" x14ac:dyDescent="0.2">
      <c r="A4" s="137" t="s">
        <v>340</v>
      </c>
      <c r="B4" s="138"/>
      <c r="C4" s="1" t="s">
        <v>335</v>
      </c>
      <c r="D4" s="1" t="s">
        <v>337</v>
      </c>
      <c r="E4" s="1" t="s">
        <v>339</v>
      </c>
      <c r="F4" s="1" t="s">
        <v>338</v>
      </c>
      <c r="G4" s="132" t="s">
        <v>341</v>
      </c>
      <c r="H4" s="132"/>
      <c r="I4" s="132"/>
    </row>
    <row r="5" spans="1:9" s="23" customFormat="1" ht="29.1" customHeight="1" x14ac:dyDescent="0.2">
      <c r="A5" s="1" t="s">
        <v>96</v>
      </c>
      <c r="B5" s="1" t="s">
        <v>181</v>
      </c>
      <c r="C5" s="1" t="s">
        <v>155</v>
      </c>
      <c r="D5" s="1" t="s">
        <v>155</v>
      </c>
      <c r="E5" s="1" t="s">
        <v>155</v>
      </c>
      <c r="F5" s="1" t="s">
        <v>155</v>
      </c>
      <c r="G5" s="1" t="s">
        <v>155</v>
      </c>
      <c r="H5" s="1" t="s">
        <v>342</v>
      </c>
      <c r="I5" s="1" t="s">
        <v>156</v>
      </c>
    </row>
    <row r="6" spans="1:9" ht="15" customHeight="1" x14ac:dyDescent="0.2">
      <c r="A6" s="12" t="s">
        <v>197</v>
      </c>
      <c r="B6" s="46">
        <v>6</v>
      </c>
      <c r="C6" s="44">
        <f ca="1">'Kal Unter Kita Tausendf'!Q21</f>
        <v>0</v>
      </c>
      <c r="D6" s="44">
        <f>'Kal Grund Kita Tausendf'!Q21</f>
        <v>0</v>
      </c>
      <c r="E6" s="44">
        <f>SUMIF('Kal Verbrauch Gesamt'!$B$5:$B8,$A$6,'Kal Verbrauch Gesamt'!$G$5:$G8)</f>
        <v>0</v>
      </c>
      <c r="F6" s="44">
        <f ca="1">SUMIF('Kal Wirtschaft Gesamt'!$B$5:$B13,$A$6,'Kal Wirtschaft Gesamt'!$J$5:$J13)</f>
        <v>0</v>
      </c>
      <c r="G6" s="44">
        <f ca="1">SUM(C6:F6)</f>
        <v>0</v>
      </c>
      <c r="H6" s="44">
        <f ca="1">I6-G6</f>
        <v>0</v>
      </c>
      <c r="I6" s="44">
        <f ca="1">ROUND(G6*1.19,2)</f>
        <v>0</v>
      </c>
    </row>
    <row r="7" spans="1:9" ht="15" customHeight="1" x14ac:dyDescent="0.2">
      <c r="A7" s="133" t="s">
        <v>343</v>
      </c>
      <c r="B7" s="134"/>
      <c r="C7" s="135"/>
      <c r="D7" s="135"/>
      <c r="E7" s="135"/>
      <c r="F7" s="135"/>
      <c r="G7" s="44">
        <f ca="1">ROUND(SUM(G6:G6),2)</f>
        <v>0</v>
      </c>
      <c r="H7" s="44">
        <f ca="1">ROUND(SUM(H6:H6),2)</f>
        <v>0</v>
      </c>
      <c r="I7" s="44">
        <f ca="1">ROUND(SUM(I6:I6),2)</f>
        <v>0</v>
      </c>
    </row>
  </sheetData>
  <sheetProtection algorithmName="SHA-512" hashValue="Fhg1X1EslDFL51vrBQO8OaeBba4U9M0oLNtbVZM/+qVDv/REFvAqtTXtyvEH+7406mP9npJbXLbJdYjv3htKRA==" saltValue="B8rIu+0afeGhMEmiQRLdjA==" spinCount="100000" sheet="1" objects="1" scenarios="1"/>
  <mergeCells count="4">
    <mergeCell ref="G4:I4"/>
    <mergeCell ref="A7:F7"/>
    <mergeCell ref="C2:G2"/>
    <mergeCell ref="A4:B4"/>
  </mergeCells>
  <phoneticPr fontId="3" type="noConversion"/>
  <hyperlinks>
    <hyperlink ref="G1" location="Inhaltsverzeichnis!A1" display="Zurück zum Inhaltsverzeichnis" xr:uid="{2335A7F3-CBF1-4335-9DC5-E23703175EE3}"/>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8">
    <tabColor indexed="13"/>
  </sheetPr>
  <dimension ref="A1:O79"/>
  <sheetViews>
    <sheetView showGridLines="0" zoomScaleNormal="100" zoomScaleSheetLayoutView="70"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8.5703125"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9" customHeight="1" x14ac:dyDescent="0.2">
      <c r="A1" s="65" t="str">
        <f ca="1">IF(H61&lt;&gt;"","","Bitte alle gelben Zellen ausfüllen.")</f>
        <v>Bitte alle gelben Zellen ausfüllen.</v>
      </c>
      <c r="D1" s="81" t="b">
        <v>0</v>
      </c>
      <c r="E1" s="130"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0"/>
      <c r="G1" s="130"/>
      <c r="H1" s="130"/>
      <c r="I1" s="130"/>
      <c r="K1" s="5" t="s">
        <v>100</v>
      </c>
    </row>
    <row r="2" spans="1:11" ht="33" customHeight="1" x14ac:dyDescent="0.2">
      <c r="A2" s="3" t="s">
        <v>103</v>
      </c>
      <c r="C2" s="3" t="str">
        <f>IF(Inhaltsverzeichnis!$C$3="", "",Inhaltsverzeichnis!$C$3)</f>
        <v/>
      </c>
      <c r="D2" s="45" t="b">
        <v>0</v>
      </c>
      <c r="E2" s="130"/>
      <c r="F2" s="130"/>
      <c r="G2" s="130"/>
      <c r="H2" s="130"/>
      <c r="I2" s="130"/>
    </row>
    <row r="3" spans="1:11" s="2" customFormat="1" ht="12.75" x14ac:dyDescent="0.2">
      <c r="A3" s="147" t="s">
        <v>102</v>
      </c>
      <c r="B3" s="147"/>
      <c r="C3" s="147"/>
      <c r="D3" s="147"/>
      <c r="E3" s="147"/>
      <c r="F3" s="147"/>
      <c r="G3" s="147"/>
      <c r="H3" s="147"/>
      <c r="I3" s="147"/>
    </row>
    <row r="4" spans="1:11" x14ac:dyDescent="0.2">
      <c r="A4" s="66"/>
      <c r="B4" s="66"/>
      <c r="C4" s="66"/>
      <c r="D4" s="66"/>
      <c r="E4" s="66"/>
      <c r="F4" s="66"/>
      <c r="G4" s="66"/>
      <c r="H4" s="66"/>
      <c r="I4" s="66"/>
    </row>
    <row r="5" spans="1:11" ht="15" customHeight="1" x14ac:dyDescent="0.2">
      <c r="A5" s="67" t="s">
        <v>1</v>
      </c>
      <c r="B5" s="67" t="s">
        <v>2</v>
      </c>
      <c r="C5" s="67"/>
      <c r="D5" s="67"/>
      <c r="E5" s="67"/>
      <c r="F5" s="68">
        <v>100</v>
      </c>
      <c r="G5" s="67" t="s">
        <v>3</v>
      </c>
      <c r="H5" s="7">
        <v>15</v>
      </c>
      <c r="I5" s="67" t="s">
        <v>4</v>
      </c>
      <c r="K5" s="69"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6"/>
      <c r="B6" s="66"/>
      <c r="C6" s="66"/>
      <c r="D6" s="66"/>
      <c r="E6" s="66"/>
      <c r="F6" s="70"/>
      <c r="G6" s="66"/>
      <c r="H6" s="70"/>
      <c r="I6" s="66"/>
    </row>
    <row r="7" spans="1:11" x14ac:dyDescent="0.2">
      <c r="A7" s="67" t="s">
        <v>5</v>
      </c>
      <c r="B7" s="67" t="s">
        <v>6</v>
      </c>
      <c r="C7" s="67"/>
      <c r="D7" s="67"/>
      <c r="E7" s="67"/>
      <c r="F7" s="71"/>
      <c r="G7" s="67"/>
      <c r="H7" s="71"/>
      <c r="I7" s="67"/>
    </row>
    <row r="8" spans="1:11" ht="14.25" x14ac:dyDescent="0.2">
      <c r="A8" s="66" t="s">
        <v>7</v>
      </c>
      <c r="B8" s="66" t="s">
        <v>8</v>
      </c>
      <c r="C8" s="66"/>
      <c r="D8" s="66"/>
      <c r="E8" s="66"/>
      <c r="F8" s="71"/>
      <c r="G8" s="71"/>
      <c r="H8" s="71"/>
      <c r="I8" s="71"/>
      <c r="K8" s="72"/>
    </row>
    <row r="9" spans="1:11" x14ac:dyDescent="0.2">
      <c r="A9" s="66" t="s">
        <v>9</v>
      </c>
      <c r="B9" s="66"/>
      <c r="C9" s="66" t="s">
        <v>10</v>
      </c>
      <c r="D9" s="66"/>
      <c r="E9" s="66"/>
      <c r="F9" s="8"/>
      <c r="G9" s="66" t="s">
        <v>3</v>
      </c>
      <c r="H9" s="73" t="str">
        <f>IF(F9="","",ROUND(F9/100*$H$5,2))</f>
        <v/>
      </c>
      <c r="I9" s="66" t="s">
        <v>4</v>
      </c>
      <c r="K9" s="69" t="str">
        <f>IF(F9="","Bitte ausfüllen!","")</f>
        <v>Bitte ausfüllen!</v>
      </c>
    </row>
    <row r="10" spans="1:11" x14ac:dyDescent="0.2">
      <c r="A10" s="66" t="s">
        <v>11</v>
      </c>
      <c r="B10" s="66"/>
      <c r="C10" s="66" t="s">
        <v>12</v>
      </c>
      <c r="D10" s="66"/>
      <c r="E10" s="66"/>
      <c r="F10" s="8"/>
      <c r="G10" s="66" t="s">
        <v>3</v>
      </c>
      <c r="H10" s="73" t="str">
        <f>IF(F10="","",ROUND(F10/100*$H$5,2))</f>
        <v/>
      </c>
      <c r="I10" s="66" t="s">
        <v>4</v>
      </c>
      <c r="K10" s="69" t="str">
        <f>IF(F10="","Bitte ausfüllen!","")</f>
        <v>Bitte ausfüllen!</v>
      </c>
    </row>
    <row r="11" spans="1:11" x14ac:dyDescent="0.2">
      <c r="A11" s="66" t="s">
        <v>13</v>
      </c>
      <c r="B11" s="66"/>
      <c r="C11" s="66" t="s">
        <v>14</v>
      </c>
      <c r="D11" s="66"/>
      <c r="E11" s="66"/>
      <c r="F11" s="8"/>
      <c r="G11" s="66" t="s">
        <v>3</v>
      </c>
      <c r="H11" s="73" t="str">
        <f>IF(F11="","",ROUND(F11/100*$H$5,2))</f>
        <v/>
      </c>
      <c r="I11" s="66" t="s">
        <v>4</v>
      </c>
      <c r="K11" s="69" t="str">
        <f>IF(F11="","Bitte ausfüllen!","")</f>
        <v>Bitte ausfüllen!</v>
      </c>
    </row>
    <row r="12" spans="1:11" x14ac:dyDescent="0.2">
      <c r="A12" s="66" t="s">
        <v>15</v>
      </c>
      <c r="B12" s="66"/>
      <c r="C12" s="66" t="s">
        <v>16</v>
      </c>
      <c r="D12" s="66"/>
      <c r="E12" s="66"/>
      <c r="F12" s="8"/>
      <c r="G12" s="66" t="s">
        <v>3</v>
      </c>
      <c r="H12" s="73" t="str">
        <f>IF(F12="","",ROUND(F12/100*$H$5,2))</f>
        <v/>
      </c>
      <c r="I12" s="66" t="s">
        <v>4</v>
      </c>
      <c r="K12" s="69" t="str">
        <f>IF(F12="","Bitte ausfüllen!","")</f>
        <v>Bitte ausfüllen!</v>
      </c>
    </row>
    <row r="13" spans="1:11" x14ac:dyDescent="0.2">
      <c r="A13" s="66" t="s">
        <v>17</v>
      </c>
      <c r="B13" s="66"/>
      <c r="C13" s="66" t="s">
        <v>18</v>
      </c>
      <c r="D13" s="66"/>
      <c r="E13" s="66"/>
      <c r="F13" s="8"/>
      <c r="G13" s="66" t="s">
        <v>3</v>
      </c>
      <c r="H13" s="73" t="str">
        <f>IF(F13="","",ROUND(F13/100*$H$5,2))</f>
        <v/>
      </c>
      <c r="I13" s="66" t="s">
        <v>4</v>
      </c>
      <c r="K13" s="69" t="str">
        <f>IF(F13="","Bitte ausfüllen!","")</f>
        <v>Bitte ausfüllen!</v>
      </c>
    </row>
    <row r="14" spans="1:11" x14ac:dyDescent="0.2">
      <c r="A14" s="67"/>
      <c r="B14" s="67" t="s">
        <v>19</v>
      </c>
      <c r="C14" s="67"/>
      <c r="D14" s="67"/>
      <c r="E14" s="67"/>
      <c r="F14" s="74">
        <f>IF(SUM(F9:F13)=0,0,SUM(F9:F13))</f>
        <v>0</v>
      </c>
      <c r="G14" s="67" t="s">
        <v>3</v>
      </c>
      <c r="H14" s="75" t="str">
        <f>IF(COUNTIF(F9:F13,"")&gt;0,"",SUM(H8:H13))</f>
        <v/>
      </c>
      <c r="I14" s="67" t="s">
        <v>4</v>
      </c>
      <c r="K14" s="69" t="str">
        <f>IF(H14="","Angaben offen!","")</f>
        <v>Angaben offen!</v>
      </c>
    </row>
    <row r="15" spans="1:11" x14ac:dyDescent="0.2">
      <c r="A15" s="66"/>
      <c r="B15" s="66"/>
      <c r="C15" s="66"/>
      <c r="D15" s="66"/>
      <c r="E15" s="66"/>
      <c r="F15" s="70"/>
      <c r="G15" s="66"/>
      <c r="H15" s="70"/>
      <c r="I15" s="66"/>
    </row>
    <row r="16" spans="1:11" x14ac:dyDescent="0.2">
      <c r="A16" s="67" t="s">
        <v>20</v>
      </c>
      <c r="B16" s="67" t="s">
        <v>21</v>
      </c>
      <c r="C16" s="67"/>
      <c r="D16" s="67"/>
      <c r="E16" s="67"/>
      <c r="F16" s="71"/>
      <c r="G16" s="67"/>
      <c r="H16" s="71"/>
      <c r="I16" s="67"/>
    </row>
    <row r="17" spans="1:11" ht="11.25" customHeight="1" x14ac:dyDescent="0.2">
      <c r="A17" s="66" t="s">
        <v>22</v>
      </c>
      <c r="B17" s="66" t="s">
        <v>126</v>
      </c>
      <c r="C17" s="66"/>
      <c r="D17" s="8">
        <f>D73+D77</f>
        <v>8.75</v>
      </c>
      <c r="E17" s="66" t="s">
        <v>3</v>
      </c>
      <c r="F17" s="70"/>
      <c r="G17" s="66"/>
      <c r="H17" s="70"/>
      <c r="I17" s="66"/>
      <c r="K17" s="69" t="str">
        <f ca="1">IF(D17&lt;(D73+D77),"Wert prüfen!",IF(H61="","Inhalt der gelben Zellen kann angepasst werden.",""))</f>
        <v>Inhalt der gelben Zellen kann angepasst werden.</v>
      </c>
    </row>
    <row r="18" spans="1:11" x14ac:dyDescent="0.2">
      <c r="A18" s="66"/>
      <c r="B18" s="66" t="s">
        <v>23</v>
      </c>
      <c r="C18" s="66"/>
      <c r="D18" s="76">
        <f>(D17/100)*$F$14</f>
        <v>0</v>
      </c>
      <c r="E18" s="66" t="s">
        <v>3</v>
      </c>
      <c r="F18" s="77">
        <f>IF(D18="","",D17+D18)</f>
        <v>8.75</v>
      </c>
      <c r="G18" s="66" t="s">
        <v>3</v>
      </c>
      <c r="H18" s="73">
        <f>IF(D18="","",ROUND(F18/100*$H$5,2))</f>
        <v>1.31</v>
      </c>
      <c r="I18" s="66" t="s">
        <v>4</v>
      </c>
      <c r="K18" s="69"/>
    </row>
    <row r="19" spans="1:11" ht="11.25" x14ac:dyDescent="0.2">
      <c r="A19" s="66" t="s">
        <v>24</v>
      </c>
      <c r="B19" s="66" t="s">
        <v>127</v>
      </c>
      <c r="C19" s="66"/>
      <c r="D19" s="8">
        <f>D74</f>
        <v>9.3000000000000007</v>
      </c>
      <c r="E19" s="66" t="s">
        <v>3</v>
      </c>
      <c r="F19" s="78"/>
      <c r="G19" s="66"/>
      <c r="H19" s="70"/>
      <c r="I19" s="66"/>
      <c r="K19" s="69" t="str">
        <f ca="1">IF(D19&lt;&gt;D74,"Wert prüfen!",IF(H61="","Inhalt der gelben Zellen kann angepasst werden.",""))</f>
        <v>Inhalt der gelben Zellen kann angepasst werden.</v>
      </c>
    </row>
    <row r="20" spans="1:11" ht="11.25" customHeight="1" x14ac:dyDescent="0.2">
      <c r="A20" s="66"/>
      <c r="B20" s="66" t="s">
        <v>25</v>
      </c>
      <c r="C20" s="66"/>
      <c r="D20" s="76">
        <f>(D19/100)*$F$14</f>
        <v>0</v>
      </c>
      <c r="E20" s="66" t="s">
        <v>3</v>
      </c>
      <c r="F20" s="77">
        <f>IF(D20="","",D19+D20)</f>
        <v>9.3000000000000007</v>
      </c>
      <c r="G20" s="66" t="s">
        <v>3</v>
      </c>
      <c r="H20" s="73">
        <f>IF(D20="","",ROUND(F20/100*$H$5,2))</f>
        <v>1.4</v>
      </c>
      <c r="I20" s="66" t="s">
        <v>4</v>
      </c>
      <c r="K20" s="69"/>
    </row>
    <row r="21" spans="1:11" ht="11.25" x14ac:dyDescent="0.2">
      <c r="A21" s="66" t="s">
        <v>26</v>
      </c>
      <c r="B21" s="66" t="s">
        <v>128</v>
      </c>
      <c r="C21" s="66"/>
      <c r="D21" s="8">
        <f>D75</f>
        <v>1.3</v>
      </c>
      <c r="E21" s="66" t="s">
        <v>3</v>
      </c>
      <c r="F21" s="78"/>
      <c r="G21" s="66"/>
      <c r="H21" s="70"/>
      <c r="I21" s="66"/>
      <c r="K21" s="69" t="str">
        <f ca="1">IF(D21&lt;&gt;D75,"Wert prüfen!",IF(H61="","Inhalt der gelben Zellen kann angepasst werden.",""))</f>
        <v>Inhalt der gelben Zellen kann angepasst werden.</v>
      </c>
    </row>
    <row r="22" spans="1:11" x14ac:dyDescent="0.2">
      <c r="A22" s="66"/>
      <c r="B22" s="66" t="s">
        <v>27</v>
      </c>
      <c r="C22" s="66"/>
      <c r="D22" s="76">
        <f>(D21/100)*$F$14</f>
        <v>0</v>
      </c>
      <c r="E22" s="66" t="s">
        <v>3</v>
      </c>
      <c r="F22" s="77">
        <f>IF(D22="","",D21+D22)</f>
        <v>1.3</v>
      </c>
      <c r="G22" s="66" t="s">
        <v>3</v>
      </c>
      <c r="H22" s="73">
        <f>IF(D22="","",ROUND(F22/100*$H$5,2))</f>
        <v>0.2</v>
      </c>
      <c r="I22" s="66" t="s">
        <v>4</v>
      </c>
      <c r="K22" s="69"/>
    </row>
    <row r="23" spans="1:11" ht="11.25" x14ac:dyDescent="0.2">
      <c r="A23" s="66" t="s">
        <v>28</v>
      </c>
      <c r="B23" s="66" t="s">
        <v>129</v>
      </c>
      <c r="C23" s="66"/>
      <c r="D23" s="8">
        <f>D76</f>
        <v>1.8</v>
      </c>
      <c r="E23" s="66" t="s">
        <v>3</v>
      </c>
      <c r="F23" s="78"/>
      <c r="G23" s="66"/>
      <c r="H23" s="70"/>
      <c r="I23" s="66"/>
      <c r="K23" s="69" t="str">
        <f ca="1">IF(D23&lt;&gt;D76,"Wert prüfen!",IF(H61="","Inhalt der gelben Zellen kann angepasst werden.",""))</f>
        <v>Inhalt der gelben Zellen kann angepasst werden.</v>
      </c>
    </row>
    <row r="24" spans="1:11" x14ac:dyDescent="0.2">
      <c r="A24" s="66"/>
      <c r="B24" s="66" t="s">
        <v>29</v>
      </c>
      <c r="C24" s="66"/>
      <c r="D24" s="76">
        <f>(D23/100)*$F$14</f>
        <v>0</v>
      </c>
      <c r="E24" s="66" t="s">
        <v>3</v>
      </c>
      <c r="F24" s="77">
        <f>IF(D24="","",D23+D24)</f>
        <v>1.8</v>
      </c>
      <c r="G24" s="66" t="s">
        <v>3</v>
      </c>
      <c r="H24" s="73">
        <f>IF(D24="","",ROUND(F24/100*$H$5,2))</f>
        <v>0.27</v>
      </c>
      <c r="I24" s="66" t="s">
        <v>4</v>
      </c>
      <c r="K24" s="69"/>
    </row>
    <row r="25" spans="1:11" ht="11.25" x14ac:dyDescent="0.2">
      <c r="A25" s="66" t="s">
        <v>30</v>
      </c>
      <c r="B25" s="66" t="s">
        <v>130</v>
      </c>
      <c r="C25" s="66"/>
      <c r="D25" s="8"/>
      <c r="E25" s="66" t="s">
        <v>3</v>
      </c>
      <c r="F25" s="78"/>
      <c r="G25" s="66"/>
      <c r="H25" s="70"/>
      <c r="I25" s="66"/>
      <c r="K25" s="69" t="str">
        <f>IF(D25="","Bitte ausfüllen!","")</f>
        <v>Bitte ausfüllen!</v>
      </c>
    </row>
    <row r="26" spans="1:11" x14ac:dyDescent="0.2">
      <c r="A26" s="66"/>
      <c r="B26" s="66" t="s">
        <v>31</v>
      </c>
      <c r="C26" s="66"/>
      <c r="D26" s="76">
        <f>(D25/100)*$F$14</f>
        <v>0</v>
      </c>
      <c r="E26" s="66" t="s">
        <v>3</v>
      </c>
      <c r="F26" s="77">
        <f>IF(D26="","",D25+D26)</f>
        <v>0</v>
      </c>
      <c r="G26" s="66" t="s">
        <v>3</v>
      </c>
      <c r="H26" s="73">
        <f>IF(D26="","",ROUND(F26/100*$H$5,2))</f>
        <v>0</v>
      </c>
      <c r="I26" s="66" t="s">
        <v>4</v>
      </c>
      <c r="K26" s="69"/>
    </row>
    <row r="27" spans="1:11" ht="11.25" x14ac:dyDescent="0.2">
      <c r="A27" s="66" t="s">
        <v>32</v>
      </c>
      <c r="B27" s="66" t="s">
        <v>131</v>
      </c>
      <c r="C27" s="66"/>
      <c r="D27" s="66"/>
      <c r="E27" s="66"/>
      <c r="F27" s="8"/>
      <c r="G27" s="66" t="s">
        <v>3</v>
      </c>
      <c r="H27" s="73" t="str">
        <f>IF(F27="","",ROUND(F27/100*$H$5,2))</f>
        <v/>
      </c>
      <c r="I27" s="66" t="s">
        <v>4</v>
      </c>
      <c r="K27" s="69" t="str">
        <f>IF(F27="","Bitte ausfüllen!","")</f>
        <v>Bitte ausfüllen!</v>
      </c>
    </row>
    <row r="28" spans="1:11" ht="11.25" x14ac:dyDescent="0.2">
      <c r="A28" s="66" t="s">
        <v>33</v>
      </c>
      <c r="B28" s="66" t="s">
        <v>132</v>
      </c>
      <c r="C28" s="66"/>
      <c r="D28" s="66"/>
      <c r="E28" s="66"/>
      <c r="F28" s="8">
        <f>D79</f>
        <v>0.15</v>
      </c>
      <c r="G28" s="66" t="s">
        <v>3</v>
      </c>
      <c r="H28" s="73">
        <f>IF(F28="","",ROUND(F28/100*$H$5,2))</f>
        <v>0.02</v>
      </c>
      <c r="I28" s="66" t="s">
        <v>4</v>
      </c>
      <c r="K28" s="69" t="str">
        <f ca="1">IF(F28&lt;&gt;D79,"Wert prüfen!",IF(H61="","Inhalt der gelben Zellen kann angepasst werden.",""))</f>
        <v>Inhalt der gelben Zellen kann angepasst werden.</v>
      </c>
    </row>
    <row r="29" spans="1:11" ht="23.45" customHeight="1" x14ac:dyDescent="0.2">
      <c r="A29" s="67"/>
      <c r="B29" s="149" t="s">
        <v>34</v>
      </c>
      <c r="C29" s="149"/>
      <c r="D29" s="67"/>
      <c r="E29" s="67"/>
      <c r="F29" s="74">
        <f>IF(SUM(F17:F28)=0,0,SUM(F17:F28)+F14)</f>
        <v>21.3</v>
      </c>
      <c r="G29" s="67" t="s">
        <v>3</v>
      </c>
      <c r="H29" s="75" t="str">
        <f>IF(OR(COUNTIF(D17:D26,"")&gt;0,COUNTIF(F27:F28,"")&gt;0),"",SUM(H17:H28)+H14)</f>
        <v/>
      </c>
      <c r="I29" s="67" t="s">
        <v>4</v>
      </c>
      <c r="K29" s="69" t="str">
        <f>IF(H29="","Angaben offen!","")</f>
        <v>Angaben offen!</v>
      </c>
    </row>
    <row r="30" spans="1:11" ht="5.45" customHeight="1" x14ac:dyDescent="0.2">
      <c r="A30" s="66"/>
      <c r="B30" s="66"/>
      <c r="C30" s="66"/>
      <c r="D30" s="66"/>
      <c r="E30" s="66"/>
      <c r="F30" s="70"/>
      <c r="G30" s="66"/>
      <c r="H30" s="70"/>
      <c r="I30" s="66"/>
    </row>
    <row r="31" spans="1:11" x14ac:dyDescent="0.2">
      <c r="A31" s="66"/>
      <c r="B31" s="67" t="s">
        <v>35</v>
      </c>
      <c r="C31" s="66"/>
      <c r="D31" s="66"/>
      <c r="E31" s="66"/>
      <c r="F31" s="70"/>
      <c r="G31" s="66"/>
      <c r="H31" s="70"/>
      <c r="I31" s="66"/>
    </row>
    <row r="32" spans="1:11" x14ac:dyDescent="0.2">
      <c r="A32" s="66" t="s">
        <v>36</v>
      </c>
      <c r="B32" s="66" t="s">
        <v>37</v>
      </c>
      <c r="C32" s="66"/>
      <c r="D32" s="66"/>
      <c r="E32" s="66"/>
      <c r="F32" s="8"/>
      <c r="G32" s="66" t="s">
        <v>3</v>
      </c>
      <c r="H32" s="73" t="str">
        <f>IF(F32="","",ROUND(F32/100*$H$5,2))</f>
        <v/>
      </c>
      <c r="I32" s="66" t="s">
        <v>4</v>
      </c>
      <c r="K32" s="69" t="str">
        <f>IF(F32="","Bitte ausfüllen!","")</f>
        <v>Bitte ausfüllen!</v>
      </c>
    </row>
    <row r="33" spans="1:11" x14ac:dyDescent="0.2">
      <c r="A33" s="66" t="s">
        <v>38</v>
      </c>
      <c r="B33" s="66" t="s">
        <v>39</v>
      </c>
      <c r="C33" s="66"/>
      <c r="D33" s="66"/>
      <c r="E33" s="66"/>
      <c r="F33" s="8"/>
      <c r="G33" s="66" t="s">
        <v>3</v>
      </c>
      <c r="H33" s="73" t="str">
        <f>IF(F33="","",ROUND(F33/100*$H$5,2))</f>
        <v/>
      </c>
      <c r="I33" s="66" t="s">
        <v>4</v>
      </c>
      <c r="K33" s="69" t="str">
        <f>IF(F33="","Bitte ausfüllen!","")</f>
        <v>Bitte ausfüllen!</v>
      </c>
    </row>
    <row r="34" spans="1:11" ht="22.15" customHeight="1" x14ac:dyDescent="0.2">
      <c r="A34" s="67"/>
      <c r="B34" s="149" t="s">
        <v>40</v>
      </c>
      <c r="C34" s="149"/>
      <c r="D34" s="67"/>
      <c r="E34" s="67"/>
      <c r="F34" s="74">
        <f>IF(SUM(F32:F33)=0,0,SUM(F32:F33)+F29)</f>
        <v>0</v>
      </c>
      <c r="G34" s="67" t="s">
        <v>3</v>
      </c>
      <c r="H34" s="75" t="str">
        <f>IF(COUNTIF(H32:H33,"")&gt;0,"",SUM(H32:H33)+H29)</f>
        <v/>
      </c>
      <c r="I34" s="67" t="s">
        <v>4</v>
      </c>
      <c r="K34" s="69" t="str">
        <f>IF(H34="","Angaben offen!","")</f>
        <v>Angaben offen!</v>
      </c>
    </row>
    <row r="35" spans="1:11" ht="5.45" customHeight="1" x14ac:dyDescent="0.2">
      <c r="A35" s="66"/>
      <c r="B35" s="66"/>
      <c r="C35" s="66"/>
      <c r="D35" s="66"/>
      <c r="E35" s="66"/>
      <c r="F35" s="70"/>
      <c r="G35" s="66"/>
      <c r="H35" s="70"/>
      <c r="I35" s="66"/>
    </row>
    <row r="36" spans="1:11" x14ac:dyDescent="0.2">
      <c r="A36" s="67" t="s">
        <v>41</v>
      </c>
      <c r="B36" s="67" t="s">
        <v>42</v>
      </c>
      <c r="C36" s="67"/>
      <c r="D36" s="67"/>
      <c r="E36" s="67"/>
      <c r="F36" s="71"/>
      <c r="G36" s="67"/>
      <c r="H36" s="71"/>
      <c r="I36" s="67"/>
    </row>
    <row r="37" spans="1:11" x14ac:dyDescent="0.2">
      <c r="A37" s="66" t="s">
        <v>43</v>
      </c>
      <c r="B37" s="66" t="s">
        <v>44</v>
      </c>
      <c r="C37" s="66"/>
      <c r="D37" s="66"/>
      <c r="E37" s="66"/>
      <c r="F37" s="70"/>
      <c r="G37" s="66"/>
      <c r="H37" s="70"/>
      <c r="I37" s="66"/>
    </row>
    <row r="38" spans="1:11" x14ac:dyDescent="0.2">
      <c r="A38" s="66"/>
      <c r="B38" s="66" t="s">
        <v>45</v>
      </c>
      <c r="C38" s="66"/>
      <c r="D38" s="66"/>
      <c r="E38" s="66"/>
      <c r="F38" s="8"/>
      <c r="G38" s="66" t="s">
        <v>3</v>
      </c>
      <c r="H38" s="73" t="str">
        <f>IF(F38="","",ROUND(F38/100*$H$5,2))</f>
        <v/>
      </c>
      <c r="I38" s="66" t="s">
        <v>4</v>
      </c>
      <c r="K38" s="69" t="str">
        <f>IF(F38="","Bitte ausfüllen!","")</f>
        <v>Bitte ausfüllen!</v>
      </c>
    </row>
    <row r="39" spans="1:11" x14ac:dyDescent="0.2">
      <c r="A39" s="66" t="s">
        <v>46</v>
      </c>
      <c r="B39" s="66" t="s">
        <v>47</v>
      </c>
      <c r="C39" s="66"/>
      <c r="D39" s="66"/>
      <c r="E39" s="66"/>
      <c r="F39" s="8"/>
      <c r="G39" s="66" t="s">
        <v>3</v>
      </c>
      <c r="H39" s="73" t="str">
        <f>IF(F39="","",ROUND(F39/100*$H$5,2))</f>
        <v/>
      </c>
      <c r="I39" s="66" t="s">
        <v>4</v>
      </c>
      <c r="K39" s="69" t="str">
        <f>IF(F39="","Bitte ausfüllen!","")</f>
        <v>Bitte ausfüllen!</v>
      </c>
    </row>
    <row r="40" spans="1:11" x14ac:dyDescent="0.2">
      <c r="A40" s="66" t="s">
        <v>48</v>
      </c>
      <c r="B40" s="66" t="s">
        <v>49</v>
      </c>
      <c r="C40" s="66"/>
      <c r="D40" s="66"/>
      <c r="E40" s="66"/>
      <c r="F40" s="8"/>
      <c r="G40" s="66" t="s">
        <v>3</v>
      </c>
      <c r="H40" s="73" t="str">
        <f>IF(F40="","",ROUND(F40/100*$H$5,2))</f>
        <v/>
      </c>
      <c r="I40" s="66" t="s">
        <v>4</v>
      </c>
      <c r="K40" s="69" t="str">
        <f>IF(F40="","Bitte ausfüllen!","")</f>
        <v>Bitte ausfüllen!</v>
      </c>
    </row>
    <row r="41" spans="1:11" x14ac:dyDescent="0.2">
      <c r="A41" s="66" t="s">
        <v>50</v>
      </c>
      <c r="B41" s="66" t="s">
        <v>51</v>
      </c>
      <c r="C41" s="66"/>
      <c r="D41" s="66"/>
      <c r="E41" s="66"/>
      <c r="F41" s="8"/>
      <c r="G41" s="66" t="s">
        <v>3</v>
      </c>
      <c r="H41" s="73" t="str">
        <f>IF(F41="","",ROUND(F41/100*$H$5,2))</f>
        <v/>
      </c>
      <c r="I41" s="66" t="s">
        <v>4</v>
      </c>
      <c r="K41" s="69" t="str">
        <f>IF(F41="","Bitte ausfüllen!","")</f>
        <v>Bitte ausfüllen!</v>
      </c>
    </row>
    <row r="42" spans="1:11" ht="23.45" customHeight="1" x14ac:dyDescent="0.2">
      <c r="A42" s="67"/>
      <c r="B42" s="149" t="s">
        <v>52</v>
      </c>
      <c r="C42" s="149"/>
      <c r="D42" s="67"/>
      <c r="E42" s="67"/>
      <c r="F42" s="74">
        <f>IF(SUM(F38:F41)=0,0,SUM(F38:F41))</f>
        <v>0</v>
      </c>
      <c r="G42" s="67" t="s">
        <v>3</v>
      </c>
      <c r="H42" s="75" t="str">
        <f>IF(COUNTIF(H38:H41,"")&gt;0,"",SUM(H38:H41))</f>
        <v/>
      </c>
      <c r="I42" s="67" t="s">
        <v>4</v>
      </c>
      <c r="K42" s="69" t="str">
        <f>IF(H42="","Angaben offen!","")</f>
        <v>Angaben offen!</v>
      </c>
    </row>
    <row r="43" spans="1:11" ht="5.45" customHeight="1" x14ac:dyDescent="0.2">
      <c r="A43" s="66"/>
      <c r="B43" s="66"/>
      <c r="C43" s="66"/>
      <c r="D43" s="66"/>
      <c r="E43" s="66"/>
      <c r="F43" s="70"/>
      <c r="G43" s="66"/>
      <c r="H43" s="70"/>
      <c r="I43" s="66"/>
    </row>
    <row r="44" spans="1:11" x14ac:dyDescent="0.2">
      <c r="A44" s="67" t="s">
        <v>53</v>
      </c>
      <c r="B44" s="67" t="s">
        <v>54</v>
      </c>
      <c r="C44" s="67"/>
      <c r="D44" s="67"/>
      <c r="E44" s="67"/>
      <c r="F44" s="67"/>
      <c r="G44" s="67"/>
      <c r="H44" s="67"/>
      <c r="I44" s="67"/>
    </row>
    <row r="45" spans="1:11" x14ac:dyDescent="0.2">
      <c r="A45" s="66" t="s">
        <v>55</v>
      </c>
      <c r="B45" s="66" t="s">
        <v>56</v>
      </c>
      <c r="C45" s="66"/>
      <c r="D45" s="66"/>
      <c r="E45" s="66"/>
      <c r="F45" s="66"/>
      <c r="G45" s="66"/>
      <c r="H45" s="66"/>
      <c r="I45" s="66"/>
    </row>
    <row r="46" spans="1:11" x14ac:dyDescent="0.2">
      <c r="A46" s="66" t="s">
        <v>57</v>
      </c>
      <c r="B46" s="66"/>
      <c r="C46" s="66" t="s">
        <v>58</v>
      </c>
      <c r="D46" s="66"/>
      <c r="E46" s="66"/>
      <c r="F46" s="8"/>
      <c r="G46" s="66" t="s">
        <v>3</v>
      </c>
      <c r="H46" s="73" t="str">
        <f>IF(F46="","",ROUND(F46/100*$H$5,2))</f>
        <v/>
      </c>
      <c r="I46" s="66" t="s">
        <v>4</v>
      </c>
      <c r="K46" s="69" t="str">
        <f>IF(F46="","Bitte ausfüllen!","")</f>
        <v>Bitte ausfüllen!</v>
      </c>
    </row>
    <row r="47" spans="1:11" x14ac:dyDescent="0.2">
      <c r="A47" s="66" t="s">
        <v>59</v>
      </c>
      <c r="B47" s="66"/>
      <c r="C47" s="66" t="s">
        <v>125</v>
      </c>
      <c r="D47" s="66"/>
      <c r="E47" s="66"/>
      <c r="F47" s="8"/>
      <c r="G47" s="66" t="s">
        <v>3</v>
      </c>
      <c r="H47" s="73" t="str">
        <f>IF(F47="","",ROUND(F47/100*$H$5,2))</f>
        <v/>
      </c>
      <c r="I47" s="66" t="s">
        <v>4</v>
      </c>
      <c r="K47" s="69" t="str">
        <f>IF(F47="","Bitte ausfüllen!","")</f>
        <v>Bitte ausfüllen!</v>
      </c>
    </row>
    <row r="48" spans="1:11" x14ac:dyDescent="0.2">
      <c r="A48" s="66" t="s">
        <v>60</v>
      </c>
      <c r="B48" s="66" t="s">
        <v>61</v>
      </c>
      <c r="C48" s="66"/>
      <c r="D48" s="66"/>
      <c r="E48" s="66"/>
      <c r="F48" s="8"/>
      <c r="G48" s="66" t="s">
        <v>3</v>
      </c>
      <c r="H48" s="73" t="str">
        <f>IF(F48="","",ROUND(F48/100*$H$5,2))</f>
        <v/>
      </c>
      <c r="I48" s="66" t="s">
        <v>4</v>
      </c>
      <c r="K48" s="69" t="str">
        <f>IF(F48="","Bitte ausfüllen!","")</f>
        <v>Bitte ausfüllen!</v>
      </c>
    </row>
    <row r="49" spans="1:11" x14ac:dyDescent="0.2">
      <c r="A49" s="66" t="s">
        <v>62</v>
      </c>
      <c r="B49" s="66" t="s">
        <v>63</v>
      </c>
      <c r="C49" s="66"/>
      <c r="D49" s="66"/>
      <c r="E49" s="66"/>
      <c r="F49" s="66"/>
      <c r="G49" s="66"/>
      <c r="H49" s="66"/>
      <c r="I49" s="66"/>
    </row>
    <row r="50" spans="1:11" x14ac:dyDescent="0.2">
      <c r="A50" s="66" t="s">
        <v>64</v>
      </c>
      <c r="B50" s="66"/>
      <c r="C50" s="66" t="s">
        <v>65</v>
      </c>
      <c r="D50" s="66"/>
      <c r="E50" s="66"/>
      <c r="F50" s="8"/>
      <c r="G50" s="66" t="s">
        <v>3</v>
      </c>
      <c r="H50" s="73" t="str">
        <f t="shared" ref="H50:H56" si="0">IF(F50="","",ROUND(F50/100*$H$5,2))</f>
        <v/>
      </c>
      <c r="I50" s="66" t="s">
        <v>4</v>
      </c>
      <c r="K50" s="69" t="str">
        <f t="shared" ref="K50:K56" si="1">IF(F50="","Bitte ausfüllen!","")</f>
        <v>Bitte ausfüllen!</v>
      </c>
    </row>
    <row r="51" spans="1:11" x14ac:dyDescent="0.2">
      <c r="A51" s="66" t="s">
        <v>66</v>
      </c>
      <c r="B51" s="66"/>
      <c r="C51" s="66" t="s">
        <v>67</v>
      </c>
      <c r="D51" s="66"/>
      <c r="E51" s="66"/>
      <c r="F51" s="8"/>
      <c r="G51" s="66" t="s">
        <v>3</v>
      </c>
      <c r="H51" s="73" t="str">
        <f t="shared" si="0"/>
        <v/>
      </c>
      <c r="I51" s="66" t="s">
        <v>4</v>
      </c>
      <c r="K51" s="69" t="str">
        <f t="shared" si="1"/>
        <v>Bitte ausfüllen!</v>
      </c>
    </row>
    <row r="52" spans="1:11" x14ac:dyDescent="0.2">
      <c r="A52" s="66" t="s">
        <v>68</v>
      </c>
      <c r="B52" s="66" t="s">
        <v>69</v>
      </c>
      <c r="C52" s="66"/>
      <c r="D52" s="66"/>
      <c r="E52" s="66"/>
      <c r="F52" s="8"/>
      <c r="G52" s="66" t="s">
        <v>3</v>
      </c>
      <c r="H52" s="73" t="str">
        <f t="shared" si="0"/>
        <v/>
      </c>
      <c r="I52" s="66" t="s">
        <v>4</v>
      </c>
      <c r="K52" s="69" t="str">
        <f t="shared" si="1"/>
        <v>Bitte ausfüllen!</v>
      </c>
    </row>
    <row r="53" spans="1:11" x14ac:dyDescent="0.2">
      <c r="A53" s="66" t="s">
        <v>70</v>
      </c>
      <c r="B53" s="66" t="s">
        <v>71</v>
      </c>
      <c r="C53" s="66"/>
      <c r="D53" s="66"/>
      <c r="E53" s="66"/>
      <c r="F53" s="8"/>
      <c r="G53" s="66" t="s">
        <v>3</v>
      </c>
      <c r="H53" s="73" t="str">
        <f t="shared" si="0"/>
        <v/>
      </c>
      <c r="I53" s="66" t="s">
        <v>4</v>
      </c>
      <c r="K53" s="69" t="str">
        <f t="shared" si="1"/>
        <v>Bitte ausfüllen!</v>
      </c>
    </row>
    <row r="54" spans="1:11" x14ac:dyDescent="0.2">
      <c r="A54" s="66" t="s">
        <v>72</v>
      </c>
      <c r="B54" s="66" t="s">
        <v>73</v>
      </c>
      <c r="C54" s="66"/>
      <c r="D54" s="66"/>
      <c r="E54" s="66"/>
      <c r="F54" s="8"/>
      <c r="G54" s="66" t="s">
        <v>3</v>
      </c>
      <c r="H54" s="73" t="str">
        <f t="shared" si="0"/>
        <v/>
      </c>
      <c r="I54" s="66" t="s">
        <v>4</v>
      </c>
      <c r="K54" s="69" t="str">
        <f t="shared" si="1"/>
        <v>Bitte ausfüllen!</v>
      </c>
    </row>
    <row r="55" spans="1:11" x14ac:dyDescent="0.2">
      <c r="A55" s="66" t="s">
        <v>74</v>
      </c>
      <c r="B55" s="66" t="s">
        <v>75</v>
      </c>
      <c r="C55" s="66"/>
      <c r="D55" s="66"/>
      <c r="E55" s="66"/>
      <c r="F55" s="8"/>
      <c r="G55" s="66" t="s">
        <v>3</v>
      </c>
      <c r="H55" s="73" t="str">
        <f t="shared" si="0"/>
        <v/>
      </c>
      <c r="I55" s="66" t="s">
        <v>4</v>
      </c>
      <c r="K55" s="69" t="str">
        <f t="shared" si="1"/>
        <v>Bitte ausfüllen!</v>
      </c>
    </row>
    <row r="56" spans="1:11" x14ac:dyDescent="0.2">
      <c r="A56" s="66" t="s">
        <v>76</v>
      </c>
      <c r="B56" s="66" t="s">
        <v>77</v>
      </c>
      <c r="C56" s="66"/>
      <c r="D56" s="66"/>
      <c r="E56" s="66"/>
      <c r="F56" s="8"/>
      <c r="G56" s="66" t="s">
        <v>3</v>
      </c>
      <c r="H56" s="73" t="str">
        <f t="shared" si="0"/>
        <v/>
      </c>
      <c r="I56" s="66" t="s">
        <v>4</v>
      </c>
      <c r="K56" s="69" t="str">
        <f t="shared" si="1"/>
        <v>Bitte ausfüllen!</v>
      </c>
    </row>
    <row r="57" spans="1:11" ht="23.45" customHeight="1" x14ac:dyDescent="0.2">
      <c r="A57" s="67"/>
      <c r="B57" s="149" t="s">
        <v>78</v>
      </c>
      <c r="C57" s="149"/>
      <c r="D57" s="67"/>
      <c r="E57" s="67"/>
      <c r="F57" s="74">
        <f>IF(SUM(F45:F56)=0,0,SUM(F45:F56))</f>
        <v>0</v>
      </c>
      <c r="G57" s="67" t="s">
        <v>3</v>
      </c>
      <c r="H57" s="75" t="str">
        <f>IF(COUNTIF(H46:H56,"")&gt;1,"",SUM(H46:H56))</f>
        <v/>
      </c>
      <c r="I57" s="67" t="s">
        <v>4</v>
      </c>
      <c r="K57" s="69" t="str">
        <f>IF(H57="","Angaben offen!","")</f>
        <v>Angaben offen!</v>
      </c>
    </row>
    <row r="58" spans="1:11" ht="6.6" customHeight="1" x14ac:dyDescent="0.2">
      <c r="A58" s="66"/>
      <c r="B58" s="66"/>
      <c r="C58" s="66"/>
      <c r="D58" s="66"/>
      <c r="E58" s="66"/>
      <c r="F58" s="70"/>
      <c r="G58" s="66"/>
      <c r="H58" s="70"/>
      <c r="I58" s="66"/>
    </row>
    <row r="59" spans="1:11" x14ac:dyDescent="0.2">
      <c r="A59" s="67" t="s">
        <v>79</v>
      </c>
      <c r="B59" s="148" t="s">
        <v>80</v>
      </c>
      <c r="C59" s="148"/>
      <c r="D59" s="67"/>
      <c r="E59" s="67"/>
      <c r="F59" s="79">
        <f>IF(AND(F34=""),0,F34+F42+F57+F5)</f>
        <v>100</v>
      </c>
      <c r="G59" s="67" t="s">
        <v>3</v>
      </c>
      <c r="H59" s="71" t="str">
        <f>IF(H57="","",H34+H42+H57+H5)</f>
        <v/>
      </c>
      <c r="I59" s="67" t="s">
        <v>4</v>
      </c>
    </row>
    <row r="60" spans="1:11" x14ac:dyDescent="0.2">
      <c r="A60" s="67" t="s">
        <v>81</v>
      </c>
      <c r="B60" s="67" t="s">
        <v>82</v>
      </c>
      <c r="C60" s="67"/>
      <c r="D60" s="67"/>
      <c r="E60" s="67"/>
      <c r="F60" s="8"/>
      <c r="G60" s="67" t="s">
        <v>3</v>
      </c>
      <c r="H60" s="75" t="str">
        <f>IF(F60="","",ROUND(F60/100*H59,2))</f>
        <v/>
      </c>
      <c r="I60" s="67" t="s">
        <v>4</v>
      </c>
      <c r="K60" s="69" t="str">
        <f>IF(F60="","Bitte ausfüllen!","")</f>
        <v>Bitte ausfüllen!</v>
      </c>
    </row>
    <row r="61" spans="1:11" x14ac:dyDescent="0.2">
      <c r="A61" s="67"/>
      <c r="B61" s="67" t="s">
        <v>83</v>
      </c>
      <c r="C61" s="67"/>
      <c r="D61" s="67"/>
      <c r="E61" s="67"/>
      <c r="F61" s="74">
        <f ca="1">IF(H61="",0,H61/H5*100)</f>
        <v>0</v>
      </c>
      <c r="G61" s="67" t="s">
        <v>3</v>
      </c>
      <c r="H61" s="75" t="str">
        <f ca="1">IF(SUM(COUNTIF(INDIRECT({"H5","F9:F13","D17:D26","F27:F28","F32:F33","F38:F41","F46:F48","F50:F56","F60","H65:H68"}),""))&gt;0,"",H59+H60)</f>
        <v/>
      </c>
      <c r="I61" s="67" t="s">
        <v>4</v>
      </c>
      <c r="K61" s="69" t="str">
        <f ca="1">IF(SUM(COUNTIF(INDIRECT({"H5","F9:F13","D17:D26","F27:F28","F32:F33","F38:F41","F46:F48","F50:F56","F60","H65:H68"}),""))&gt;0,SUM(COUNTIF(INDIRECT({"H5","F9:F13","D17:D26","F27:F28","F32:F33","F38:F41","F46:F48","F50:F56","F60","H65:H68"}),"")) &amp;" Zelle(n) ohne Wert!","")</f>
        <v>28 Zelle(n) ohne Wert!</v>
      </c>
    </row>
    <row r="62" spans="1:11" x14ac:dyDescent="0.2">
      <c r="A62" s="66"/>
      <c r="B62" s="66" t="s">
        <v>84</v>
      </c>
      <c r="C62" s="66"/>
      <c r="D62" s="66"/>
      <c r="E62" s="66"/>
      <c r="F62" s="74">
        <f ca="1">IF(F61=0,0,F61-F5)</f>
        <v>0</v>
      </c>
      <c r="G62" s="66" t="s">
        <v>3</v>
      </c>
      <c r="H62" s="66"/>
      <c r="I62" s="66"/>
      <c r="K62" s="69" t="str">
        <f ca="1">IF(F62&lt;70,"Bitte prüfen gemäß Aufforderung!","")</f>
        <v>Bitte prüfen gemäß Aufforderung!</v>
      </c>
    </row>
    <row r="63" spans="1:11" ht="5.45" customHeight="1" x14ac:dyDescent="0.2">
      <c r="A63" s="66"/>
      <c r="B63" s="67"/>
      <c r="C63" s="66"/>
      <c r="D63" s="66"/>
      <c r="E63" s="66"/>
      <c r="F63" s="79"/>
      <c r="G63" s="66"/>
      <c r="H63" s="71"/>
    </row>
    <row r="64" spans="1:11" x14ac:dyDescent="0.2">
      <c r="B64" s="67" t="s">
        <v>85</v>
      </c>
      <c r="D64" s="67"/>
      <c r="E64" s="67"/>
      <c r="G64" s="67"/>
      <c r="H64" s="71" t="s">
        <v>86</v>
      </c>
      <c r="I64" s="67"/>
    </row>
    <row r="65" spans="1:15" x14ac:dyDescent="0.2">
      <c r="B65" s="66" t="s">
        <v>87</v>
      </c>
      <c r="D65" s="66"/>
      <c r="E65" s="66"/>
      <c r="G65" s="80"/>
      <c r="H65" s="9"/>
      <c r="I65" s="80"/>
      <c r="K65" s="69" t="str">
        <f>IF(H65="","Bitte ausfüllen!","")</f>
        <v>Bitte ausfüllen!</v>
      </c>
    </row>
    <row r="66" spans="1:15" x14ac:dyDescent="0.2">
      <c r="B66" s="66" t="s">
        <v>88</v>
      </c>
      <c r="D66" s="66"/>
      <c r="E66" s="66"/>
      <c r="G66" s="80"/>
      <c r="H66" s="10"/>
      <c r="I66" s="80"/>
      <c r="K66" s="69" t="str">
        <f>IF(H66="","Bitte ausfüllen!","")</f>
        <v>Bitte ausfüllen!</v>
      </c>
    </row>
    <row r="67" spans="1:15" x14ac:dyDescent="0.2">
      <c r="B67" s="66" t="s">
        <v>89</v>
      </c>
      <c r="D67" s="66"/>
      <c r="E67" s="66"/>
      <c r="G67" s="80"/>
      <c r="H67" s="11"/>
      <c r="I67" s="80"/>
      <c r="K67" s="69" t="str">
        <f>IF(H67="","Bitte ausfüllen!","")</f>
        <v>Bitte ausfüllen!</v>
      </c>
    </row>
    <row r="68" spans="1:15" x14ac:dyDescent="0.2">
      <c r="B68" s="66" t="s">
        <v>90</v>
      </c>
      <c r="D68" s="66"/>
      <c r="E68" s="66"/>
      <c r="G68" s="80"/>
      <c r="H68" s="10"/>
      <c r="I68" s="80"/>
      <c r="K68" s="69" t="str">
        <f>IF(H68="","Bitte ausfüllen!","")</f>
        <v>Bitte ausfüllen!</v>
      </c>
    </row>
    <row r="69" spans="1:15" ht="5.45" customHeight="1" x14ac:dyDescent="0.2"/>
    <row r="70" spans="1:15" ht="5.45" customHeight="1" x14ac:dyDescent="0.2">
      <c r="C70" s="54"/>
      <c r="D70" s="4"/>
    </row>
    <row r="71" spans="1:15" ht="15.95" customHeight="1" x14ac:dyDescent="0.2">
      <c r="A71" s="139" t="s">
        <v>194</v>
      </c>
      <c r="B71" s="139"/>
      <c r="C71" s="139"/>
      <c r="D71" s="139" t="s">
        <v>195</v>
      </c>
      <c r="F71" s="141" t="s">
        <v>138</v>
      </c>
      <c r="G71" s="142"/>
      <c r="H71" s="143"/>
      <c r="L71" s="35"/>
      <c r="M71" s="35"/>
      <c r="N71" s="35"/>
      <c r="O71" s="35"/>
    </row>
    <row r="72" spans="1:15" ht="15.95" customHeight="1" x14ac:dyDescent="0.2">
      <c r="A72" s="140"/>
      <c r="B72" s="140"/>
      <c r="C72" s="140"/>
      <c r="D72" s="140"/>
      <c r="F72" s="144"/>
      <c r="G72" s="145"/>
      <c r="H72" s="146"/>
      <c r="I72" s="67"/>
      <c r="J72" s="67"/>
      <c r="K72" s="67"/>
      <c r="L72" s="35"/>
      <c r="M72" s="35"/>
      <c r="N72" s="35"/>
      <c r="O72" s="35"/>
    </row>
    <row r="73" spans="1:15" ht="19.899999999999999" customHeight="1" x14ac:dyDescent="0.2">
      <c r="A73" s="150">
        <v>1</v>
      </c>
      <c r="B73" s="150"/>
      <c r="C73" s="12" t="s">
        <v>133</v>
      </c>
      <c r="D73" s="56">
        <v>7.3</v>
      </c>
      <c r="F73" s="151" t="s">
        <v>350</v>
      </c>
      <c r="G73" s="151"/>
      <c r="H73" s="151"/>
    </row>
    <row r="74" spans="1:15" ht="19.899999999999999" customHeight="1" x14ac:dyDescent="0.2">
      <c r="A74" s="150">
        <v>2</v>
      </c>
      <c r="B74" s="150"/>
      <c r="C74" s="12" t="s">
        <v>134</v>
      </c>
      <c r="D74" s="56">
        <v>9.3000000000000007</v>
      </c>
    </row>
    <row r="75" spans="1:15" ht="25.5" customHeight="1" x14ac:dyDescent="0.2">
      <c r="A75" s="150">
        <v>3</v>
      </c>
      <c r="B75" s="150"/>
      <c r="C75" s="12" t="s">
        <v>135</v>
      </c>
      <c r="D75" s="56">
        <v>1.3</v>
      </c>
    </row>
    <row r="76" spans="1:15" ht="25.5" customHeight="1" x14ac:dyDescent="0.2">
      <c r="A76" s="150">
        <v>4</v>
      </c>
      <c r="B76" s="150"/>
      <c r="C76" s="12" t="s">
        <v>136</v>
      </c>
      <c r="D76" s="56">
        <f>IF( F73="Sachsen",1.3,1.8)</f>
        <v>1.8</v>
      </c>
    </row>
    <row r="77" spans="1:15" ht="31.5" x14ac:dyDescent="0.2">
      <c r="A77" s="150">
        <v>5</v>
      </c>
      <c r="B77" s="150"/>
      <c r="C77" s="12" t="s">
        <v>196</v>
      </c>
      <c r="D77" s="56">
        <v>1.45</v>
      </c>
    </row>
    <row r="78" spans="1:15" ht="25.5" customHeight="1" x14ac:dyDescent="0.2">
      <c r="A78" s="150">
        <v>6</v>
      </c>
      <c r="B78" s="150"/>
      <c r="C78" s="12" t="s">
        <v>123</v>
      </c>
      <c r="D78" s="56"/>
    </row>
    <row r="79" spans="1:15" ht="25.5" customHeight="1" x14ac:dyDescent="0.2">
      <c r="A79" s="150">
        <v>7</v>
      </c>
      <c r="B79" s="150"/>
      <c r="C79" s="12" t="s">
        <v>137</v>
      </c>
      <c r="D79" s="56">
        <v>0.15</v>
      </c>
    </row>
  </sheetData>
  <sheetProtection algorithmName="SHA-512" hashValue="v7aWYdYtbptn/hN3ecBTJzL2wlbkGG3jGCnt8/BD4gtZ7P9SI6OZ/E80oDzA3s4LKw0f1RX05NNDvVJ4P865Ag==" saltValue="ev/lk32gdaLBQWAypetlpQ==" spinCount="100000" sheet="1" objects="1" scenarios="1"/>
  <mergeCells count="18">
    <mergeCell ref="A78:B78"/>
    <mergeCell ref="A79:B79"/>
    <mergeCell ref="F73:H73"/>
    <mergeCell ref="A73:B73"/>
    <mergeCell ref="A74:B74"/>
    <mergeCell ref="A75:B75"/>
    <mergeCell ref="A76:B76"/>
    <mergeCell ref="A77:B77"/>
    <mergeCell ref="A71:C72"/>
    <mergeCell ref="D71:D72"/>
    <mergeCell ref="F71:H72"/>
    <mergeCell ref="E1:I2"/>
    <mergeCell ref="A3:I3"/>
    <mergeCell ref="B59:C59"/>
    <mergeCell ref="B29:C29"/>
    <mergeCell ref="B34:C34"/>
    <mergeCell ref="B42:C42"/>
    <mergeCell ref="B57:C57"/>
  </mergeCells>
  <phoneticPr fontId="3" type="noConversion"/>
  <dataValidations count="1">
    <dataValidation type="decimal" errorStyle="warning" allowBlank="1" showInputMessage="1" showErrorMessage="1" error="Bitte überprüfen Sie Ihre Eingaben." sqref="C25" xr:uid="{00000000-0002-0000-0300-000000000000}">
      <formula1>8.5</formula1>
      <formula2>84</formula2>
    </dataValidation>
  </dataValidations>
  <hyperlinks>
    <hyperlink ref="K1" location="Inhaltsverzeichnis!A1" display="Zurück zum Inhaltsverzeichnis" xr:uid="{00000000-0004-0000-03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UnterhaltsRG</oddFooter>
  </headerFooter>
  <ignoredErrors>
    <ignoredError sqref="A11:A1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ltText="Hinweis">
                <anchor moveWithCells="1">
                  <from>
                    <xdr:col>2</xdr:col>
                    <xdr:colOff>2914650</xdr:colOff>
                    <xdr:row>0</xdr:row>
                    <xdr:rowOff>123825</xdr:rowOff>
                  </from>
                  <to>
                    <xdr:col>3</xdr:col>
                    <xdr:colOff>552450</xdr:colOff>
                    <xdr:row>0</xdr:row>
                    <xdr:rowOff>409575</xdr:rowOff>
                  </to>
                </anchor>
              </controlPr>
            </control>
          </mc:Choice>
        </mc:AlternateContent>
        <mc:AlternateContent xmlns:mc="http://schemas.openxmlformats.org/markup-compatibility/2006">
          <mc:Choice Requires="x14">
            <control shapeId="26628" r:id="rId5" name="Check Box 4">
              <controlPr defaultSize="0" autoFill="0" autoLine="0" autoPict="0" altText="Hinweis">
                <anchor moveWithCells="1">
                  <from>
                    <xdr:col>2</xdr:col>
                    <xdr:colOff>2914650</xdr:colOff>
                    <xdr:row>0</xdr:row>
                    <xdr:rowOff>428625</xdr:rowOff>
                  </from>
                  <to>
                    <xdr:col>3</xdr:col>
                    <xdr:colOff>552450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3"/>
  </sheetPr>
  <dimension ref="A1:N79"/>
  <sheetViews>
    <sheetView showGridLines="0" zoomScaleNormal="100" zoomScaleSheetLayoutView="85"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9"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15" customHeight="1" x14ac:dyDescent="0.2">
      <c r="A1" s="65" t="str">
        <f ca="1">IF(H61&lt;&gt;"","","Bitte alle gelben Zellen ausfüllen.")</f>
        <v>Bitte alle gelben Zellen ausfüllen.</v>
      </c>
      <c r="D1" s="45" t="b">
        <v>0</v>
      </c>
      <c r="E1" s="130"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0"/>
      <c r="G1" s="130"/>
      <c r="H1" s="130"/>
      <c r="I1" s="130"/>
      <c r="K1" s="5" t="s">
        <v>100</v>
      </c>
    </row>
    <row r="2" spans="1:11" ht="34.5" customHeight="1" x14ac:dyDescent="0.2">
      <c r="A2" s="3" t="s">
        <v>103</v>
      </c>
      <c r="C2" s="4" t="str">
        <f>IF(Inhaltsverzeichnis!$C$3="", "",Inhaltsverzeichnis!$C$3)</f>
        <v/>
      </c>
      <c r="D2" s="45" t="b">
        <v>0</v>
      </c>
      <c r="E2" s="130"/>
      <c r="F2" s="130"/>
      <c r="G2" s="130"/>
      <c r="H2" s="130"/>
      <c r="I2" s="130"/>
    </row>
    <row r="3" spans="1:11" s="2" customFormat="1" ht="12.75" x14ac:dyDescent="0.2">
      <c r="A3" s="147" t="s">
        <v>101</v>
      </c>
      <c r="B3" s="147"/>
      <c r="C3" s="147"/>
      <c r="D3" s="147"/>
      <c r="E3" s="147"/>
      <c r="F3" s="147"/>
      <c r="G3" s="147"/>
      <c r="H3" s="147"/>
      <c r="I3" s="147"/>
    </row>
    <row r="4" spans="1:11" x14ac:dyDescent="0.2">
      <c r="A4" s="66"/>
      <c r="B4" s="66"/>
      <c r="C4" s="66"/>
      <c r="D4" s="66"/>
      <c r="E4" s="66"/>
      <c r="F4" s="66"/>
      <c r="G4" s="66"/>
      <c r="H4" s="66"/>
      <c r="I4" s="66"/>
    </row>
    <row r="5" spans="1:11" ht="15" customHeight="1" x14ac:dyDescent="0.2">
      <c r="A5" s="67" t="s">
        <v>1</v>
      </c>
      <c r="B5" s="67" t="s">
        <v>2</v>
      </c>
      <c r="C5" s="67"/>
      <c r="D5" s="67"/>
      <c r="E5" s="67"/>
      <c r="F5" s="68">
        <v>100</v>
      </c>
      <c r="G5" s="67" t="s">
        <v>3</v>
      </c>
      <c r="H5" s="7">
        <v>15</v>
      </c>
      <c r="I5" s="67" t="s">
        <v>4</v>
      </c>
      <c r="K5" s="69"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6"/>
      <c r="B6" s="66"/>
      <c r="C6" s="66"/>
      <c r="D6" s="66"/>
      <c r="E6" s="66"/>
      <c r="F6" s="70"/>
      <c r="G6" s="66"/>
      <c r="H6" s="70"/>
      <c r="I6" s="66"/>
    </row>
    <row r="7" spans="1:11" x14ac:dyDescent="0.2">
      <c r="A7" s="67" t="s">
        <v>5</v>
      </c>
      <c r="B7" s="67" t="s">
        <v>6</v>
      </c>
      <c r="C7" s="67"/>
      <c r="D7" s="67"/>
      <c r="E7" s="67"/>
      <c r="F7" s="71"/>
      <c r="G7" s="67"/>
      <c r="H7" s="71"/>
      <c r="I7" s="67"/>
    </row>
    <row r="8" spans="1:11" ht="14.25" x14ac:dyDescent="0.2">
      <c r="A8" s="66" t="s">
        <v>7</v>
      </c>
      <c r="B8" s="66" t="s">
        <v>8</v>
      </c>
      <c r="C8" s="66"/>
      <c r="D8" s="66"/>
      <c r="E8" s="66"/>
      <c r="F8" s="71"/>
      <c r="G8" s="71"/>
      <c r="H8" s="71"/>
      <c r="I8" s="71"/>
      <c r="K8" s="72"/>
    </row>
    <row r="9" spans="1:11" x14ac:dyDescent="0.2">
      <c r="A9" s="66" t="s">
        <v>9</v>
      </c>
      <c r="B9" s="66"/>
      <c r="C9" s="66" t="s">
        <v>10</v>
      </c>
      <c r="D9" s="66"/>
      <c r="E9" s="66"/>
      <c r="F9" s="8"/>
      <c r="G9" s="66" t="s">
        <v>3</v>
      </c>
      <c r="H9" s="73" t="str">
        <f>IF(F9="","",ROUND(F9/100*$H$5,2))</f>
        <v/>
      </c>
      <c r="I9" s="66" t="s">
        <v>4</v>
      </c>
      <c r="K9" s="69" t="str">
        <f>IF(F9="","Bitte ausfüllen!","")</f>
        <v>Bitte ausfüllen!</v>
      </c>
    </row>
    <row r="10" spans="1:11" x14ac:dyDescent="0.2">
      <c r="A10" s="66" t="s">
        <v>11</v>
      </c>
      <c r="B10" s="66"/>
      <c r="C10" s="66" t="s">
        <v>12</v>
      </c>
      <c r="D10" s="66"/>
      <c r="E10" s="66"/>
      <c r="F10" s="8"/>
      <c r="G10" s="66" t="s">
        <v>3</v>
      </c>
      <c r="H10" s="73" t="str">
        <f>IF(F10="","",ROUND(F10/100*$H$5,2))</f>
        <v/>
      </c>
      <c r="I10" s="66" t="s">
        <v>4</v>
      </c>
      <c r="K10" s="69" t="str">
        <f>IF(F10="","Bitte ausfüllen!","")</f>
        <v>Bitte ausfüllen!</v>
      </c>
    </row>
    <row r="11" spans="1:11" x14ac:dyDescent="0.2">
      <c r="A11" s="66" t="s">
        <v>13</v>
      </c>
      <c r="B11" s="66"/>
      <c r="C11" s="66" t="s">
        <v>14</v>
      </c>
      <c r="D11" s="66"/>
      <c r="E11" s="66"/>
      <c r="F11" s="8"/>
      <c r="G11" s="66" t="s">
        <v>3</v>
      </c>
      <c r="H11" s="73" t="str">
        <f>IF(F11="","",ROUND(F11/100*$H$5,2))</f>
        <v/>
      </c>
      <c r="I11" s="66" t="s">
        <v>4</v>
      </c>
      <c r="K11" s="69" t="str">
        <f>IF(F11="","Bitte ausfüllen!","")</f>
        <v>Bitte ausfüllen!</v>
      </c>
    </row>
    <row r="12" spans="1:11" x14ac:dyDescent="0.2">
      <c r="A12" s="66" t="s">
        <v>15</v>
      </c>
      <c r="B12" s="66"/>
      <c r="C12" s="66" t="s">
        <v>16</v>
      </c>
      <c r="D12" s="66"/>
      <c r="E12" s="66"/>
      <c r="F12" s="8"/>
      <c r="G12" s="66" t="s">
        <v>3</v>
      </c>
      <c r="H12" s="73" t="str">
        <f>IF(F12="","",ROUND(F12/100*$H$5,2))</f>
        <v/>
      </c>
      <c r="I12" s="66" t="s">
        <v>4</v>
      </c>
      <c r="K12" s="69" t="str">
        <f>IF(F12="","Bitte ausfüllen!","")</f>
        <v>Bitte ausfüllen!</v>
      </c>
    </row>
    <row r="13" spans="1:11" x14ac:dyDescent="0.2">
      <c r="A13" s="66" t="s">
        <v>17</v>
      </c>
      <c r="B13" s="66"/>
      <c r="C13" s="66" t="s">
        <v>18</v>
      </c>
      <c r="D13" s="66"/>
      <c r="E13" s="66"/>
      <c r="F13" s="8"/>
      <c r="G13" s="66" t="s">
        <v>3</v>
      </c>
      <c r="H13" s="73" t="str">
        <f>IF(F13="","",ROUND(F13/100*$H$5,2))</f>
        <v/>
      </c>
      <c r="I13" s="66" t="s">
        <v>4</v>
      </c>
      <c r="K13" s="69" t="str">
        <f>IF(F13="","Bitte ausfüllen!","")</f>
        <v>Bitte ausfüllen!</v>
      </c>
    </row>
    <row r="14" spans="1:11" x14ac:dyDescent="0.2">
      <c r="A14" s="67"/>
      <c r="B14" s="67" t="s">
        <v>19</v>
      </c>
      <c r="C14" s="67"/>
      <c r="D14" s="67"/>
      <c r="E14" s="67"/>
      <c r="F14" s="74">
        <f>IF(SUM(F9:F13)=0,0,SUM(F9:F13))</f>
        <v>0</v>
      </c>
      <c r="G14" s="67" t="s">
        <v>3</v>
      </c>
      <c r="H14" s="75" t="str">
        <f>IF(COUNTIF(F9:F13,"")&gt;0,"",SUM(H8:H13))</f>
        <v/>
      </c>
      <c r="I14" s="67" t="s">
        <v>4</v>
      </c>
      <c r="K14" s="69" t="str">
        <f>IF(H14="","Angaben offen!","")</f>
        <v>Angaben offen!</v>
      </c>
    </row>
    <row r="15" spans="1:11" x14ac:dyDescent="0.2">
      <c r="A15" s="66"/>
      <c r="B15" s="66"/>
      <c r="C15" s="66"/>
      <c r="D15" s="66"/>
      <c r="E15" s="66"/>
      <c r="F15" s="70"/>
      <c r="G15" s="66"/>
      <c r="H15" s="70"/>
      <c r="I15" s="66"/>
    </row>
    <row r="16" spans="1:11" x14ac:dyDescent="0.2">
      <c r="A16" s="67" t="s">
        <v>20</v>
      </c>
      <c r="B16" s="67" t="s">
        <v>21</v>
      </c>
      <c r="C16" s="67"/>
      <c r="D16" s="67"/>
      <c r="E16" s="67"/>
      <c r="F16" s="71"/>
      <c r="G16" s="67"/>
      <c r="H16" s="71"/>
      <c r="I16" s="67"/>
    </row>
    <row r="17" spans="1:14" ht="11.25" x14ac:dyDescent="0.2">
      <c r="A17" s="66" t="s">
        <v>22</v>
      </c>
      <c r="B17" s="66" t="s">
        <v>126</v>
      </c>
      <c r="C17" s="66"/>
      <c r="D17" s="8">
        <f>D73+D77</f>
        <v>8.75</v>
      </c>
      <c r="E17" s="66" t="s">
        <v>3</v>
      </c>
      <c r="F17" s="70"/>
      <c r="G17" s="66"/>
      <c r="H17" s="70"/>
      <c r="I17" s="66"/>
      <c r="K17" s="69" t="str">
        <f ca="1">IF(D17&lt;(D73+D77),"Wert prüfen!",IF(H61="","Inhalt der gelben Zellen kann angepasst werden.",""))</f>
        <v>Inhalt der gelben Zellen kann angepasst werden.</v>
      </c>
    </row>
    <row r="18" spans="1:14" x14ac:dyDescent="0.2">
      <c r="A18" s="66"/>
      <c r="B18" s="66" t="s">
        <v>23</v>
      </c>
      <c r="C18" s="66"/>
      <c r="D18" s="76">
        <f>(D17/100)*$F$14</f>
        <v>0</v>
      </c>
      <c r="E18" s="66" t="s">
        <v>3</v>
      </c>
      <c r="F18" s="77">
        <f>IF(D18="","",D17+D18)</f>
        <v>8.75</v>
      </c>
      <c r="G18" s="66" t="s">
        <v>3</v>
      </c>
      <c r="H18" s="73">
        <f>IF(D18="","",ROUND(F18/100*$H$5,2))</f>
        <v>1.31</v>
      </c>
      <c r="I18" s="66" t="s">
        <v>4</v>
      </c>
      <c r="K18" s="69"/>
    </row>
    <row r="19" spans="1:14" ht="11.25" x14ac:dyDescent="0.2">
      <c r="A19" s="66" t="s">
        <v>24</v>
      </c>
      <c r="B19" s="66" t="s">
        <v>127</v>
      </c>
      <c r="C19" s="66"/>
      <c r="D19" s="8">
        <f>D74</f>
        <v>9.3000000000000007</v>
      </c>
      <c r="E19" s="66" t="s">
        <v>3</v>
      </c>
      <c r="F19" s="78"/>
      <c r="G19" s="66"/>
      <c r="H19" s="70"/>
      <c r="I19" s="66"/>
      <c r="K19" s="69" t="str">
        <f ca="1">IF(D19&lt;&gt;D74,"Wert prüfen!",IF(H61="","Inhalt der gelben Zellen kann angepasst werden.",""))</f>
        <v>Inhalt der gelben Zellen kann angepasst werden.</v>
      </c>
    </row>
    <row r="20" spans="1:14" x14ac:dyDescent="0.2">
      <c r="A20" s="66"/>
      <c r="B20" s="66" t="s">
        <v>25</v>
      </c>
      <c r="C20" s="66"/>
      <c r="D20" s="76">
        <f>(D19/100)*$F$14</f>
        <v>0</v>
      </c>
      <c r="E20" s="66" t="s">
        <v>3</v>
      </c>
      <c r="F20" s="77">
        <f>IF(D20="","",D19+D20)</f>
        <v>9.3000000000000007</v>
      </c>
      <c r="G20" s="66" t="s">
        <v>3</v>
      </c>
      <c r="H20" s="73">
        <f>IF(D20="","",ROUND(F20/100*$H$5,2))</f>
        <v>1.4</v>
      </c>
      <c r="I20" s="66" t="s">
        <v>4</v>
      </c>
      <c r="K20" s="69"/>
    </row>
    <row r="21" spans="1:14" ht="11.25" x14ac:dyDescent="0.2">
      <c r="A21" s="66" t="s">
        <v>26</v>
      </c>
      <c r="B21" s="66" t="s">
        <v>128</v>
      </c>
      <c r="C21" s="66"/>
      <c r="D21" s="8">
        <f>D75</f>
        <v>1.3</v>
      </c>
      <c r="E21" s="66" t="s">
        <v>3</v>
      </c>
      <c r="F21" s="78"/>
      <c r="G21" s="66"/>
      <c r="H21" s="70"/>
      <c r="I21" s="66"/>
      <c r="K21" s="69" t="str">
        <f ca="1">IF(D21&lt;&gt;D75,"Wert prüfen!",IF(H61="","Inhalt der gelben Zellen kann angepasst werden.",""))</f>
        <v>Inhalt der gelben Zellen kann angepasst werden.</v>
      </c>
    </row>
    <row r="22" spans="1:14" x14ac:dyDescent="0.2">
      <c r="A22" s="66"/>
      <c r="B22" s="66" t="s">
        <v>27</v>
      </c>
      <c r="C22" s="66"/>
      <c r="D22" s="76">
        <f>(D21/100)*$F$14</f>
        <v>0</v>
      </c>
      <c r="E22" s="66" t="s">
        <v>3</v>
      </c>
      <c r="F22" s="77">
        <f>IF(D22="","",D21+D22)</f>
        <v>1.3</v>
      </c>
      <c r="G22" s="66" t="s">
        <v>3</v>
      </c>
      <c r="H22" s="73">
        <f>IF(D22="","",ROUND(F22/100*$H$5,2))</f>
        <v>0.2</v>
      </c>
      <c r="I22" s="66" t="s">
        <v>4</v>
      </c>
      <c r="K22" s="69"/>
    </row>
    <row r="23" spans="1:14" ht="11.25" x14ac:dyDescent="0.2">
      <c r="A23" s="66" t="s">
        <v>28</v>
      </c>
      <c r="B23" s="66" t="s">
        <v>129</v>
      </c>
      <c r="C23" s="66"/>
      <c r="D23" s="8">
        <f>D76</f>
        <v>1.8</v>
      </c>
      <c r="E23" s="66" t="s">
        <v>3</v>
      </c>
      <c r="F23" s="78"/>
      <c r="G23" s="66"/>
      <c r="H23" s="70"/>
      <c r="I23" s="66"/>
      <c r="K23" s="69" t="str">
        <f ca="1">IF(D23&lt;&gt;D76,"Wert prüfen!",IF(H61="","Inhalt der gelben Zellen kann angepasst werden.",""))</f>
        <v>Inhalt der gelben Zellen kann angepasst werden.</v>
      </c>
      <c r="L23" s="25"/>
      <c r="M23" s="25"/>
      <c r="N23" s="25"/>
    </row>
    <row r="24" spans="1:14" x14ac:dyDescent="0.2">
      <c r="A24" s="66"/>
      <c r="B24" s="66" t="s">
        <v>29</v>
      </c>
      <c r="C24" s="66"/>
      <c r="D24" s="76">
        <f>(D23/100)*$F$14</f>
        <v>0</v>
      </c>
      <c r="E24" s="66" t="s">
        <v>3</v>
      </c>
      <c r="F24" s="77">
        <f>IF(D24="","",D23+D24)</f>
        <v>1.8</v>
      </c>
      <c r="G24" s="66" t="s">
        <v>3</v>
      </c>
      <c r="H24" s="73">
        <f>IF(D24="","",ROUND(F24/100*$H$5,2))</f>
        <v>0.27</v>
      </c>
      <c r="I24" s="66" t="s">
        <v>4</v>
      </c>
      <c r="K24" s="69"/>
    </row>
    <row r="25" spans="1:14" ht="11.25" x14ac:dyDescent="0.2">
      <c r="A25" s="66" t="s">
        <v>30</v>
      </c>
      <c r="B25" s="66" t="s">
        <v>130</v>
      </c>
      <c r="C25" s="66"/>
      <c r="D25" s="8"/>
      <c r="E25" s="66" t="s">
        <v>3</v>
      </c>
      <c r="F25" s="78"/>
      <c r="G25" s="66"/>
      <c r="H25" s="70"/>
      <c r="I25" s="66"/>
      <c r="K25" s="69" t="str">
        <f>IF(D25="","Bitte ausfüllen!","")</f>
        <v>Bitte ausfüllen!</v>
      </c>
    </row>
    <row r="26" spans="1:14" x14ac:dyDescent="0.2">
      <c r="A26" s="66"/>
      <c r="B26" s="66" t="s">
        <v>31</v>
      </c>
      <c r="C26" s="66"/>
      <c r="D26" s="76">
        <f>(D25/100)*$F$14</f>
        <v>0</v>
      </c>
      <c r="E26" s="66" t="s">
        <v>3</v>
      </c>
      <c r="F26" s="77">
        <f>IF(D26="","",D25+D26)</f>
        <v>0</v>
      </c>
      <c r="G26" s="66" t="s">
        <v>3</v>
      </c>
      <c r="H26" s="73">
        <f>IF(D26="","",ROUND(F26/100*$H$5,2))</f>
        <v>0</v>
      </c>
      <c r="I26" s="66" t="s">
        <v>4</v>
      </c>
      <c r="K26" s="69"/>
    </row>
    <row r="27" spans="1:14" ht="11.25" x14ac:dyDescent="0.2">
      <c r="A27" s="66" t="s">
        <v>32</v>
      </c>
      <c r="B27" s="66" t="s">
        <v>131</v>
      </c>
      <c r="C27" s="66"/>
      <c r="D27" s="66"/>
      <c r="E27" s="66"/>
      <c r="F27" s="8"/>
      <c r="G27" s="66" t="s">
        <v>3</v>
      </c>
      <c r="H27" s="73" t="str">
        <f>IF(F27="","",ROUND(F27/100*$H$5,2))</f>
        <v/>
      </c>
      <c r="I27" s="66" t="s">
        <v>4</v>
      </c>
      <c r="K27" s="69" t="str">
        <f>IF(F27="","Bitte ausfüllen!","")</f>
        <v>Bitte ausfüllen!</v>
      </c>
    </row>
    <row r="28" spans="1:14" ht="11.25" x14ac:dyDescent="0.2">
      <c r="A28" s="66" t="s">
        <v>33</v>
      </c>
      <c r="B28" s="66" t="s">
        <v>132</v>
      </c>
      <c r="C28" s="66"/>
      <c r="D28" s="66"/>
      <c r="E28" s="66"/>
      <c r="F28" s="8">
        <f>D79</f>
        <v>0.15</v>
      </c>
      <c r="G28" s="66" t="s">
        <v>3</v>
      </c>
      <c r="H28" s="73">
        <f>IF(F28="","",ROUND(F28/100*$H$5,2))</f>
        <v>0.02</v>
      </c>
      <c r="I28" s="66" t="s">
        <v>4</v>
      </c>
      <c r="K28" s="69" t="str">
        <f ca="1">IF(F28&lt;&gt;D79,"Wert prüfen!",IF(H61="","Inhalt der gelben Zellen kann angepasst werden.",""))</f>
        <v>Inhalt der gelben Zellen kann angepasst werden.</v>
      </c>
    </row>
    <row r="29" spans="1:14" ht="25.5" customHeight="1" x14ac:dyDescent="0.2">
      <c r="A29" s="67"/>
      <c r="B29" s="149" t="s">
        <v>34</v>
      </c>
      <c r="C29" s="149"/>
      <c r="D29" s="67"/>
      <c r="E29" s="67"/>
      <c r="F29" s="74">
        <f>IF(SUM(F17:F28)=0,0,SUM(F17:F28)+F14)</f>
        <v>21.3</v>
      </c>
      <c r="G29" s="67" t="s">
        <v>3</v>
      </c>
      <c r="H29" s="75" t="str">
        <f>IF(OR(COUNTIF(D17:D26,"")&gt;0,COUNTIF(F27:F28,"")&gt;0),"",SUM(H17:H28)+H14)</f>
        <v/>
      </c>
      <c r="I29" s="67" t="s">
        <v>4</v>
      </c>
      <c r="K29" s="69" t="str">
        <f>IF(H29="","Angaben offen!","")</f>
        <v>Angaben offen!</v>
      </c>
    </row>
    <row r="30" spans="1:14" x14ac:dyDescent="0.2">
      <c r="A30" s="66"/>
      <c r="B30" s="66"/>
      <c r="C30" s="66"/>
      <c r="D30" s="66"/>
      <c r="E30" s="66"/>
      <c r="F30" s="70"/>
      <c r="G30" s="66"/>
      <c r="H30" s="70"/>
      <c r="I30" s="66"/>
    </row>
    <row r="31" spans="1:14" x14ac:dyDescent="0.2">
      <c r="A31" s="66"/>
      <c r="B31" s="67" t="s">
        <v>35</v>
      </c>
      <c r="C31" s="66"/>
      <c r="D31" s="66"/>
      <c r="E31" s="66"/>
      <c r="F31" s="70"/>
      <c r="G31" s="66"/>
      <c r="H31" s="70"/>
      <c r="I31" s="66"/>
    </row>
    <row r="32" spans="1:14" x14ac:dyDescent="0.2">
      <c r="A32" s="66" t="s">
        <v>36</v>
      </c>
      <c r="B32" s="66" t="s">
        <v>37</v>
      </c>
      <c r="C32" s="66"/>
      <c r="D32" s="66"/>
      <c r="E32" s="66"/>
      <c r="F32" s="8"/>
      <c r="G32" s="66" t="s">
        <v>3</v>
      </c>
      <c r="H32" s="73" t="str">
        <f>IF(F32="","",ROUND(F32/100*$H$5,2))</f>
        <v/>
      </c>
      <c r="I32" s="66" t="s">
        <v>4</v>
      </c>
      <c r="K32" s="69" t="str">
        <f>IF(F32="","Bitte ausfüllen!","")</f>
        <v>Bitte ausfüllen!</v>
      </c>
    </row>
    <row r="33" spans="1:11" x14ac:dyDescent="0.2">
      <c r="A33" s="66" t="s">
        <v>38</v>
      </c>
      <c r="B33" s="66" t="s">
        <v>39</v>
      </c>
      <c r="C33" s="66"/>
      <c r="D33" s="66"/>
      <c r="E33" s="66"/>
      <c r="F33" s="8"/>
      <c r="G33" s="66" t="s">
        <v>3</v>
      </c>
      <c r="H33" s="73" t="str">
        <f>IF(F33="","",ROUND(F33/100*$H$5,2))</f>
        <v/>
      </c>
      <c r="I33" s="66" t="s">
        <v>4</v>
      </c>
      <c r="K33" s="69" t="str">
        <f>IF(F33="","Bitte ausfüllen!","")</f>
        <v>Bitte ausfüllen!</v>
      </c>
    </row>
    <row r="34" spans="1:11" ht="25.5" customHeight="1" x14ac:dyDescent="0.2">
      <c r="A34" s="67"/>
      <c r="B34" s="149" t="s">
        <v>40</v>
      </c>
      <c r="C34" s="149"/>
      <c r="D34" s="67"/>
      <c r="E34" s="67"/>
      <c r="F34" s="74">
        <f>IF(SUM(F32:F33)=0,0,SUM(F32:F33)+F29)</f>
        <v>0</v>
      </c>
      <c r="G34" s="67" t="s">
        <v>3</v>
      </c>
      <c r="H34" s="75" t="str">
        <f>IF(COUNTIF(H32:H33,"")&gt;0,"",SUM(H32:H33)+H29)</f>
        <v/>
      </c>
      <c r="I34" s="67" t="s">
        <v>4</v>
      </c>
      <c r="K34" s="69" t="str">
        <f>IF(H34="","Angaben offen!","")</f>
        <v>Angaben offen!</v>
      </c>
    </row>
    <row r="35" spans="1:11" x14ac:dyDescent="0.2">
      <c r="A35" s="66"/>
      <c r="B35" s="66"/>
      <c r="C35" s="66"/>
      <c r="D35" s="66"/>
      <c r="E35" s="66"/>
      <c r="F35" s="70"/>
      <c r="G35" s="66"/>
      <c r="H35" s="70"/>
      <c r="I35" s="66"/>
    </row>
    <row r="36" spans="1:11" x14ac:dyDescent="0.2">
      <c r="A36" s="67" t="s">
        <v>41</v>
      </c>
      <c r="B36" s="67" t="s">
        <v>42</v>
      </c>
      <c r="C36" s="67"/>
      <c r="D36" s="67"/>
      <c r="E36" s="67"/>
      <c r="F36" s="71"/>
      <c r="G36" s="67"/>
      <c r="H36" s="71"/>
      <c r="I36" s="67"/>
    </row>
    <row r="37" spans="1:11" x14ac:dyDescent="0.2">
      <c r="A37" s="66" t="s">
        <v>43</v>
      </c>
      <c r="B37" s="66" t="s">
        <v>44</v>
      </c>
      <c r="C37" s="66"/>
      <c r="D37" s="66"/>
      <c r="E37" s="66"/>
      <c r="F37" s="70"/>
      <c r="G37" s="66"/>
      <c r="H37" s="70"/>
      <c r="I37" s="66"/>
    </row>
    <row r="38" spans="1:11" x14ac:dyDescent="0.2">
      <c r="A38" s="66"/>
      <c r="B38" s="66" t="s">
        <v>45</v>
      </c>
      <c r="C38" s="66"/>
      <c r="D38" s="66"/>
      <c r="E38" s="66"/>
      <c r="F38" s="8"/>
      <c r="G38" s="66" t="s">
        <v>3</v>
      </c>
      <c r="H38" s="73" t="str">
        <f>IF(F38="","",ROUND(F38/100*$H$5,2))</f>
        <v/>
      </c>
      <c r="I38" s="66" t="s">
        <v>4</v>
      </c>
      <c r="K38" s="69" t="str">
        <f>IF(F38="","Bitte ausfüllen!","")</f>
        <v>Bitte ausfüllen!</v>
      </c>
    </row>
    <row r="39" spans="1:11" x14ac:dyDescent="0.2">
      <c r="A39" s="66" t="s">
        <v>46</v>
      </c>
      <c r="B39" s="66" t="s">
        <v>47</v>
      </c>
      <c r="C39" s="66"/>
      <c r="D39" s="66"/>
      <c r="E39" s="66"/>
      <c r="F39" s="8"/>
      <c r="G39" s="66" t="s">
        <v>3</v>
      </c>
      <c r="H39" s="73" t="str">
        <f>IF(F39="","",ROUND(F39/100*$H$5,2))</f>
        <v/>
      </c>
      <c r="I39" s="66" t="s">
        <v>4</v>
      </c>
      <c r="K39" s="69" t="str">
        <f>IF(F39="","Bitte ausfüllen!","")</f>
        <v>Bitte ausfüllen!</v>
      </c>
    </row>
    <row r="40" spans="1:11" x14ac:dyDescent="0.2">
      <c r="A40" s="66" t="s">
        <v>48</v>
      </c>
      <c r="B40" s="66" t="s">
        <v>49</v>
      </c>
      <c r="C40" s="66"/>
      <c r="D40" s="66"/>
      <c r="E40" s="66"/>
      <c r="F40" s="8"/>
      <c r="G40" s="66" t="s">
        <v>3</v>
      </c>
      <c r="H40" s="73" t="str">
        <f>IF(F40="","",ROUND(F40/100*$H$5,2))</f>
        <v/>
      </c>
      <c r="I40" s="66" t="s">
        <v>4</v>
      </c>
      <c r="K40" s="69" t="str">
        <f>IF(F40="","Bitte ausfüllen!","")</f>
        <v>Bitte ausfüllen!</v>
      </c>
    </row>
    <row r="41" spans="1:11" x14ac:dyDescent="0.2">
      <c r="A41" s="66" t="s">
        <v>50</v>
      </c>
      <c r="B41" s="66" t="s">
        <v>51</v>
      </c>
      <c r="C41" s="66"/>
      <c r="D41" s="66"/>
      <c r="E41" s="66"/>
      <c r="F41" s="8"/>
      <c r="G41" s="66" t="s">
        <v>3</v>
      </c>
      <c r="H41" s="73" t="str">
        <f>IF(F41="","",ROUND(F41/100*$H$5,2))</f>
        <v/>
      </c>
      <c r="I41" s="66" t="s">
        <v>4</v>
      </c>
      <c r="K41" s="69" t="str">
        <f>IF(F41="","Bitte ausfüllen!","")</f>
        <v>Bitte ausfüllen!</v>
      </c>
    </row>
    <row r="42" spans="1:11" ht="25.5" customHeight="1" x14ac:dyDescent="0.2">
      <c r="A42" s="67"/>
      <c r="B42" s="149" t="s">
        <v>52</v>
      </c>
      <c r="C42" s="149"/>
      <c r="D42" s="67"/>
      <c r="E42" s="67"/>
      <c r="F42" s="74">
        <f>IF(SUM(F38:F41)=0,0,SUM(F38:F41))</f>
        <v>0</v>
      </c>
      <c r="G42" s="67" t="s">
        <v>3</v>
      </c>
      <c r="H42" s="75" t="str">
        <f>IF(COUNTIF(H38:H41,"")&gt;0,"",SUM(H38:H41))</f>
        <v/>
      </c>
      <c r="I42" s="67" t="s">
        <v>4</v>
      </c>
      <c r="K42" s="69" t="str">
        <f>IF(H42="","Angaben offen!","")</f>
        <v>Angaben offen!</v>
      </c>
    </row>
    <row r="43" spans="1:11" x14ac:dyDescent="0.2">
      <c r="A43" s="66"/>
      <c r="B43" s="66"/>
      <c r="C43" s="66"/>
      <c r="D43" s="66"/>
      <c r="E43" s="66"/>
      <c r="F43" s="70"/>
      <c r="G43" s="66"/>
      <c r="H43" s="70"/>
      <c r="I43" s="66"/>
    </row>
    <row r="44" spans="1:11" x14ac:dyDescent="0.2">
      <c r="A44" s="67" t="s">
        <v>53</v>
      </c>
      <c r="B44" s="67" t="s">
        <v>54</v>
      </c>
      <c r="C44" s="67"/>
      <c r="D44" s="67"/>
      <c r="E44" s="67"/>
      <c r="F44" s="67"/>
      <c r="G44" s="67"/>
      <c r="H44" s="67"/>
      <c r="I44" s="67"/>
    </row>
    <row r="45" spans="1:11" x14ac:dyDescent="0.2">
      <c r="A45" s="66" t="s">
        <v>55</v>
      </c>
      <c r="B45" s="66" t="s">
        <v>56</v>
      </c>
      <c r="C45" s="66"/>
      <c r="D45" s="66"/>
      <c r="E45" s="66"/>
      <c r="F45" s="66"/>
      <c r="G45" s="66"/>
      <c r="H45" s="66"/>
      <c r="I45" s="66"/>
    </row>
    <row r="46" spans="1:11" x14ac:dyDescent="0.2">
      <c r="A46" s="66" t="s">
        <v>57</v>
      </c>
      <c r="B46" s="66"/>
      <c r="C46" s="66" t="s">
        <v>58</v>
      </c>
      <c r="D46" s="66"/>
      <c r="E46" s="66"/>
      <c r="F46" s="8"/>
      <c r="G46" s="66" t="s">
        <v>3</v>
      </c>
      <c r="H46" s="73" t="str">
        <f>IF(F46="","",ROUND(F46/100*$H$5,2))</f>
        <v/>
      </c>
      <c r="I46" s="66" t="s">
        <v>4</v>
      </c>
      <c r="K46" s="69" t="str">
        <f>IF(F46="","Bitte ausfüllen!","")</f>
        <v>Bitte ausfüllen!</v>
      </c>
    </row>
    <row r="47" spans="1:11" x14ac:dyDescent="0.2">
      <c r="A47" s="66" t="s">
        <v>59</v>
      </c>
      <c r="B47" s="66"/>
      <c r="C47" s="66" t="s">
        <v>125</v>
      </c>
      <c r="D47" s="66"/>
      <c r="E47" s="66"/>
      <c r="F47" s="8"/>
      <c r="G47" s="66" t="s">
        <v>3</v>
      </c>
      <c r="H47" s="73" t="str">
        <f>IF(F47="","",ROUND(F47/100*$H$5,2))</f>
        <v/>
      </c>
      <c r="I47" s="66" t="s">
        <v>4</v>
      </c>
      <c r="K47" s="69" t="str">
        <f>IF(F47="","Bitte ausfüllen!","")</f>
        <v>Bitte ausfüllen!</v>
      </c>
    </row>
    <row r="48" spans="1:11" x14ac:dyDescent="0.2">
      <c r="A48" s="66" t="s">
        <v>60</v>
      </c>
      <c r="B48" s="66" t="s">
        <v>61</v>
      </c>
      <c r="C48" s="66"/>
      <c r="D48" s="66"/>
      <c r="E48" s="66"/>
      <c r="F48" s="8"/>
      <c r="G48" s="66" t="s">
        <v>3</v>
      </c>
      <c r="H48" s="73" t="str">
        <f>IF(F48="","",ROUND(F48/100*$H$5,2))</f>
        <v/>
      </c>
      <c r="I48" s="66" t="s">
        <v>4</v>
      </c>
      <c r="K48" s="69" t="str">
        <f>IF(F48="","Bitte ausfüllen!","")</f>
        <v>Bitte ausfüllen!</v>
      </c>
    </row>
    <row r="49" spans="1:11" x14ac:dyDescent="0.2">
      <c r="A49" s="66" t="s">
        <v>62</v>
      </c>
      <c r="B49" s="66" t="s">
        <v>63</v>
      </c>
      <c r="C49" s="66"/>
      <c r="D49" s="66"/>
      <c r="E49" s="66"/>
      <c r="F49" s="66"/>
      <c r="G49" s="66"/>
      <c r="H49" s="66"/>
      <c r="I49" s="66"/>
    </row>
    <row r="50" spans="1:11" x14ac:dyDescent="0.2">
      <c r="A50" s="66" t="s">
        <v>64</v>
      </c>
      <c r="B50" s="66"/>
      <c r="C50" s="66" t="s">
        <v>65</v>
      </c>
      <c r="D50" s="66"/>
      <c r="E50" s="66"/>
      <c r="F50" s="8"/>
      <c r="G50" s="66" t="s">
        <v>3</v>
      </c>
      <c r="H50" s="73" t="str">
        <f t="shared" ref="H50:H56" si="0">IF(F50="","",ROUND(F50/100*$H$5,2))</f>
        <v/>
      </c>
      <c r="I50" s="66" t="s">
        <v>4</v>
      </c>
      <c r="K50" s="69" t="str">
        <f t="shared" ref="K50:K56" si="1">IF(F50="","Bitte ausfüllen!","")</f>
        <v>Bitte ausfüllen!</v>
      </c>
    </row>
    <row r="51" spans="1:11" x14ac:dyDescent="0.2">
      <c r="A51" s="66" t="s">
        <v>66</v>
      </c>
      <c r="B51" s="66"/>
      <c r="C51" s="66" t="s">
        <v>67</v>
      </c>
      <c r="D51" s="66"/>
      <c r="E51" s="66"/>
      <c r="F51" s="8"/>
      <c r="G51" s="66" t="s">
        <v>3</v>
      </c>
      <c r="H51" s="73" t="str">
        <f t="shared" si="0"/>
        <v/>
      </c>
      <c r="I51" s="66" t="s">
        <v>4</v>
      </c>
      <c r="K51" s="69" t="str">
        <f t="shared" si="1"/>
        <v>Bitte ausfüllen!</v>
      </c>
    </row>
    <row r="52" spans="1:11" x14ac:dyDescent="0.2">
      <c r="A52" s="66" t="s">
        <v>68</v>
      </c>
      <c r="B52" s="66" t="s">
        <v>69</v>
      </c>
      <c r="C52" s="66"/>
      <c r="D52" s="66"/>
      <c r="E52" s="66"/>
      <c r="F52" s="8"/>
      <c r="G52" s="66" t="s">
        <v>3</v>
      </c>
      <c r="H52" s="73" t="str">
        <f t="shared" si="0"/>
        <v/>
      </c>
      <c r="I52" s="66" t="s">
        <v>4</v>
      </c>
      <c r="K52" s="69" t="str">
        <f t="shared" si="1"/>
        <v>Bitte ausfüllen!</v>
      </c>
    </row>
    <row r="53" spans="1:11" x14ac:dyDescent="0.2">
      <c r="A53" s="66" t="s">
        <v>70</v>
      </c>
      <c r="B53" s="66" t="s">
        <v>71</v>
      </c>
      <c r="C53" s="66"/>
      <c r="D53" s="66"/>
      <c r="E53" s="66"/>
      <c r="F53" s="8"/>
      <c r="G53" s="66" t="s">
        <v>3</v>
      </c>
      <c r="H53" s="73" t="str">
        <f t="shared" si="0"/>
        <v/>
      </c>
      <c r="I53" s="66" t="s">
        <v>4</v>
      </c>
      <c r="K53" s="69" t="str">
        <f t="shared" si="1"/>
        <v>Bitte ausfüllen!</v>
      </c>
    </row>
    <row r="54" spans="1:11" x14ac:dyDescent="0.2">
      <c r="A54" s="66" t="s">
        <v>72</v>
      </c>
      <c r="B54" s="66" t="s">
        <v>73</v>
      </c>
      <c r="C54" s="66"/>
      <c r="D54" s="66"/>
      <c r="E54" s="66"/>
      <c r="F54" s="8"/>
      <c r="G54" s="66" t="s">
        <v>3</v>
      </c>
      <c r="H54" s="73" t="str">
        <f t="shared" si="0"/>
        <v/>
      </c>
      <c r="I54" s="66" t="s">
        <v>4</v>
      </c>
      <c r="K54" s="69" t="str">
        <f t="shared" si="1"/>
        <v>Bitte ausfüllen!</v>
      </c>
    </row>
    <row r="55" spans="1:11" x14ac:dyDescent="0.2">
      <c r="A55" s="66" t="s">
        <v>74</v>
      </c>
      <c r="B55" s="66" t="s">
        <v>75</v>
      </c>
      <c r="C55" s="66"/>
      <c r="D55" s="66"/>
      <c r="E55" s="66"/>
      <c r="F55" s="8"/>
      <c r="G55" s="66" t="s">
        <v>3</v>
      </c>
      <c r="H55" s="73" t="str">
        <f t="shared" si="0"/>
        <v/>
      </c>
      <c r="I55" s="66" t="s">
        <v>4</v>
      </c>
      <c r="K55" s="69" t="str">
        <f t="shared" si="1"/>
        <v>Bitte ausfüllen!</v>
      </c>
    </row>
    <row r="56" spans="1:11" x14ac:dyDescent="0.2">
      <c r="A56" s="66" t="s">
        <v>76</v>
      </c>
      <c r="B56" s="66" t="s">
        <v>77</v>
      </c>
      <c r="C56" s="66"/>
      <c r="D56" s="66"/>
      <c r="E56" s="66"/>
      <c r="F56" s="8"/>
      <c r="G56" s="66" t="s">
        <v>3</v>
      </c>
      <c r="H56" s="73" t="str">
        <f t="shared" si="0"/>
        <v/>
      </c>
      <c r="I56" s="66" t="s">
        <v>4</v>
      </c>
      <c r="K56" s="69" t="str">
        <f t="shared" si="1"/>
        <v>Bitte ausfüllen!</v>
      </c>
    </row>
    <row r="57" spans="1:11" ht="25.5" customHeight="1" x14ac:dyDescent="0.2">
      <c r="A57" s="67"/>
      <c r="B57" s="149" t="s">
        <v>78</v>
      </c>
      <c r="C57" s="149"/>
      <c r="D57" s="67"/>
      <c r="E57" s="67"/>
      <c r="F57" s="74">
        <f>IF(SUM(F45:F56)=0,0,SUM(F45:F56))</f>
        <v>0</v>
      </c>
      <c r="G57" s="67" t="s">
        <v>3</v>
      </c>
      <c r="H57" s="75" t="str">
        <f>IF(COUNTIF(H46:H56,"")&gt;1,"",SUM(H46:H56))</f>
        <v/>
      </c>
      <c r="I57" s="67" t="s">
        <v>4</v>
      </c>
      <c r="K57" s="69" t="str">
        <f>IF(H57="","Angaben offen!","")</f>
        <v>Angaben offen!</v>
      </c>
    </row>
    <row r="58" spans="1:11" x14ac:dyDescent="0.2">
      <c r="A58" s="66"/>
      <c r="B58" s="66"/>
      <c r="C58" s="66"/>
      <c r="D58" s="66"/>
      <c r="E58" s="66"/>
      <c r="F58" s="70"/>
      <c r="G58" s="66"/>
      <c r="H58" s="70"/>
      <c r="I58" s="66"/>
    </row>
    <row r="59" spans="1:11" x14ac:dyDescent="0.2">
      <c r="A59" s="67" t="s">
        <v>79</v>
      </c>
      <c r="B59" s="148" t="s">
        <v>80</v>
      </c>
      <c r="C59" s="148"/>
      <c r="D59" s="67"/>
      <c r="E59" s="67"/>
      <c r="F59" s="79">
        <f>IF(AND(F34=""),0,F34+F42+F57+F5)</f>
        <v>100</v>
      </c>
      <c r="G59" s="67" t="s">
        <v>3</v>
      </c>
      <c r="H59" s="71" t="str">
        <f>IF(H57="","",H34+H42+H57+H5)</f>
        <v/>
      </c>
      <c r="I59" s="67" t="s">
        <v>4</v>
      </c>
    </row>
    <row r="60" spans="1:11" x14ac:dyDescent="0.2">
      <c r="A60" s="67" t="s">
        <v>81</v>
      </c>
      <c r="B60" s="67" t="s">
        <v>82</v>
      </c>
      <c r="C60" s="67"/>
      <c r="D60" s="67"/>
      <c r="E60" s="67"/>
      <c r="F60" s="8"/>
      <c r="G60" s="67" t="s">
        <v>3</v>
      </c>
      <c r="H60" s="75" t="str">
        <f>IF(F60="","",ROUND(F60/100*H59,2))</f>
        <v/>
      </c>
      <c r="I60" s="67" t="s">
        <v>4</v>
      </c>
      <c r="K60" s="69" t="str">
        <f>IF(F60="","Bitte ausfüllen!","")</f>
        <v>Bitte ausfüllen!</v>
      </c>
    </row>
    <row r="61" spans="1:11" x14ac:dyDescent="0.2">
      <c r="A61" s="67"/>
      <c r="B61" s="67" t="s">
        <v>83</v>
      </c>
      <c r="C61" s="67"/>
      <c r="D61" s="67"/>
      <c r="E61" s="67"/>
      <c r="F61" s="74">
        <f ca="1">IF(H61="",0,H61/H5*100)</f>
        <v>0</v>
      </c>
      <c r="G61" s="67" t="s">
        <v>3</v>
      </c>
      <c r="H61" s="75" t="str">
        <f ca="1">IF(SUM(COUNTIF(INDIRECT({"H5","F9:F13","D17:D26","F27:F28","F32:F33","F38:F41","F46:F48","F50:F56","F60","H65:H68"}),""))&gt;0,"",H59+H60)</f>
        <v/>
      </c>
      <c r="I61" s="67" t="s">
        <v>4</v>
      </c>
      <c r="K61" s="69" t="str">
        <f ca="1">IF(SUM(COUNTIF(INDIRECT({"H5","F9:F13","D17:D26","F27:F28","F32:F33","F38:F41","F46:F48","F50:F56","F60","H65:H68"}),""))&gt;0,SUM(COUNTIF(INDIRECT({"H5","F9:F13","D17:D26","F27:F28","F32:F33","F38:F41","F46:F48","F50:F56","F60","H65:H68"}),"")) &amp;" Zelle(n) ohne Wert!","")</f>
        <v>28 Zelle(n) ohne Wert!</v>
      </c>
    </row>
    <row r="62" spans="1:11" x14ac:dyDescent="0.2">
      <c r="A62" s="66"/>
      <c r="B62" s="66" t="s">
        <v>84</v>
      </c>
      <c r="C62" s="66"/>
      <c r="D62" s="66"/>
      <c r="E62" s="66"/>
      <c r="F62" s="74">
        <f ca="1">IF(F61=0,0,F61-F5)</f>
        <v>0</v>
      </c>
      <c r="G62" s="66" t="s">
        <v>3</v>
      </c>
      <c r="H62" s="66"/>
      <c r="I62" s="66"/>
      <c r="K62" s="69" t="str">
        <f ca="1">IF(F62&lt;70,"Bitte prüfen gemäß Aufforderung!","")</f>
        <v>Bitte prüfen gemäß Aufforderung!</v>
      </c>
    </row>
    <row r="63" spans="1:11" x14ac:dyDescent="0.2">
      <c r="A63" s="66"/>
      <c r="B63" s="66"/>
      <c r="C63" s="66"/>
      <c r="D63" s="66"/>
      <c r="E63" s="66"/>
      <c r="F63" s="66"/>
      <c r="G63" s="66"/>
      <c r="H63" s="66"/>
      <c r="I63" s="66"/>
    </row>
    <row r="64" spans="1:11" x14ac:dyDescent="0.2">
      <c r="B64" s="67" t="s">
        <v>85</v>
      </c>
      <c r="D64" s="67"/>
      <c r="E64" s="67"/>
      <c r="G64" s="67"/>
      <c r="H64" s="71" t="s">
        <v>86</v>
      </c>
    </row>
    <row r="65" spans="1:11" x14ac:dyDescent="0.2">
      <c r="B65" s="66" t="s">
        <v>87</v>
      </c>
      <c r="D65" s="66"/>
      <c r="E65" s="66"/>
      <c r="G65" s="80"/>
      <c r="H65" s="9"/>
      <c r="K65" s="69" t="str">
        <f>IF(H65="","Bitte ausfüllen!","")</f>
        <v>Bitte ausfüllen!</v>
      </c>
    </row>
    <row r="66" spans="1:11" x14ac:dyDescent="0.2">
      <c r="B66" s="66" t="s">
        <v>88</v>
      </c>
      <c r="D66" s="66"/>
      <c r="E66" s="66"/>
      <c r="G66" s="80"/>
      <c r="H66" s="10"/>
      <c r="K66" s="69" t="str">
        <f>IF(H66="","Bitte ausfüllen!","")</f>
        <v>Bitte ausfüllen!</v>
      </c>
    </row>
    <row r="67" spans="1:11" x14ac:dyDescent="0.2">
      <c r="B67" s="66" t="s">
        <v>89</v>
      </c>
      <c r="D67" s="66"/>
      <c r="E67" s="66"/>
      <c r="G67" s="80"/>
      <c r="H67" s="11"/>
      <c r="K67" s="69" t="str">
        <f>IF(H67="","Bitte ausfüllen!","")</f>
        <v>Bitte ausfüllen!</v>
      </c>
    </row>
    <row r="68" spans="1:11" x14ac:dyDescent="0.2">
      <c r="B68" s="66" t="s">
        <v>90</v>
      </c>
      <c r="D68" s="66"/>
      <c r="E68" s="66"/>
      <c r="G68" s="80"/>
      <c r="H68" s="10"/>
      <c r="K68" s="69" t="str">
        <f>IF(H68="","Bitte ausfüllen!","")</f>
        <v>Bitte ausfüllen!</v>
      </c>
    </row>
    <row r="70" spans="1:11" x14ac:dyDescent="0.2">
      <c r="C70" s="54"/>
      <c r="D70" s="4"/>
    </row>
    <row r="71" spans="1:11" ht="15.95" customHeight="1" x14ac:dyDescent="0.2">
      <c r="A71" s="139" t="s">
        <v>194</v>
      </c>
      <c r="B71" s="139"/>
      <c r="C71" s="139"/>
      <c r="D71" s="139" t="s">
        <v>195</v>
      </c>
      <c r="F71" s="141" t="s">
        <v>138</v>
      </c>
      <c r="G71" s="142"/>
      <c r="H71" s="143"/>
    </row>
    <row r="72" spans="1:11" ht="15.95" customHeight="1" x14ac:dyDescent="0.2">
      <c r="A72" s="140"/>
      <c r="B72" s="140"/>
      <c r="C72" s="140"/>
      <c r="D72" s="140"/>
      <c r="F72" s="144"/>
      <c r="G72" s="145"/>
      <c r="H72" s="146"/>
      <c r="I72" s="67"/>
      <c r="J72" s="67"/>
      <c r="K72" s="67"/>
    </row>
    <row r="73" spans="1:11" ht="19.899999999999999" customHeight="1" x14ac:dyDescent="0.2">
      <c r="A73" s="150">
        <v>1</v>
      </c>
      <c r="B73" s="150"/>
      <c r="C73" s="12" t="s">
        <v>133</v>
      </c>
      <c r="D73" s="56">
        <v>7.3</v>
      </c>
      <c r="F73" s="151" t="s">
        <v>350</v>
      </c>
      <c r="G73" s="151"/>
      <c r="H73" s="151"/>
    </row>
    <row r="74" spans="1:11" ht="19.899999999999999" customHeight="1" x14ac:dyDescent="0.2">
      <c r="A74" s="150">
        <v>2</v>
      </c>
      <c r="B74" s="150"/>
      <c r="C74" s="12" t="s">
        <v>134</v>
      </c>
      <c r="D74" s="56">
        <v>9.3000000000000007</v>
      </c>
    </row>
    <row r="75" spans="1:11" ht="24" customHeight="1" x14ac:dyDescent="0.2">
      <c r="A75" s="150">
        <v>3</v>
      </c>
      <c r="B75" s="150"/>
      <c r="C75" s="12" t="s">
        <v>135</v>
      </c>
      <c r="D75" s="56">
        <v>1.3</v>
      </c>
    </row>
    <row r="76" spans="1:11" ht="24" customHeight="1" x14ac:dyDescent="0.2">
      <c r="A76" s="150">
        <v>4</v>
      </c>
      <c r="B76" s="150"/>
      <c r="C76" s="12" t="s">
        <v>136</v>
      </c>
      <c r="D76" s="56">
        <f>IF( F73="Sachsen",1.3,1.8)</f>
        <v>1.8</v>
      </c>
    </row>
    <row r="77" spans="1:11" ht="31.5" x14ac:dyDescent="0.2">
      <c r="A77" s="150">
        <v>5</v>
      </c>
      <c r="B77" s="150"/>
      <c r="C77" s="12" t="s">
        <v>196</v>
      </c>
      <c r="D77" s="56">
        <v>1.45</v>
      </c>
    </row>
    <row r="78" spans="1:11" ht="24" customHeight="1" x14ac:dyDescent="0.2">
      <c r="A78" s="150">
        <v>6</v>
      </c>
      <c r="B78" s="150"/>
      <c r="C78" s="12" t="s">
        <v>123</v>
      </c>
      <c r="D78" s="56"/>
    </row>
    <row r="79" spans="1:11" ht="24" customHeight="1" x14ac:dyDescent="0.2">
      <c r="A79" s="150">
        <v>7</v>
      </c>
      <c r="B79" s="150"/>
      <c r="C79" s="12" t="s">
        <v>137</v>
      </c>
      <c r="D79" s="56">
        <v>0.15</v>
      </c>
    </row>
  </sheetData>
  <sheetProtection algorithmName="SHA-512" hashValue="9csCl2nHXF3ZB8bsjtEWujVtklykB2ICaLMjYFB499U3BTXo0/rkGS0ggOxxyZW+CgxuPRmZ1uGTRtlTyvvZFg==" saltValue="Xh9BZYz4WtQ6swM5hPSOGw==" spinCount="100000" sheet="1" objects="1" scenarios="1"/>
  <mergeCells count="18">
    <mergeCell ref="A78:B78"/>
    <mergeCell ref="A79:B79"/>
    <mergeCell ref="F73:H73"/>
    <mergeCell ref="A73:B73"/>
    <mergeCell ref="A74:B74"/>
    <mergeCell ref="A75:B75"/>
    <mergeCell ref="A76:B76"/>
    <mergeCell ref="A77:B77"/>
    <mergeCell ref="A71:C72"/>
    <mergeCell ref="D71:D72"/>
    <mergeCell ref="F71:H72"/>
    <mergeCell ref="E1:I2"/>
    <mergeCell ref="A3:I3"/>
    <mergeCell ref="B59:C59"/>
    <mergeCell ref="B29:C29"/>
    <mergeCell ref="B34:C34"/>
    <mergeCell ref="B42:C42"/>
    <mergeCell ref="B57:C57"/>
  </mergeCells>
  <phoneticPr fontId="3" type="noConversion"/>
  <dataValidations count="1">
    <dataValidation type="decimal" errorStyle="warning" allowBlank="1" showInputMessage="1" showErrorMessage="1" error="Bitte überprüfen Sie Ihre Eingaben." sqref="C25" xr:uid="{00000000-0002-0000-0400-000000000000}">
      <formula1>8.5</formula1>
      <formula2>84</formula2>
    </dataValidation>
  </dataValidations>
  <hyperlinks>
    <hyperlink ref="K1" location="Inhaltsverzeichnis!A1" display="Zurück zum Inhaltsverzeichnis" xr:uid="{00000000-0004-0000-04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GrundRG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Hinweis">
                <anchor moveWithCells="1">
                  <from>
                    <xdr:col>2</xdr:col>
                    <xdr:colOff>2914650</xdr:colOff>
                    <xdr:row>0</xdr:row>
                    <xdr:rowOff>95250</xdr:rowOff>
                  </from>
                  <to>
                    <xdr:col>3</xdr:col>
                    <xdr:colOff>552450</xdr:colOff>
                    <xdr:row>0</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ltText="Hinweis">
                <anchor moveWithCells="1">
                  <from>
                    <xdr:col>2</xdr:col>
                    <xdr:colOff>2914650</xdr:colOff>
                    <xdr:row>0</xdr:row>
                    <xdr:rowOff>400050</xdr:rowOff>
                  </from>
                  <to>
                    <xdr:col>3</xdr:col>
                    <xdr:colOff>552450</xdr:colOff>
                    <xdr:row>1</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B967-9787-4970-B05E-42AE745142CF}">
  <sheetPr codeName="Tabelle12">
    <tabColor indexed="13"/>
  </sheetPr>
  <dimension ref="A1:K79"/>
  <sheetViews>
    <sheetView showGridLines="0" zoomScaleNormal="100" zoomScaleSheetLayoutView="70" workbookViewId="0"/>
  </sheetViews>
  <sheetFormatPr baseColWidth="10" defaultColWidth="11.42578125" defaultRowHeight="10.5" x14ac:dyDescent="0.2"/>
  <cols>
    <col min="1" max="1" width="6.42578125" style="16" customWidth="1"/>
    <col min="2" max="2" width="2.7109375" style="16" customWidth="1"/>
    <col min="3" max="3" width="45.5703125" style="16" customWidth="1"/>
    <col min="4" max="4" width="8.42578125" style="16" customWidth="1"/>
    <col min="5" max="5" width="2.5703125" style="16" customWidth="1"/>
    <col min="6" max="6" width="11.42578125" style="16"/>
    <col min="7" max="7" width="2.85546875" style="16" customWidth="1"/>
    <col min="8" max="8" width="11.42578125" style="16"/>
    <col min="9" max="9" width="2.7109375" style="16" bestFit="1" customWidth="1"/>
    <col min="10" max="10" width="1.28515625" style="16" customWidth="1"/>
    <col min="11" max="11" width="18.28515625" style="16" bestFit="1" customWidth="1"/>
    <col min="12" max="16384" width="11.42578125" style="16"/>
  </cols>
  <sheetData>
    <row r="1" spans="1:11" ht="34.9" customHeight="1" x14ac:dyDescent="0.2">
      <c r="A1" s="65" t="str">
        <f ca="1">IF(H61&lt;&gt;"","","Bitte alle gelben Zellen ausfüllen.")</f>
        <v>Bitte alle gelben Zellen ausfüllen.</v>
      </c>
      <c r="D1" s="99" t="b">
        <v>0</v>
      </c>
      <c r="E1" s="152"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52"/>
      <c r="G1" s="152"/>
      <c r="H1" s="152"/>
      <c r="I1" s="152"/>
      <c r="K1" s="5" t="s">
        <v>100</v>
      </c>
    </row>
    <row r="2" spans="1:11" ht="32.25" customHeight="1" x14ac:dyDescent="0.2">
      <c r="A2" s="16" t="s">
        <v>103</v>
      </c>
      <c r="C2" s="82" t="str">
        <f>IF(Inhaltsverzeichnis!$C$3="", "",Inhaltsverzeichnis!$C$3)</f>
        <v/>
      </c>
      <c r="D2" s="99" t="b">
        <v>0</v>
      </c>
      <c r="E2" s="152"/>
      <c r="F2" s="152"/>
      <c r="G2" s="152"/>
      <c r="H2" s="152"/>
      <c r="I2" s="152"/>
    </row>
    <row r="3" spans="1:11" s="26" customFormat="1" ht="12.75" x14ac:dyDescent="0.2">
      <c r="A3" s="154" t="s">
        <v>157</v>
      </c>
      <c r="B3" s="154"/>
      <c r="C3" s="154"/>
      <c r="D3" s="154"/>
      <c r="E3" s="154"/>
      <c r="F3" s="154"/>
      <c r="G3" s="154"/>
      <c r="H3" s="154"/>
      <c r="I3" s="154"/>
    </row>
    <row r="4" spans="1:11" x14ac:dyDescent="0.2">
      <c r="A4" s="83"/>
      <c r="B4" s="83"/>
      <c r="C4" s="83"/>
      <c r="D4" s="83"/>
      <c r="E4" s="83"/>
      <c r="F4" s="83"/>
      <c r="G4" s="83"/>
      <c r="H4" s="83"/>
      <c r="I4" s="83"/>
    </row>
    <row r="5" spans="1:11" ht="15" customHeight="1" x14ac:dyDescent="0.2">
      <c r="A5" s="84" t="s">
        <v>1</v>
      </c>
      <c r="B5" s="84" t="s">
        <v>2</v>
      </c>
      <c r="C5" s="84"/>
      <c r="D5" s="84"/>
      <c r="E5" s="84"/>
      <c r="F5" s="85">
        <v>100</v>
      </c>
      <c r="G5" s="84" t="s">
        <v>3</v>
      </c>
      <c r="H5" s="17">
        <v>15</v>
      </c>
      <c r="I5" s="84" t="s">
        <v>4</v>
      </c>
      <c r="K5" s="69"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83"/>
      <c r="B6" s="83"/>
      <c r="C6" s="83"/>
      <c r="D6" s="83"/>
      <c r="E6" s="83"/>
      <c r="F6" s="86"/>
      <c r="G6" s="83"/>
      <c r="H6" s="86"/>
      <c r="I6" s="83"/>
    </row>
    <row r="7" spans="1:11" x14ac:dyDescent="0.2">
      <c r="A7" s="84" t="s">
        <v>5</v>
      </c>
      <c r="B7" s="84" t="s">
        <v>6</v>
      </c>
      <c r="C7" s="84"/>
      <c r="D7" s="84"/>
      <c r="E7" s="84"/>
      <c r="F7" s="87"/>
      <c r="G7" s="84"/>
      <c r="H7" s="87"/>
      <c r="I7" s="84"/>
    </row>
    <row r="8" spans="1:11" ht="14.25" x14ac:dyDescent="0.2">
      <c r="A8" s="83" t="s">
        <v>7</v>
      </c>
      <c r="B8" s="83" t="s">
        <v>8</v>
      </c>
      <c r="C8" s="83"/>
      <c r="D8" s="83"/>
      <c r="E8" s="83"/>
      <c r="F8" s="87"/>
      <c r="G8" s="87"/>
      <c r="H8" s="87"/>
      <c r="I8" s="87"/>
      <c r="K8" s="88"/>
    </row>
    <row r="9" spans="1:11" x14ac:dyDescent="0.2">
      <c r="A9" s="83" t="s">
        <v>9</v>
      </c>
      <c r="B9" s="83"/>
      <c r="C9" s="83" t="s">
        <v>10</v>
      </c>
      <c r="D9" s="83"/>
      <c r="E9" s="83"/>
      <c r="F9" s="18"/>
      <c r="G9" s="83" t="s">
        <v>3</v>
      </c>
      <c r="H9" s="89" t="str">
        <f>IF(F9="","",ROUND(F9/100*$H$5,2))</f>
        <v/>
      </c>
      <c r="I9" s="83" t="s">
        <v>4</v>
      </c>
      <c r="K9" s="90" t="str">
        <f>IF(F9="","Bitte ausfüllen!","")</f>
        <v>Bitte ausfüllen!</v>
      </c>
    </row>
    <row r="10" spans="1:11" x14ac:dyDescent="0.2">
      <c r="A10" s="83" t="s">
        <v>11</v>
      </c>
      <c r="B10" s="83"/>
      <c r="C10" s="83" t="s">
        <v>12</v>
      </c>
      <c r="D10" s="83"/>
      <c r="E10" s="83"/>
      <c r="F10" s="18"/>
      <c r="G10" s="83" t="s">
        <v>3</v>
      </c>
      <c r="H10" s="89" t="str">
        <f>IF(F10="","",ROUND(F10/100*$H$5,2))</f>
        <v/>
      </c>
      <c r="I10" s="83" t="s">
        <v>4</v>
      </c>
      <c r="K10" s="90" t="str">
        <f>IF(F10="","Bitte ausfüllen!","")</f>
        <v>Bitte ausfüllen!</v>
      </c>
    </row>
    <row r="11" spans="1:11" x14ac:dyDescent="0.2">
      <c r="A11" s="83" t="s">
        <v>13</v>
      </c>
      <c r="B11" s="83"/>
      <c r="C11" s="83" t="s">
        <v>14</v>
      </c>
      <c r="D11" s="83"/>
      <c r="E11" s="83"/>
      <c r="F11" s="18"/>
      <c r="G11" s="83" t="s">
        <v>3</v>
      </c>
      <c r="H11" s="89" t="str">
        <f>IF(F11="","",ROUND(F11/100*$H$5,2))</f>
        <v/>
      </c>
      <c r="I11" s="83" t="s">
        <v>4</v>
      </c>
      <c r="K11" s="90" t="str">
        <f>IF(F11="","Bitte ausfüllen!","")</f>
        <v>Bitte ausfüllen!</v>
      </c>
    </row>
    <row r="12" spans="1:11" x14ac:dyDescent="0.2">
      <c r="A12" s="83" t="s">
        <v>15</v>
      </c>
      <c r="B12" s="83"/>
      <c r="C12" s="83" t="s">
        <v>16</v>
      </c>
      <c r="D12" s="83"/>
      <c r="E12" s="83"/>
      <c r="F12" s="18"/>
      <c r="G12" s="83" t="s">
        <v>3</v>
      </c>
      <c r="H12" s="89" t="str">
        <f>IF(F12="","",ROUND(F12/100*$H$5,2))</f>
        <v/>
      </c>
      <c r="I12" s="83" t="s">
        <v>4</v>
      </c>
      <c r="K12" s="90" t="str">
        <f>IF(F12="","Bitte ausfüllen!","")</f>
        <v>Bitte ausfüllen!</v>
      </c>
    </row>
    <row r="13" spans="1:11" x14ac:dyDescent="0.2">
      <c r="A13" s="83" t="s">
        <v>17</v>
      </c>
      <c r="B13" s="83"/>
      <c r="C13" s="83" t="s">
        <v>18</v>
      </c>
      <c r="D13" s="83"/>
      <c r="E13" s="83"/>
      <c r="F13" s="18"/>
      <c r="G13" s="83" t="s">
        <v>3</v>
      </c>
      <c r="H13" s="89" t="str">
        <f>IF(F13="","",ROUND(F13/100*$H$5,2))</f>
        <v/>
      </c>
      <c r="I13" s="83" t="s">
        <v>4</v>
      </c>
      <c r="K13" s="90" t="str">
        <f>IF(F13="","Bitte ausfüllen!","")</f>
        <v>Bitte ausfüllen!</v>
      </c>
    </row>
    <row r="14" spans="1:11" x14ac:dyDescent="0.2">
      <c r="A14" s="84"/>
      <c r="B14" s="84" t="s">
        <v>19</v>
      </c>
      <c r="C14" s="84"/>
      <c r="D14" s="84"/>
      <c r="E14" s="84"/>
      <c r="F14" s="91">
        <f>IF(SUM(F9:F13)=0,0,SUM(F9:F13))</f>
        <v>0</v>
      </c>
      <c r="G14" s="84" t="s">
        <v>3</v>
      </c>
      <c r="H14" s="92" t="str">
        <f>IF(COUNTIF(F9:F13,"")&gt;0,"",SUM(H8:H13))</f>
        <v/>
      </c>
      <c r="I14" s="84" t="s">
        <v>4</v>
      </c>
      <c r="K14" s="90" t="str">
        <f>IF(H14="","Angaben offen!","")</f>
        <v>Angaben offen!</v>
      </c>
    </row>
    <row r="15" spans="1:11" x14ac:dyDescent="0.2">
      <c r="A15" s="83"/>
      <c r="B15" s="83"/>
      <c r="C15" s="83"/>
      <c r="D15" s="83"/>
      <c r="E15" s="83"/>
      <c r="F15" s="86"/>
      <c r="G15" s="83"/>
      <c r="H15" s="86"/>
      <c r="I15" s="83"/>
    </row>
    <row r="16" spans="1:11" x14ac:dyDescent="0.2">
      <c r="A16" s="84" t="s">
        <v>20</v>
      </c>
      <c r="B16" s="84" t="s">
        <v>21</v>
      </c>
      <c r="C16" s="84"/>
      <c r="D16" s="84"/>
      <c r="E16" s="84"/>
      <c r="F16" s="87"/>
      <c r="G16" s="84"/>
      <c r="H16" s="87"/>
      <c r="I16" s="84"/>
    </row>
    <row r="17" spans="1:11" ht="11.25" x14ac:dyDescent="0.2">
      <c r="A17" s="83" t="s">
        <v>22</v>
      </c>
      <c r="B17" s="83" t="s">
        <v>126</v>
      </c>
      <c r="C17" s="83"/>
      <c r="D17" s="8">
        <f>D73+D77</f>
        <v>8.75</v>
      </c>
      <c r="E17" s="83" t="s">
        <v>3</v>
      </c>
      <c r="F17" s="86"/>
      <c r="G17" s="83"/>
      <c r="H17" s="86"/>
      <c r="I17" s="83"/>
      <c r="K17" s="90" t="str">
        <f ca="1">IF(D17&lt;(D73+D77),"Wert prüfen!",IF(H61="","Inhalt der gelben Zellen kann angepasst werden.",""))</f>
        <v>Inhalt der gelben Zellen kann angepasst werden.</v>
      </c>
    </row>
    <row r="18" spans="1:11" x14ac:dyDescent="0.2">
      <c r="A18" s="83"/>
      <c r="B18" s="83" t="s">
        <v>23</v>
      </c>
      <c r="C18" s="83"/>
      <c r="D18" s="93">
        <f>(D17/100)*$F$14</f>
        <v>0</v>
      </c>
      <c r="E18" s="83" t="s">
        <v>3</v>
      </c>
      <c r="F18" s="94">
        <f>IF(D18="","",D17+D18)</f>
        <v>8.75</v>
      </c>
      <c r="G18" s="83" t="s">
        <v>3</v>
      </c>
      <c r="H18" s="89">
        <f>IF(D18="","",ROUND(F18/100*$H$5,2))</f>
        <v>1.31</v>
      </c>
      <c r="I18" s="83" t="s">
        <v>4</v>
      </c>
      <c r="K18" s="90"/>
    </row>
    <row r="19" spans="1:11" ht="11.25" x14ac:dyDescent="0.2">
      <c r="A19" s="83" t="s">
        <v>24</v>
      </c>
      <c r="B19" s="83" t="s">
        <v>127</v>
      </c>
      <c r="C19" s="83"/>
      <c r="D19" s="18">
        <f>D74</f>
        <v>9.3000000000000007</v>
      </c>
      <c r="E19" s="83" t="s">
        <v>3</v>
      </c>
      <c r="F19" s="95"/>
      <c r="G19" s="83"/>
      <c r="H19" s="86"/>
      <c r="I19" s="83"/>
      <c r="K19" s="90" t="str">
        <f ca="1">IF(D19&lt;&gt;D74,"Wert prüfen!",IF(H61="","Inhalt der gelben Zellen kann angepasst werden.",""))</f>
        <v>Inhalt der gelben Zellen kann angepasst werden.</v>
      </c>
    </row>
    <row r="20" spans="1:11" x14ac:dyDescent="0.2">
      <c r="A20" s="83"/>
      <c r="B20" s="83" t="s">
        <v>25</v>
      </c>
      <c r="C20" s="83"/>
      <c r="D20" s="93">
        <f>(D19/100)*$F$14</f>
        <v>0</v>
      </c>
      <c r="E20" s="83" t="s">
        <v>3</v>
      </c>
      <c r="F20" s="94">
        <f>IF(D20="","",D19+D20)</f>
        <v>9.3000000000000007</v>
      </c>
      <c r="G20" s="83" t="s">
        <v>3</v>
      </c>
      <c r="H20" s="89">
        <f>IF(D20="","",ROUND(F20/100*$H$5,2))</f>
        <v>1.4</v>
      </c>
      <c r="I20" s="83" t="s">
        <v>4</v>
      </c>
      <c r="K20" s="90"/>
    </row>
    <row r="21" spans="1:11" ht="11.25" x14ac:dyDescent="0.2">
      <c r="A21" s="83" t="s">
        <v>26</v>
      </c>
      <c r="B21" s="83" t="s">
        <v>128</v>
      </c>
      <c r="C21" s="83"/>
      <c r="D21" s="18">
        <f>D75</f>
        <v>1.3</v>
      </c>
      <c r="E21" s="83" t="s">
        <v>3</v>
      </c>
      <c r="F21" s="95"/>
      <c r="G21" s="83"/>
      <c r="H21" s="86"/>
      <c r="I21" s="83"/>
      <c r="K21" s="90" t="str">
        <f ca="1">IF(D21&lt;&gt;D75,"Wert prüfen!",IF(H61="","Inhalt der gelben Zellen kann angepasst werden.",""))</f>
        <v>Inhalt der gelben Zellen kann angepasst werden.</v>
      </c>
    </row>
    <row r="22" spans="1:11" x14ac:dyDescent="0.2">
      <c r="A22" s="83"/>
      <c r="B22" s="83" t="s">
        <v>27</v>
      </c>
      <c r="C22" s="83"/>
      <c r="D22" s="93">
        <f>(D21/100)*$F$14</f>
        <v>0</v>
      </c>
      <c r="E22" s="83" t="s">
        <v>3</v>
      </c>
      <c r="F22" s="94">
        <f>IF(D22="","",D21+D22)</f>
        <v>1.3</v>
      </c>
      <c r="G22" s="83" t="s">
        <v>3</v>
      </c>
      <c r="H22" s="89">
        <f>IF(D22="","",ROUND(F22/100*$H$5,2))</f>
        <v>0.2</v>
      </c>
      <c r="I22" s="83" t="s">
        <v>4</v>
      </c>
      <c r="K22" s="90"/>
    </row>
    <row r="23" spans="1:11" ht="11.25" x14ac:dyDescent="0.2">
      <c r="A23" s="83" t="s">
        <v>28</v>
      </c>
      <c r="B23" s="83" t="s">
        <v>129</v>
      </c>
      <c r="C23" s="83"/>
      <c r="D23" s="18">
        <f>D76</f>
        <v>1.8</v>
      </c>
      <c r="E23" s="83" t="s">
        <v>3</v>
      </c>
      <c r="F23" s="95"/>
      <c r="G23" s="83"/>
      <c r="H23" s="86"/>
      <c r="I23" s="83"/>
      <c r="K23" s="90" t="str">
        <f ca="1">IF(D23&lt;&gt;D76,"Wert prüfen!",IF(H61="","Inhalt der gelben Zellen kann angepasst werden.",""))</f>
        <v>Inhalt der gelben Zellen kann angepasst werden.</v>
      </c>
    </row>
    <row r="24" spans="1:11" x14ac:dyDescent="0.2">
      <c r="A24" s="83"/>
      <c r="B24" s="83" t="s">
        <v>29</v>
      </c>
      <c r="C24" s="83"/>
      <c r="D24" s="93">
        <f>(D23/100)*$F$14</f>
        <v>0</v>
      </c>
      <c r="E24" s="83" t="s">
        <v>3</v>
      </c>
      <c r="F24" s="94">
        <f>IF(D24="","",D23+D24)</f>
        <v>1.8</v>
      </c>
      <c r="G24" s="83" t="s">
        <v>3</v>
      </c>
      <c r="H24" s="89">
        <f>IF(D24="","",ROUND(F24/100*$H$5,2))</f>
        <v>0.27</v>
      </c>
      <c r="I24" s="83" t="s">
        <v>4</v>
      </c>
      <c r="K24" s="90"/>
    </row>
    <row r="25" spans="1:11" ht="11.25" x14ac:dyDescent="0.2">
      <c r="A25" s="83" t="s">
        <v>30</v>
      </c>
      <c r="B25" s="83" t="s">
        <v>130</v>
      </c>
      <c r="C25" s="83"/>
      <c r="D25" s="18"/>
      <c r="E25" s="83" t="s">
        <v>3</v>
      </c>
      <c r="F25" s="95"/>
      <c r="G25" s="83"/>
      <c r="H25" s="86"/>
      <c r="I25" s="83"/>
      <c r="K25" s="90" t="str">
        <f>IF(D25="","Bitte ausfüllen!","")</f>
        <v>Bitte ausfüllen!</v>
      </c>
    </row>
    <row r="26" spans="1:11" x14ac:dyDescent="0.2">
      <c r="A26" s="83"/>
      <c r="B26" s="83" t="s">
        <v>31</v>
      </c>
      <c r="C26" s="83"/>
      <c r="D26" s="93">
        <f>(D25/100)*$F$14</f>
        <v>0</v>
      </c>
      <c r="E26" s="83" t="s">
        <v>3</v>
      </c>
      <c r="F26" s="94">
        <f>IF(D26="","",D25+D26)</f>
        <v>0</v>
      </c>
      <c r="G26" s="83" t="s">
        <v>3</v>
      </c>
      <c r="H26" s="89">
        <f>IF(D26="","",ROUND(F26/100*$H$5,2))</f>
        <v>0</v>
      </c>
      <c r="I26" s="83" t="s">
        <v>4</v>
      </c>
      <c r="K26" s="90"/>
    </row>
    <row r="27" spans="1:11" ht="11.25" x14ac:dyDescent="0.2">
      <c r="A27" s="83" t="s">
        <v>32</v>
      </c>
      <c r="B27" s="83" t="s">
        <v>131</v>
      </c>
      <c r="C27" s="83"/>
      <c r="D27" s="83"/>
      <c r="E27" s="83"/>
      <c r="F27" s="18"/>
      <c r="G27" s="83" t="s">
        <v>3</v>
      </c>
      <c r="H27" s="89" t="str">
        <f>IF(F27="","",ROUND(F27/100*$H$5,2))</f>
        <v/>
      </c>
      <c r="I27" s="83" t="s">
        <v>4</v>
      </c>
      <c r="K27" s="90" t="str">
        <f>IF(F27="","Bitte ausfüllen!","")</f>
        <v>Bitte ausfüllen!</v>
      </c>
    </row>
    <row r="28" spans="1:11" ht="11.25" x14ac:dyDescent="0.2">
      <c r="A28" s="83" t="s">
        <v>33</v>
      </c>
      <c r="B28" s="83" t="s">
        <v>132</v>
      </c>
      <c r="C28" s="83"/>
      <c r="D28" s="83"/>
      <c r="E28" s="83"/>
      <c r="F28" s="18">
        <f>D79</f>
        <v>0.15</v>
      </c>
      <c r="G28" s="83" t="s">
        <v>3</v>
      </c>
      <c r="H28" s="89">
        <f>IF(F28="","",ROUND(F28/100*$H$5,2))</f>
        <v>0.02</v>
      </c>
      <c r="I28" s="83" t="s">
        <v>4</v>
      </c>
      <c r="K28" s="90" t="str">
        <f ca="1">IF(F28&lt;&gt;D79,"Wert prüfen!",IF(H61="","Inhalt der gelben Zellen kann angepasst werden.",""))</f>
        <v>Inhalt der gelben Zellen kann angepasst werden.</v>
      </c>
    </row>
    <row r="29" spans="1:11" ht="25.5" customHeight="1" x14ac:dyDescent="0.2">
      <c r="A29" s="84"/>
      <c r="B29" s="155" t="s">
        <v>34</v>
      </c>
      <c r="C29" s="155"/>
      <c r="D29" s="84"/>
      <c r="E29" s="84"/>
      <c r="F29" s="91">
        <f>IF(SUM(F17:F28)=0,0,SUM(F17:F28)+F14)</f>
        <v>21.3</v>
      </c>
      <c r="G29" s="84" t="s">
        <v>3</v>
      </c>
      <c r="H29" s="92" t="str">
        <f>IF(OR(COUNTIF(D17:D26,"")&gt;0,COUNTIF(F27:F28,"")&gt;0),"",SUM(H17:H28)+H14)</f>
        <v/>
      </c>
      <c r="I29" s="84" t="s">
        <v>4</v>
      </c>
      <c r="K29" s="90" t="str">
        <f>IF(H29="","Angaben offen!","")</f>
        <v>Angaben offen!</v>
      </c>
    </row>
    <row r="30" spans="1:11" x14ac:dyDescent="0.2">
      <c r="A30" s="83"/>
      <c r="B30" s="83"/>
      <c r="C30" s="83"/>
      <c r="D30" s="83"/>
      <c r="E30" s="83"/>
      <c r="F30" s="86"/>
      <c r="G30" s="83"/>
      <c r="H30" s="86"/>
      <c r="I30" s="83"/>
    </row>
    <row r="31" spans="1:11" x14ac:dyDescent="0.2">
      <c r="A31" s="83"/>
      <c r="B31" s="84" t="s">
        <v>35</v>
      </c>
      <c r="C31" s="83"/>
      <c r="D31" s="83"/>
      <c r="E31" s="83"/>
      <c r="F31" s="86"/>
      <c r="G31" s="83"/>
      <c r="H31" s="86"/>
      <c r="I31" s="83"/>
    </row>
    <row r="32" spans="1:11" x14ac:dyDescent="0.2">
      <c r="A32" s="83" t="s">
        <v>36</v>
      </c>
      <c r="B32" s="83" t="s">
        <v>37</v>
      </c>
      <c r="C32" s="83"/>
      <c r="D32" s="83"/>
      <c r="E32" s="83"/>
      <c r="F32" s="18"/>
      <c r="G32" s="83" t="s">
        <v>3</v>
      </c>
      <c r="H32" s="89" t="str">
        <f>IF(F32="","",ROUND(F32/100*$H$5,2))</f>
        <v/>
      </c>
      <c r="I32" s="83" t="s">
        <v>4</v>
      </c>
      <c r="K32" s="90" t="str">
        <f>IF(F32="","Bitte ausfüllen!","")</f>
        <v>Bitte ausfüllen!</v>
      </c>
    </row>
    <row r="33" spans="1:11" x14ac:dyDescent="0.2">
      <c r="A33" s="83" t="s">
        <v>38</v>
      </c>
      <c r="B33" s="83" t="s">
        <v>39</v>
      </c>
      <c r="C33" s="83"/>
      <c r="D33" s="83"/>
      <c r="E33" s="83"/>
      <c r="F33" s="18"/>
      <c r="G33" s="83" t="s">
        <v>3</v>
      </c>
      <c r="H33" s="89" t="str">
        <f>IF(F33="","",ROUND(F33/100*$H$5,2))</f>
        <v/>
      </c>
      <c r="I33" s="83" t="s">
        <v>4</v>
      </c>
      <c r="K33" s="90" t="str">
        <f>IF(F33="","Bitte ausfüllen!","")</f>
        <v>Bitte ausfüllen!</v>
      </c>
    </row>
    <row r="34" spans="1:11" ht="25.5" customHeight="1" x14ac:dyDescent="0.2">
      <c r="A34" s="84"/>
      <c r="B34" s="155" t="s">
        <v>40</v>
      </c>
      <c r="C34" s="155"/>
      <c r="D34" s="84"/>
      <c r="E34" s="84"/>
      <c r="F34" s="91">
        <f>IF(SUM(F32:F33)=0,0,SUM(F32:F33)+F29)</f>
        <v>0</v>
      </c>
      <c r="G34" s="84" t="s">
        <v>3</v>
      </c>
      <c r="H34" s="92" t="str">
        <f>IF(COUNTIF(H32:H33,"")&gt;0,"",SUM(H32:H33)+H29)</f>
        <v/>
      </c>
      <c r="I34" s="84" t="s">
        <v>4</v>
      </c>
      <c r="K34" s="90" t="str">
        <f>IF(H34="","Angaben offen!","")</f>
        <v>Angaben offen!</v>
      </c>
    </row>
    <row r="35" spans="1:11" x14ac:dyDescent="0.2">
      <c r="A35" s="83"/>
      <c r="B35" s="83"/>
      <c r="C35" s="83"/>
      <c r="D35" s="83"/>
      <c r="E35" s="83"/>
      <c r="F35" s="86"/>
      <c r="G35" s="83"/>
      <c r="H35" s="86"/>
      <c r="I35" s="83"/>
    </row>
    <row r="36" spans="1:11" x14ac:dyDescent="0.2">
      <c r="A36" s="84" t="s">
        <v>41</v>
      </c>
      <c r="B36" s="84" t="s">
        <v>42</v>
      </c>
      <c r="C36" s="84"/>
      <c r="D36" s="84"/>
      <c r="E36" s="84"/>
      <c r="F36" s="87"/>
      <c r="G36" s="84"/>
      <c r="H36" s="87"/>
      <c r="I36" s="84"/>
    </row>
    <row r="37" spans="1:11" x14ac:dyDescent="0.2">
      <c r="A37" s="83" t="s">
        <v>43</v>
      </c>
      <c r="B37" s="83" t="s">
        <v>44</v>
      </c>
      <c r="C37" s="83"/>
      <c r="D37" s="83"/>
      <c r="E37" s="83"/>
      <c r="F37" s="86"/>
      <c r="G37" s="83"/>
      <c r="H37" s="86"/>
      <c r="I37" s="83"/>
    </row>
    <row r="38" spans="1:11" x14ac:dyDescent="0.2">
      <c r="A38" s="83"/>
      <c r="B38" s="83" t="s">
        <v>45</v>
      </c>
      <c r="C38" s="83"/>
      <c r="D38" s="83"/>
      <c r="E38" s="83"/>
      <c r="F38" s="18"/>
      <c r="G38" s="83" t="s">
        <v>3</v>
      </c>
      <c r="H38" s="89" t="str">
        <f>IF(F38="","",ROUND(F38/100*$H$5,2))</f>
        <v/>
      </c>
      <c r="I38" s="83" t="s">
        <v>4</v>
      </c>
      <c r="K38" s="90" t="str">
        <f>IF(F38="","Bitte ausfüllen!","")</f>
        <v>Bitte ausfüllen!</v>
      </c>
    </row>
    <row r="39" spans="1:11" x14ac:dyDescent="0.2">
      <c r="A39" s="83" t="s">
        <v>46</v>
      </c>
      <c r="B39" s="83" t="s">
        <v>47</v>
      </c>
      <c r="C39" s="83"/>
      <c r="D39" s="83"/>
      <c r="E39" s="83"/>
      <c r="F39" s="18"/>
      <c r="G39" s="83" t="s">
        <v>3</v>
      </c>
      <c r="H39" s="89" t="str">
        <f>IF(F39="","",ROUND(F39/100*$H$5,2))</f>
        <v/>
      </c>
      <c r="I39" s="83" t="s">
        <v>4</v>
      </c>
      <c r="K39" s="90" t="str">
        <f>IF(F39="","Bitte ausfüllen!","")</f>
        <v>Bitte ausfüllen!</v>
      </c>
    </row>
    <row r="40" spans="1:11" x14ac:dyDescent="0.2">
      <c r="A40" s="83" t="s">
        <v>48</v>
      </c>
      <c r="B40" s="83" t="s">
        <v>49</v>
      </c>
      <c r="C40" s="83"/>
      <c r="D40" s="83"/>
      <c r="E40" s="83"/>
      <c r="F40" s="18"/>
      <c r="G40" s="83" t="s">
        <v>3</v>
      </c>
      <c r="H40" s="89" t="str">
        <f>IF(F40="","",ROUND(F40/100*$H$5,2))</f>
        <v/>
      </c>
      <c r="I40" s="83" t="s">
        <v>4</v>
      </c>
      <c r="K40" s="90" t="str">
        <f>IF(F40="","Bitte ausfüllen!","")</f>
        <v>Bitte ausfüllen!</v>
      </c>
    </row>
    <row r="41" spans="1:11" x14ac:dyDescent="0.2">
      <c r="A41" s="83" t="s">
        <v>50</v>
      </c>
      <c r="B41" s="83" t="s">
        <v>51</v>
      </c>
      <c r="C41" s="83"/>
      <c r="D41" s="83"/>
      <c r="E41" s="83"/>
      <c r="F41" s="18"/>
      <c r="G41" s="83" t="s">
        <v>3</v>
      </c>
      <c r="H41" s="89" t="str">
        <f>IF(F41="","",ROUND(F41/100*$H$5,2))</f>
        <v/>
      </c>
      <c r="I41" s="83" t="s">
        <v>4</v>
      </c>
      <c r="K41" s="90" t="str">
        <f>IF(F41="","Bitte ausfüllen!","")</f>
        <v>Bitte ausfüllen!</v>
      </c>
    </row>
    <row r="42" spans="1:11" ht="25.5" customHeight="1" x14ac:dyDescent="0.2">
      <c r="A42" s="84"/>
      <c r="B42" s="155" t="s">
        <v>52</v>
      </c>
      <c r="C42" s="155"/>
      <c r="D42" s="84"/>
      <c r="E42" s="84"/>
      <c r="F42" s="91">
        <f>IF(SUM(F38:F41)=0,0,SUM(F38:F41))</f>
        <v>0</v>
      </c>
      <c r="G42" s="84" t="s">
        <v>3</v>
      </c>
      <c r="H42" s="92" t="str">
        <f>IF(COUNTIF(H38:H41,"")&gt;0,"",SUM(H38:H41))</f>
        <v/>
      </c>
      <c r="I42" s="84" t="s">
        <v>4</v>
      </c>
      <c r="K42" s="90" t="str">
        <f>IF(H42="","Angaben offen!","")</f>
        <v>Angaben offen!</v>
      </c>
    </row>
    <row r="43" spans="1:11" x14ac:dyDescent="0.2">
      <c r="A43" s="83"/>
      <c r="B43" s="83"/>
      <c r="C43" s="83"/>
      <c r="D43" s="83"/>
      <c r="E43" s="83"/>
      <c r="F43" s="86"/>
      <c r="G43" s="83"/>
      <c r="H43" s="86"/>
      <c r="I43" s="83"/>
    </row>
    <row r="44" spans="1:11" x14ac:dyDescent="0.2">
      <c r="A44" s="84" t="s">
        <v>53</v>
      </c>
      <c r="B44" s="84" t="s">
        <v>54</v>
      </c>
      <c r="C44" s="84"/>
      <c r="D44" s="84"/>
      <c r="E44" s="84"/>
      <c r="F44" s="84"/>
      <c r="G44" s="84"/>
      <c r="H44" s="84"/>
      <c r="I44" s="84"/>
    </row>
    <row r="45" spans="1:11" x14ac:dyDescent="0.2">
      <c r="A45" s="83" t="s">
        <v>55</v>
      </c>
      <c r="B45" s="83" t="s">
        <v>56</v>
      </c>
      <c r="C45" s="83"/>
      <c r="D45" s="83"/>
      <c r="E45" s="83"/>
      <c r="F45" s="83"/>
      <c r="G45" s="83"/>
      <c r="H45" s="83"/>
      <c r="I45" s="83"/>
    </row>
    <row r="46" spans="1:11" x14ac:dyDescent="0.2">
      <c r="A46" s="83" t="s">
        <v>57</v>
      </c>
      <c r="B46" s="83"/>
      <c r="C46" s="83" t="s">
        <v>58</v>
      </c>
      <c r="D46" s="83"/>
      <c r="E46" s="83"/>
      <c r="F46" s="18"/>
      <c r="G46" s="83" t="s">
        <v>3</v>
      </c>
      <c r="H46" s="89" t="str">
        <f>IF(F46="","",ROUND(F46/100*$H$5,2))</f>
        <v/>
      </c>
      <c r="I46" s="83" t="s">
        <v>4</v>
      </c>
      <c r="K46" s="90" t="str">
        <f>IF(F46="","Bitte ausfüllen!","")</f>
        <v>Bitte ausfüllen!</v>
      </c>
    </row>
    <row r="47" spans="1:11" x14ac:dyDescent="0.2">
      <c r="A47" s="83" t="s">
        <v>59</v>
      </c>
      <c r="B47" s="83"/>
      <c r="C47" s="83" t="s">
        <v>125</v>
      </c>
      <c r="D47" s="83"/>
      <c r="E47" s="83"/>
      <c r="F47" s="18"/>
      <c r="G47" s="83" t="s">
        <v>3</v>
      </c>
      <c r="H47" s="89" t="str">
        <f>IF(F47="","",ROUND(F47/100*$H$5,2))</f>
        <v/>
      </c>
      <c r="I47" s="83" t="s">
        <v>4</v>
      </c>
      <c r="K47" s="90" t="str">
        <f>IF(F47="","Bitte ausfüllen!","")</f>
        <v>Bitte ausfüllen!</v>
      </c>
    </row>
    <row r="48" spans="1:11" x14ac:dyDescent="0.2">
      <c r="A48" s="83" t="s">
        <v>60</v>
      </c>
      <c r="B48" s="83" t="s">
        <v>61</v>
      </c>
      <c r="C48" s="83"/>
      <c r="D48" s="83"/>
      <c r="E48" s="83"/>
      <c r="F48" s="18"/>
      <c r="G48" s="83" t="s">
        <v>3</v>
      </c>
      <c r="H48" s="89" t="str">
        <f>IF(F48="","",ROUND(F48/100*$H$5,2))</f>
        <v/>
      </c>
      <c r="I48" s="83" t="s">
        <v>4</v>
      </c>
      <c r="K48" s="90" t="str">
        <f>IF(F48="","Bitte ausfüllen!","")</f>
        <v>Bitte ausfüllen!</v>
      </c>
    </row>
    <row r="49" spans="1:11" x14ac:dyDescent="0.2">
      <c r="A49" s="83" t="s">
        <v>62</v>
      </c>
      <c r="B49" s="83" t="s">
        <v>63</v>
      </c>
      <c r="C49" s="83"/>
      <c r="D49" s="83"/>
      <c r="E49" s="83"/>
      <c r="F49" s="83"/>
      <c r="G49" s="83"/>
      <c r="H49" s="83"/>
      <c r="I49" s="83"/>
    </row>
    <row r="50" spans="1:11" x14ac:dyDescent="0.2">
      <c r="A50" s="83" t="s">
        <v>64</v>
      </c>
      <c r="B50" s="83"/>
      <c r="C50" s="83" t="s">
        <v>65</v>
      </c>
      <c r="D50" s="83"/>
      <c r="E50" s="83"/>
      <c r="F50" s="18"/>
      <c r="G50" s="83" t="s">
        <v>3</v>
      </c>
      <c r="H50" s="89" t="str">
        <f t="shared" ref="H50:H56" si="0">IF(F50="","",ROUND(F50/100*$H$5,2))</f>
        <v/>
      </c>
      <c r="I50" s="83" t="s">
        <v>4</v>
      </c>
      <c r="K50" s="90" t="str">
        <f t="shared" ref="K50:K56" si="1">IF(F50="","Bitte ausfüllen!","")</f>
        <v>Bitte ausfüllen!</v>
      </c>
    </row>
    <row r="51" spans="1:11" x14ac:dyDescent="0.2">
      <c r="A51" s="83" t="s">
        <v>66</v>
      </c>
      <c r="B51" s="83"/>
      <c r="C51" s="83" t="s">
        <v>67</v>
      </c>
      <c r="D51" s="83"/>
      <c r="E51" s="83"/>
      <c r="F51" s="18"/>
      <c r="G51" s="83" t="s">
        <v>3</v>
      </c>
      <c r="H51" s="89" t="str">
        <f t="shared" si="0"/>
        <v/>
      </c>
      <c r="I51" s="83" t="s">
        <v>4</v>
      </c>
      <c r="K51" s="90" t="str">
        <f t="shared" si="1"/>
        <v>Bitte ausfüllen!</v>
      </c>
    </row>
    <row r="52" spans="1:11" x14ac:dyDescent="0.2">
      <c r="A52" s="83" t="s">
        <v>68</v>
      </c>
      <c r="B52" s="83" t="s">
        <v>69</v>
      </c>
      <c r="C52" s="83"/>
      <c r="D52" s="83"/>
      <c r="E52" s="83"/>
      <c r="F52" s="18"/>
      <c r="G52" s="83" t="s">
        <v>3</v>
      </c>
      <c r="H52" s="89" t="str">
        <f t="shared" si="0"/>
        <v/>
      </c>
      <c r="I52" s="83" t="s">
        <v>4</v>
      </c>
      <c r="K52" s="90" t="str">
        <f t="shared" si="1"/>
        <v>Bitte ausfüllen!</v>
      </c>
    </row>
    <row r="53" spans="1:11" x14ac:dyDescent="0.2">
      <c r="A53" s="83" t="s">
        <v>70</v>
      </c>
      <c r="B53" s="83" t="s">
        <v>71</v>
      </c>
      <c r="C53" s="83"/>
      <c r="D53" s="83"/>
      <c r="E53" s="83"/>
      <c r="F53" s="18"/>
      <c r="G53" s="83" t="s">
        <v>3</v>
      </c>
      <c r="H53" s="89" t="str">
        <f t="shared" si="0"/>
        <v/>
      </c>
      <c r="I53" s="83" t="s">
        <v>4</v>
      </c>
      <c r="K53" s="90" t="str">
        <f t="shared" si="1"/>
        <v>Bitte ausfüllen!</v>
      </c>
    </row>
    <row r="54" spans="1:11" x14ac:dyDescent="0.2">
      <c r="A54" s="83" t="s">
        <v>72</v>
      </c>
      <c r="B54" s="83" t="s">
        <v>73</v>
      </c>
      <c r="C54" s="83"/>
      <c r="D54" s="83"/>
      <c r="E54" s="83"/>
      <c r="F54" s="18"/>
      <c r="G54" s="83" t="s">
        <v>3</v>
      </c>
      <c r="H54" s="89" t="str">
        <f t="shared" si="0"/>
        <v/>
      </c>
      <c r="I54" s="83" t="s">
        <v>4</v>
      </c>
      <c r="K54" s="90" t="str">
        <f t="shared" si="1"/>
        <v>Bitte ausfüllen!</v>
      </c>
    </row>
    <row r="55" spans="1:11" x14ac:dyDescent="0.2">
      <c r="A55" s="83" t="s">
        <v>74</v>
      </c>
      <c r="B55" s="83" t="s">
        <v>75</v>
      </c>
      <c r="C55" s="83"/>
      <c r="D55" s="83"/>
      <c r="E55" s="83"/>
      <c r="F55" s="18"/>
      <c r="G55" s="83" t="s">
        <v>3</v>
      </c>
      <c r="H55" s="89" t="str">
        <f t="shared" si="0"/>
        <v/>
      </c>
      <c r="I55" s="83" t="s">
        <v>4</v>
      </c>
      <c r="K55" s="90" t="str">
        <f t="shared" si="1"/>
        <v>Bitte ausfüllen!</v>
      </c>
    </row>
    <row r="56" spans="1:11" x14ac:dyDescent="0.2">
      <c r="A56" s="83" t="s">
        <v>76</v>
      </c>
      <c r="B56" s="83" t="s">
        <v>77</v>
      </c>
      <c r="C56" s="83"/>
      <c r="D56" s="83"/>
      <c r="E56" s="83"/>
      <c r="F56" s="18"/>
      <c r="G56" s="83" t="s">
        <v>3</v>
      </c>
      <c r="H56" s="89" t="str">
        <f t="shared" si="0"/>
        <v/>
      </c>
      <c r="I56" s="83" t="s">
        <v>4</v>
      </c>
      <c r="K56" s="90" t="str">
        <f t="shared" si="1"/>
        <v>Bitte ausfüllen!</v>
      </c>
    </row>
    <row r="57" spans="1:11" ht="25.5" customHeight="1" x14ac:dyDescent="0.2">
      <c r="A57" s="84"/>
      <c r="B57" s="155" t="s">
        <v>78</v>
      </c>
      <c r="C57" s="155"/>
      <c r="D57" s="84"/>
      <c r="E57" s="84"/>
      <c r="F57" s="91">
        <f>IF(SUM(F45:F56)=0,0,SUM(F45:F56))</f>
        <v>0</v>
      </c>
      <c r="G57" s="84" t="s">
        <v>3</v>
      </c>
      <c r="H57" s="92" t="str">
        <f>IF(COUNTIF(H46:H56,"")&gt;1,"",SUM(H46:H56))</f>
        <v/>
      </c>
      <c r="I57" s="84" t="s">
        <v>4</v>
      </c>
      <c r="K57" s="90" t="str">
        <f>IF(H57="","Angaben offen!","")</f>
        <v>Angaben offen!</v>
      </c>
    </row>
    <row r="58" spans="1:11" x14ac:dyDescent="0.2">
      <c r="A58" s="83"/>
      <c r="B58" s="83"/>
      <c r="C58" s="83"/>
      <c r="D58" s="83"/>
      <c r="E58" s="83"/>
      <c r="F58" s="86"/>
      <c r="G58" s="83"/>
      <c r="H58" s="86"/>
      <c r="I58" s="83"/>
    </row>
    <row r="59" spans="1:11" x14ac:dyDescent="0.2">
      <c r="A59" s="84" t="s">
        <v>79</v>
      </c>
      <c r="B59" s="153" t="s">
        <v>80</v>
      </c>
      <c r="C59" s="153"/>
      <c r="D59" s="84"/>
      <c r="E59" s="84"/>
      <c r="F59" s="96">
        <f>IF(AND(F34=""),0,F34+F42+F57+F5)</f>
        <v>100</v>
      </c>
      <c r="G59" s="84" t="s">
        <v>3</v>
      </c>
      <c r="H59" s="87" t="str">
        <f>IF(H57="","",H34+H42+H57+H5)</f>
        <v/>
      </c>
      <c r="I59" s="84" t="s">
        <v>4</v>
      </c>
    </row>
    <row r="60" spans="1:11" x14ac:dyDescent="0.2">
      <c r="A60" s="84" t="s">
        <v>81</v>
      </c>
      <c r="B60" s="84" t="s">
        <v>82</v>
      </c>
      <c r="C60" s="84"/>
      <c r="D60" s="84"/>
      <c r="E60" s="84"/>
      <c r="F60" s="18"/>
      <c r="G60" s="84" t="s">
        <v>3</v>
      </c>
      <c r="H60" s="92" t="str">
        <f>IF(F60="","",ROUND(F60/100*H59,2))</f>
        <v/>
      </c>
      <c r="I60" s="84" t="s">
        <v>4</v>
      </c>
      <c r="K60" s="90" t="str">
        <f>IF(F60="","Bitte ausfüllen!","")</f>
        <v>Bitte ausfüllen!</v>
      </c>
    </row>
    <row r="61" spans="1:11" x14ac:dyDescent="0.2">
      <c r="A61" s="84"/>
      <c r="B61" s="84" t="s">
        <v>83</v>
      </c>
      <c r="C61" s="84"/>
      <c r="D61" s="84"/>
      <c r="E61" s="84"/>
      <c r="F61" s="91">
        <f ca="1">IF(H61="",0,H61/H5*100)</f>
        <v>0</v>
      </c>
      <c r="G61" s="84" t="s">
        <v>3</v>
      </c>
      <c r="H61" s="92" t="str">
        <f ca="1">IF(SUM(COUNTIF(INDIRECT({"H5","F9:F13","D17:D26","F27:F28","F32:F33","F38:F41","F46:F48","F50:F56","F60","H65:H68"}),""))&gt;0,"",H59+H60)</f>
        <v/>
      </c>
      <c r="I61" s="84" t="s">
        <v>4</v>
      </c>
      <c r="K61" s="90" t="str">
        <f ca="1">IF(SUM(COUNTIF(INDIRECT({"H5","F9:F13","D17:D26","F27:F28","F32:F33","F38:F41","F46:F48","F50:F56","F60","H65:H68"}),""))&gt;0,SUM(COUNTIF(INDIRECT({"H5","F9:F13","D17:D26","F27:F28","F32:F33","F38:F41","F46:F48","F50:F56","F60","H65:H68"}),"")) &amp;" Zelle(n) ohne Wert!","")</f>
        <v>28 Zelle(n) ohne Wert!</v>
      </c>
    </row>
    <row r="62" spans="1:11" x14ac:dyDescent="0.2">
      <c r="A62" s="83"/>
      <c r="B62" s="83" t="s">
        <v>84</v>
      </c>
      <c r="C62" s="83"/>
      <c r="D62" s="83"/>
      <c r="E62" s="83"/>
      <c r="F62" s="91">
        <f ca="1">IF(F61=0,0,F61-F5)</f>
        <v>0</v>
      </c>
      <c r="G62" s="83" t="s">
        <v>3</v>
      </c>
      <c r="H62" s="83"/>
      <c r="I62" s="83"/>
      <c r="K62" s="69" t="str">
        <f ca="1">IF(F62&lt;70,"Bitte prüfen gemäß Aufforderung!","")</f>
        <v>Bitte prüfen gemäß Aufforderung!</v>
      </c>
    </row>
    <row r="63" spans="1:11" x14ac:dyDescent="0.2">
      <c r="A63" s="83"/>
      <c r="B63" s="84"/>
      <c r="C63" s="83"/>
      <c r="D63" s="83"/>
      <c r="E63" s="83"/>
      <c r="F63" s="96"/>
      <c r="G63" s="83"/>
      <c r="H63" s="87"/>
    </row>
    <row r="64" spans="1:11" x14ac:dyDescent="0.2">
      <c r="B64" s="84" t="s">
        <v>85</v>
      </c>
      <c r="D64" s="84"/>
      <c r="E64" s="84"/>
      <c r="G64" s="84"/>
      <c r="H64" s="87" t="s">
        <v>86</v>
      </c>
      <c r="I64" s="84"/>
    </row>
    <row r="65" spans="1:11" x14ac:dyDescent="0.2">
      <c r="B65" s="83" t="s">
        <v>87</v>
      </c>
      <c r="D65" s="83"/>
      <c r="E65" s="83"/>
      <c r="G65" s="97"/>
      <c r="H65" s="19"/>
      <c r="I65" s="97"/>
      <c r="K65" s="90" t="str">
        <f>IF(H65="","Bitte ausfüllen!","")</f>
        <v>Bitte ausfüllen!</v>
      </c>
    </row>
    <row r="66" spans="1:11" x14ac:dyDescent="0.2">
      <c r="B66" s="83" t="s">
        <v>88</v>
      </c>
      <c r="D66" s="83"/>
      <c r="E66" s="83"/>
      <c r="G66" s="97"/>
      <c r="H66" s="20"/>
      <c r="I66" s="97"/>
      <c r="K66" s="90" t="str">
        <f>IF(H66="","Bitte ausfüllen!","")</f>
        <v>Bitte ausfüllen!</v>
      </c>
    </row>
    <row r="67" spans="1:11" x14ac:dyDescent="0.2">
      <c r="B67" s="83" t="s">
        <v>89</v>
      </c>
      <c r="D67" s="83"/>
      <c r="E67" s="83"/>
      <c r="G67" s="97"/>
      <c r="H67" s="21"/>
      <c r="I67" s="97"/>
      <c r="K67" s="90" t="str">
        <f>IF(H67="","Bitte ausfüllen!","")</f>
        <v>Bitte ausfüllen!</v>
      </c>
    </row>
    <row r="68" spans="1:11" x14ac:dyDescent="0.2">
      <c r="B68" s="83" t="s">
        <v>90</v>
      </c>
      <c r="D68" s="83"/>
      <c r="E68" s="83"/>
      <c r="G68" s="97"/>
      <c r="H68" s="20"/>
      <c r="I68" s="97"/>
      <c r="K68" s="90" t="str">
        <f>IF(H68="","Bitte ausfüllen!","")</f>
        <v>Bitte ausfüllen!</v>
      </c>
    </row>
    <row r="70" spans="1:11" x14ac:dyDescent="0.2">
      <c r="C70" s="98"/>
      <c r="D70" s="82"/>
    </row>
    <row r="71" spans="1:11" ht="15.95" customHeight="1" x14ac:dyDescent="0.2">
      <c r="A71" s="139" t="s">
        <v>194</v>
      </c>
      <c r="B71" s="139"/>
      <c r="C71" s="139"/>
      <c r="D71" s="139" t="s">
        <v>195</v>
      </c>
      <c r="E71" s="3"/>
      <c r="F71" s="141" t="s">
        <v>138</v>
      </c>
      <c r="G71" s="142"/>
      <c r="H71" s="143"/>
    </row>
    <row r="72" spans="1:11" ht="15.95" customHeight="1" x14ac:dyDescent="0.2">
      <c r="A72" s="140"/>
      <c r="B72" s="140"/>
      <c r="C72" s="140"/>
      <c r="D72" s="140"/>
      <c r="E72" s="3"/>
      <c r="F72" s="144"/>
      <c r="G72" s="145"/>
      <c r="H72" s="146"/>
      <c r="I72" s="84"/>
      <c r="J72" s="84"/>
      <c r="K72" s="84"/>
    </row>
    <row r="73" spans="1:11" ht="19.899999999999999" customHeight="1" x14ac:dyDescent="0.2">
      <c r="A73" s="150">
        <v>1</v>
      </c>
      <c r="B73" s="150"/>
      <c r="C73" s="12" t="s">
        <v>133</v>
      </c>
      <c r="D73" s="56">
        <v>7.3</v>
      </c>
      <c r="F73" s="151" t="s">
        <v>350</v>
      </c>
      <c r="G73" s="151"/>
      <c r="H73" s="151"/>
    </row>
    <row r="74" spans="1:11" ht="19.899999999999999" customHeight="1" x14ac:dyDescent="0.2">
      <c r="A74" s="150">
        <v>2</v>
      </c>
      <c r="B74" s="150"/>
      <c r="C74" s="12" t="s">
        <v>134</v>
      </c>
      <c r="D74" s="56">
        <v>9.3000000000000007</v>
      </c>
    </row>
    <row r="75" spans="1:11" ht="23.25" customHeight="1" x14ac:dyDescent="0.2">
      <c r="A75" s="150">
        <v>3</v>
      </c>
      <c r="B75" s="150"/>
      <c r="C75" s="12" t="s">
        <v>135</v>
      </c>
      <c r="D75" s="56">
        <v>1.3</v>
      </c>
    </row>
    <row r="76" spans="1:11" ht="23.25" customHeight="1" x14ac:dyDescent="0.2">
      <c r="A76" s="150">
        <v>4</v>
      </c>
      <c r="B76" s="150"/>
      <c r="C76" s="12" t="s">
        <v>136</v>
      </c>
      <c r="D76" s="56">
        <f>IF( F73="Sachsen",1.3,1.8)</f>
        <v>1.8</v>
      </c>
    </row>
    <row r="77" spans="1:11" ht="31.5" x14ac:dyDescent="0.2">
      <c r="A77" s="150">
        <v>5</v>
      </c>
      <c r="B77" s="150"/>
      <c r="C77" s="12" t="s">
        <v>196</v>
      </c>
      <c r="D77" s="56">
        <v>1.45</v>
      </c>
    </row>
    <row r="78" spans="1:11" ht="23.25" customHeight="1" x14ac:dyDescent="0.2">
      <c r="A78" s="150">
        <v>6</v>
      </c>
      <c r="B78" s="150"/>
      <c r="C78" s="12" t="s">
        <v>123</v>
      </c>
      <c r="D78" s="56"/>
    </row>
    <row r="79" spans="1:11" ht="23.25" customHeight="1" x14ac:dyDescent="0.2">
      <c r="A79" s="150">
        <v>7</v>
      </c>
      <c r="B79" s="150"/>
      <c r="C79" s="12" t="s">
        <v>137</v>
      </c>
      <c r="D79" s="56">
        <v>0.15</v>
      </c>
    </row>
  </sheetData>
  <sheetProtection algorithmName="SHA-512" hashValue="BGkn+JVJnzhs4Nl3vAIyRPk6YC3xcs3H6PQ04bP6VydmSGJYMfz2L0x7U+s+Mygey4OSFei7/5jyooOcZ1RsdA==" saltValue="i+2LUf+lEDOtGd+nCOhBdA==" spinCount="100000" sheet="1" objects="1" scenarios="1"/>
  <mergeCells count="18">
    <mergeCell ref="A76:B76"/>
    <mergeCell ref="A77:B77"/>
    <mergeCell ref="A78:B78"/>
    <mergeCell ref="A79:B79"/>
    <mergeCell ref="A71:C72"/>
    <mergeCell ref="A73:B73"/>
    <mergeCell ref="F73:H73"/>
    <mergeCell ref="A74:B74"/>
    <mergeCell ref="A75:B75"/>
    <mergeCell ref="D71:D72"/>
    <mergeCell ref="F71:H72"/>
    <mergeCell ref="E1:I2"/>
    <mergeCell ref="B59:C59"/>
    <mergeCell ref="A3:I3"/>
    <mergeCell ref="B29:C29"/>
    <mergeCell ref="B34:C34"/>
    <mergeCell ref="B42:C42"/>
    <mergeCell ref="B57:C57"/>
  </mergeCells>
  <dataValidations count="1">
    <dataValidation type="decimal" errorStyle="warning" allowBlank="1" showInputMessage="1" showErrorMessage="1" error="Bitte überprüfen Sie Ihre Eingaben." sqref="C25" xr:uid="{AA5DB88E-54B1-44D0-A309-DE55E32B5576}">
      <formula1>8.5</formula1>
      <formula2>84</formula2>
    </dataValidation>
  </dataValidations>
  <hyperlinks>
    <hyperlink ref="K1" location="Inhaltsverzeichnis!A1" display="Zurück zum Inhaltsverzeichnis" xr:uid="{D9796DED-7731-49E9-8B77-88C8F611AD33}"/>
  </hyperlinks>
  <printOptions horizontalCentered="1"/>
  <pageMargins left="0.78740157480314965" right="0.78740157480314965" top="0.98425196850393704" bottom="0.98425196850393704" header="0.51181102362204722" footer="0.51181102362204722"/>
  <pageSetup paperSize="9" scale="60" firstPageNumber="6" orientation="portrait" r:id="rId1"/>
  <headerFooter alignWithMargins="0">
    <oddHeader>&amp;L&amp;F</oddHeader>
    <oddFooter>&amp;LSalzstadt Staßfurt&amp;CSeite &amp;P von &amp;N&amp;RSVS Wirtschaft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ltText="Hinweis">
                <anchor moveWithCells="1">
                  <from>
                    <xdr:col>2</xdr:col>
                    <xdr:colOff>2914650</xdr:colOff>
                    <xdr:row>0</xdr:row>
                    <xdr:rowOff>133350</xdr:rowOff>
                  </from>
                  <to>
                    <xdr:col>3</xdr:col>
                    <xdr:colOff>552450</xdr:colOff>
                    <xdr:row>0</xdr:row>
                    <xdr:rowOff>419100</xdr:rowOff>
                  </to>
                </anchor>
              </controlPr>
            </control>
          </mc:Choice>
        </mc:AlternateContent>
        <mc:AlternateContent xmlns:mc="http://schemas.openxmlformats.org/markup-compatibility/2006">
          <mc:Choice Requires="x14">
            <control shapeId="30724" r:id="rId5" name="Check Box 4">
              <controlPr defaultSize="0" autoFill="0" autoLine="0" autoPict="0" altText="Hinweis">
                <anchor moveWithCells="1">
                  <from>
                    <xdr:col>2</xdr:col>
                    <xdr:colOff>2914650</xdr:colOff>
                    <xdr:row>0</xdr:row>
                    <xdr:rowOff>428625</xdr:rowOff>
                  </from>
                  <to>
                    <xdr:col>3</xdr:col>
                    <xdr:colOff>552450</xdr:colOff>
                    <xdr:row>1</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0B8FD-FF2E-40F1-AE53-136F998BEF8D}">
  <sheetPr codeName="Tabelle20">
    <tabColor indexed="40"/>
  </sheetPr>
  <dimension ref="A1:V91"/>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10.8554687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16384" width="11.42578125" style="3" hidden="1"/>
  </cols>
  <sheetData>
    <row r="1" spans="1:22" ht="15" customHeight="1" x14ac:dyDescent="0.2">
      <c r="M1" s="5" t="s">
        <v>100</v>
      </c>
    </row>
    <row r="2" spans="1:22" ht="21" customHeight="1" x14ac:dyDescent="0.2">
      <c r="A2" s="173" t="s">
        <v>158</v>
      </c>
      <c r="B2" s="174"/>
      <c r="C2" s="174"/>
      <c r="D2" s="174" t="b">
        <v>0</v>
      </c>
      <c r="E2" s="175"/>
      <c r="G2" s="176" t="s">
        <v>171</v>
      </c>
      <c r="H2" s="176" t="s">
        <v>163</v>
      </c>
      <c r="I2" s="176" t="s">
        <v>164</v>
      </c>
      <c r="J2" s="176" t="s">
        <v>183</v>
      </c>
      <c r="M2" s="45"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1" customHeight="1" x14ac:dyDescent="0.2">
      <c r="A3" s="101" t="s">
        <v>159</v>
      </c>
      <c r="B3" s="102"/>
      <c r="C3" s="102"/>
      <c r="D3" s="102"/>
      <c r="E3" s="103"/>
      <c r="G3" s="177"/>
      <c r="H3" s="177" t="b">
        <v>0</v>
      </c>
      <c r="I3" s="177"/>
      <c r="J3" s="177"/>
      <c r="M3" s="45" t="b">
        <v>0</v>
      </c>
      <c r="N3" s="130"/>
      <c r="O3" s="130"/>
      <c r="P3" s="130"/>
      <c r="Q3" s="130"/>
    </row>
    <row r="4" spans="1:22" ht="15" customHeight="1" x14ac:dyDescent="0.2">
      <c r="A4" s="171" t="s">
        <v>91</v>
      </c>
      <c r="B4" s="159" t="str">
        <f>IF(Inhaltsverzeichnis!C3="","",Inhaltsverzeichnis!C3)</f>
        <v/>
      </c>
      <c r="C4" s="160"/>
      <c r="D4" s="160"/>
      <c r="E4" s="161"/>
      <c r="G4" s="100" t="s">
        <v>311</v>
      </c>
      <c r="H4" s="104"/>
      <c r="I4" s="105">
        <f ca="1">SUMIF('Kal Unter Kita Tausendf'!J22:M91,$G$4,'Kal Unter Kita Tausendf'!M22:M91)</f>
        <v>1854.77</v>
      </c>
      <c r="J4" s="63">
        <f>COUNTIFS('Kal Unter Kita Tausendf'!J22:M91,$G$4)</f>
        <v>1</v>
      </c>
      <c r="M4" s="45" t="b">
        <v>0</v>
      </c>
      <c r="N4" s="130"/>
      <c r="O4" s="130"/>
      <c r="P4" s="130"/>
      <c r="Q4" s="130"/>
      <c r="U4" s="100" t="s">
        <v>311</v>
      </c>
      <c r="V4" s="3">
        <v>168.75</v>
      </c>
    </row>
    <row r="5" spans="1:22" ht="15" customHeight="1" x14ac:dyDescent="0.2">
      <c r="A5" s="172"/>
      <c r="B5" s="162"/>
      <c r="C5" s="163"/>
      <c r="D5" s="163"/>
      <c r="E5" s="164"/>
      <c r="G5" s="100" t="s">
        <v>316</v>
      </c>
      <c r="H5" s="104"/>
      <c r="I5" s="105">
        <f ca="1">SUMIF('Kal Unter Kita Tausendf'!J22:M91,$G$5,'Kal Unter Kita Tausendf'!M22:M91)</f>
        <v>3082.86</v>
      </c>
      <c r="J5" s="63">
        <f>COUNTIFS('Kal Unter Kita Tausendf'!J22:M91,$G$5)</f>
        <v>1</v>
      </c>
      <c r="M5" s="45" t="b">
        <v>0</v>
      </c>
      <c r="N5" s="130"/>
      <c r="O5" s="130"/>
      <c r="P5" s="130"/>
      <c r="Q5" s="130"/>
      <c r="U5" s="100" t="s">
        <v>316</v>
      </c>
      <c r="V5" s="3">
        <v>120</v>
      </c>
    </row>
    <row r="6" spans="1:22" ht="15" customHeight="1" x14ac:dyDescent="0.2">
      <c r="A6" s="106" t="s">
        <v>181</v>
      </c>
      <c r="B6" s="165" t="s">
        <v>198</v>
      </c>
      <c r="C6" s="166"/>
      <c r="D6" s="166"/>
      <c r="E6" s="167"/>
      <c r="G6" s="100" t="s">
        <v>309</v>
      </c>
      <c r="H6" s="104"/>
      <c r="I6" s="105">
        <f ca="1">SUMIF('Kal Unter Kita Tausendf'!J22:M91,$G$6,'Kal Unter Kita Tausendf'!M22:M91)</f>
        <v>146579.54</v>
      </c>
      <c r="J6" s="63">
        <f>COUNTIFS('Kal Unter Kita Tausendf'!J22:M91,$G$6)</f>
        <v>19</v>
      </c>
      <c r="U6" s="100" t="s">
        <v>309</v>
      </c>
      <c r="V6" s="3">
        <v>132.5</v>
      </c>
    </row>
    <row r="7" spans="1:22" ht="15" customHeight="1" x14ac:dyDescent="0.2">
      <c r="A7" s="107" t="s">
        <v>179</v>
      </c>
      <c r="B7" s="168" t="s">
        <v>199</v>
      </c>
      <c r="C7" s="166"/>
      <c r="D7" s="166"/>
      <c r="E7" s="167"/>
      <c r="G7" s="100" t="s">
        <v>207</v>
      </c>
      <c r="H7" s="104"/>
      <c r="I7" s="105">
        <f ca="1">SUMIF('Kal Unter Kita Tausendf'!J22:M91,$G$7,'Kal Unter Kita Tausendf'!M22:M91)</f>
        <v>31788.94</v>
      </c>
      <c r="J7" s="63">
        <f>COUNTIFS('Kal Unter Kita Tausendf'!J22:M91,$G$7)</f>
        <v>13</v>
      </c>
      <c r="U7" s="100" t="s">
        <v>207</v>
      </c>
      <c r="V7" s="3">
        <v>53.75</v>
      </c>
    </row>
    <row r="8" spans="1:22" ht="15" customHeight="1" x14ac:dyDescent="0.2">
      <c r="A8" s="107" t="s">
        <v>180</v>
      </c>
      <c r="B8" s="165" t="s">
        <v>200</v>
      </c>
      <c r="C8" s="166"/>
      <c r="D8" s="166"/>
      <c r="E8" s="167"/>
      <c r="G8" s="100" t="s">
        <v>317</v>
      </c>
      <c r="H8" s="104"/>
      <c r="I8" s="105">
        <f ca="1">SUMIF('Kal Unter Kita Tausendf'!J22:M91,$G$8,'Kal Unter Kita Tausendf'!M22:M91)</f>
        <v>16817.129999999997</v>
      </c>
      <c r="J8" s="63">
        <f>COUNTIFS('Kal Unter Kita Tausendf'!J22:M91,$G$8)</f>
        <v>2</v>
      </c>
      <c r="U8" s="100" t="s">
        <v>317</v>
      </c>
      <c r="V8" s="3">
        <v>168.75</v>
      </c>
    </row>
    <row r="9" spans="1:22" ht="15" customHeight="1" x14ac:dyDescent="0.2">
      <c r="A9" s="106" t="s">
        <v>178</v>
      </c>
      <c r="B9" s="169" t="s">
        <v>197</v>
      </c>
      <c r="C9" s="166"/>
      <c r="D9" s="166"/>
      <c r="E9" s="167"/>
      <c r="G9" s="100" t="s">
        <v>313</v>
      </c>
      <c r="H9" s="104"/>
      <c r="I9" s="105">
        <f ca="1">SUMIF('Kal Unter Kita Tausendf'!J22:M91,$G$9,'Kal Unter Kita Tausendf'!M22:M91)</f>
        <v>114.64</v>
      </c>
      <c r="J9" s="63">
        <f>COUNTIFS('Kal Unter Kita Tausendf'!J22:M91,$G$9)</f>
        <v>3</v>
      </c>
      <c r="U9" s="100" t="s">
        <v>313</v>
      </c>
      <c r="V9" s="3">
        <v>262.5</v>
      </c>
    </row>
    <row r="10" spans="1:22" ht="15" customHeight="1" x14ac:dyDescent="0.2">
      <c r="A10" s="107" t="s">
        <v>160</v>
      </c>
      <c r="B10" s="165" t="s">
        <v>201</v>
      </c>
      <c r="C10" s="166"/>
      <c r="D10" s="166"/>
      <c r="E10" s="167"/>
      <c r="G10" s="100" t="s">
        <v>312</v>
      </c>
      <c r="H10" s="104"/>
      <c r="I10" s="105">
        <f ca="1">SUMIF('Kal Unter Kita Tausendf'!J22:M91,$G$10,'Kal Unter Kita Tausendf'!M22:M91)</f>
        <v>36474.079999999994</v>
      </c>
      <c r="J10" s="63">
        <f>COUNTIFS('Kal Unter Kita Tausendf'!J22:M91,$G$10)</f>
        <v>6</v>
      </c>
      <c r="U10" s="100" t="s">
        <v>312</v>
      </c>
      <c r="V10" s="3">
        <v>136.25</v>
      </c>
    </row>
    <row r="11" spans="1:22" ht="15" customHeight="1" x14ac:dyDescent="0.2">
      <c r="A11" s="107" t="s">
        <v>161</v>
      </c>
      <c r="B11" s="170" t="s">
        <v>202</v>
      </c>
      <c r="C11" s="166"/>
      <c r="D11" s="166"/>
      <c r="E11" s="167"/>
      <c r="G11" s="100" t="s">
        <v>314</v>
      </c>
      <c r="H11" s="104"/>
      <c r="I11" s="105">
        <f ca="1">SUMIF('Kal Unter Kita Tausendf'!J22:M91,$G$11,'Kal Unter Kita Tausendf'!M22:M91)</f>
        <v>784.67</v>
      </c>
      <c r="J11" s="63">
        <f>COUNTIFS('Kal Unter Kita Tausendf'!J22:M91,$G$11)</f>
        <v>1</v>
      </c>
      <c r="M11" s="3" t="str">
        <f>IF(N13&gt;0,"Bitte die Leistungswerte im Leistungsverzeichnis/ Tabellenblatt Leistungsrichtwerte","")</f>
        <v/>
      </c>
      <c r="U11" s="100" t="s">
        <v>314</v>
      </c>
      <c r="V11" s="108">
        <v>195</v>
      </c>
    </row>
    <row r="12" spans="1:22" ht="15" customHeight="1" x14ac:dyDescent="0.2">
      <c r="A12" s="107" t="s">
        <v>162</v>
      </c>
      <c r="B12" s="165" t="s">
        <v>203</v>
      </c>
      <c r="C12" s="166"/>
      <c r="D12" s="166"/>
      <c r="E12" s="167"/>
      <c r="G12" s="100" t="s">
        <v>310</v>
      </c>
      <c r="H12" s="104"/>
      <c r="I12" s="105">
        <f ca="1">SUMIF('Kal Unter Kita Tausendf'!J22:M91,$G$12,'Kal Unter Kita Tausendf'!M22:M91)</f>
        <v>84643.23000000001</v>
      </c>
      <c r="J12" s="63">
        <f>COUNTIFS('Kal Unter Kita Tausendf'!J22:M91,$G$12)</f>
        <v>20</v>
      </c>
      <c r="M12" s="3" t="str">
        <f>IF(N13&gt;0,"für die Objektart prüfen.","")</f>
        <v/>
      </c>
      <c r="U12" s="100" t="s">
        <v>310</v>
      </c>
      <c r="V12" s="3">
        <v>166.25</v>
      </c>
    </row>
    <row r="13" spans="1:22" ht="15" customHeight="1" x14ac:dyDescent="0.2">
      <c r="A13" s="107" t="s">
        <v>165</v>
      </c>
      <c r="B13" s="156" t="str">
        <f>HYPERLINK("http://maps.google.de/maps?hl=de&amp;bav=on.2,or.r_qf.&amp;bvm=bv.44770516,d.Yms&amp;biw=1395&amp;bih=916&amp;um=1&amp;ie=UTF-8&amp;q="&amp;B7&amp;"+"&amp;B8&amp;"+"&amp;B10&amp;"+"&amp;B11&amp;"+"&amp;B12&amp;"","In Google-Maps anzeigen (wenn Internet verfügbar)")</f>
        <v>In Google-Maps anzeigen (wenn Internet verfügbar)</v>
      </c>
      <c r="C13" s="157"/>
      <c r="D13" s="157"/>
      <c r="E13" s="158"/>
      <c r="G13" s="100" t="s">
        <v>315</v>
      </c>
      <c r="H13" s="104"/>
      <c r="I13" s="105">
        <f ca="1">SUMIF('Kal Unter Kita Tausendf'!J22:M91,$G$13,'Kal Unter Kita Tausendf'!M22:M91)</f>
        <v>16059.39</v>
      </c>
      <c r="J13" s="63">
        <f>COUNTIFS('Kal Unter Kita Tausendf'!J22:M91,$G$13)</f>
        <v>4</v>
      </c>
      <c r="N13" s="109">
        <f>COUNTIF(V22:V$91,1)</f>
        <v>0</v>
      </c>
      <c r="O13" s="3" t="str">
        <f>IF(N13&gt;0,"Wert(e) überschritten, bitte mit dem Angebot plausibel darlegen.","")</f>
        <v/>
      </c>
      <c r="U13" s="100" t="s">
        <v>315</v>
      </c>
      <c r="V13" s="3">
        <v>67.5</v>
      </c>
    </row>
    <row r="14" spans="1:22" ht="15" customHeight="1" x14ac:dyDescent="0.2">
      <c r="N14" s="110">
        <f>COUNTIF(V22:V$91,0)</f>
        <v>70</v>
      </c>
      <c r="O14" s="3" t="str">
        <f>IF(N14&gt;0,"Wert(e) korrekt","")</f>
        <v>Wert(e) korrekt</v>
      </c>
      <c r="T14" s="111">
        <f>IF(COUNTA($T$22:$T$91)-COUNTBLANK($T$22:$T$91)=0,"",COUNTA($T$22:$T$91)-COUNTBLANK($T$22:$T$91))</f>
        <v>67</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107</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12" t="s">
        <v>124</v>
      </c>
      <c r="B21" s="12"/>
      <c r="C21" s="12"/>
      <c r="D21" s="12"/>
      <c r="E21" s="12"/>
      <c r="F21" s="12"/>
      <c r="G21" s="113">
        <f>SUM($G$22:$G$91)</f>
        <v>1515.6699999999996</v>
      </c>
      <c r="H21" s="113">
        <f>SUM($H$22:$H$91)</f>
        <v>0</v>
      </c>
      <c r="I21" s="113">
        <f>SUM($I$22:$I$91)</f>
        <v>0</v>
      </c>
      <c r="J21" s="44"/>
      <c r="K21" s="44"/>
      <c r="L21" s="114">
        <f>MAX(L22:L91)</f>
        <v>247.5</v>
      </c>
      <c r="M21" s="113">
        <f>SUM($M$22:$M$91)</f>
        <v>338199.25000000006</v>
      </c>
      <c r="N21" s="44"/>
      <c r="O21" s="44"/>
      <c r="P21" s="113">
        <f>SUM($P$22:$P$91)</f>
        <v>0</v>
      </c>
      <c r="Q21" s="113">
        <f ca="1">SUM($Q$22:$Q$91)</f>
        <v>0</v>
      </c>
      <c r="R21" s="113">
        <f>ROUND(IF(L21=0,0,P21/L21),2)</f>
        <v>0</v>
      </c>
      <c r="S21" s="113">
        <f ca="1">ROUND(IF(L21=0,0,Q21/L21),2)</f>
        <v>0</v>
      </c>
    </row>
    <row r="22" spans="1:22" ht="15" customHeight="1" x14ac:dyDescent="0.2">
      <c r="A22" s="100">
        <v>1</v>
      </c>
      <c r="B22" s="115" t="s">
        <v>205</v>
      </c>
      <c r="C22" s="116" t="s">
        <v>206</v>
      </c>
      <c r="D22" s="116"/>
      <c r="E22" s="116" t="s">
        <v>207</v>
      </c>
      <c r="F22" s="116" t="s">
        <v>208</v>
      </c>
      <c r="G22" s="59">
        <v>19.47</v>
      </c>
      <c r="H22" s="59"/>
      <c r="I22" s="59"/>
      <c r="J22" s="100" t="s">
        <v>207</v>
      </c>
      <c r="K22" s="59">
        <v>5</v>
      </c>
      <c r="L22" s="44">
        <f>VLOOKUP(K22,Reinigungstage!A10:B31,2,FALSE)</f>
        <v>247.5</v>
      </c>
      <c r="M22" s="44">
        <f t="shared" ref="M22:M53" si="0">ROUND(IF(L22=0,0,L22*G22),2)</f>
        <v>4818.83</v>
      </c>
      <c r="N22" s="117">
        <f t="shared" ref="N22:N53" si="1">VLOOKUP(J22,$G$4:$H$13,2,FALSE)</f>
        <v>0</v>
      </c>
      <c r="O22" s="44">
        <f ca="1">IF('SVS UnterhaltsRG'!H61="",0,'SVS UnterhaltsRG'!H61)</f>
        <v>0</v>
      </c>
      <c r="P22" s="44">
        <f t="shared" ref="P22:P53" si="2">ROUND(IF(N22=0,0,M22/N22),2)</f>
        <v>0</v>
      </c>
      <c r="Q22" s="44">
        <f t="shared" ref="Q22:Q53" ca="1" si="3">IF(M22=0,0,IF(O22="",0,ROUND(P22*O22,2)))</f>
        <v>0</v>
      </c>
      <c r="R22" s="44">
        <f t="shared" ref="R22:R53" si="4">ROUND(IF(P22=0,0,P22/L22),2)</f>
        <v>0</v>
      </c>
      <c r="S22" s="44">
        <f t="shared" ref="S22:S53" ca="1" si="5">ROUND(IF(Q22=0,0,Q22/L22),2)</f>
        <v>0</v>
      </c>
      <c r="T22" s="3" t="str">
        <f t="shared" ref="T22:T53" si="6">IF(M22=0,"",IF(N22=0,"Leistungswert eintragen",IF(O22=0,"SVS prüfen","")))</f>
        <v>Leistungswert eintragen</v>
      </c>
      <c r="U22" s="3">
        <f t="shared" ref="U22:U53" si="7">VLOOKUP(J22,$U$4:$V$13,2,FALSE)</f>
        <v>53.75</v>
      </c>
      <c r="V22" s="3">
        <f t="shared" ref="V22:V53" si="8">IF(M22=0,0,IF(U22&lt;N22,1,IF(U22&gt;=N22,0,"")))</f>
        <v>0</v>
      </c>
    </row>
    <row r="23" spans="1:22" ht="15" customHeight="1" x14ac:dyDescent="0.2">
      <c r="A23" s="100">
        <v>2</v>
      </c>
      <c r="B23" s="115" t="s">
        <v>209</v>
      </c>
      <c r="C23" s="116" t="s">
        <v>206</v>
      </c>
      <c r="D23" s="116"/>
      <c r="E23" s="116" t="s">
        <v>210</v>
      </c>
      <c r="F23" s="116" t="s">
        <v>211</v>
      </c>
      <c r="G23" s="59">
        <v>40.25</v>
      </c>
      <c r="H23" s="59"/>
      <c r="I23" s="59"/>
      <c r="J23" s="100" t="s">
        <v>309</v>
      </c>
      <c r="K23" s="59">
        <v>5</v>
      </c>
      <c r="L23" s="44">
        <f>VLOOKUP(K23,Reinigungstage!A10:B31,2,FALSE)</f>
        <v>247.5</v>
      </c>
      <c r="M23" s="44">
        <f t="shared" si="0"/>
        <v>9961.8799999999992</v>
      </c>
      <c r="N23" s="117">
        <f t="shared" si="1"/>
        <v>0</v>
      </c>
      <c r="O23" s="44">
        <f ca="1">IF('SVS UnterhaltsRG'!H61="",0,'SVS UnterhaltsRG'!H61)</f>
        <v>0</v>
      </c>
      <c r="P23" s="44">
        <f t="shared" si="2"/>
        <v>0</v>
      </c>
      <c r="Q23" s="44">
        <f t="shared" ca="1" si="3"/>
        <v>0</v>
      </c>
      <c r="R23" s="44">
        <f t="shared" si="4"/>
        <v>0</v>
      </c>
      <c r="S23" s="44">
        <f t="shared" ca="1" si="5"/>
        <v>0</v>
      </c>
      <c r="T23" s="3" t="str">
        <f t="shared" si="6"/>
        <v>Leistungswert eintragen</v>
      </c>
      <c r="U23" s="3">
        <f t="shared" si="7"/>
        <v>132.5</v>
      </c>
      <c r="V23" s="3">
        <f t="shared" si="8"/>
        <v>0</v>
      </c>
    </row>
    <row r="24" spans="1:22" ht="15" customHeight="1" x14ac:dyDescent="0.2">
      <c r="A24" s="100">
        <v>3</v>
      </c>
      <c r="B24" s="115" t="s">
        <v>212</v>
      </c>
      <c r="C24" s="116" t="s">
        <v>206</v>
      </c>
      <c r="D24" s="116"/>
      <c r="E24" s="116" t="s">
        <v>210</v>
      </c>
      <c r="F24" s="116" t="s">
        <v>211</v>
      </c>
      <c r="G24" s="59">
        <v>43.4</v>
      </c>
      <c r="H24" s="59"/>
      <c r="I24" s="59"/>
      <c r="J24" s="100" t="s">
        <v>309</v>
      </c>
      <c r="K24" s="59">
        <v>5</v>
      </c>
      <c r="L24" s="44">
        <f>VLOOKUP(K24,Reinigungstage!A10:B31,2,FALSE)</f>
        <v>247.5</v>
      </c>
      <c r="M24" s="44">
        <f t="shared" si="0"/>
        <v>10741.5</v>
      </c>
      <c r="N24" s="117">
        <f t="shared" si="1"/>
        <v>0</v>
      </c>
      <c r="O24" s="44">
        <f ca="1">IF('SVS UnterhaltsRG'!H61="",0,'SVS UnterhaltsRG'!H61)</f>
        <v>0</v>
      </c>
      <c r="P24" s="44">
        <f t="shared" si="2"/>
        <v>0</v>
      </c>
      <c r="Q24" s="44">
        <f t="shared" ca="1" si="3"/>
        <v>0</v>
      </c>
      <c r="R24" s="44">
        <f t="shared" si="4"/>
        <v>0</v>
      </c>
      <c r="S24" s="44">
        <f t="shared" ca="1" si="5"/>
        <v>0</v>
      </c>
      <c r="T24" s="3" t="str">
        <f t="shared" si="6"/>
        <v>Leistungswert eintragen</v>
      </c>
      <c r="U24" s="3">
        <f t="shared" si="7"/>
        <v>132.5</v>
      </c>
      <c r="V24" s="3">
        <f t="shared" si="8"/>
        <v>0</v>
      </c>
    </row>
    <row r="25" spans="1:22" ht="15" customHeight="1" x14ac:dyDescent="0.2">
      <c r="A25" s="100">
        <v>4</v>
      </c>
      <c r="B25" s="115" t="s">
        <v>213</v>
      </c>
      <c r="C25" s="116" t="s">
        <v>206</v>
      </c>
      <c r="D25" s="116"/>
      <c r="E25" s="116" t="s">
        <v>214</v>
      </c>
      <c r="F25" s="116" t="s">
        <v>211</v>
      </c>
      <c r="G25" s="59">
        <v>12.26</v>
      </c>
      <c r="H25" s="59"/>
      <c r="I25" s="59"/>
      <c r="J25" s="100" t="s">
        <v>310</v>
      </c>
      <c r="K25" s="59">
        <v>5</v>
      </c>
      <c r="L25" s="44">
        <f>VLOOKUP(K25,Reinigungstage!A10:B31,2,FALSE)</f>
        <v>247.5</v>
      </c>
      <c r="M25" s="44">
        <f t="shared" si="0"/>
        <v>3034.35</v>
      </c>
      <c r="N25" s="117">
        <f t="shared" si="1"/>
        <v>0</v>
      </c>
      <c r="O25" s="44">
        <f ca="1">IF('SVS UnterhaltsRG'!H61="",0,'SVS UnterhaltsRG'!H61)</f>
        <v>0</v>
      </c>
      <c r="P25" s="44">
        <f t="shared" si="2"/>
        <v>0</v>
      </c>
      <c r="Q25" s="44">
        <f t="shared" ca="1" si="3"/>
        <v>0</v>
      </c>
      <c r="R25" s="44">
        <f t="shared" si="4"/>
        <v>0</v>
      </c>
      <c r="S25" s="44">
        <f t="shared" ca="1" si="5"/>
        <v>0</v>
      </c>
      <c r="T25" s="3" t="str">
        <f t="shared" si="6"/>
        <v>Leistungswert eintragen</v>
      </c>
      <c r="U25" s="3">
        <f t="shared" si="7"/>
        <v>166.25</v>
      </c>
      <c r="V25" s="3">
        <f t="shared" si="8"/>
        <v>0</v>
      </c>
    </row>
    <row r="26" spans="1:22" ht="15" customHeight="1" x14ac:dyDescent="0.2">
      <c r="A26" s="100">
        <v>5</v>
      </c>
      <c r="B26" s="115" t="s">
        <v>215</v>
      </c>
      <c r="C26" s="116" t="s">
        <v>206</v>
      </c>
      <c r="D26" s="116"/>
      <c r="E26" s="116" t="s">
        <v>216</v>
      </c>
      <c r="F26" s="116" t="s">
        <v>211</v>
      </c>
      <c r="G26" s="59">
        <v>12.49</v>
      </c>
      <c r="H26" s="59"/>
      <c r="I26" s="59"/>
      <c r="J26" s="100" t="s">
        <v>311</v>
      </c>
      <c r="K26" s="59">
        <v>3</v>
      </c>
      <c r="L26" s="44">
        <f>VLOOKUP(K26,Reinigungstage!A10:B31,2,FALSE)</f>
        <v>148.5</v>
      </c>
      <c r="M26" s="44">
        <f t="shared" si="0"/>
        <v>1854.77</v>
      </c>
      <c r="N26" s="117">
        <f t="shared" si="1"/>
        <v>0</v>
      </c>
      <c r="O26" s="44">
        <f ca="1">IF('SVS UnterhaltsRG'!H61="",0,'SVS UnterhaltsRG'!H61)</f>
        <v>0</v>
      </c>
      <c r="P26" s="44">
        <f t="shared" si="2"/>
        <v>0</v>
      </c>
      <c r="Q26" s="44">
        <f t="shared" ca="1" si="3"/>
        <v>0</v>
      </c>
      <c r="R26" s="44">
        <f t="shared" si="4"/>
        <v>0</v>
      </c>
      <c r="S26" s="44">
        <f t="shared" ca="1" si="5"/>
        <v>0</v>
      </c>
      <c r="T26" s="3" t="str">
        <f t="shared" si="6"/>
        <v>Leistungswert eintragen</v>
      </c>
      <c r="U26" s="3">
        <f t="shared" si="7"/>
        <v>168.75</v>
      </c>
      <c r="V26" s="3">
        <f t="shared" si="8"/>
        <v>0</v>
      </c>
    </row>
    <row r="27" spans="1:22" ht="15" customHeight="1" x14ac:dyDescent="0.2">
      <c r="A27" s="100">
        <v>6</v>
      </c>
      <c r="B27" s="115" t="s">
        <v>217</v>
      </c>
      <c r="C27" s="116" t="s">
        <v>206</v>
      </c>
      <c r="D27" s="116">
        <v>1</v>
      </c>
      <c r="E27" s="116" t="s">
        <v>218</v>
      </c>
      <c r="F27" s="116" t="s">
        <v>211</v>
      </c>
      <c r="G27" s="59">
        <v>37.159999999999997</v>
      </c>
      <c r="H27" s="59"/>
      <c r="I27" s="59"/>
      <c r="J27" s="100" t="s">
        <v>312</v>
      </c>
      <c r="K27" s="59">
        <v>5</v>
      </c>
      <c r="L27" s="44">
        <f>VLOOKUP(K27,Reinigungstage!A10:B31,2,FALSE)</f>
        <v>247.5</v>
      </c>
      <c r="M27" s="44">
        <f t="shared" si="0"/>
        <v>9197.1</v>
      </c>
      <c r="N27" s="117">
        <f t="shared" si="1"/>
        <v>0</v>
      </c>
      <c r="O27" s="44">
        <f ca="1">IF('SVS UnterhaltsRG'!H61="",0,'SVS UnterhaltsRG'!H61)</f>
        <v>0</v>
      </c>
      <c r="P27" s="44">
        <f t="shared" si="2"/>
        <v>0</v>
      </c>
      <c r="Q27" s="44">
        <f t="shared" ca="1" si="3"/>
        <v>0</v>
      </c>
      <c r="R27" s="44">
        <f t="shared" si="4"/>
        <v>0</v>
      </c>
      <c r="S27" s="44">
        <f t="shared" ca="1" si="5"/>
        <v>0</v>
      </c>
      <c r="T27" s="3" t="str">
        <f t="shared" si="6"/>
        <v>Leistungswert eintragen</v>
      </c>
      <c r="U27" s="3">
        <f t="shared" si="7"/>
        <v>136.25</v>
      </c>
      <c r="V27" s="3">
        <f t="shared" si="8"/>
        <v>0</v>
      </c>
    </row>
    <row r="28" spans="1:22" ht="15" customHeight="1" x14ac:dyDescent="0.2">
      <c r="A28" s="100">
        <v>7</v>
      </c>
      <c r="B28" s="115" t="s">
        <v>219</v>
      </c>
      <c r="C28" s="116" t="s">
        <v>206</v>
      </c>
      <c r="D28" s="116"/>
      <c r="E28" s="116" t="s">
        <v>220</v>
      </c>
      <c r="F28" s="116" t="s">
        <v>208</v>
      </c>
      <c r="G28" s="59">
        <v>2.23</v>
      </c>
      <c r="H28" s="59"/>
      <c r="I28" s="59"/>
      <c r="J28" s="100" t="s">
        <v>313</v>
      </c>
      <c r="K28" s="59">
        <v>1</v>
      </c>
      <c r="L28" s="44">
        <f>VLOOKUP(K28,Reinigungstage!A10:B31,2,FALSE)</f>
        <v>51.41</v>
      </c>
      <c r="M28" s="44">
        <f t="shared" si="0"/>
        <v>114.64</v>
      </c>
      <c r="N28" s="117">
        <f t="shared" si="1"/>
        <v>0</v>
      </c>
      <c r="O28" s="44">
        <f ca="1">IF('SVS UnterhaltsRG'!H61="",0,'SVS UnterhaltsRG'!H61)</f>
        <v>0</v>
      </c>
      <c r="P28" s="44">
        <f t="shared" si="2"/>
        <v>0</v>
      </c>
      <c r="Q28" s="44">
        <f t="shared" ca="1" si="3"/>
        <v>0</v>
      </c>
      <c r="R28" s="44">
        <f t="shared" si="4"/>
        <v>0</v>
      </c>
      <c r="S28" s="44">
        <f t="shared" ca="1" si="5"/>
        <v>0</v>
      </c>
      <c r="T28" s="3" t="str">
        <f t="shared" si="6"/>
        <v>Leistungswert eintragen</v>
      </c>
      <c r="U28" s="3">
        <f t="shared" si="7"/>
        <v>262.5</v>
      </c>
      <c r="V28" s="3">
        <f t="shared" si="8"/>
        <v>0</v>
      </c>
    </row>
    <row r="29" spans="1:22" ht="15" customHeight="1" x14ac:dyDescent="0.2">
      <c r="A29" s="100">
        <v>8</v>
      </c>
      <c r="B29" s="115" t="s">
        <v>221</v>
      </c>
      <c r="C29" s="116" t="s">
        <v>206</v>
      </c>
      <c r="D29" s="116"/>
      <c r="E29" s="116" t="s">
        <v>222</v>
      </c>
      <c r="F29" s="116" t="s">
        <v>208</v>
      </c>
      <c r="G29" s="59">
        <v>7.54</v>
      </c>
      <c r="H29" s="59"/>
      <c r="I29" s="59"/>
      <c r="J29" s="100" t="s">
        <v>207</v>
      </c>
      <c r="K29" s="59">
        <v>5</v>
      </c>
      <c r="L29" s="44">
        <f>VLOOKUP(K29,Reinigungstage!A10:B31,2,FALSE)</f>
        <v>247.5</v>
      </c>
      <c r="M29" s="44">
        <f t="shared" si="0"/>
        <v>1866.15</v>
      </c>
      <c r="N29" s="117">
        <f t="shared" si="1"/>
        <v>0</v>
      </c>
      <c r="O29" s="44">
        <f ca="1">IF('SVS UnterhaltsRG'!H61="",0,'SVS UnterhaltsRG'!H61)</f>
        <v>0</v>
      </c>
      <c r="P29" s="44">
        <f t="shared" si="2"/>
        <v>0</v>
      </c>
      <c r="Q29" s="44">
        <f t="shared" ca="1" si="3"/>
        <v>0</v>
      </c>
      <c r="R29" s="44">
        <f t="shared" si="4"/>
        <v>0</v>
      </c>
      <c r="S29" s="44">
        <f t="shared" ca="1" si="5"/>
        <v>0</v>
      </c>
      <c r="T29" s="3" t="str">
        <f t="shared" si="6"/>
        <v>Leistungswert eintragen</v>
      </c>
      <c r="U29" s="3">
        <f t="shared" si="7"/>
        <v>53.75</v>
      </c>
      <c r="V29" s="3">
        <f t="shared" si="8"/>
        <v>0</v>
      </c>
    </row>
    <row r="30" spans="1:22" ht="15" customHeight="1" x14ac:dyDescent="0.2">
      <c r="A30" s="100">
        <v>9</v>
      </c>
      <c r="B30" s="115" t="s">
        <v>7</v>
      </c>
      <c r="C30" s="116" t="s">
        <v>206</v>
      </c>
      <c r="D30" s="116"/>
      <c r="E30" s="116" t="s">
        <v>223</v>
      </c>
      <c r="F30" s="116" t="s">
        <v>211</v>
      </c>
      <c r="G30" s="59">
        <v>21.98</v>
      </c>
      <c r="H30" s="59"/>
      <c r="I30" s="59"/>
      <c r="J30" s="100" t="s">
        <v>310</v>
      </c>
      <c r="K30" s="59">
        <v>5</v>
      </c>
      <c r="L30" s="44">
        <f>VLOOKUP(K30,Reinigungstage!A10:B31,2,FALSE)</f>
        <v>247.5</v>
      </c>
      <c r="M30" s="44">
        <f t="shared" si="0"/>
        <v>5440.05</v>
      </c>
      <c r="N30" s="117">
        <f t="shared" si="1"/>
        <v>0</v>
      </c>
      <c r="O30" s="44">
        <f ca="1">IF('SVS UnterhaltsRG'!H61="",0,'SVS UnterhaltsRG'!H61)</f>
        <v>0</v>
      </c>
      <c r="P30" s="44">
        <f t="shared" si="2"/>
        <v>0</v>
      </c>
      <c r="Q30" s="44">
        <f t="shared" ca="1" si="3"/>
        <v>0</v>
      </c>
      <c r="R30" s="44">
        <f t="shared" si="4"/>
        <v>0</v>
      </c>
      <c r="S30" s="44">
        <f t="shared" ca="1" si="5"/>
        <v>0</v>
      </c>
      <c r="T30" s="3" t="str">
        <f t="shared" si="6"/>
        <v>Leistungswert eintragen</v>
      </c>
      <c r="U30" s="3">
        <f t="shared" si="7"/>
        <v>166.25</v>
      </c>
      <c r="V30" s="3">
        <f t="shared" si="8"/>
        <v>0</v>
      </c>
    </row>
    <row r="31" spans="1:22" ht="15" customHeight="1" x14ac:dyDescent="0.2">
      <c r="A31" s="100">
        <v>10</v>
      </c>
      <c r="B31" s="115" t="s">
        <v>9</v>
      </c>
      <c r="C31" s="116" t="s">
        <v>206</v>
      </c>
      <c r="D31" s="116"/>
      <c r="E31" s="116" t="s">
        <v>224</v>
      </c>
      <c r="F31" s="116" t="s">
        <v>211</v>
      </c>
      <c r="G31" s="59">
        <v>7.63</v>
      </c>
      <c r="H31" s="59"/>
      <c r="I31" s="59"/>
      <c r="J31" s="100" t="s">
        <v>314</v>
      </c>
      <c r="K31" s="59">
        <v>2</v>
      </c>
      <c r="L31" s="44">
        <f>VLOOKUP(K31,Reinigungstage!A10:B31,2,FALSE)</f>
        <v>102.84</v>
      </c>
      <c r="M31" s="44">
        <f t="shared" si="0"/>
        <v>784.67</v>
      </c>
      <c r="N31" s="117">
        <f t="shared" si="1"/>
        <v>0</v>
      </c>
      <c r="O31" s="44">
        <f ca="1">IF('SVS UnterhaltsRG'!H61="",0,'SVS UnterhaltsRG'!H61)</f>
        <v>0</v>
      </c>
      <c r="P31" s="44">
        <f t="shared" si="2"/>
        <v>0</v>
      </c>
      <c r="Q31" s="44">
        <f t="shared" ca="1" si="3"/>
        <v>0</v>
      </c>
      <c r="R31" s="44">
        <f t="shared" si="4"/>
        <v>0</v>
      </c>
      <c r="S31" s="44">
        <f t="shared" ca="1" si="5"/>
        <v>0</v>
      </c>
      <c r="T31" s="3" t="str">
        <f t="shared" si="6"/>
        <v>Leistungswert eintragen</v>
      </c>
      <c r="U31" s="3">
        <f t="shared" si="7"/>
        <v>195</v>
      </c>
      <c r="V31" s="3">
        <f t="shared" si="8"/>
        <v>0</v>
      </c>
    </row>
    <row r="32" spans="1:22" ht="15" customHeight="1" x14ac:dyDescent="0.2">
      <c r="A32" s="100">
        <v>11</v>
      </c>
      <c r="B32" s="115" t="s">
        <v>11</v>
      </c>
      <c r="C32" s="116" t="s">
        <v>206</v>
      </c>
      <c r="D32" s="116"/>
      <c r="E32" s="116" t="s">
        <v>225</v>
      </c>
      <c r="F32" s="116" t="s">
        <v>211</v>
      </c>
      <c r="G32" s="59">
        <v>5.1100000000000003</v>
      </c>
      <c r="H32" s="59"/>
      <c r="I32" s="59"/>
      <c r="J32" s="100" t="s">
        <v>309</v>
      </c>
      <c r="K32" s="59">
        <v>5</v>
      </c>
      <c r="L32" s="44">
        <f>VLOOKUP(K32,Reinigungstage!A10:B31,2,FALSE)</f>
        <v>247.5</v>
      </c>
      <c r="M32" s="44">
        <f t="shared" si="0"/>
        <v>1264.73</v>
      </c>
      <c r="N32" s="117">
        <f t="shared" si="1"/>
        <v>0</v>
      </c>
      <c r="O32" s="44">
        <f ca="1">IF('SVS UnterhaltsRG'!H61="",0,'SVS UnterhaltsRG'!H61)</f>
        <v>0</v>
      </c>
      <c r="P32" s="44">
        <f t="shared" si="2"/>
        <v>0</v>
      </c>
      <c r="Q32" s="44">
        <f t="shared" ca="1" si="3"/>
        <v>0</v>
      </c>
      <c r="R32" s="44">
        <f t="shared" si="4"/>
        <v>0</v>
      </c>
      <c r="S32" s="44">
        <f t="shared" ca="1" si="5"/>
        <v>0</v>
      </c>
      <c r="T32" s="3" t="str">
        <f t="shared" si="6"/>
        <v>Leistungswert eintragen</v>
      </c>
      <c r="U32" s="3">
        <f t="shared" si="7"/>
        <v>132.5</v>
      </c>
      <c r="V32" s="3">
        <f t="shared" si="8"/>
        <v>0</v>
      </c>
    </row>
    <row r="33" spans="1:22" ht="15" customHeight="1" x14ac:dyDescent="0.2">
      <c r="A33" s="100">
        <v>12</v>
      </c>
      <c r="B33" s="115" t="s">
        <v>13</v>
      </c>
      <c r="C33" s="116" t="s">
        <v>206</v>
      </c>
      <c r="D33" s="116"/>
      <c r="E33" s="116" t="s">
        <v>210</v>
      </c>
      <c r="F33" s="116" t="s">
        <v>211</v>
      </c>
      <c r="G33" s="59">
        <v>41.1</v>
      </c>
      <c r="H33" s="59"/>
      <c r="I33" s="59"/>
      <c r="J33" s="100" t="s">
        <v>309</v>
      </c>
      <c r="K33" s="59">
        <v>5</v>
      </c>
      <c r="L33" s="44">
        <f>VLOOKUP(K33,Reinigungstage!A10:B31,2,FALSE)</f>
        <v>247.5</v>
      </c>
      <c r="M33" s="44">
        <f t="shared" si="0"/>
        <v>10172.25</v>
      </c>
      <c r="N33" s="117">
        <f t="shared" si="1"/>
        <v>0</v>
      </c>
      <c r="O33" s="44">
        <f ca="1">IF('SVS UnterhaltsRG'!H61="",0,'SVS UnterhaltsRG'!H61)</f>
        <v>0</v>
      </c>
      <c r="P33" s="44">
        <f t="shared" si="2"/>
        <v>0</v>
      </c>
      <c r="Q33" s="44">
        <f t="shared" ca="1" si="3"/>
        <v>0</v>
      </c>
      <c r="R33" s="44">
        <f t="shared" si="4"/>
        <v>0</v>
      </c>
      <c r="S33" s="44">
        <f t="shared" ca="1" si="5"/>
        <v>0</v>
      </c>
      <c r="T33" s="3" t="str">
        <f t="shared" si="6"/>
        <v>Leistungswert eintragen</v>
      </c>
      <c r="U33" s="3">
        <f t="shared" si="7"/>
        <v>132.5</v>
      </c>
      <c r="V33" s="3">
        <f t="shared" si="8"/>
        <v>0</v>
      </c>
    </row>
    <row r="34" spans="1:22" ht="15" customHeight="1" x14ac:dyDescent="0.2">
      <c r="A34" s="100">
        <v>13</v>
      </c>
      <c r="B34" s="115" t="s">
        <v>15</v>
      </c>
      <c r="C34" s="116" t="s">
        <v>206</v>
      </c>
      <c r="D34" s="116"/>
      <c r="E34" s="116" t="s">
        <v>210</v>
      </c>
      <c r="F34" s="116" t="s">
        <v>211</v>
      </c>
      <c r="G34" s="59">
        <v>40.46</v>
      </c>
      <c r="H34" s="59"/>
      <c r="I34" s="59"/>
      <c r="J34" s="100" t="s">
        <v>309</v>
      </c>
      <c r="K34" s="59">
        <v>5</v>
      </c>
      <c r="L34" s="44">
        <f>VLOOKUP(K34,Reinigungstage!A10:B31,2,FALSE)</f>
        <v>247.5</v>
      </c>
      <c r="M34" s="44">
        <f t="shared" si="0"/>
        <v>10013.85</v>
      </c>
      <c r="N34" s="117">
        <f t="shared" si="1"/>
        <v>0</v>
      </c>
      <c r="O34" s="44">
        <f ca="1">IF('SVS UnterhaltsRG'!H61="",0,'SVS UnterhaltsRG'!H61)</f>
        <v>0</v>
      </c>
      <c r="P34" s="44">
        <f t="shared" si="2"/>
        <v>0</v>
      </c>
      <c r="Q34" s="44">
        <f t="shared" ca="1" si="3"/>
        <v>0</v>
      </c>
      <c r="R34" s="44">
        <f t="shared" si="4"/>
        <v>0</v>
      </c>
      <c r="S34" s="44">
        <f t="shared" ca="1" si="5"/>
        <v>0</v>
      </c>
      <c r="T34" s="3" t="str">
        <f t="shared" si="6"/>
        <v>Leistungswert eintragen</v>
      </c>
      <c r="U34" s="3">
        <f t="shared" si="7"/>
        <v>132.5</v>
      </c>
      <c r="V34" s="3">
        <f t="shared" si="8"/>
        <v>0</v>
      </c>
    </row>
    <row r="35" spans="1:22" ht="15" customHeight="1" x14ac:dyDescent="0.2">
      <c r="A35" s="100">
        <v>14</v>
      </c>
      <c r="B35" s="115" t="s">
        <v>17</v>
      </c>
      <c r="C35" s="116" t="s">
        <v>206</v>
      </c>
      <c r="D35" s="116"/>
      <c r="E35" s="116" t="s">
        <v>226</v>
      </c>
      <c r="F35" s="116" t="s">
        <v>208</v>
      </c>
      <c r="G35" s="59">
        <v>7.16</v>
      </c>
      <c r="H35" s="59"/>
      <c r="I35" s="59"/>
      <c r="J35" s="100" t="s">
        <v>207</v>
      </c>
      <c r="K35" s="59">
        <v>5</v>
      </c>
      <c r="L35" s="44">
        <f>VLOOKUP(K35,Reinigungstage!A10:B31,2,FALSE)</f>
        <v>247.5</v>
      </c>
      <c r="M35" s="44">
        <f t="shared" si="0"/>
        <v>1772.1</v>
      </c>
      <c r="N35" s="117">
        <f t="shared" si="1"/>
        <v>0</v>
      </c>
      <c r="O35" s="44">
        <f ca="1">IF('SVS UnterhaltsRG'!H61="",0,'SVS UnterhaltsRG'!H61)</f>
        <v>0</v>
      </c>
      <c r="P35" s="44">
        <f t="shared" si="2"/>
        <v>0</v>
      </c>
      <c r="Q35" s="44">
        <f t="shared" ca="1" si="3"/>
        <v>0</v>
      </c>
      <c r="R35" s="44">
        <f t="shared" si="4"/>
        <v>0</v>
      </c>
      <c r="S35" s="44">
        <f t="shared" ca="1" si="5"/>
        <v>0</v>
      </c>
      <c r="T35" s="3" t="str">
        <f t="shared" si="6"/>
        <v>Leistungswert eintragen</v>
      </c>
      <c r="U35" s="3">
        <f t="shared" si="7"/>
        <v>53.75</v>
      </c>
      <c r="V35" s="3">
        <f t="shared" si="8"/>
        <v>0</v>
      </c>
    </row>
    <row r="36" spans="1:22" ht="15" customHeight="1" x14ac:dyDescent="0.2">
      <c r="A36" s="100">
        <v>15</v>
      </c>
      <c r="B36" s="115" t="s">
        <v>227</v>
      </c>
      <c r="C36" s="116" t="s">
        <v>206</v>
      </c>
      <c r="D36" s="116"/>
      <c r="E36" s="116" t="s">
        <v>228</v>
      </c>
      <c r="F36" s="116" t="s">
        <v>208</v>
      </c>
      <c r="G36" s="59">
        <v>4.79</v>
      </c>
      <c r="H36" s="59"/>
      <c r="I36" s="59"/>
      <c r="J36" s="100" t="s">
        <v>207</v>
      </c>
      <c r="K36" s="59">
        <v>5</v>
      </c>
      <c r="L36" s="44">
        <f>VLOOKUP(K36,Reinigungstage!A10:B31,2,FALSE)</f>
        <v>247.5</v>
      </c>
      <c r="M36" s="44">
        <f t="shared" si="0"/>
        <v>1185.53</v>
      </c>
      <c r="N36" s="117">
        <f t="shared" si="1"/>
        <v>0</v>
      </c>
      <c r="O36" s="44">
        <f ca="1">IF('SVS UnterhaltsRG'!H61="",0,'SVS UnterhaltsRG'!H61)</f>
        <v>0</v>
      </c>
      <c r="P36" s="44">
        <f t="shared" si="2"/>
        <v>0</v>
      </c>
      <c r="Q36" s="44">
        <f t="shared" ca="1" si="3"/>
        <v>0</v>
      </c>
      <c r="R36" s="44">
        <f t="shared" si="4"/>
        <v>0</v>
      </c>
      <c r="S36" s="44">
        <f t="shared" ca="1" si="5"/>
        <v>0</v>
      </c>
      <c r="T36" s="3" t="str">
        <f t="shared" si="6"/>
        <v>Leistungswert eintragen</v>
      </c>
      <c r="U36" s="3">
        <f t="shared" si="7"/>
        <v>53.75</v>
      </c>
      <c r="V36" s="3">
        <f t="shared" si="8"/>
        <v>0</v>
      </c>
    </row>
    <row r="37" spans="1:22" ht="15" customHeight="1" x14ac:dyDescent="0.2">
      <c r="A37" s="100">
        <v>16</v>
      </c>
      <c r="B37" s="115" t="s">
        <v>229</v>
      </c>
      <c r="C37" s="116" t="s">
        <v>206</v>
      </c>
      <c r="D37" s="116"/>
      <c r="E37" s="116" t="s">
        <v>230</v>
      </c>
      <c r="F37" s="116" t="s">
        <v>208</v>
      </c>
      <c r="G37" s="59">
        <v>4.7300000000000004</v>
      </c>
      <c r="H37" s="59"/>
      <c r="I37" s="59"/>
      <c r="J37" s="100" t="s">
        <v>207</v>
      </c>
      <c r="K37" s="59">
        <v>5</v>
      </c>
      <c r="L37" s="44">
        <f>VLOOKUP(K37,Reinigungstage!A10:B31,2,FALSE)</f>
        <v>247.5</v>
      </c>
      <c r="M37" s="44">
        <f t="shared" si="0"/>
        <v>1170.68</v>
      </c>
      <c r="N37" s="117">
        <f t="shared" si="1"/>
        <v>0</v>
      </c>
      <c r="O37" s="44">
        <f ca="1">IF('SVS UnterhaltsRG'!H61="",0,'SVS UnterhaltsRG'!H61)</f>
        <v>0</v>
      </c>
      <c r="P37" s="44">
        <f t="shared" si="2"/>
        <v>0</v>
      </c>
      <c r="Q37" s="44">
        <f t="shared" ca="1" si="3"/>
        <v>0</v>
      </c>
      <c r="R37" s="44">
        <f t="shared" si="4"/>
        <v>0</v>
      </c>
      <c r="S37" s="44">
        <f t="shared" ca="1" si="5"/>
        <v>0</v>
      </c>
      <c r="T37" s="3" t="str">
        <f t="shared" si="6"/>
        <v>Leistungswert eintragen</v>
      </c>
      <c r="U37" s="3">
        <f t="shared" si="7"/>
        <v>53.75</v>
      </c>
      <c r="V37" s="3">
        <f t="shared" si="8"/>
        <v>0</v>
      </c>
    </row>
    <row r="38" spans="1:22" ht="15" customHeight="1" x14ac:dyDescent="0.2">
      <c r="A38" s="100">
        <v>17</v>
      </c>
      <c r="B38" s="115" t="s">
        <v>231</v>
      </c>
      <c r="C38" s="116" t="s">
        <v>206</v>
      </c>
      <c r="D38" s="116"/>
      <c r="E38" s="116" t="s">
        <v>232</v>
      </c>
      <c r="F38" s="116" t="s">
        <v>208</v>
      </c>
      <c r="G38" s="59">
        <v>7.52</v>
      </c>
      <c r="H38" s="59"/>
      <c r="I38" s="59"/>
      <c r="J38" s="100" t="s">
        <v>207</v>
      </c>
      <c r="K38" s="59">
        <v>5</v>
      </c>
      <c r="L38" s="44">
        <f>VLOOKUP(K38,Reinigungstage!A10:B31,2,FALSE)</f>
        <v>247.5</v>
      </c>
      <c r="M38" s="44">
        <f t="shared" si="0"/>
        <v>1861.2</v>
      </c>
      <c r="N38" s="117">
        <f t="shared" si="1"/>
        <v>0</v>
      </c>
      <c r="O38" s="44">
        <f ca="1">IF('SVS UnterhaltsRG'!H61="",0,'SVS UnterhaltsRG'!H61)</f>
        <v>0</v>
      </c>
      <c r="P38" s="44">
        <f t="shared" si="2"/>
        <v>0</v>
      </c>
      <c r="Q38" s="44">
        <f t="shared" ca="1" si="3"/>
        <v>0</v>
      </c>
      <c r="R38" s="44">
        <f t="shared" si="4"/>
        <v>0</v>
      </c>
      <c r="S38" s="44">
        <f t="shared" ca="1" si="5"/>
        <v>0</v>
      </c>
      <c r="T38" s="3" t="str">
        <f t="shared" si="6"/>
        <v>Leistungswert eintragen</v>
      </c>
      <c r="U38" s="3">
        <f t="shared" si="7"/>
        <v>53.75</v>
      </c>
      <c r="V38" s="3">
        <f t="shared" si="8"/>
        <v>0</v>
      </c>
    </row>
    <row r="39" spans="1:22" ht="15" customHeight="1" x14ac:dyDescent="0.2">
      <c r="A39" s="100">
        <v>18</v>
      </c>
      <c r="B39" s="115" t="s">
        <v>233</v>
      </c>
      <c r="C39" s="116" t="s">
        <v>206</v>
      </c>
      <c r="D39" s="116"/>
      <c r="E39" s="116" t="s">
        <v>210</v>
      </c>
      <c r="F39" s="116" t="s">
        <v>211</v>
      </c>
      <c r="G39" s="59">
        <v>40.46</v>
      </c>
      <c r="H39" s="59"/>
      <c r="I39" s="59"/>
      <c r="J39" s="100" t="s">
        <v>309</v>
      </c>
      <c r="K39" s="59">
        <v>5</v>
      </c>
      <c r="L39" s="44">
        <f>VLOOKUP(K39,Reinigungstage!A10:B31,2,FALSE)</f>
        <v>247.5</v>
      </c>
      <c r="M39" s="44">
        <f t="shared" si="0"/>
        <v>10013.85</v>
      </c>
      <c r="N39" s="117">
        <f t="shared" si="1"/>
        <v>0</v>
      </c>
      <c r="O39" s="44">
        <f ca="1">IF('SVS UnterhaltsRG'!H61="",0,'SVS UnterhaltsRG'!H61)</f>
        <v>0</v>
      </c>
      <c r="P39" s="44">
        <f t="shared" si="2"/>
        <v>0</v>
      </c>
      <c r="Q39" s="44">
        <f t="shared" ca="1" si="3"/>
        <v>0</v>
      </c>
      <c r="R39" s="44">
        <f t="shared" si="4"/>
        <v>0</v>
      </c>
      <c r="S39" s="44">
        <f t="shared" ca="1" si="5"/>
        <v>0</v>
      </c>
      <c r="T39" s="3" t="str">
        <f t="shared" si="6"/>
        <v>Leistungswert eintragen</v>
      </c>
      <c r="U39" s="3">
        <f t="shared" si="7"/>
        <v>132.5</v>
      </c>
      <c r="V39" s="3">
        <f t="shared" si="8"/>
        <v>0</v>
      </c>
    </row>
    <row r="40" spans="1:22" ht="15" customHeight="1" x14ac:dyDescent="0.2">
      <c r="A40" s="100">
        <v>19</v>
      </c>
      <c r="B40" s="115" t="s">
        <v>20</v>
      </c>
      <c r="C40" s="116" t="s">
        <v>206</v>
      </c>
      <c r="D40" s="116"/>
      <c r="E40" s="116" t="s">
        <v>210</v>
      </c>
      <c r="F40" s="116" t="s">
        <v>211</v>
      </c>
      <c r="G40" s="59">
        <v>40.46</v>
      </c>
      <c r="H40" s="59"/>
      <c r="I40" s="59"/>
      <c r="J40" s="100" t="s">
        <v>309</v>
      </c>
      <c r="K40" s="59">
        <v>5</v>
      </c>
      <c r="L40" s="44">
        <f>VLOOKUP(K40,Reinigungstage!A10:B31,2,FALSE)</f>
        <v>247.5</v>
      </c>
      <c r="M40" s="44">
        <f t="shared" si="0"/>
        <v>10013.85</v>
      </c>
      <c r="N40" s="117">
        <f t="shared" si="1"/>
        <v>0</v>
      </c>
      <c r="O40" s="44">
        <f ca="1">IF('SVS UnterhaltsRG'!H61="",0,'SVS UnterhaltsRG'!H61)</f>
        <v>0</v>
      </c>
      <c r="P40" s="44">
        <f t="shared" si="2"/>
        <v>0</v>
      </c>
      <c r="Q40" s="44">
        <f t="shared" ca="1" si="3"/>
        <v>0</v>
      </c>
      <c r="R40" s="44">
        <f t="shared" si="4"/>
        <v>0</v>
      </c>
      <c r="S40" s="44">
        <f t="shared" ca="1" si="5"/>
        <v>0</v>
      </c>
      <c r="T40" s="3" t="str">
        <f t="shared" si="6"/>
        <v>Leistungswert eintragen</v>
      </c>
      <c r="U40" s="3">
        <f t="shared" si="7"/>
        <v>132.5</v>
      </c>
      <c r="V40" s="3">
        <f t="shared" si="8"/>
        <v>0</v>
      </c>
    </row>
    <row r="41" spans="1:22" ht="15" customHeight="1" x14ac:dyDescent="0.2">
      <c r="A41" s="100">
        <v>20</v>
      </c>
      <c r="B41" s="115" t="s">
        <v>22</v>
      </c>
      <c r="C41" s="116" t="s">
        <v>206</v>
      </c>
      <c r="D41" s="116"/>
      <c r="E41" s="116" t="s">
        <v>214</v>
      </c>
      <c r="F41" s="116" t="s">
        <v>211</v>
      </c>
      <c r="G41" s="59">
        <v>20.76</v>
      </c>
      <c r="H41" s="59"/>
      <c r="I41" s="59"/>
      <c r="J41" s="100" t="s">
        <v>310</v>
      </c>
      <c r="K41" s="59">
        <v>5</v>
      </c>
      <c r="L41" s="44">
        <f>VLOOKUP(K41,Reinigungstage!A10:B31,2,FALSE)</f>
        <v>247.5</v>
      </c>
      <c r="M41" s="44">
        <f t="shared" si="0"/>
        <v>5138.1000000000004</v>
      </c>
      <c r="N41" s="117">
        <f t="shared" si="1"/>
        <v>0</v>
      </c>
      <c r="O41" s="44">
        <f ca="1">IF('SVS UnterhaltsRG'!H61="",0,'SVS UnterhaltsRG'!H61)</f>
        <v>0</v>
      </c>
      <c r="P41" s="44">
        <f t="shared" si="2"/>
        <v>0</v>
      </c>
      <c r="Q41" s="44">
        <f t="shared" ca="1" si="3"/>
        <v>0</v>
      </c>
      <c r="R41" s="44">
        <f t="shared" si="4"/>
        <v>0</v>
      </c>
      <c r="S41" s="44">
        <f t="shared" ca="1" si="5"/>
        <v>0</v>
      </c>
      <c r="T41" s="3" t="str">
        <f t="shared" si="6"/>
        <v>Leistungswert eintragen</v>
      </c>
      <c r="U41" s="3">
        <f t="shared" si="7"/>
        <v>166.25</v>
      </c>
      <c r="V41" s="3">
        <f t="shared" si="8"/>
        <v>0</v>
      </c>
    </row>
    <row r="42" spans="1:22" ht="15" customHeight="1" x14ac:dyDescent="0.2">
      <c r="A42" s="100">
        <v>21</v>
      </c>
      <c r="B42" s="115" t="s">
        <v>24</v>
      </c>
      <c r="C42" s="116" t="s">
        <v>206</v>
      </c>
      <c r="D42" s="116"/>
      <c r="E42" s="116" t="s">
        <v>234</v>
      </c>
      <c r="F42" s="116" t="s">
        <v>208</v>
      </c>
      <c r="G42" s="59">
        <v>2.09</v>
      </c>
      <c r="H42" s="59"/>
      <c r="I42" s="59"/>
      <c r="J42" s="100" t="s">
        <v>207</v>
      </c>
      <c r="K42" s="59">
        <v>5</v>
      </c>
      <c r="L42" s="44">
        <f>VLOOKUP(K42,Reinigungstage!A10:B31,2,FALSE)</f>
        <v>247.5</v>
      </c>
      <c r="M42" s="44">
        <f t="shared" si="0"/>
        <v>517.28</v>
      </c>
      <c r="N42" s="117">
        <f t="shared" si="1"/>
        <v>0</v>
      </c>
      <c r="O42" s="44">
        <f ca="1">IF('SVS UnterhaltsRG'!H61="",0,'SVS UnterhaltsRG'!H61)</f>
        <v>0</v>
      </c>
      <c r="P42" s="44">
        <f t="shared" si="2"/>
        <v>0</v>
      </c>
      <c r="Q42" s="44">
        <f t="shared" ca="1" si="3"/>
        <v>0</v>
      </c>
      <c r="R42" s="44">
        <f t="shared" si="4"/>
        <v>0</v>
      </c>
      <c r="S42" s="44">
        <f t="shared" ca="1" si="5"/>
        <v>0</v>
      </c>
      <c r="T42" s="3" t="str">
        <f t="shared" si="6"/>
        <v>Leistungswert eintragen</v>
      </c>
      <c r="U42" s="3">
        <f t="shared" si="7"/>
        <v>53.75</v>
      </c>
      <c r="V42" s="3">
        <f t="shared" si="8"/>
        <v>0</v>
      </c>
    </row>
    <row r="43" spans="1:22" ht="15" customHeight="1" x14ac:dyDescent="0.2">
      <c r="A43" s="100">
        <v>22</v>
      </c>
      <c r="B43" s="115" t="s">
        <v>26</v>
      </c>
      <c r="C43" s="116" t="s">
        <v>206</v>
      </c>
      <c r="D43" s="116">
        <v>2</v>
      </c>
      <c r="E43" s="116" t="s">
        <v>218</v>
      </c>
      <c r="F43" s="116" t="s">
        <v>211</v>
      </c>
      <c r="G43" s="59">
        <v>37.159999999999997</v>
      </c>
      <c r="H43" s="59"/>
      <c r="I43" s="59"/>
      <c r="J43" s="100" t="s">
        <v>312</v>
      </c>
      <c r="K43" s="59">
        <v>5</v>
      </c>
      <c r="L43" s="44">
        <f>VLOOKUP(K43,Reinigungstage!A10:B31,2,FALSE)</f>
        <v>247.5</v>
      </c>
      <c r="M43" s="44">
        <f t="shared" si="0"/>
        <v>9197.1</v>
      </c>
      <c r="N43" s="117">
        <f t="shared" si="1"/>
        <v>0</v>
      </c>
      <c r="O43" s="44">
        <f ca="1">IF('SVS UnterhaltsRG'!H61="",0,'SVS UnterhaltsRG'!H61)</f>
        <v>0</v>
      </c>
      <c r="P43" s="44">
        <f t="shared" si="2"/>
        <v>0</v>
      </c>
      <c r="Q43" s="44">
        <f t="shared" ca="1" si="3"/>
        <v>0</v>
      </c>
      <c r="R43" s="44">
        <f t="shared" si="4"/>
        <v>0</v>
      </c>
      <c r="S43" s="44">
        <f t="shared" ca="1" si="5"/>
        <v>0</v>
      </c>
      <c r="T43" s="3" t="str">
        <f t="shared" si="6"/>
        <v>Leistungswert eintragen</v>
      </c>
      <c r="U43" s="3">
        <f t="shared" si="7"/>
        <v>136.25</v>
      </c>
      <c r="V43" s="3">
        <f t="shared" si="8"/>
        <v>0</v>
      </c>
    </row>
    <row r="44" spans="1:22" ht="15" customHeight="1" x14ac:dyDescent="0.2">
      <c r="A44" s="100">
        <v>23</v>
      </c>
      <c r="B44" s="115" t="s">
        <v>28</v>
      </c>
      <c r="C44" s="116" t="s">
        <v>206</v>
      </c>
      <c r="D44" s="116"/>
      <c r="E44" s="116" t="s">
        <v>235</v>
      </c>
      <c r="F44" s="116" t="s">
        <v>211</v>
      </c>
      <c r="G44" s="59">
        <v>20.88</v>
      </c>
      <c r="H44" s="59"/>
      <c r="I44" s="59"/>
      <c r="J44" s="100" t="s">
        <v>310</v>
      </c>
      <c r="K44" s="59">
        <v>5</v>
      </c>
      <c r="L44" s="44">
        <f>VLOOKUP(K44,Reinigungstage!A10:B31,2,FALSE)</f>
        <v>247.5</v>
      </c>
      <c r="M44" s="44">
        <f t="shared" si="0"/>
        <v>5167.8</v>
      </c>
      <c r="N44" s="117">
        <f t="shared" si="1"/>
        <v>0</v>
      </c>
      <c r="O44" s="44">
        <f ca="1">IF('SVS UnterhaltsRG'!H61="",0,'SVS UnterhaltsRG'!H61)</f>
        <v>0</v>
      </c>
      <c r="P44" s="44">
        <f t="shared" si="2"/>
        <v>0</v>
      </c>
      <c r="Q44" s="44">
        <f t="shared" ca="1" si="3"/>
        <v>0</v>
      </c>
      <c r="R44" s="44">
        <f t="shared" si="4"/>
        <v>0</v>
      </c>
      <c r="S44" s="44">
        <f t="shared" ca="1" si="5"/>
        <v>0</v>
      </c>
      <c r="T44" s="3" t="str">
        <f t="shared" si="6"/>
        <v>Leistungswert eintragen</v>
      </c>
      <c r="U44" s="3">
        <f t="shared" si="7"/>
        <v>166.25</v>
      </c>
      <c r="V44" s="3">
        <f t="shared" si="8"/>
        <v>0</v>
      </c>
    </row>
    <row r="45" spans="1:22" ht="15" customHeight="1" x14ac:dyDescent="0.2">
      <c r="A45" s="100">
        <v>24</v>
      </c>
      <c r="B45" s="115" t="s">
        <v>236</v>
      </c>
      <c r="C45" s="116" t="s">
        <v>206</v>
      </c>
      <c r="D45" s="116"/>
      <c r="E45" s="116" t="s">
        <v>207</v>
      </c>
      <c r="F45" s="116" t="s">
        <v>208</v>
      </c>
      <c r="G45" s="59">
        <v>19.309999999999999</v>
      </c>
      <c r="H45" s="59"/>
      <c r="I45" s="59"/>
      <c r="J45" s="100" t="s">
        <v>207</v>
      </c>
      <c r="K45" s="59">
        <v>5</v>
      </c>
      <c r="L45" s="44">
        <f>VLOOKUP(K45,Reinigungstage!A10:B31,2,FALSE)</f>
        <v>247.5</v>
      </c>
      <c r="M45" s="44">
        <f t="shared" si="0"/>
        <v>4779.2299999999996</v>
      </c>
      <c r="N45" s="117">
        <f t="shared" si="1"/>
        <v>0</v>
      </c>
      <c r="O45" s="44">
        <f ca="1">IF('SVS UnterhaltsRG'!H61="",0,'SVS UnterhaltsRG'!H61)</f>
        <v>0</v>
      </c>
      <c r="P45" s="44">
        <f t="shared" si="2"/>
        <v>0</v>
      </c>
      <c r="Q45" s="44">
        <f t="shared" ca="1" si="3"/>
        <v>0</v>
      </c>
      <c r="R45" s="44">
        <f t="shared" si="4"/>
        <v>0</v>
      </c>
      <c r="S45" s="44">
        <f t="shared" ca="1" si="5"/>
        <v>0</v>
      </c>
      <c r="T45" s="3" t="str">
        <f t="shared" si="6"/>
        <v>Leistungswert eintragen</v>
      </c>
      <c r="U45" s="3">
        <f t="shared" si="7"/>
        <v>53.75</v>
      </c>
      <c r="V45" s="3">
        <f t="shared" si="8"/>
        <v>0</v>
      </c>
    </row>
    <row r="46" spans="1:22" ht="15" customHeight="1" x14ac:dyDescent="0.2">
      <c r="A46" s="100">
        <v>25</v>
      </c>
      <c r="B46" s="115" t="s">
        <v>237</v>
      </c>
      <c r="C46" s="116" t="s">
        <v>206</v>
      </c>
      <c r="D46" s="116"/>
      <c r="E46" s="116" t="s">
        <v>214</v>
      </c>
      <c r="F46" s="116" t="s">
        <v>211</v>
      </c>
      <c r="G46" s="59">
        <v>20.69</v>
      </c>
      <c r="H46" s="59"/>
      <c r="I46" s="59"/>
      <c r="J46" s="100" t="s">
        <v>310</v>
      </c>
      <c r="K46" s="59">
        <v>5</v>
      </c>
      <c r="L46" s="44">
        <f>VLOOKUP(K46,Reinigungstage!A10:B31,2,FALSE)</f>
        <v>247.5</v>
      </c>
      <c r="M46" s="44">
        <f t="shared" si="0"/>
        <v>5120.78</v>
      </c>
      <c r="N46" s="117">
        <f t="shared" si="1"/>
        <v>0</v>
      </c>
      <c r="O46" s="44">
        <f ca="1">IF('SVS UnterhaltsRG'!H61="",0,'SVS UnterhaltsRG'!H61)</f>
        <v>0</v>
      </c>
      <c r="P46" s="44">
        <f t="shared" si="2"/>
        <v>0</v>
      </c>
      <c r="Q46" s="44">
        <f t="shared" ca="1" si="3"/>
        <v>0</v>
      </c>
      <c r="R46" s="44">
        <f t="shared" si="4"/>
        <v>0</v>
      </c>
      <c r="S46" s="44">
        <f t="shared" ca="1" si="5"/>
        <v>0</v>
      </c>
      <c r="T46" s="3" t="str">
        <f t="shared" si="6"/>
        <v>Leistungswert eintragen</v>
      </c>
      <c r="U46" s="3">
        <f t="shared" si="7"/>
        <v>166.25</v>
      </c>
      <c r="V46" s="3">
        <f t="shared" si="8"/>
        <v>0</v>
      </c>
    </row>
    <row r="47" spans="1:22" ht="15" customHeight="1" x14ac:dyDescent="0.2">
      <c r="A47" s="100">
        <v>26</v>
      </c>
      <c r="B47" s="115" t="s">
        <v>238</v>
      </c>
      <c r="C47" s="116" t="s">
        <v>206</v>
      </c>
      <c r="D47" s="116"/>
      <c r="E47" s="116" t="s">
        <v>210</v>
      </c>
      <c r="F47" s="116" t="s">
        <v>211</v>
      </c>
      <c r="G47" s="59">
        <v>40.46</v>
      </c>
      <c r="H47" s="59"/>
      <c r="I47" s="59"/>
      <c r="J47" s="100" t="s">
        <v>309</v>
      </c>
      <c r="K47" s="59">
        <v>5</v>
      </c>
      <c r="L47" s="44">
        <f>VLOOKUP(K47,Reinigungstage!A10:B31,2,FALSE)</f>
        <v>247.5</v>
      </c>
      <c r="M47" s="44">
        <f t="shared" si="0"/>
        <v>10013.85</v>
      </c>
      <c r="N47" s="117">
        <f t="shared" si="1"/>
        <v>0</v>
      </c>
      <c r="O47" s="44">
        <f ca="1">IF('SVS UnterhaltsRG'!H61="",0,'SVS UnterhaltsRG'!H61)</f>
        <v>0</v>
      </c>
      <c r="P47" s="44">
        <f t="shared" si="2"/>
        <v>0</v>
      </c>
      <c r="Q47" s="44">
        <f t="shared" ca="1" si="3"/>
        <v>0</v>
      </c>
      <c r="R47" s="44">
        <f t="shared" si="4"/>
        <v>0</v>
      </c>
      <c r="S47" s="44">
        <f t="shared" ca="1" si="5"/>
        <v>0</v>
      </c>
      <c r="T47" s="3" t="str">
        <f t="shared" si="6"/>
        <v>Leistungswert eintragen</v>
      </c>
      <c r="U47" s="3">
        <f t="shared" si="7"/>
        <v>132.5</v>
      </c>
      <c r="V47" s="3">
        <f t="shared" si="8"/>
        <v>0</v>
      </c>
    </row>
    <row r="48" spans="1:22" ht="15" customHeight="1" x14ac:dyDescent="0.2">
      <c r="A48" s="100">
        <v>27</v>
      </c>
      <c r="B48" s="115" t="s">
        <v>32</v>
      </c>
      <c r="C48" s="116" t="s">
        <v>206</v>
      </c>
      <c r="D48" s="116"/>
      <c r="E48" s="116" t="s">
        <v>210</v>
      </c>
      <c r="F48" s="116" t="s">
        <v>211</v>
      </c>
      <c r="G48" s="59">
        <v>40.46</v>
      </c>
      <c r="H48" s="59"/>
      <c r="I48" s="59"/>
      <c r="J48" s="100" t="s">
        <v>309</v>
      </c>
      <c r="K48" s="59">
        <v>5</v>
      </c>
      <c r="L48" s="44">
        <f>VLOOKUP(K48,Reinigungstage!A10:B31,2,FALSE)</f>
        <v>247.5</v>
      </c>
      <c r="M48" s="44">
        <f t="shared" si="0"/>
        <v>10013.85</v>
      </c>
      <c r="N48" s="117">
        <f t="shared" si="1"/>
        <v>0</v>
      </c>
      <c r="O48" s="44">
        <f ca="1">IF('SVS UnterhaltsRG'!H61="",0,'SVS UnterhaltsRG'!H61)</f>
        <v>0</v>
      </c>
      <c r="P48" s="44">
        <f t="shared" si="2"/>
        <v>0</v>
      </c>
      <c r="Q48" s="44">
        <f t="shared" ca="1" si="3"/>
        <v>0</v>
      </c>
      <c r="R48" s="44">
        <f t="shared" si="4"/>
        <v>0</v>
      </c>
      <c r="S48" s="44">
        <f t="shared" ca="1" si="5"/>
        <v>0</v>
      </c>
      <c r="T48" s="3" t="str">
        <f t="shared" si="6"/>
        <v>Leistungswert eintragen</v>
      </c>
      <c r="U48" s="3">
        <f t="shared" si="7"/>
        <v>132.5</v>
      </c>
      <c r="V48" s="3">
        <f t="shared" si="8"/>
        <v>0</v>
      </c>
    </row>
    <row r="49" spans="1:22" ht="15" customHeight="1" x14ac:dyDescent="0.2">
      <c r="A49" s="100">
        <v>28</v>
      </c>
      <c r="B49" s="115" t="s">
        <v>239</v>
      </c>
      <c r="C49" s="116" t="s">
        <v>240</v>
      </c>
      <c r="D49" s="116"/>
      <c r="E49" s="116" t="s">
        <v>241</v>
      </c>
      <c r="F49" s="116" t="s">
        <v>208</v>
      </c>
      <c r="G49" s="59">
        <v>5.29</v>
      </c>
      <c r="H49" s="59"/>
      <c r="I49" s="59"/>
      <c r="J49" s="100" t="s">
        <v>315</v>
      </c>
      <c r="K49" s="59">
        <v>5</v>
      </c>
      <c r="L49" s="44">
        <f>VLOOKUP(K49,Reinigungstage!A10:B31,2,FALSE)</f>
        <v>247.5</v>
      </c>
      <c r="M49" s="44">
        <f t="shared" si="0"/>
        <v>1309.28</v>
      </c>
      <c r="N49" s="117">
        <f t="shared" si="1"/>
        <v>0</v>
      </c>
      <c r="O49" s="44">
        <f ca="1">IF('SVS UnterhaltsRG'!H61="",0,'SVS UnterhaltsRG'!H61)</f>
        <v>0</v>
      </c>
      <c r="P49" s="44">
        <f t="shared" si="2"/>
        <v>0</v>
      </c>
      <c r="Q49" s="44">
        <f t="shared" ca="1" si="3"/>
        <v>0</v>
      </c>
      <c r="R49" s="44">
        <f t="shared" si="4"/>
        <v>0</v>
      </c>
      <c r="S49" s="44">
        <f t="shared" ca="1" si="5"/>
        <v>0</v>
      </c>
      <c r="T49" s="3" t="str">
        <f t="shared" si="6"/>
        <v>Leistungswert eintragen</v>
      </c>
      <c r="U49" s="3">
        <f t="shared" si="7"/>
        <v>67.5</v>
      </c>
      <c r="V49" s="3">
        <f t="shared" si="8"/>
        <v>0</v>
      </c>
    </row>
    <row r="50" spans="1:22" ht="15" customHeight="1" x14ac:dyDescent="0.2">
      <c r="A50" s="100">
        <v>29</v>
      </c>
      <c r="B50" s="115" t="s">
        <v>242</v>
      </c>
      <c r="C50" s="116" t="s">
        <v>240</v>
      </c>
      <c r="D50" s="116"/>
      <c r="E50" s="116" t="s">
        <v>207</v>
      </c>
      <c r="F50" s="116" t="s">
        <v>208</v>
      </c>
      <c r="G50" s="59">
        <v>19.18</v>
      </c>
      <c r="H50" s="59"/>
      <c r="I50" s="59"/>
      <c r="J50" s="100" t="s">
        <v>207</v>
      </c>
      <c r="K50" s="59">
        <v>5</v>
      </c>
      <c r="L50" s="44">
        <f>VLOOKUP(K50,Reinigungstage!A10:B31,2,FALSE)</f>
        <v>247.5</v>
      </c>
      <c r="M50" s="44">
        <f t="shared" si="0"/>
        <v>4747.05</v>
      </c>
      <c r="N50" s="117">
        <f t="shared" si="1"/>
        <v>0</v>
      </c>
      <c r="O50" s="44">
        <f ca="1">IF('SVS UnterhaltsRG'!H61="",0,'SVS UnterhaltsRG'!H61)</f>
        <v>0</v>
      </c>
      <c r="P50" s="44">
        <f t="shared" si="2"/>
        <v>0</v>
      </c>
      <c r="Q50" s="44">
        <f t="shared" ca="1" si="3"/>
        <v>0</v>
      </c>
      <c r="R50" s="44">
        <f t="shared" si="4"/>
        <v>0</v>
      </c>
      <c r="S50" s="44">
        <f t="shared" ca="1" si="5"/>
        <v>0</v>
      </c>
      <c r="T50" s="3" t="str">
        <f t="shared" si="6"/>
        <v>Leistungswert eintragen</v>
      </c>
      <c r="U50" s="3">
        <f t="shared" si="7"/>
        <v>53.75</v>
      </c>
      <c r="V50" s="3">
        <f t="shared" si="8"/>
        <v>0</v>
      </c>
    </row>
    <row r="51" spans="1:22" ht="15" customHeight="1" x14ac:dyDescent="0.2">
      <c r="A51" s="100">
        <v>30</v>
      </c>
      <c r="B51" s="115" t="s">
        <v>243</v>
      </c>
      <c r="C51" s="116" t="s">
        <v>240</v>
      </c>
      <c r="D51" s="116"/>
      <c r="E51" s="116" t="s">
        <v>214</v>
      </c>
      <c r="F51" s="116" t="s">
        <v>211</v>
      </c>
      <c r="G51" s="59">
        <v>12.22</v>
      </c>
      <c r="H51" s="59"/>
      <c r="I51" s="59"/>
      <c r="J51" s="100" t="s">
        <v>310</v>
      </c>
      <c r="K51" s="59">
        <v>5</v>
      </c>
      <c r="L51" s="44">
        <f>VLOOKUP(K51,Reinigungstage!A10:B31,2,FALSE)</f>
        <v>247.5</v>
      </c>
      <c r="M51" s="44">
        <f t="shared" si="0"/>
        <v>3024.45</v>
      </c>
      <c r="N51" s="117">
        <f t="shared" si="1"/>
        <v>0</v>
      </c>
      <c r="O51" s="44">
        <f ca="1">IF('SVS UnterhaltsRG'!H61="",0,'SVS UnterhaltsRG'!H61)</f>
        <v>0</v>
      </c>
      <c r="P51" s="44">
        <f t="shared" si="2"/>
        <v>0</v>
      </c>
      <c r="Q51" s="44">
        <f t="shared" ca="1" si="3"/>
        <v>0</v>
      </c>
      <c r="R51" s="44">
        <f t="shared" si="4"/>
        <v>0</v>
      </c>
      <c r="S51" s="44">
        <f t="shared" ca="1" si="5"/>
        <v>0</v>
      </c>
      <c r="T51" s="3" t="str">
        <f t="shared" si="6"/>
        <v>Leistungswert eintragen</v>
      </c>
      <c r="U51" s="3">
        <f t="shared" si="7"/>
        <v>166.25</v>
      </c>
      <c r="V51" s="3">
        <f t="shared" si="8"/>
        <v>0</v>
      </c>
    </row>
    <row r="52" spans="1:22" ht="15" customHeight="1" x14ac:dyDescent="0.2">
      <c r="A52" s="100">
        <v>31</v>
      </c>
      <c r="B52" s="115" t="s">
        <v>244</v>
      </c>
      <c r="C52" s="116" t="s">
        <v>240</v>
      </c>
      <c r="D52" s="116"/>
      <c r="E52" s="116" t="s">
        <v>210</v>
      </c>
      <c r="F52" s="116" t="s">
        <v>211</v>
      </c>
      <c r="G52" s="59">
        <v>40.25</v>
      </c>
      <c r="H52" s="59"/>
      <c r="I52" s="59"/>
      <c r="J52" s="100" t="s">
        <v>309</v>
      </c>
      <c r="K52" s="59">
        <v>5</v>
      </c>
      <c r="L52" s="44">
        <f>VLOOKUP(K52,Reinigungstage!A10:B31,2,FALSE)</f>
        <v>247.5</v>
      </c>
      <c r="M52" s="44">
        <f t="shared" si="0"/>
        <v>9961.8799999999992</v>
      </c>
      <c r="N52" s="117">
        <f t="shared" si="1"/>
        <v>0</v>
      </c>
      <c r="O52" s="44">
        <f ca="1">IF('SVS UnterhaltsRG'!H61="",0,'SVS UnterhaltsRG'!H61)</f>
        <v>0</v>
      </c>
      <c r="P52" s="44">
        <f t="shared" si="2"/>
        <v>0</v>
      </c>
      <c r="Q52" s="44">
        <f t="shared" ca="1" si="3"/>
        <v>0</v>
      </c>
      <c r="R52" s="44">
        <f t="shared" si="4"/>
        <v>0</v>
      </c>
      <c r="S52" s="44">
        <f t="shared" ca="1" si="5"/>
        <v>0</v>
      </c>
      <c r="T52" s="3" t="str">
        <f t="shared" si="6"/>
        <v>Leistungswert eintragen</v>
      </c>
      <c r="U52" s="3">
        <f t="shared" si="7"/>
        <v>132.5</v>
      </c>
      <c r="V52" s="3">
        <f t="shared" si="8"/>
        <v>0</v>
      </c>
    </row>
    <row r="53" spans="1:22" ht="15" customHeight="1" x14ac:dyDescent="0.2">
      <c r="A53" s="100">
        <v>32</v>
      </c>
      <c r="B53" s="115" t="s">
        <v>245</v>
      </c>
      <c r="C53" s="116" t="s">
        <v>240</v>
      </c>
      <c r="D53" s="116"/>
      <c r="E53" s="116" t="s">
        <v>210</v>
      </c>
      <c r="F53" s="116" t="s">
        <v>211</v>
      </c>
      <c r="G53" s="59">
        <v>43.48</v>
      </c>
      <c r="H53" s="59"/>
      <c r="I53" s="59"/>
      <c r="J53" s="100" t="s">
        <v>309</v>
      </c>
      <c r="K53" s="59">
        <v>5</v>
      </c>
      <c r="L53" s="44">
        <f>VLOOKUP(K53,Reinigungstage!A10:B31,2,FALSE)</f>
        <v>247.5</v>
      </c>
      <c r="M53" s="44">
        <f t="shared" si="0"/>
        <v>10761.3</v>
      </c>
      <c r="N53" s="117">
        <f t="shared" si="1"/>
        <v>0</v>
      </c>
      <c r="O53" s="44">
        <f ca="1">IF('SVS UnterhaltsRG'!H61="",0,'SVS UnterhaltsRG'!H61)</f>
        <v>0</v>
      </c>
      <c r="P53" s="44">
        <f t="shared" si="2"/>
        <v>0</v>
      </c>
      <c r="Q53" s="44">
        <f t="shared" ca="1" si="3"/>
        <v>0</v>
      </c>
      <c r="R53" s="44">
        <f t="shared" si="4"/>
        <v>0</v>
      </c>
      <c r="S53" s="44">
        <f t="shared" ca="1" si="5"/>
        <v>0</v>
      </c>
      <c r="T53" s="3" t="str">
        <f t="shared" si="6"/>
        <v>Leistungswert eintragen</v>
      </c>
      <c r="U53" s="3">
        <f t="shared" si="7"/>
        <v>132.5</v>
      </c>
      <c r="V53" s="3">
        <f t="shared" si="8"/>
        <v>0</v>
      </c>
    </row>
    <row r="54" spans="1:22" ht="15" customHeight="1" x14ac:dyDescent="0.2">
      <c r="A54" s="100">
        <v>33</v>
      </c>
      <c r="B54" s="115" t="s">
        <v>246</v>
      </c>
      <c r="C54" s="116" t="s">
        <v>240</v>
      </c>
      <c r="D54" s="116" t="s">
        <v>247</v>
      </c>
      <c r="E54" s="116" t="s">
        <v>223</v>
      </c>
      <c r="F54" s="116" t="s">
        <v>211</v>
      </c>
      <c r="G54" s="59">
        <v>33.51</v>
      </c>
      <c r="H54" s="59"/>
      <c r="I54" s="59"/>
      <c r="J54" s="100" t="s">
        <v>310</v>
      </c>
      <c r="K54" s="59">
        <v>5</v>
      </c>
      <c r="L54" s="44">
        <f>VLOOKUP(K54,Reinigungstage!A10:B31,2,FALSE)</f>
        <v>247.5</v>
      </c>
      <c r="M54" s="44">
        <f t="shared" ref="M54:M85" si="9">ROUND(IF(L54=0,0,L54*G54),2)</f>
        <v>8293.73</v>
      </c>
      <c r="N54" s="117">
        <f t="shared" ref="N54:N85" si="10">VLOOKUP(J54,$G$4:$H$13,2,FALSE)</f>
        <v>0</v>
      </c>
      <c r="O54" s="44">
        <f ca="1">IF('SVS UnterhaltsRG'!H61="",0,'SVS UnterhaltsRG'!H61)</f>
        <v>0</v>
      </c>
      <c r="P54" s="44">
        <f t="shared" ref="P54:P85" si="11">ROUND(IF(N54=0,0,M54/N54),2)</f>
        <v>0</v>
      </c>
      <c r="Q54" s="44">
        <f t="shared" ref="Q54:Q85" ca="1" si="12">IF(M54=0,0,IF(O54="",0,ROUND(P54*O54,2)))</f>
        <v>0</v>
      </c>
      <c r="R54" s="44">
        <f t="shared" ref="R54:R85" si="13">ROUND(IF(P54=0,0,P54/L54),2)</f>
        <v>0</v>
      </c>
      <c r="S54" s="44">
        <f t="shared" ref="S54:S85" ca="1" si="14">ROUND(IF(Q54=0,0,Q54/L54),2)</f>
        <v>0</v>
      </c>
      <c r="T54" s="3" t="str">
        <f t="shared" ref="T54:T85" si="15">IF(M54=0,"",IF(N54=0,"Leistungswert eintragen",IF(O54=0,"SVS prüfen","")))</f>
        <v>Leistungswert eintragen</v>
      </c>
      <c r="U54" s="3">
        <f t="shared" ref="U54:U85" si="16">VLOOKUP(J54,$U$4:$V$13,2,FALSE)</f>
        <v>166.25</v>
      </c>
      <c r="V54" s="3">
        <f t="shared" ref="V54:V85" si="17">IF(M54=0,0,IF(U54&lt;N54,1,IF(U54&gt;=N54,0,"")))</f>
        <v>0</v>
      </c>
    </row>
    <row r="55" spans="1:22" ht="15" customHeight="1" x14ac:dyDescent="0.2">
      <c r="A55" s="100">
        <v>34</v>
      </c>
      <c r="B55" s="115" t="s">
        <v>248</v>
      </c>
      <c r="C55" s="116" t="s">
        <v>240</v>
      </c>
      <c r="D55" s="116">
        <v>1</v>
      </c>
      <c r="E55" s="116" t="s">
        <v>218</v>
      </c>
      <c r="F55" s="116" t="s">
        <v>211</v>
      </c>
      <c r="G55" s="59">
        <v>8.2799999999999994</v>
      </c>
      <c r="H55" s="59"/>
      <c r="I55" s="59"/>
      <c r="J55" s="100" t="s">
        <v>312</v>
      </c>
      <c r="K55" s="59">
        <v>5</v>
      </c>
      <c r="L55" s="44">
        <f>VLOOKUP(K55,Reinigungstage!A10:B31,2,FALSE)</f>
        <v>247.5</v>
      </c>
      <c r="M55" s="44">
        <f t="shared" si="9"/>
        <v>2049.3000000000002</v>
      </c>
      <c r="N55" s="117">
        <f t="shared" si="10"/>
        <v>0</v>
      </c>
      <c r="O55" s="44">
        <f ca="1">IF('SVS UnterhaltsRG'!H61="",0,'SVS UnterhaltsRG'!H61)</f>
        <v>0</v>
      </c>
      <c r="P55" s="44">
        <f t="shared" si="11"/>
        <v>0</v>
      </c>
      <c r="Q55" s="44">
        <f t="shared" ca="1" si="12"/>
        <v>0</v>
      </c>
      <c r="R55" s="44">
        <f t="shared" si="13"/>
        <v>0</v>
      </c>
      <c r="S55" s="44">
        <f t="shared" ca="1" si="14"/>
        <v>0</v>
      </c>
      <c r="T55" s="3" t="str">
        <f t="shared" si="15"/>
        <v>Leistungswert eintragen</v>
      </c>
      <c r="U55" s="3">
        <f t="shared" si="16"/>
        <v>136.25</v>
      </c>
      <c r="V55" s="3">
        <f t="shared" si="17"/>
        <v>0</v>
      </c>
    </row>
    <row r="56" spans="1:22" ht="15" customHeight="1" x14ac:dyDescent="0.2">
      <c r="A56" s="100">
        <v>35</v>
      </c>
      <c r="B56" s="115" t="s">
        <v>249</v>
      </c>
      <c r="C56" s="116" t="s">
        <v>240</v>
      </c>
      <c r="D56" s="116"/>
      <c r="E56" s="116" t="s">
        <v>223</v>
      </c>
      <c r="F56" s="116" t="s">
        <v>211</v>
      </c>
      <c r="G56" s="59">
        <v>16.170000000000002</v>
      </c>
      <c r="H56" s="59"/>
      <c r="I56" s="59"/>
      <c r="J56" s="100" t="s">
        <v>310</v>
      </c>
      <c r="K56" s="59">
        <v>5</v>
      </c>
      <c r="L56" s="44">
        <f>VLOOKUP(K56,Reinigungstage!A10:B31,2,FALSE)</f>
        <v>247.5</v>
      </c>
      <c r="M56" s="44">
        <f t="shared" si="9"/>
        <v>4002.08</v>
      </c>
      <c r="N56" s="117">
        <f t="shared" si="10"/>
        <v>0</v>
      </c>
      <c r="O56" s="44">
        <f ca="1">IF('SVS UnterhaltsRG'!H61="",0,'SVS UnterhaltsRG'!H61)</f>
        <v>0</v>
      </c>
      <c r="P56" s="44">
        <f t="shared" si="11"/>
        <v>0</v>
      </c>
      <c r="Q56" s="44">
        <f t="shared" ca="1" si="12"/>
        <v>0</v>
      </c>
      <c r="R56" s="44">
        <f t="shared" si="13"/>
        <v>0</v>
      </c>
      <c r="S56" s="44">
        <f t="shared" ca="1" si="14"/>
        <v>0</v>
      </c>
      <c r="T56" s="3" t="str">
        <f t="shared" si="15"/>
        <v>Leistungswert eintragen</v>
      </c>
      <c r="U56" s="3">
        <f t="shared" si="16"/>
        <v>166.25</v>
      </c>
      <c r="V56" s="3">
        <f t="shared" si="17"/>
        <v>0</v>
      </c>
    </row>
    <row r="57" spans="1:22" ht="15" customHeight="1" x14ac:dyDescent="0.2">
      <c r="A57" s="100">
        <v>36</v>
      </c>
      <c r="B57" s="115" t="s">
        <v>250</v>
      </c>
      <c r="C57" s="116" t="s">
        <v>240</v>
      </c>
      <c r="D57" s="116"/>
      <c r="E57" s="116" t="s">
        <v>230</v>
      </c>
      <c r="F57" s="116" t="s">
        <v>208</v>
      </c>
      <c r="G57" s="59">
        <v>1.91</v>
      </c>
      <c r="H57" s="59"/>
      <c r="I57" s="59"/>
      <c r="J57" s="100" t="s">
        <v>207</v>
      </c>
      <c r="K57" s="59">
        <v>5</v>
      </c>
      <c r="L57" s="44">
        <f>VLOOKUP(K57,Reinigungstage!A10:B31,2,FALSE)</f>
        <v>247.5</v>
      </c>
      <c r="M57" s="44">
        <f t="shared" si="9"/>
        <v>472.73</v>
      </c>
      <c r="N57" s="117">
        <f t="shared" si="10"/>
        <v>0</v>
      </c>
      <c r="O57" s="44">
        <f ca="1">IF('SVS UnterhaltsRG'!H61="",0,'SVS UnterhaltsRG'!H61)</f>
        <v>0</v>
      </c>
      <c r="P57" s="44">
        <f t="shared" si="11"/>
        <v>0</v>
      </c>
      <c r="Q57" s="44">
        <f t="shared" ca="1" si="12"/>
        <v>0</v>
      </c>
      <c r="R57" s="44">
        <f t="shared" si="13"/>
        <v>0</v>
      </c>
      <c r="S57" s="44">
        <f t="shared" ca="1" si="14"/>
        <v>0</v>
      </c>
      <c r="T57" s="3" t="str">
        <f t="shared" si="15"/>
        <v>Leistungswert eintragen</v>
      </c>
      <c r="U57" s="3">
        <f t="shared" si="16"/>
        <v>53.75</v>
      </c>
      <c r="V57" s="3">
        <f t="shared" si="17"/>
        <v>0</v>
      </c>
    </row>
    <row r="58" spans="1:22" ht="15" customHeight="1" x14ac:dyDescent="0.2">
      <c r="A58" s="100">
        <v>37</v>
      </c>
      <c r="B58" s="115" t="s">
        <v>251</v>
      </c>
      <c r="C58" s="116" t="s">
        <v>240</v>
      </c>
      <c r="D58" s="116"/>
      <c r="E58" s="116" t="s">
        <v>252</v>
      </c>
      <c r="F58" s="116" t="s">
        <v>211</v>
      </c>
      <c r="G58" s="59">
        <v>7.67</v>
      </c>
      <c r="H58" s="59"/>
      <c r="I58" s="59"/>
      <c r="J58" s="100" t="s">
        <v>313</v>
      </c>
      <c r="K58" s="59">
        <v>0</v>
      </c>
      <c r="L58" s="44">
        <f>VLOOKUP(K58,Reinigungstage!A10:B31,2,FALSE)</f>
        <v>0</v>
      </c>
      <c r="M58" s="44">
        <f t="shared" si="9"/>
        <v>0</v>
      </c>
      <c r="N58" s="117">
        <f t="shared" si="10"/>
        <v>0</v>
      </c>
      <c r="O58" s="44">
        <f ca="1">IF('SVS UnterhaltsRG'!H61="",0,'SVS UnterhaltsRG'!H61)</f>
        <v>0</v>
      </c>
      <c r="P58" s="44">
        <f t="shared" si="11"/>
        <v>0</v>
      </c>
      <c r="Q58" s="44">
        <f t="shared" si="12"/>
        <v>0</v>
      </c>
      <c r="R58" s="44">
        <f t="shared" si="13"/>
        <v>0</v>
      </c>
      <c r="S58" s="44">
        <f t="shared" si="14"/>
        <v>0</v>
      </c>
      <c r="T58" s="3" t="str">
        <f t="shared" si="15"/>
        <v/>
      </c>
      <c r="U58" s="3">
        <f t="shared" si="16"/>
        <v>262.5</v>
      </c>
      <c r="V58" s="3">
        <f t="shared" si="17"/>
        <v>0</v>
      </c>
    </row>
    <row r="59" spans="1:22" ht="15" customHeight="1" x14ac:dyDescent="0.2">
      <c r="A59" s="100">
        <v>38</v>
      </c>
      <c r="B59" s="115" t="s">
        <v>253</v>
      </c>
      <c r="C59" s="116" t="s">
        <v>240</v>
      </c>
      <c r="D59" s="116"/>
      <c r="E59" s="116" t="s">
        <v>228</v>
      </c>
      <c r="F59" s="116" t="s">
        <v>208</v>
      </c>
      <c r="G59" s="59">
        <v>3.67</v>
      </c>
      <c r="H59" s="59"/>
      <c r="I59" s="59"/>
      <c r="J59" s="100" t="s">
        <v>207</v>
      </c>
      <c r="K59" s="59">
        <v>5</v>
      </c>
      <c r="L59" s="44">
        <f>VLOOKUP(K59,Reinigungstage!A10:B31,2,FALSE)</f>
        <v>247.5</v>
      </c>
      <c r="M59" s="44">
        <f t="shared" si="9"/>
        <v>908.33</v>
      </c>
      <c r="N59" s="117">
        <f t="shared" si="10"/>
        <v>0</v>
      </c>
      <c r="O59" s="44">
        <f ca="1">IF('SVS UnterhaltsRG'!H61="",0,'SVS UnterhaltsRG'!H61)</f>
        <v>0</v>
      </c>
      <c r="P59" s="44">
        <f t="shared" si="11"/>
        <v>0</v>
      </c>
      <c r="Q59" s="44">
        <f t="shared" ca="1" si="12"/>
        <v>0</v>
      </c>
      <c r="R59" s="44">
        <f t="shared" si="13"/>
        <v>0</v>
      </c>
      <c r="S59" s="44">
        <f t="shared" ca="1" si="14"/>
        <v>0</v>
      </c>
      <c r="T59" s="3" t="str">
        <f t="shared" si="15"/>
        <v>Leistungswert eintragen</v>
      </c>
      <c r="U59" s="3">
        <f t="shared" si="16"/>
        <v>53.75</v>
      </c>
      <c r="V59" s="3">
        <f t="shared" si="17"/>
        <v>0</v>
      </c>
    </row>
    <row r="60" spans="1:22" ht="15" customHeight="1" x14ac:dyDescent="0.2">
      <c r="A60" s="100">
        <v>39</v>
      </c>
      <c r="B60" s="115" t="s">
        <v>254</v>
      </c>
      <c r="C60" s="116" t="s">
        <v>240</v>
      </c>
      <c r="D60" s="116"/>
      <c r="E60" s="116" t="s">
        <v>223</v>
      </c>
      <c r="F60" s="116" t="s">
        <v>211</v>
      </c>
      <c r="G60" s="59">
        <v>26.42</v>
      </c>
      <c r="H60" s="59"/>
      <c r="I60" s="59"/>
      <c r="J60" s="100" t="s">
        <v>310</v>
      </c>
      <c r="K60" s="59">
        <v>5</v>
      </c>
      <c r="L60" s="44">
        <f>VLOOKUP(K60,Reinigungstage!A10:B31,2,FALSE)</f>
        <v>247.5</v>
      </c>
      <c r="M60" s="44">
        <f t="shared" si="9"/>
        <v>6538.95</v>
      </c>
      <c r="N60" s="117">
        <f t="shared" si="10"/>
        <v>0</v>
      </c>
      <c r="O60" s="44">
        <f ca="1">IF('SVS UnterhaltsRG'!H61="",0,'SVS UnterhaltsRG'!H61)</f>
        <v>0</v>
      </c>
      <c r="P60" s="44">
        <f t="shared" si="11"/>
        <v>0</v>
      </c>
      <c r="Q60" s="44">
        <f t="shared" ca="1" si="12"/>
        <v>0</v>
      </c>
      <c r="R60" s="44">
        <f t="shared" si="13"/>
        <v>0</v>
      </c>
      <c r="S60" s="44">
        <f t="shared" ca="1" si="14"/>
        <v>0</v>
      </c>
      <c r="T60" s="3" t="str">
        <f t="shared" si="15"/>
        <v>Leistungswert eintragen</v>
      </c>
      <c r="U60" s="3">
        <f t="shared" si="16"/>
        <v>166.25</v>
      </c>
      <c r="V60" s="3">
        <f t="shared" si="17"/>
        <v>0</v>
      </c>
    </row>
    <row r="61" spans="1:22" ht="15" customHeight="1" x14ac:dyDescent="0.2">
      <c r="A61" s="100">
        <v>40</v>
      </c>
      <c r="B61" s="115" t="s">
        <v>255</v>
      </c>
      <c r="C61" s="116" t="s">
        <v>240</v>
      </c>
      <c r="D61" s="116"/>
      <c r="E61" s="116" t="s">
        <v>256</v>
      </c>
      <c r="F61" s="116" t="s">
        <v>211</v>
      </c>
      <c r="G61" s="59">
        <v>11.96</v>
      </c>
      <c r="H61" s="59"/>
      <c r="I61" s="59"/>
      <c r="J61" s="100" t="s">
        <v>309</v>
      </c>
      <c r="K61" s="59">
        <v>2</v>
      </c>
      <c r="L61" s="44">
        <f>VLOOKUP(K61,Reinigungstage!A10:B31,2,FALSE)</f>
        <v>102.84</v>
      </c>
      <c r="M61" s="44">
        <f t="shared" si="9"/>
        <v>1229.97</v>
      </c>
      <c r="N61" s="117">
        <f t="shared" si="10"/>
        <v>0</v>
      </c>
      <c r="O61" s="44">
        <f ca="1">IF('SVS UnterhaltsRG'!H61="",0,'SVS UnterhaltsRG'!H61)</f>
        <v>0</v>
      </c>
      <c r="P61" s="44">
        <f t="shared" si="11"/>
        <v>0</v>
      </c>
      <c r="Q61" s="44">
        <f t="shared" ca="1" si="12"/>
        <v>0</v>
      </c>
      <c r="R61" s="44">
        <f t="shared" si="13"/>
        <v>0</v>
      </c>
      <c r="S61" s="44">
        <f t="shared" ca="1" si="14"/>
        <v>0</v>
      </c>
      <c r="T61" s="3" t="str">
        <f t="shared" si="15"/>
        <v>Leistungswert eintragen</v>
      </c>
      <c r="U61" s="3">
        <f t="shared" si="16"/>
        <v>132.5</v>
      </c>
      <c r="V61" s="3">
        <f t="shared" si="17"/>
        <v>0</v>
      </c>
    </row>
    <row r="62" spans="1:22" ht="15" customHeight="1" x14ac:dyDescent="0.2">
      <c r="A62" s="100">
        <v>41</v>
      </c>
      <c r="B62" s="115" t="s">
        <v>257</v>
      </c>
      <c r="C62" s="116" t="s">
        <v>240</v>
      </c>
      <c r="D62" s="116"/>
      <c r="E62" s="116" t="s">
        <v>258</v>
      </c>
      <c r="F62" s="116" t="s">
        <v>211</v>
      </c>
      <c r="G62" s="59">
        <v>8.09</v>
      </c>
      <c r="H62" s="59"/>
      <c r="I62" s="59"/>
      <c r="J62" s="100" t="s">
        <v>309</v>
      </c>
      <c r="K62" s="59">
        <v>5</v>
      </c>
      <c r="L62" s="44">
        <f>VLOOKUP(K62,Reinigungstage!A10:B31,2,FALSE)</f>
        <v>247.5</v>
      </c>
      <c r="M62" s="44">
        <f t="shared" si="9"/>
        <v>2002.28</v>
      </c>
      <c r="N62" s="117">
        <f t="shared" si="10"/>
        <v>0</v>
      </c>
      <c r="O62" s="44">
        <f ca="1">IF('SVS UnterhaltsRG'!H61="",0,'SVS UnterhaltsRG'!H61)</f>
        <v>0</v>
      </c>
      <c r="P62" s="44">
        <f t="shared" si="11"/>
        <v>0</v>
      </c>
      <c r="Q62" s="44">
        <f t="shared" ca="1" si="12"/>
        <v>0</v>
      </c>
      <c r="R62" s="44">
        <f t="shared" si="13"/>
        <v>0</v>
      </c>
      <c r="S62" s="44">
        <f t="shared" ca="1" si="14"/>
        <v>0</v>
      </c>
      <c r="T62" s="3" t="str">
        <f t="shared" si="15"/>
        <v>Leistungswert eintragen</v>
      </c>
      <c r="U62" s="3">
        <f t="shared" si="16"/>
        <v>132.5</v>
      </c>
      <c r="V62" s="3">
        <f t="shared" si="17"/>
        <v>0</v>
      </c>
    </row>
    <row r="63" spans="1:22" ht="15" customHeight="1" x14ac:dyDescent="0.2">
      <c r="A63" s="100">
        <v>42</v>
      </c>
      <c r="B63" s="115" t="s">
        <v>259</v>
      </c>
      <c r="C63" s="116" t="s">
        <v>240</v>
      </c>
      <c r="D63" s="116"/>
      <c r="E63" s="116" t="s">
        <v>260</v>
      </c>
      <c r="F63" s="116" t="s">
        <v>208</v>
      </c>
      <c r="G63" s="59">
        <v>11.68</v>
      </c>
      <c r="H63" s="59"/>
      <c r="I63" s="59"/>
      <c r="J63" s="100" t="s">
        <v>207</v>
      </c>
      <c r="K63" s="59">
        <v>5</v>
      </c>
      <c r="L63" s="44">
        <f>VLOOKUP(K63,Reinigungstage!A10:B31,2,FALSE)</f>
        <v>247.5</v>
      </c>
      <c r="M63" s="44">
        <f t="shared" si="9"/>
        <v>2890.8</v>
      </c>
      <c r="N63" s="117">
        <f t="shared" si="10"/>
        <v>0</v>
      </c>
      <c r="O63" s="44">
        <f ca="1">IF('SVS UnterhaltsRG'!H61="",0,'SVS UnterhaltsRG'!H61)</f>
        <v>0</v>
      </c>
      <c r="P63" s="44">
        <f t="shared" si="11"/>
        <v>0</v>
      </c>
      <c r="Q63" s="44">
        <f t="shared" ca="1" si="12"/>
        <v>0</v>
      </c>
      <c r="R63" s="44">
        <f t="shared" si="13"/>
        <v>0</v>
      </c>
      <c r="S63" s="44">
        <f t="shared" ca="1" si="14"/>
        <v>0</v>
      </c>
      <c r="T63" s="3" t="str">
        <f t="shared" si="15"/>
        <v>Leistungswert eintragen</v>
      </c>
      <c r="U63" s="3">
        <f t="shared" si="16"/>
        <v>53.75</v>
      </c>
      <c r="V63" s="3">
        <f t="shared" si="17"/>
        <v>0</v>
      </c>
    </row>
    <row r="64" spans="1:22" ht="15" customHeight="1" x14ac:dyDescent="0.2">
      <c r="A64" s="100">
        <v>43</v>
      </c>
      <c r="B64" s="115" t="s">
        <v>261</v>
      </c>
      <c r="C64" s="116" t="s">
        <v>240</v>
      </c>
      <c r="D64" s="116"/>
      <c r="E64" s="116" t="s">
        <v>262</v>
      </c>
      <c r="F64" s="116" t="s">
        <v>211</v>
      </c>
      <c r="G64" s="59">
        <v>7.79</v>
      </c>
      <c r="H64" s="59"/>
      <c r="I64" s="59"/>
      <c r="J64" s="100" t="s">
        <v>309</v>
      </c>
      <c r="K64" s="59">
        <v>2</v>
      </c>
      <c r="L64" s="44">
        <f>VLOOKUP(K64,Reinigungstage!A10:B31,2,FALSE)</f>
        <v>102.84</v>
      </c>
      <c r="M64" s="44">
        <f t="shared" si="9"/>
        <v>801.12</v>
      </c>
      <c r="N64" s="117">
        <f t="shared" si="10"/>
        <v>0</v>
      </c>
      <c r="O64" s="44">
        <f ca="1">IF('SVS UnterhaltsRG'!H61="",0,'SVS UnterhaltsRG'!H61)</f>
        <v>0</v>
      </c>
      <c r="P64" s="44">
        <f t="shared" si="11"/>
        <v>0</v>
      </c>
      <c r="Q64" s="44">
        <f t="shared" ca="1" si="12"/>
        <v>0</v>
      </c>
      <c r="R64" s="44">
        <f t="shared" si="13"/>
        <v>0</v>
      </c>
      <c r="S64" s="44">
        <f t="shared" ca="1" si="14"/>
        <v>0</v>
      </c>
      <c r="T64" s="3" t="str">
        <f t="shared" si="15"/>
        <v>Leistungswert eintragen</v>
      </c>
      <c r="U64" s="3">
        <f t="shared" si="16"/>
        <v>132.5</v>
      </c>
      <c r="V64" s="3">
        <f t="shared" si="17"/>
        <v>0</v>
      </c>
    </row>
    <row r="65" spans="1:22" ht="24.95" customHeight="1" x14ac:dyDescent="0.2">
      <c r="A65" s="100">
        <v>44</v>
      </c>
      <c r="B65" s="115" t="s">
        <v>263</v>
      </c>
      <c r="C65" s="116" t="s">
        <v>240</v>
      </c>
      <c r="D65" s="116" t="s">
        <v>264</v>
      </c>
      <c r="E65" s="116" t="s">
        <v>265</v>
      </c>
      <c r="F65" s="116" t="s">
        <v>211</v>
      </c>
      <c r="G65" s="59">
        <v>14.98</v>
      </c>
      <c r="H65" s="59"/>
      <c r="I65" s="59"/>
      <c r="J65" s="100" t="s">
        <v>310</v>
      </c>
      <c r="K65" s="59">
        <v>5</v>
      </c>
      <c r="L65" s="44">
        <f>VLOOKUP(K65,Reinigungstage!A10:B31,2,FALSE)</f>
        <v>247.5</v>
      </c>
      <c r="M65" s="44">
        <f t="shared" si="9"/>
        <v>3707.55</v>
      </c>
      <c r="N65" s="117">
        <f t="shared" si="10"/>
        <v>0</v>
      </c>
      <c r="O65" s="44">
        <f ca="1">IF('SVS UnterhaltsRG'!H61="",0,'SVS UnterhaltsRG'!H61)</f>
        <v>0</v>
      </c>
      <c r="P65" s="44">
        <f t="shared" si="11"/>
        <v>0</v>
      </c>
      <c r="Q65" s="44">
        <f t="shared" ca="1" si="12"/>
        <v>0</v>
      </c>
      <c r="R65" s="44">
        <f t="shared" si="13"/>
        <v>0</v>
      </c>
      <c r="S65" s="44">
        <f t="shared" ca="1" si="14"/>
        <v>0</v>
      </c>
      <c r="T65" s="3" t="str">
        <f t="shared" si="15"/>
        <v>Leistungswert eintragen</v>
      </c>
      <c r="U65" s="3">
        <f t="shared" si="16"/>
        <v>166.25</v>
      </c>
      <c r="V65" s="3">
        <f t="shared" si="17"/>
        <v>0</v>
      </c>
    </row>
    <row r="66" spans="1:22" ht="15" customHeight="1" x14ac:dyDescent="0.2">
      <c r="A66" s="100">
        <v>45</v>
      </c>
      <c r="B66" s="115" t="s">
        <v>266</v>
      </c>
      <c r="C66" s="116" t="s">
        <v>240</v>
      </c>
      <c r="D66" s="116"/>
      <c r="E66" s="116" t="s">
        <v>267</v>
      </c>
      <c r="F66" s="116" t="s">
        <v>208</v>
      </c>
      <c r="G66" s="59">
        <v>5.1100000000000003</v>
      </c>
      <c r="H66" s="59"/>
      <c r="I66" s="59"/>
      <c r="J66" s="100" t="s">
        <v>313</v>
      </c>
      <c r="K66" s="59">
        <v>0</v>
      </c>
      <c r="L66" s="44">
        <f>VLOOKUP(K66,Reinigungstage!A10:B31,2,FALSE)</f>
        <v>0</v>
      </c>
      <c r="M66" s="44">
        <f t="shared" si="9"/>
        <v>0</v>
      </c>
      <c r="N66" s="117">
        <f t="shared" si="10"/>
        <v>0</v>
      </c>
      <c r="O66" s="44">
        <f ca="1">IF('SVS UnterhaltsRG'!H61="",0,'SVS UnterhaltsRG'!H61)</f>
        <v>0</v>
      </c>
      <c r="P66" s="44">
        <f t="shared" si="11"/>
        <v>0</v>
      </c>
      <c r="Q66" s="44">
        <f t="shared" si="12"/>
        <v>0</v>
      </c>
      <c r="R66" s="44">
        <f t="shared" si="13"/>
        <v>0</v>
      </c>
      <c r="S66" s="44">
        <f t="shared" si="14"/>
        <v>0</v>
      </c>
      <c r="T66" s="3" t="str">
        <f t="shared" si="15"/>
        <v/>
      </c>
      <c r="U66" s="3">
        <f t="shared" si="16"/>
        <v>262.5</v>
      </c>
      <c r="V66" s="3">
        <f t="shared" si="17"/>
        <v>0</v>
      </c>
    </row>
    <row r="67" spans="1:22" ht="21" x14ac:dyDescent="0.2">
      <c r="A67" s="100">
        <v>46</v>
      </c>
      <c r="B67" s="115" t="s">
        <v>268</v>
      </c>
      <c r="C67" s="116" t="s">
        <v>240</v>
      </c>
      <c r="D67" s="116"/>
      <c r="E67" s="116" t="s">
        <v>269</v>
      </c>
      <c r="F67" s="116" t="s">
        <v>211</v>
      </c>
      <c r="G67" s="59">
        <v>20.76</v>
      </c>
      <c r="H67" s="59"/>
      <c r="I67" s="59"/>
      <c r="J67" s="100" t="s">
        <v>316</v>
      </c>
      <c r="K67" s="59">
        <v>3</v>
      </c>
      <c r="L67" s="44">
        <f>VLOOKUP(K67,Reinigungstage!A10:B31,2,FALSE)</f>
        <v>148.5</v>
      </c>
      <c r="M67" s="44">
        <f t="shared" si="9"/>
        <v>3082.86</v>
      </c>
      <c r="N67" s="117">
        <f t="shared" si="10"/>
        <v>0</v>
      </c>
      <c r="O67" s="44">
        <f ca="1">IF('SVS UnterhaltsRG'!H61="",0,'SVS UnterhaltsRG'!H61)</f>
        <v>0</v>
      </c>
      <c r="P67" s="44">
        <f t="shared" si="11"/>
        <v>0</v>
      </c>
      <c r="Q67" s="44">
        <f t="shared" ca="1" si="12"/>
        <v>0</v>
      </c>
      <c r="R67" s="44">
        <f t="shared" si="13"/>
        <v>0</v>
      </c>
      <c r="S67" s="44">
        <f t="shared" ca="1" si="14"/>
        <v>0</v>
      </c>
      <c r="T67" s="3" t="str">
        <f t="shared" si="15"/>
        <v>Leistungswert eintragen</v>
      </c>
      <c r="U67" s="3">
        <f t="shared" si="16"/>
        <v>120</v>
      </c>
      <c r="V67" s="3">
        <f t="shared" si="17"/>
        <v>0</v>
      </c>
    </row>
    <row r="68" spans="1:22" ht="15" customHeight="1" x14ac:dyDescent="0.2">
      <c r="A68" s="100">
        <v>47</v>
      </c>
      <c r="B68" s="115" t="s">
        <v>270</v>
      </c>
      <c r="C68" s="116" t="s">
        <v>240</v>
      </c>
      <c r="D68" s="116"/>
      <c r="E68" s="116" t="s">
        <v>271</v>
      </c>
      <c r="F68" s="116" t="s">
        <v>211</v>
      </c>
      <c r="G68" s="59">
        <v>67.180000000000007</v>
      </c>
      <c r="H68" s="59"/>
      <c r="I68" s="59"/>
      <c r="J68" s="100" t="s">
        <v>317</v>
      </c>
      <c r="K68" s="59">
        <v>3</v>
      </c>
      <c r="L68" s="44">
        <f>VLOOKUP(K68,Reinigungstage!A10:B31,2,FALSE)</f>
        <v>148.5</v>
      </c>
      <c r="M68" s="44">
        <f t="shared" si="9"/>
        <v>9976.23</v>
      </c>
      <c r="N68" s="117">
        <f t="shared" si="10"/>
        <v>0</v>
      </c>
      <c r="O68" s="44">
        <f ca="1">IF('SVS UnterhaltsRG'!H61="",0,'SVS UnterhaltsRG'!H61)</f>
        <v>0</v>
      </c>
      <c r="P68" s="44">
        <f t="shared" si="11"/>
        <v>0</v>
      </c>
      <c r="Q68" s="44">
        <f t="shared" ca="1" si="12"/>
        <v>0</v>
      </c>
      <c r="R68" s="44">
        <f t="shared" si="13"/>
        <v>0</v>
      </c>
      <c r="S68" s="44">
        <f t="shared" ca="1" si="14"/>
        <v>0</v>
      </c>
      <c r="T68" s="3" t="str">
        <f t="shared" si="15"/>
        <v>Leistungswert eintragen</v>
      </c>
      <c r="U68" s="3">
        <f t="shared" si="16"/>
        <v>168.75</v>
      </c>
      <c r="V68" s="3">
        <f t="shared" si="17"/>
        <v>0</v>
      </c>
    </row>
    <row r="69" spans="1:22" ht="15" customHeight="1" x14ac:dyDescent="0.2">
      <c r="A69" s="100">
        <v>48</v>
      </c>
      <c r="B69" s="115" t="s">
        <v>272</v>
      </c>
      <c r="C69" s="116" t="s">
        <v>240</v>
      </c>
      <c r="D69" s="116"/>
      <c r="E69" s="116" t="s">
        <v>273</v>
      </c>
      <c r="F69" s="116" t="s">
        <v>208</v>
      </c>
      <c r="G69" s="59">
        <v>33.520000000000003</v>
      </c>
      <c r="H69" s="59"/>
      <c r="I69" s="59"/>
      <c r="J69" s="100" t="s">
        <v>315</v>
      </c>
      <c r="K69" s="59">
        <v>5</v>
      </c>
      <c r="L69" s="44">
        <f>VLOOKUP(K69,Reinigungstage!A10:B31,2,FALSE)</f>
        <v>247.5</v>
      </c>
      <c r="M69" s="44">
        <f t="shared" si="9"/>
        <v>8296.2000000000007</v>
      </c>
      <c r="N69" s="117">
        <f t="shared" si="10"/>
        <v>0</v>
      </c>
      <c r="O69" s="44">
        <f ca="1">IF('SVS UnterhaltsRG'!H61="",0,'SVS UnterhaltsRG'!H61)</f>
        <v>0</v>
      </c>
      <c r="P69" s="44">
        <f t="shared" si="11"/>
        <v>0</v>
      </c>
      <c r="Q69" s="44">
        <f t="shared" ca="1" si="12"/>
        <v>0</v>
      </c>
      <c r="R69" s="44">
        <f t="shared" si="13"/>
        <v>0</v>
      </c>
      <c r="S69" s="44">
        <f t="shared" ca="1" si="14"/>
        <v>0</v>
      </c>
      <c r="T69" s="3" t="str">
        <f t="shared" si="15"/>
        <v>Leistungswert eintragen</v>
      </c>
      <c r="U69" s="3">
        <f t="shared" si="16"/>
        <v>67.5</v>
      </c>
      <c r="V69" s="3">
        <f t="shared" si="17"/>
        <v>0</v>
      </c>
    </row>
    <row r="70" spans="1:22" ht="15" customHeight="1" x14ac:dyDescent="0.2">
      <c r="A70" s="100">
        <v>49</v>
      </c>
      <c r="B70" s="115" t="s">
        <v>274</v>
      </c>
      <c r="C70" s="116" t="s">
        <v>240</v>
      </c>
      <c r="D70" s="116"/>
      <c r="E70" s="116" t="s">
        <v>275</v>
      </c>
      <c r="F70" s="116" t="s">
        <v>208</v>
      </c>
      <c r="G70" s="59">
        <v>8.6</v>
      </c>
      <c r="H70" s="59"/>
      <c r="I70" s="59"/>
      <c r="J70" s="100" t="s">
        <v>315</v>
      </c>
      <c r="K70" s="59">
        <v>1</v>
      </c>
      <c r="L70" s="44">
        <f>VLOOKUP(K70,Reinigungstage!A10:B31,2,FALSE)</f>
        <v>51.41</v>
      </c>
      <c r="M70" s="44">
        <f t="shared" si="9"/>
        <v>442.13</v>
      </c>
      <c r="N70" s="117">
        <f t="shared" si="10"/>
        <v>0</v>
      </c>
      <c r="O70" s="44">
        <f ca="1">IF('SVS UnterhaltsRG'!H61="",0,'SVS UnterhaltsRG'!H61)</f>
        <v>0</v>
      </c>
      <c r="P70" s="44">
        <f t="shared" si="11"/>
        <v>0</v>
      </c>
      <c r="Q70" s="44">
        <f t="shared" ca="1" si="12"/>
        <v>0</v>
      </c>
      <c r="R70" s="44">
        <f t="shared" si="13"/>
        <v>0</v>
      </c>
      <c r="S70" s="44">
        <f t="shared" ca="1" si="14"/>
        <v>0</v>
      </c>
      <c r="T70" s="3" t="str">
        <f t="shared" si="15"/>
        <v>Leistungswert eintragen</v>
      </c>
      <c r="U70" s="3">
        <f t="shared" si="16"/>
        <v>67.5</v>
      </c>
      <c r="V70" s="3">
        <f t="shared" si="17"/>
        <v>0</v>
      </c>
    </row>
    <row r="71" spans="1:22" ht="15" customHeight="1" x14ac:dyDescent="0.2">
      <c r="A71" s="100">
        <v>50</v>
      </c>
      <c r="B71" s="115" t="s">
        <v>276</v>
      </c>
      <c r="C71" s="116" t="s">
        <v>240</v>
      </c>
      <c r="D71" s="116"/>
      <c r="E71" s="116" t="s">
        <v>277</v>
      </c>
      <c r="F71" s="116" t="s">
        <v>208</v>
      </c>
      <c r="G71" s="59">
        <v>24.29</v>
      </c>
      <c r="H71" s="59"/>
      <c r="I71" s="59"/>
      <c r="J71" s="100" t="s">
        <v>315</v>
      </c>
      <c r="K71" s="59">
        <v>5</v>
      </c>
      <c r="L71" s="44">
        <f>VLOOKUP(K71,Reinigungstage!A10:B31,2,FALSE)</f>
        <v>247.5</v>
      </c>
      <c r="M71" s="44">
        <f t="shared" si="9"/>
        <v>6011.78</v>
      </c>
      <c r="N71" s="117">
        <f t="shared" si="10"/>
        <v>0</v>
      </c>
      <c r="O71" s="44">
        <f ca="1">IF('SVS UnterhaltsRG'!H61="",0,'SVS UnterhaltsRG'!H61)</f>
        <v>0</v>
      </c>
      <c r="P71" s="44">
        <f t="shared" si="11"/>
        <v>0</v>
      </c>
      <c r="Q71" s="44">
        <f t="shared" ca="1" si="12"/>
        <v>0</v>
      </c>
      <c r="R71" s="44">
        <f t="shared" si="13"/>
        <v>0</v>
      </c>
      <c r="S71" s="44">
        <f t="shared" ca="1" si="14"/>
        <v>0</v>
      </c>
      <c r="T71" s="3" t="str">
        <f t="shared" si="15"/>
        <v>Leistungswert eintragen</v>
      </c>
      <c r="U71" s="3">
        <f t="shared" si="16"/>
        <v>67.5</v>
      </c>
      <c r="V71" s="3">
        <f t="shared" si="17"/>
        <v>0</v>
      </c>
    </row>
    <row r="72" spans="1:22" ht="15" customHeight="1" x14ac:dyDescent="0.2">
      <c r="A72" s="100">
        <v>51</v>
      </c>
      <c r="B72" s="115" t="s">
        <v>278</v>
      </c>
      <c r="C72" s="116" t="s">
        <v>240</v>
      </c>
      <c r="D72" s="116">
        <v>2</v>
      </c>
      <c r="E72" s="116" t="s">
        <v>218</v>
      </c>
      <c r="F72" s="116" t="s">
        <v>211</v>
      </c>
      <c r="G72" s="59">
        <v>41.53</v>
      </c>
      <c r="H72" s="59"/>
      <c r="I72" s="59"/>
      <c r="J72" s="100" t="s">
        <v>312</v>
      </c>
      <c r="K72" s="59">
        <v>5</v>
      </c>
      <c r="L72" s="44">
        <f>VLOOKUP(K72,Reinigungstage!A10:B31,2,FALSE)</f>
        <v>247.5</v>
      </c>
      <c r="M72" s="44">
        <f t="shared" si="9"/>
        <v>10278.68</v>
      </c>
      <c r="N72" s="117">
        <f t="shared" si="10"/>
        <v>0</v>
      </c>
      <c r="O72" s="44">
        <f ca="1">IF('SVS UnterhaltsRG'!H61="",0,'SVS UnterhaltsRG'!H61)</f>
        <v>0</v>
      </c>
      <c r="P72" s="44">
        <f t="shared" si="11"/>
        <v>0</v>
      </c>
      <c r="Q72" s="44">
        <f t="shared" ca="1" si="12"/>
        <v>0</v>
      </c>
      <c r="R72" s="44">
        <f t="shared" si="13"/>
        <v>0</v>
      </c>
      <c r="S72" s="44">
        <f t="shared" ca="1" si="14"/>
        <v>0</v>
      </c>
      <c r="T72" s="3" t="str">
        <f t="shared" si="15"/>
        <v>Leistungswert eintragen</v>
      </c>
      <c r="U72" s="3">
        <f t="shared" si="16"/>
        <v>136.25</v>
      </c>
      <c r="V72" s="3">
        <f t="shared" si="17"/>
        <v>0</v>
      </c>
    </row>
    <row r="73" spans="1:22" ht="15" customHeight="1" x14ac:dyDescent="0.2">
      <c r="A73" s="100">
        <v>52</v>
      </c>
      <c r="B73" s="115" t="s">
        <v>279</v>
      </c>
      <c r="C73" s="116" t="s">
        <v>240</v>
      </c>
      <c r="D73" s="116"/>
      <c r="E73" s="116" t="s">
        <v>223</v>
      </c>
      <c r="F73" s="116" t="s">
        <v>211</v>
      </c>
      <c r="G73" s="59">
        <v>15.97</v>
      </c>
      <c r="H73" s="59"/>
      <c r="I73" s="59"/>
      <c r="J73" s="100" t="s">
        <v>310</v>
      </c>
      <c r="K73" s="59">
        <v>5</v>
      </c>
      <c r="L73" s="44">
        <f>VLOOKUP(K73,Reinigungstage!A10:B31,2,FALSE)</f>
        <v>247.5</v>
      </c>
      <c r="M73" s="44">
        <f t="shared" si="9"/>
        <v>3952.58</v>
      </c>
      <c r="N73" s="117">
        <f t="shared" si="10"/>
        <v>0</v>
      </c>
      <c r="O73" s="44">
        <f ca="1">IF('SVS UnterhaltsRG'!H61="",0,'SVS UnterhaltsRG'!H61)</f>
        <v>0</v>
      </c>
      <c r="P73" s="44">
        <f t="shared" si="11"/>
        <v>0</v>
      </c>
      <c r="Q73" s="44">
        <f t="shared" ca="1" si="12"/>
        <v>0</v>
      </c>
      <c r="R73" s="44">
        <f t="shared" si="13"/>
        <v>0</v>
      </c>
      <c r="S73" s="44">
        <f t="shared" ca="1" si="14"/>
        <v>0</v>
      </c>
      <c r="T73" s="3" t="str">
        <f t="shared" si="15"/>
        <v>Leistungswert eintragen</v>
      </c>
      <c r="U73" s="3">
        <f t="shared" si="16"/>
        <v>166.25</v>
      </c>
      <c r="V73" s="3">
        <f t="shared" si="17"/>
        <v>0</v>
      </c>
    </row>
    <row r="74" spans="1:22" ht="15" customHeight="1" x14ac:dyDescent="0.2">
      <c r="A74" s="100">
        <v>53</v>
      </c>
      <c r="B74" s="115" t="s">
        <v>280</v>
      </c>
      <c r="C74" s="116" t="s">
        <v>240</v>
      </c>
      <c r="D74" s="116"/>
      <c r="E74" s="116" t="s">
        <v>281</v>
      </c>
      <c r="F74" s="116" t="s">
        <v>211</v>
      </c>
      <c r="G74" s="59">
        <v>7.99</v>
      </c>
      <c r="H74" s="59"/>
      <c r="I74" s="59"/>
      <c r="J74" s="100" t="s">
        <v>309</v>
      </c>
      <c r="K74" s="59">
        <v>3</v>
      </c>
      <c r="L74" s="44">
        <f>VLOOKUP(K74,Reinigungstage!A10:B31,2,FALSE)</f>
        <v>148.5</v>
      </c>
      <c r="M74" s="44">
        <f t="shared" si="9"/>
        <v>1186.52</v>
      </c>
      <c r="N74" s="117">
        <f t="shared" si="10"/>
        <v>0</v>
      </c>
      <c r="O74" s="44">
        <f ca="1">IF('SVS UnterhaltsRG'!H61="",0,'SVS UnterhaltsRG'!H61)</f>
        <v>0</v>
      </c>
      <c r="P74" s="44">
        <f t="shared" si="11"/>
        <v>0</v>
      </c>
      <c r="Q74" s="44">
        <f t="shared" ca="1" si="12"/>
        <v>0</v>
      </c>
      <c r="R74" s="44">
        <f t="shared" si="13"/>
        <v>0</v>
      </c>
      <c r="S74" s="44">
        <f t="shared" ca="1" si="14"/>
        <v>0</v>
      </c>
      <c r="T74" s="3" t="str">
        <f t="shared" si="15"/>
        <v>Leistungswert eintragen</v>
      </c>
      <c r="U74" s="3">
        <f t="shared" si="16"/>
        <v>132.5</v>
      </c>
      <c r="V74" s="3">
        <f t="shared" si="17"/>
        <v>0</v>
      </c>
    </row>
    <row r="75" spans="1:22" ht="15" customHeight="1" x14ac:dyDescent="0.2">
      <c r="A75" s="100">
        <v>54</v>
      </c>
      <c r="B75" s="115" t="s">
        <v>282</v>
      </c>
      <c r="C75" s="116" t="s">
        <v>240</v>
      </c>
      <c r="D75" s="116"/>
      <c r="E75" s="116" t="s">
        <v>214</v>
      </c>
      <c r="F75" s="116" t="s">
        <v>211</v>
      </c>
      <c r="G75" s="59">
        <v>20.69</v>
      </c>
      <c r="H75" s="59"/>
      <c r="I75" s="59"/>
      <c r="J75" s="100" t="s">
        <v>310</v>
      </c>
      <c r="K75" s="59">
        <v>5</v>
      </c>
      <c r="L75" s="44">
        <f>VLOOKUP(K75,Reinigungstage!A10:B31,2,FALSE)</f>
        <v>247.5</v>
      </c>
      <c r="M75" s="44">
        <f t="shared" si="9"/>
        <v>5120.78</v>
      </c>
      <c r="N75" s="117">
        <f t="shared" si="10"/>
        <v>0</v>
      </c>
      <c r="O75" s="44">
        <f ca="1">IF('SVS UnterhaltsRG'!H61="",0,'SVS UnterhaltsRG'!H61)</f>
        <v>0</v>
      </c>
      <c r="P75" s="44">
        <f t="shared" si="11"/>
        <v>0</v>
      </c>
      <c r="Q75" s="44">
        <f t="shared" ca="1" si="12"/>
        <v>0</v>
      </c>
      <c r="R75" s="44">
        <f t="shared" si="13"/>
        <v>0</v>
      </c>
      <c r="S75" s="44">
        <f t="shared" ca="1" si="14"/>
        <v>0</v>
      </c>
      <c r="T75" s="3" t="str">
        <f t="shared" si="15"/>
        <v>Leistungswert eintragen</v>
      </c>
      <c r="U75" s="3">
        <f t="shared" si="16"/>
        <v>166.25</v>
      </c>
      <c r="V75" s="3">
        <f t="shared" si="17"/>
        <v>0</v>
      </c>
    </row>
    <row r="76" spans="1:22" ht="15" customHeight="1" x14ac:dyDescent="0.2">
      <c r="A76" s="100">
        <v>55</v>
      </c>
      <c r="B76" s="115" t="s">
        <v>283</v>
      </c>
      <c r="C76" s="116" t="s">
        <v>240</v>
      </c>
      <c r="D76" s="116"/>
      <c r="E76" s="116" t="s">
        <v>210</v>
      </c>
      <c r="F76" s="116" t="s">
        <v>211</v>
      </c>
      <c r="G76" s="59">
        <v>40.46</v>
      </c>
      <c r="H76" s="59"/>
      <c r="I76" s="59"/>
      <c r="J76" s="100" t="s">
        <v>309</v>
      </c>
      <c r="K76" s="59">
        <v>5</v>
      </c>
      <c r="L76" s="44">
        <f>VLOOKUP(K76,Reinigungstage!A10:B31,2,FALSE)</f>
        <v>247.5</v>
      </c>
      <c r="M76" s="44">
        <f t="shared" si="9"/>
        <v>10013.85</v>
      </c>
      <c r="N76" s="117">
        <f t="shared" si="10"/>
        <v>0</v>
      </c>
      <c r="O76" s="44">
        <f ca="1">IF('SVS UnterhaltsRG'!H61="",0,'SVS UnterhaltsRG'!H61)</f>
        <v>0</v>
      </c>
      <c r="P76" s="44">
        <f t="shared" si="11"/>
        <v>0</v>
      </c>
      <c r="Q76" s="44">
        <f t="shared" ca="1" si="12"/>
        <v>0</v>
      </c>
      <c r="R76" s="44">
        <f t="shared" si="13"/>
        <v>0</v>
      </c>
      <c r="S76" s="44">
        <f t="shared" ca="1" si="14"/>
        <v>0</v>
      </c>
      <c r="T76" s="3" t="str">
        <f t="shared" si="15"/>
        <v>Leistungswert eintragen</v>
      </c>
      <c r="U76" s="3">
        <f t="shared" si="16"/>
        <v>132.5</v>
      </c>
      <c r="V76" s="3">
        <f t="shared" si="17"/>
        <v>0</v>
      </c>
    </row>
    <row r="77" spans="1:22" ht="15" customHeight="1" x14ac:dyDescent="0.2">
      <c r="A77" s="100">
        <v>56</v>
      </c>
      <c r="B77" s="115" t="s">
        <v>284</v>
      </c>
      <c r="C77" s="116" t="s">
        <v>240</v>
      </c>
      <c r="D77" s="116"/>
      <c r="E77" s="116" t="s">
        <v>210</v>
      </c>
      <c r="F77" s="116" t="s">
        <v>211</v>
      </c>
      <c r="G77" s="59">
        <v>40.46</v>
      </c>
      <c r="H77" s="59"/>
      <c r="I77" s="59"/>
      <c r="J77" s="100" t="s">
        <v>309</v>
      </c>
      <c r="K77" s="59">
        <v>5</v>
      </c>
      <c r="L77" s="44">
        <f>VLOOKUP(K77,Reinigungstage!A10:B31,2,FALSE)</f>
        <v>247.5</v>
      </c>
      <c r="M77" s="44">
        <f t="shared" si="9"/>
        <v>10013.85</v>
      </c>
      <c r="N77" s="117">
        <f t="shared" si="10"/>
        <v>0</v>
      </c>
      <c r="O77" s="44">
        <f ca="1">IF('SVS UnterhaltsRG'!H61="",0,'SVS UnterhaltsRG'!H61)</f>
        <v>0</v>
      </c>
      <c r="P77" s="44">
        <f t="shared" si="11"/>
        <v>0</v>
      </c>
      <c r="Q77" s="44">
        <f t="shared" ca="1" si="12"/>
        <v>0</v>
      </c>
      <c r="R77" s="44">
        <f t="shared" si="13"/>
        <v>0</v>
      </c>
      <c r="S77" s="44">
        <f t="shared" ca="1" si="14"/>
        <v>0</v>
      </c>
      <c r="T77" s="3" t="str">
        <f t="shared" si="15"/>
        <v>Leistungswert eintragen</v>
      </c>
      <c r="U77" s="3">
        <f t="shared" si="16"/>
        <v>132.5</v>
      </c>
      <c r="V77" s="3">
        <f t="shared" si="17"/>
        <v>0</v>
      </c>
    </row>
    <row r="78" spans="1:22" ht="15" customHeight="1" x14ac:dyDescent="0.2">
      <c r="A78" s="100">
        <v>57</v>
      </c>
      <c r="B78" s="115" t="s">
        <v>285</v>
      </c>
      <c r="C78" s="116" t="s">
        <v>240</v>
      </c>
      <c r="D78" s="116"/>
      <c r="E78" s="116" t="s">
        <v>207</v>
      </c>
      <c r="F78" s="116" t="s">
        <v>208</v>
      </c>
      <c r="G78" s="59">
        <v>19.39</v>
      </c>
      <c r="H78" s="59"/>
      <c r="I78" s="59"/>
      <c r="J78" s="100" t="s">
        <v>207</v>
      </c>
      <c r="K78" s="59">
        <v>5</v>
      </c>
      <c r="L78" s="44">
        <f>VLOOKUP(K78,Reinigungstage!A10:B31,2,FALSE)</f>
        <v>247.5</v>
      </c>
      <c r="M78" s="44">
        <f t="shared" si="9"/>
        <v>4799.03</v>
      </c>
      <c r="N78" s="117">
        <f t="shared" si="10"/>
        <v>0</v>
      </c>
      <c r="O78" s="44">
        <f ca="1">IF('SVS UnterhaltsRG'!H61="",0,'SVS UnterhaltsRG'!H61)</f>
        <v>0</v>
      </c>
      <c r="P78" s="44">
        <f t="shared" si="11"/>
        <v>0</v>
      </c>
      <c r="Q78" s="44">
        <f t="shared" ca="1" si="12"/>
        <v>0</v>
      </c>
      <c r="R78" s="44">
        <f t="shared" si="13"/>
        <v>0</v>
      </c>
      <c r="S78" s="44">
        <f t="shared" ca="1" si="14"/>
        <v>0</v>
      </c>
      <c r="T78" s="3" t="str">
        <f t="shared" si="15"/>
        <v>Leistungswert eintragen</v>
      </c>
      <c r="U78" s="3">
        <f t="shared" si="16"/>
        <v>53.75</v>
      </c>
      <c r="V78" s="3">
        <f t="shared" si="17"/>
        <v>0</v>
      </c>
    </row>
    <row r="79" spans="1:22" ht="15" customHeight="1" x14ac:dyDescent="0.2">
      <c r="A79" s="100">
        <v>58</v>
      </c>
      <c r="B79" s="115" t="s">
        <v>286</v>
      </c>
      <c r="C79" s="116" t="s">
        <v>287</v>
      </c>
      <c r="D79" s="116"/>
      <c r="E79" s="116" t="s">
        <v>288</v>
      </c>
      <c r="F79" s="116" t="s">
        <v>289</v>
      </c>
      <c r="G79" s="59">
        <v>40.26</v>
      </c>
      <c r="H79" s="59"/>
      <c r="I79" s="59"/>
      <c r="J79" s="100" t="s">
        <v>310</v>
      </c>
      <c r="K79" s="59">
        <v>1</v>
      </c>
      <c r="L79" s="44">
        <f>VLOOKUP(K79,Reinigungstage!A10:B31,2,FALSE)</f>
        <v>51.41</v>
      </c>
      <c r="M79" s="44">
        <f t="shared" si="9"/>
        <v>2069.77</v>
      </c>
      <c r="N79" s="117">
        <f t="shared" si="10"/>
        <v>0</v>
      </c>
      <c r="O79" s="44">
        <f ca="1">IF('SVS UnterhaltsRG'!H61="",0,'SVS UnterhaltsRG'!H61)</f>
        <v>0</v>
      </c>
      <c r="P79" s="44">
        <f t="shared" si="11"/>
        <v>0</v>
      </c>
      <c r="Q79" s="44">
        <f t="shared" ca="1" si="12"/>
        <v>0</v>
      </c>
      <c r="R79" s="44">
        <f t="shared" si="13"/>
        <v>0</v>
      </c>
      <c r="S79" s="44">
        <f t="shared" ca="1" si="14"/>
        <v>0</v>
      </c>
      <c r="T79" s="3" t="str">
        <f t="shared" si="15"/>
        <v>Leistungswert eintragen</v>
      </c>
      <c r="U79" s="3">
        <f t="shared" si="16"/>
        <v>166.25</v>
      </c>
      <c r="V79" s="3">
        <f t="shared" si="17"/>
        <v>0</v>
      </c>
    </row>
    <row r="80" spans="1:22" ht="24.95" customHeight="1" x14ac:dyDescent="0.2">
      <c r="A80" s="100">
        <v>59</v>
      </c>
      <c r="B80" s="115" t="s">
        <v>290</v>
      </c>
      <c r="C80" s="116" t="s">
        <v>287</v>
      </c>
      <c r="D80" s="116" t="s">
        <v>264</v>
      </c>
      <c r="E80" s="116" t="s">
        <v>291</v>
      </c>
      <c r="F80" s="116" t="s">
        <v>211</v>
      </c>
      <c r="G80" s="59">
        <v>37.07</v>
      </c>
      <c r="H80" s="59"/>
      <c r="I80" s="59"/>
      <c r="J80" s="100" t="s">
        <v>309</v>
      </c>
      <c r="K80" s="59">
        <v>5</v>
      </c>
      <c r="L80" s="44">
        <f>VLOOKUP(K80,Reinigungstage!A10:B31,2,FALSE)</f>
        <v>247.5</v>
      </c>
      <c r="M80" s="44">
        <f t="shared" si="9"/>
        <v>9174.83</v>
      </c>
      <c r="N80" s="117">
        <f t="shared" si="10"/>
        <v>0</v>
      </c>
      <c r="O80" s="44">
        <f ca="1">IF('SVS UnterhaltsRG'!H61="",0,'SVS UnterhaltsRG'!H61)</f>
        <v>0</v>
      </c>
      <c r="P80" s="44">
        <f t="shared" si="11"/>
        <v>0</v>
      </c>
      <c r="Q80" s="44">
        <f t="shared" ca="1" si="12"/>
        <v>0</v>
      </c>
      <c r="R80" s="44">
        <f t="shared" si="13"/>
        <v>0</v>
      </c>
      <c r="S80" s="44">
        <f t="shared" ca="1" si="14"/>
        <v>0</v>
      </c>
      <c r="T80" s="3" t="str">
        <f t="shared" si="15"/>
        <v>Leistungswert eintragen</v>
      </c>
      <c r="U80" s="3">
        <f t="shared" si="16"/>
        <v>132.5</v>
      </c>
      <c r="V80" s="3">
        <f t="shared" si="17"/>
        <v>0</v>
      </c>
    </row>
    <row r="81" spans="1:22" ht="24.95" customHeight="1" x14ac:dyDescent="0.2">
      <c r="A81" s="100">
        <v>60</v>
      </c>
      <c r="B81" s="115" t="s">
        <v>292</v>
      </c>
      <c r="C81" s="116" t="s">
        <v>287</v>
      </c>
      <c r="D81" s="116" t="s">
        <v>264</v>
      </c>
      <c r="E81" s="116" t="s">
        <v>293</v>
      </c>
      <c r="F81" s="116" t="s">
        <v>211</v>
      </c>
      <c r="G81" s="59">
        <v>37.270000000000003</v>
      </c>
      <c r="H81" s="59"/>
      <c r="I81" s="59"/>
      <c r="J81" s="100" t="s">
        <v>309</v>
      </c>
      <c r="K81" s="59">
        <v>5</v>
      </c>
      <c r="L81" s="44">
        <f>VLOOKUP(K81,Reinigungstage!A10:B31,2,FALSE)</f>
        <v>247.5</v>
      </c>
      <c r="M81" s="44">
        <f t="shared" si="9"/>
        <v>9224.33</v>
      </c>
      <c r="N81" s="117">
        <f t="shared" si="10"/>
        <v>0</v>
      </c>
      <c r="O81" s="44">
        <f ca="1">IF('SVS UnterhaltsRG'!H61="",0,'SVS UnterhaltsRG'!H61)</f>
        <v>0</v>
      </c>
      <c r="P81" s="44">
        <f t="shared" si="11"/>
        <v>0</v>
      </c>
      <c r="Q81" s="44">
        <f t="shared" ca="1" si="12"/>
        <v>0</v>
      </c>
      <c r="R81" s="44">
        <f t="shared" si="13"/>
        <v>0</v>
      </c>
      <c r="S81" s="44">
        <f t="shared" ca="1" si="14"/>
        <v>0</v>
      </c>
      <c r="T81" s="3" t="str">
        <f t="shared" si="15"/>
        <v>Leistungswert eintragen</v>
      </c>
      <c r="U81" s="3">
        <f t="shared" si="16"/>
        <v>132.5</v>
      </c>
      <c r="V81" s="3">
        <f t="shared" si="17"/>
        <v>0</v>
      </c>
    </row>
    <row r="82" spans="1:22" ht="24.95" customHeight="1" x14ac:dyDescent="0.2">
      <c r="A82" s="100">
        <v>61</v>
      </c>
      <c r="B82" s="115" t="s">
        <v>294</v>
      </c>
      <c r="C82" s="116" t="s">
        <v>287</v>
      </c>
      <c r="D82" s="116" t="s">
        <v>264</v>
      </c>
      <c r="E82" s="116" t="s">
        <v>295</v>
      </c>
      <c r="F82" s="116" t="s">
        <v>211</v>
      </c>
      <c r="G82" s="59">
        <v>23.79</v>
      </c>
      <c r="H82" s="59"/>
      <c r="I82" s="59"/>
      <c r="J82" s="100" t="s">
        <v>310</v>
      </c>
      <c r="K82" s="59">
        <v>5</v>
      </c>
      <c r="L82" s="44">
        <f>VLOOKUP(K82,Reinigungstage!A10:B31,2,FALSE)</f>
        <v>247.5</v>
      </c>
      <c r="M82" s="44">
        <f t="shared" si="9"/>
        <v>5888.03</v>
      </c>
      <c r="N82" s="117">
        <f t="shared" si="10"/>
        <v>0</v>
      </c>
      <c r="O82" s="44">
        <f ca="1">IF('SVS UnterhaltsRG'!H61="",0,'SVS UnterhaltsRG'!H61)</f>
        <v>0</v>
      </c>
      <c r="P82" s="44">
        <f t="shared" si="11"/>
        <v>0</v>
      </c>
      <c r="Q82" s="44">
        <f t="shared" ca="1" si="12"/>
        <v>0</v>
      </c>
      <c r="R82" s="44">
        <f t="shared" si="13"/>
        <v>0</v>
      </c>
      <c r="S82" s="44">
        <f t="shared" ca="1" si="14"/>
        <v>0</v>
      </c>
      <c r="T82" s="3" t="str">
        <f t="shared" si="15"/>
        <v>Leistungswert eintragen</v>
      </c>
      <c r="U82" s="3">
        <f t="shared" si="16"/>
        <v>166.25</v>
      </c>
      <c r="V82" s="3">
        <f t="shared" si="17"/>
        <v>0</v>
      </c>
    </row>
    <row r="83" spans="1:22" ht="24.95" customHeight="1" x14ac:dyDescent="0.2">
      <c r="A83" s="100">
        <v>62</v>
      </c>
      <c r="B83" s="115" t="s">
        <v>296</v>
      </c>
      <c r="C83" s="116" t="s">
        <v>287</v>
      </c>
      <c r="D83" s="116" t="s">
        <v>264</v>
      </c>
      <c r="E83" s="116" t="s">
        <v>297</v>
      </c>
      <c r="F83" s="116" t="s">
        <v>211</v>
      </c>
      <c r="G83" s="59">
        <v>11.62</v>
      </c>
      <c r="H83" s="59"/>
      <c r="I83" s="59"/>
      <c r="J83" s="100" t="s">
        <v>312</v>
      </c>
      <c r="K83" s="59">
        <v>5</v>
      </c>
      <c r="L83" s="44">
        <f>VLOOKUP(K83,Reinigungstage!A10:B31,2,FALSE)</f>
        <v>247.5</v>
      </c>
      <c r="M83" s="44">
        <f t="shared" si="9"/>
        <v>2875.95</v>
      </c>
      <c r="N83" s="117">
        <f t="shared" si="10"/>
        <v>0</v>
      </c>
      <c r="O83" s="44">
        <f ca="1">IF('SVS UnterhaltsRG'!H61="",0,'SVS UnterhaltsRG'!H61)</f>
        <v>0</v>
      </c>
      <c r="P83" s="44">
        <f t="shared" si="11"/>
        <v>0</v>
      </c>
      <c r="Q83" s="44">
        <f t="shared" ca="1" si="12"/>
        <v>0</v>
      </c>
      <c r="R83" s="44">
        <f t="shared" si="13"/>
        <v>0</v>
      </c>
      <c r="S83" s="44">
        <f t="shared" ca="1" si="14"/>
        <v>0</v>
      </c>
      <c r="T83" s="3" t="str">
        <f t="shared" si="15"/>
        <v>Leistungswert eintragen</v>
      </c>
      <c r="U83" s="3">
        <f t="shared" si="16"/>
        <v>136.25</v>
      </c>
      <c r="V83" s="3">
        <f t="shared" si="17"/>
        <v>0</v>
      </c>
    </row>
    <row r="84" spans="1:22" ht="24.95" customHeight="1" x14ac:dyDescent="0.2">
      <c r="A84" s="100">
        <v>63</v>
      </c>
      <c r="B84" s="115" t="s">
        <v>298</v>
      </c>
      <c r="C84" s="116" t="s">
        <v>287</v>
      </c>
      <c r="D84" s="116" t="s">
        <v>264</v>
      </c>
      <c r="E84" s="116" t="s">
        <v>223</v>
      </c>
      <c r="F84" s="116" t="s">
        <v>211</v>
      </c>
      <c r="G84" s="59">
        <v>5.08</v>
      </c>
      <c r="H84" s="59"/>
      <c r="I84" s="59"/>
      <c r="J84" s="100" t="s">
        <v>310</v>
      </c>
      <c r="K84" s="59">
        <v>5</v>
      </c>
      <c r="L84" s="44">
        <f>VLOOKUP(K84,Reinigungstage!A10:B31,2,FALSE)</f>
        <v>247.5</v>
      </c>
      <c r="M84" s="44">
        <f t="shared" si="9"/>
        <v>1257.3</v>
      </c>
      <c r="N84" s="117">
        <f t="shared" si="10"/>
        <v>0</v>
      </c>
      <c r="O84" s="44">
        <f ca="1">IF('SVS UnterhaltsRG'!H61="",0,'SVS UnterhaltsRG'!H61)</f>
        <v>0</v>
      </c>
      <c r="P84" s="44">
        <f t="shared" si="11"/>
        <v>0</v>
      </c>
      <c r="Q84" s="44">
        <f t="shared" ca="1" si="12"/>
        <v>0</v>
      </c>
      <c r="R84" s="44">
        <f t="shared" si="13"/>
        <v>0</v>
      </c>
      <c r="S84" s="44">
        <f t="shared" ca="1" si="14"/>
        <v>0</v>
      </c>
      <c r="T84" s="3" t="str">
        <f t="shared" si="15"/>
        <v>Leistungswert eintragen</v>
      </c>
      <c r="U84" s="3">
        <f t="shared" si="16"/>
        <v>166.25</v>
      </c>
      <c r="V84" s="3">
        <f t="shared" si="17"/>
        <v>0</v>
      </c>
    </row>
    <row r="85" spans="1:22" ht="24.95" customHeight="1" x14ac:dyDescent="0.2">
      <c r="A85" s="100">
        <v>64</v>
      </c>
      <c r="B85" s="115" t="s">
        <v>299</v>
      </c>
      <c r="C85" s="116" t="s">
        <v>287</v>
      </c>
      <c r="D85" s="116" t="s">
        <v>264</v>
      </c>
      <c r="E85" s="116" t="s">
        <v>223</v>
      </c>
      <c r="F85" s="116" t="s">
        <v>211</v>
      </c>
      <c r="G85" s="59">
        <v>9.7200000000000006</v>
      </c>
      <c r="H85" s="59"/>
      <c r="I85" s="59"/>
      <c r="J85" s="100" t="s">
        <v>310</v>
      </c>
      <c r="K85" s="59">
        <v>5</v>
      </c>
      <c r="L85" s="44">
        <f>VLOOKUP(K85,Reinigungstage!A10:B31,2,FALSE)</f>
        <v>247.5</v>
      </c>
      <c r="M85" s="44">
        <f t="shared" si="9"/>
        <v>2405.6999999999998</v>
      </c>
      <c r="N85" s="117">
        <f t="shared" si="10"/>
        <v>0</v>
      </c>
      <c r="O85" s="44">
        <f ca="1">IF('SVS UnterhaltsRG'!H61="",0,'SVS UnterhaltsRG'!H61)</f>
        <v>0</v>
      </c>
      <c r="P85" s="44">
        <f t="shared" si="11"/>
        <v>0</v>
      </c>
      <c r="Q85" s="44">
        <f t="shared" ca="1" si="12"/>
        <v>0</v>
      </c>
      <c r="R85" s="44">
        <f t="shared" si="13"/>
        <v>0</v>
      </c>
      <c r="S85" s="44">
        <f t="shared" ca="1" si="14"/>
        <v>0</v>
      </c>
      <c r="T85" s="3" t="str">
        <f t="shared" si="15"/>
        <v>Leistungswert eintragen</v>
      </c>
      <c r="U85" s="3">
        <f t="shared" si="16"/>
        <v>166.25</v>
      </c>
      <c r="V85" s="3">
        <f t="shared" si="17"/>
        <v>0</v>
      </c>
    </row>
    <row r="86" spans="1:22" ht="24.95" customHeight="1" x14ac:dyDescent="0.2">
      <c r="A86" s="100">
        <v>65</v>
      </c>
      <c r="B86" s="115" t="s">
        <v>300</v>
      </c>
      <c r="C86" s="116" t="s">
        <v>287</v>
      </c>
      <c r="D86" s="116" t="s">
        <v>264</v>
      </c>
      <c r="E86" s="116" t="s">
        <v>295</v>
      </c>
      <c r="F86" s="116" t="s">
        <v>211</v>
      </c>
      <c r="G86" s="59">
        <v>28.48</v>
      </c>
      <c r="H86" s="59"/>
      <c r="I86" s="59"/>
      <c r="J86" s="100" t="s">
        <v>310</v>
      </c>
      <c r="K86" s="59">
        <v>5</v>
      </c>
      <c r="L86" s="44">
        <f>VLOOKUP(K86,Reinigungstage!A10:B31,2,FALSE)</f>
        <v>247.5</v>
      </c>
      <c r="M86" s="44">
        <f t="shared" ref="M86:M91" si="18">ROUND(IF(L86=0,0,L86*G86),2)</f>
        <v>7048.8</v>
      </c>
      <c r="N86" s="117">
        <f t="shared" ref="N86:N91" si="19">VLOOKUP(J86,$G$4:$H$13,2,FALSE)</f>
        <v>0</v>
      </c>
      <c r="O86" s="44">
        <f ca="1">IF('SVS UnterhaltsRG'!H61="",0,'SVS UnterhaltsRG'!H61)</f>
        <v>0</v>
      </c>
      <c r="P86" s="44">
        <f t="shared" ref="P86:P91" si="20">ROUND(IF(N86=0,0,M86/N86),2)</f>
        <v>0</v>
      </c>
      <c r="Q86" s="44">
        <f t="shared" ref="Q86:Q91" ca="1" si="21">IF(M86=0,0,IF(O86="",0,ROUND(P86*O86,2)))</f>
        <v>0</v>
      </c>
      <c r="R86" s="44">
        <f t="shared" ref="R86:R91" si="22">ROUND(IF(P86=0,0,P86/L86),2)</f>
        <v>0</v>
      </c>
      <c r="S86" s="44">
        <f t="shared" ref="S86:S91" ca="1" si="23">ROUND(IF(Q86=0,0,Q86/L86),2)</f>
        <v>0</v>
      </c>
      <c r="T86" s="3" t="str">
        <f t="shared" ref="T86:T91" si="24">IF(M86=0,"",IF(N86=0,"Leistungswert eintragen",IF(O86=0,"SVS prüfen","")))</f>
        <v>Leistungswert eintragen</v>
      </c>
      <c r="U86" s="3">
        <f t="shared" ref="U86:U91" si="25">VLOOKUP(J86,$U$4:$V$13,2,FALSE)</f>
        <v>166.25</v>
      </c>
      <c r="V86" s="3">
        <f t="shared" ref="V86:V91" si="26">IF(M86=0,0,IF(U86&lt;N86,1,IF(U86&gt;=N86,0,"")))</f>
        <v>0</v>
      </c>
    </row>
    <row r="87" spans="1:22" ht="24.95" customHeight="1" x14ac:dyDescent="0.2">
      <c r="A87" s="100">
        <v>66</v>
      </c>
      <c r="B87" s="115" t="s">
        <v>301</v>
      </c>
      <c r="C87" s="116" t="s">
        <v>287</v>
      </c>
      <c r="D87" s="116" t="s">
        <v>264</v>
      </c>
      <c r="E87" s="116" t="s">
        <v>302</v>
      </c>
      <c r="F87" s="116" t="s">
        <v>211</v>
      </c>
      <c r="G87" s="59">
        <v>27.64</v>
      </c>
      <c r="H87" s="59"/>
      <c r="I87" s="59"/>
      <c r="J87" s="100" t="s">
        <v>317</v>
      </c>
      <c r="K87" s="59">
        <v>5</v>
      </c>
      <c r="L87" s="44">
        <f>VLOOKUP(K87,Reinigungstage!A10:B31,2,FALSE)</f>
        <v>247.5</v>
      </c>
      <c r="M87" s="44">
        <f t="shared" si="18"/>
        <v>6840.9</v>
      </c>
      <c r="N87" s="117">
        <f t="shared" si="19"/>
        <v>0</v>
      </c>
      <c r="O87" s="44">
        <f ca="1">IF('SVS UnterhaltsRG'!H61="",0,'SVS UnterhaltsRG'!H61)</f>
        <v>0</v>
      </c>
      <c r="P87" s="44">
        <f t="shared" si="20"/>
        <v>0</v>
      </c>
      <c r="Q87" s="44">
        <f t="shared" ca="1" si="21"/>
        <v>0</v>
      </c>
      <c r="R87" s="44">
        <f t="shared" si="22"/>
        <v>0</v>
      </c>
      <c r="S87" s="44">
        <f t="shared" ca="1" si="23"/>
        <v>0</v>
      </c>
      <c r="T87" s="3" t="str">
        <f t="shared" si="24"/>
        <v>Leistungswert eintragen</v>
      </c>
      <c r="U87" s="3">
        <f t="shared" si="25"/>
        <v>168.75</v>
      </c>
      <c r="V87" s="3">
        <f t="shared" si="26"/>
        <v>0</v>
      </c>
    </row>
    <row r="88" spans="1:22" ht="15" customHeight="1" x14ac:dyDescent="0.2">
      <c r="A88" s="100">
        <v>67</v>
      </c>
      <c r="B88" s="115" t="s">
        <v>303</v>
      </c>
      <c r="C88" s="116" t="s">
        <v>287</v>
      </c>
      <c r="D88" s="116"/>
      <c r="E88" s="116" t="s">
        <v>304</v>
      </c>
      <c r="F88" s="116" t="s">
        <v>211</v>
      </c>
      <c r="G88" s="59">
        <v>11.62</v>
      </c>
      <c r="H88" s="59"/>
      <c r="I88" s="59"/>
      <c r="J88" s="100" t="s">
        <v>312</v>
      </c>
      <c r="K88" s="59">
        <v>5</v>
      </c>
      <c r="L88" s="44">
        <f>VLOOKUP(K88,Reinigungstage!A10:B31,2,FALSE)</f>
        <v>247.5</v>
      </c>
      <c r="M88" s="44">
        <f t="shared" si="18"/>
        <v>2875.95</v>
      </c>
      <c r="N88" s="117">
        <f t="shared" si="19"/>
        <v>0</v>
      </c>
      <c r="O88" s="44">
        <f ca="1">IF('SVS UnterhaltsRG'!H61="",0,'SVS UnterhaltsRG'!H61)</f>
        <v>0</v>
      </c>
      <c r="P88" s="44">
        <f t="shared" si="20"/>
        <v>0</v>
      </c>
      <c r="Q88" s="44">
        <f t="shared" ca="1" si="21"/>
        <v>0</v>
      </c>
      <c r="R88" s="44">
        <f t="shared" si="22"/>
        <v>0</v>
      </c>
      <c r="S88" s="44">
        <f t="shared" ca="1" si="23"/>
        <v>0</v>
      </c>
      <c r="T88" s="3" t="str">
        <f t="shared" si="24"/>
        <v>Leistungswert eintragen</v>
      </c>
      <c r="U88" s="3">
        <f t="shared" si="25"/>
        <v>136.25</v>
      </c>
      <c r="V88" s="3">
        <f t="shared" si="26"/>
        <v>0</v>
      </c>
    </row>
    <row r="89" spans="1:22" ht="15" customHeight="1" x14ac:dyDescent="0.2">
      <c r="A89" s="100">
        <v>68</v>
      </c>
      <c r="B89" s="115" t="s">
        <v>305</v>
      </c>
      <c r="C89" s="116" t="s">
        <v>287</v>
      </c>
      <c r="D89" s="116"/>
      <c r="E89" s="116" t="s">
        <v>223</v>
      </c>
      <c r="F89" s="116" t="s">
        <v>211</v>
      </c>
      <c r="G89" s="59">
        <v>20.18</v>
      </c>
      <c r="H89" s="59"/>
      <c r="I89" s="59"/>
      <c r="J89" s="100" t="s">
        <v>310</v>
      </c>
      <c r="K89" s="59">
        <v>5</v>
      </c>
      <c r="L89" s="44">
        <f>VLOOKUP(K89,Reinigungstage!A10:B31,2,FALSE)</f>
        <v>247.5</v>
      </c>
      <c r="M89" s="44">
        <f t="shared" si="18"/>
        <v>4994.55</v>
      </c>
      <c r="N89" s="117">
        <f t="shared" si="19"/>
        <v>0</v>
      </c>
      <c r="O89" s="44">
        <f ca="1">IF('SVS UnterhaltsRG'!H61="",0,'SVS UnterhaltsRG'!H61)</f>
        <v>0</v>
      </c>
      <c r="P89" s="44">
        <f t="shared" si="20"/>
        <v>0</v>
      </c>
      <c r="Q89" s="44">
        <f t="shared" ca="1" si="21"/>
        <v>0</v>
      </c>
      <c r="R89" s="44">
        <f t="shared" si="22"/>
        <v>0</v>
      </c>
      <c r="S89" s="44">
        <f t="shared" ca="1" si="23"/>
        <v>0</v>
      </c>
      <c r="T89" s="3" t="str">
        <f t="shared" si="24"/>
        <v>Leistungswert eintragen</v>
      </c>
      <c r="U89" s="3">
        <f t="shared" si="25"/>
        <v>166.25</v>
      </c>
      <c r="V89" s="3">
        <f t="shared" si="26"/>
        <v>0</v>
      </c>
    </row>
    <row r="90" spans="1:22" ht="15" customHeight="1" x14ac:dyDescent="0.2">
      <c r="A90" s="100">
        <v>69</v>
      </c>
      <c r="B90" s="115" t="s">
        <v>306</v>
      </c>
      <c r="C90" s="116" t="s">
        <v>287</v>
      </c>
      <c r="D90" s="116"/>
      <c r="E90" s="116" t="s">
        <v>223</v>
      </c>
      <c r="F90" s="116" t="s">
        <v>211</v>
      </c>
      <c r="G90" s="59">
        <v>9.85</v>
      </c>
      <c r="H90" s="59"/>
      <c r="I90" s="59"/>
      <c r="J90" s="100" t="s">
        <v>310</v>
      </c>
      <c r="K90" s="59">
        <v>5</v>
      </c>
      <c r="L90" s="44">
        <f>VLOOKUP(K90,Reinigungstage!A10:B31,2,FALSE)</f>
        <v>247.5</v>
      </c>
      <c r="M90" s="44">
        <f t="shared" si="18"/>
        <v>2437.88</v>
      </c>
      <c r="N90" s="117">
        <f t="shared" si="19"/>
        <v>0</v>
      </c>
      <c r="O90" s="44">
        <f ca="1">IF('SVS UnterhaltsRG'!H61="",0,'SVS UnterhaltsRG'!H61)</f>
        <v>0</v>
      </c>
      <c r="P90" s="44">
        <f t="shared" si="20"/>
        <v>0</v>
      </c>
      <c r="Q90" s="44">
        <f t="shared" ca="1" si="21"/>
        <v>0</v>
      </c>
      <c r="R90" s="44">
        <f t="shared" si="22"/>
        <v>0</v>
      </c>
      <c r="S90" s="44">
        <f t="shared" ca="1" si="23"/>
        <v>0</v>
      </c>
      <c r="T90" s="3" t="str">
        <f t="shared" si="24"/>
        <v>Leistungswert eintragen</v>
      </c>
      <c r="U90" s="3">
        <f t="shared" si="25"/>
        <v>166.25</v>
      </c>
      <c r="V90" s="3">
        <f t="shared" si="26"/>
        <v>0</v>
      </c>
    </row>
    <row r="91" spans="1:22" ht="15" customHeight="1" x14ac:dyDescent="0.2">
      <c r="A91" s="100">
        <v>70</v>
      </c>
      <c r="B91" s="115" t="s">
        <v>307</v>
      </c>
      <c r="C91" s="116" t="s">
        <v>287</v>
      </c>
      <c r="D91" s="116"/>
      <c r="E91" s="116" t="s">
        <v>308</v>
      </c>
      <c r="F91" s="116" t="s">
        <v>211</v>
      </c>
      <c r="G91" s="59">
        <v>36.58</v>
      </c>
      <c r="H91" s="59"/>
      <c r="I91" s="59"/>
      <c r="J91" s="100" t="s">
        <v>310</v>
      </c>
      <c r="K91" s="59">
        <v>0</v>
      </c>
      <c r="L91" s="44">
        <f>VLOOKUP(K91,Reinigungstage!A10:B31,2,FALSE)</f>
        <v>0</v>
      </c>
      <c r="M91" s="44">
        <f t="shared" si="18"/>
        <v>0</v>
      </c>
      <c r="N91" s="117">
        <f t="shared" si="19"/>
        <v>0</v>
      </c>
      <c r="O91" s="44">
        <f ca="1">IF('SVS UnterhaltsRG'!H61="",0,'SVS UnterhaltsRG'!H61)</f>
        <v>0</v>
      </c>
      <c r="P91" s="44">
        <f t="shared" si="20"/>
        <v>0</v>
      </c>
      <c r="Q91" s="44">
        <f t="shared" si="21"/>
        <v>0</v>
      </c>
      <c r="R91" s="44">
        <f t="shared" si="22"/>
        <v>0</v>
      </c>
      <c r="S91" s="44">
        <f t="shared" si="23"/>
        <v>0</v>
      </c>
      <c r="T91" s="3" t="str">
        <f t="shared" si="24"/>
        <v/>
      </c>
      <c r="U91" s="3">
        <f t="shared" si="25"/>
        <v>166.25</v>
      </c>
      <c r="V91" s="3">
        <f t="shared" si="26"/>
        <v>0</v>
      </c>
    </row>
  </sheetData>
  <sheetProtection algorithmName="SHA-512" hashValue="zHSBQsoRHSRaQ3tsKTjGUpQ3ZQI/GDf9c6CSPbsRku6zAVfNSmy0gZ32VwuFI7xE+drA2OWD22PiKXiASHeKGQ==" saltValue="LWlAMy9Zbxmqq7x7dlZQnA==" spinCount="100000" sheet="1" objects="1" scenarios="1"/>
  <sortState xmlns:xlrd2="http://schemas.microsoft.com/office/spreadsheetml/2017/richdata2" ref="U4:U13">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29"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28" priority="5" operator="containsText" text="Bitte prüfen Sie diese.">
      <formula>NOT(ISERROR(SEARCH("Bitte prüfen Sie diese.",L9)))</formula>
    </cfRule>
  </conditionalFormatting>
  <conditionalFormatting sqref="L10">
    <cfRule type="containsText" dxfId="27"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26" priority="3" operator="containsText" text="lediglich Fehleingaben vermeiden wollen.">
      <formula>NOT(ISERROR(SEARCH("lediglich Fehleingaben vermeiden wollen.",L11)))</formula>
    </cfRule>
  </conditionalFormatting>
  <conditionalFormatting sqref="M11">
    <cfRule type="containsText" dxfId="25"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24" priority="7" operator="containsText" text="für die Objektart prüfen.">
      <formula>NOT(ISERROR(SEARCH("für die Objektart prüfen.",M12)))</formula>
    </cfRule>
  </conditionalFormatting>
  <conditionalFormatting sqref="N13">
    <cfRule type="expression" dxfId="23" priority="2" stopIfTrue="1">
      <formula>N13=0</formula>
    </cfRule>
  </conditionalFormatting>
  <conditionalFormatting sqref="N14">
    <cfRule type="expression" dxfId="22" priority="1">
      <formula>N14=0</formula>
    </cfRule>
  </conditionalFormatting>
  <conditionalFormatting sqref="N22:N91">
    <cfRule type="expression" dxfId="21" priority="11">
      <formula>V22=0</formula>
    </cfRule>
    <cfRule type="expression" dxfId="20" priority="12" stopIfTrue="1">
      <formula>V22=1</formula>
    </cfRule>
  </conditionalFormatting>
  <conditionalFormatting sqref="O13">
    <cfRule type="containsText" dxfId="19"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8" priority="9" operator="containsText" text="Wert(e) prüfen.">
      <formula>NOT(ISERROR(SEARCH("Wert(e) prüfen.",O14)))</formula>
    </cfRule>
  </conditionalFormatting>
  <conditionalFormatting sqref="T22:T91">
    <cfRule type="containsText" dxfId="17" priority="13" stopIfTrue="1" operator="containsText" text="SVS prüfen">
      <formula>NOT(ISERROR(SEARCH("SVS prüfen",T22)))</formula>
    </cfRule>
    <cfRule type="containsText" dxfId="16" priority="14" stopIfTrue="1" operator="containsText" text="Leistungswert eintragen">
      <formula>NOT(ISERROR(SEARCH("Leistungswert eintragen",T22)))</formula>
    </cfRule>
  </conditionalFormatting>
  <hyperlinks>
    <hyperlink ref="M1" location="Inhaltsverzeichnis!A1" display="Zurück zum Inhaltsverzeichnis" xr:uid="{72DA5382-9C26-4BFE-B390-00E236AB9ADC}"/>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Kita Tausendf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6498"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6499"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6500"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BC0F7-2B9C-4B24-9035-47F5D49BB4DD}">
  <sheetPr codeName="Tabelle33">
    <tabColor indexed="40"/>
  </sheetPr>
  <dimension ref="A1:X88"/>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85546875" style="3" customWidth="1"/>
    <col min="4" max="4" width="11.140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73" t="s">
        <v>158</v>
      </c>
      <c r="B2" s="174"/>
      <c r="C2" s="174"/>
      <c r="D2" s="174"/>
      <c r="E2" s="175"/>
      <c r="G2" s="176" t="s">
        <v>171</v>
      </c>
      <c r="H2" s="176" t="s">
        <v>163</v>
      </c>
      <c r="I2" s="176" t="s">
        <v>164</v>
      </c>
      <c r="J2" s="176" t="s">
        <v>183</v>
      </c>
      <c r="M2" s="81"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4" customHeight="1" x14ac:dyDescent="0.2">
      <c r="A3" s="101" t="s">
        <v>166</v>
      </c>
      <c r="B3" s="102"/>
      <c r="C3" s="102"/>
      <c r="D3" s="102"/>
      <c r="E3" s="103"/>
      <c r="G3" s="177"/>
      <c r="H3" s="177"/>
      <c r="I3" s="177"/>
      <c r="J3" s="177"/>
      <c r="M3" s="81" t="b">
        <v>0</v>
      </c>
      <c r="N3" s="130"/>
      <c r="O3" s="130"/>
      <c r="P3" s="130"/>
      <c r="Q3" s="130"/>
    </row>
    <row r="4" spans="1:22" ht="18.600000000000001" customHeight="1" x14ac:dyDescent="0.2">
      <c r="A4" s="171" t="s">
        <v>91</v>
      </c>
      <c r="B4" s="159" t="str">
        <f>IF(Inhaltsverzeichnis!C3="","",Inhaltsverzeichnis!C3)</f>
        <v/>
      </c>
      <c r="C4" s="160"/>
      <c r="D4" s="160"/>
      <c r="E4" s="161"/>
      <c r="G4" s="100" t="s">
        <v>311</v>
      </c>
      <c r="H4" s="104"/>
      <c r="I4" s="105">
        <f ca="1">SUMIF('Kal Grund Kita Tausendf'!J22:M88,$G$4,'Kal Grund Kita Tausendf'!M22:M88)</f>
        <v>12.49</v>
      </c>
      <c r="J4" s="63">
        <f>COUNTIFS('Kal Grund Kita Tausendf'!J22:M88,$G$4)</f>
        <v>1</v>
      </c>
      <c r="M4" s="81" t="b">
        <v>0</v>
      </c>
      <c r="N4" s="130"/>
      <c r="O4" s="130"/>
      <c r="P4" s="130"/>
      <c r="Q4" s="130"/>
      <c r="U4" s="100" t="s">
        <v>311</v>
      </c>
      <c r="V4" s="3">
        <v>17.125</v>
      </c>
    </row>
    <row r="5" spans="1:22" ht="15" customHeight="1" x14ac:dyDescent="0.2">
      <c r="A5" s="172"/>
      <c r="B5" s="162"/>
      <c r="C5" s="163"/>
      <c r="D5" s="163"/>
      <c r="E5" s="164"/>
      <c r="G5" s="100" t="s">
        <v>316</v>
      </c>
      <c r="H5" s="104"/>
      <c r="I5" s="105">
        <f ca="1">SUMIF('Kal Grund Kita Tausendf'!J22:M88,$G$5,'Kal Grund Kita Tausendf'!M22:M88)</f>
        <v>20.76</v>
      </c>
      <c r="J5" s="63">
        <f>COUNTIFS('Kal Grund Kita Tausendf'!J22:M88,$G$5)</f>
        <v>1</v>
      </c>
      <c r="M5" s="81" t="b">
        <v>0</v>
      </c>
      <c r="N5" s="130"/>
      <c r="O5" s="130"/>
      <c r="P5" s="130"/>
      <c r="Q5" s="130"/>
      <c r="U5" s="100" t="s">
        <v>316</v>
      </c>
      <c r="V5" s="3">
        <v>16.25</v>
      </c>
    </row>
    <row r="6" spans="1:22" ht="15" customHeight="1" x14ac:dyDescent="0.2">
      <c r="A6" s="106" t="s">
        <v>181</v>
      </c>
      <c r="B6" s="165" t="s">
        <v>198</v>
      </c>
      <c r="C6" s="166"/>
      <c r="D6" s="166"/>
      <c r="E6" s="167"/>
      <c r="G6" s="100" t="s">
        <v>309</v>
      </c>
      <c r="H6" s="104"/>
      <c r="I6" s="105">
        <f ca="1">SUMIF('Kal Grund Kita Tausendf'!J22:M88,$G$6,'Kal Grund Kita Tausendf'!M22:M88)</f>
        <v>606.98</v>
      </c>
      <c r="J6" s="63">
        <f>COUNTIFS('Kal Grund Kita Tausendf'!J22:M88,$G$6)</f>
        <v>19</v>
      </c>
      <c r="U6" s="100" t="s">
        <v>309</v>
      </c>
      <c r="V6" s="3">
        <v>15</v>
      </c>
    </row>
    <row r="7" spans="1:22" ht="15" customHeight="1" x14ac:dyDescent="0.2">
      <c r="A7" s="107" t="s">
        <v>179</v>
      </c>
      <c r="B7" s="168" t="s">
        <v>199</v>
      </c>
      <c r="C7" s="166"/>
      <c r="D7" s="166"/>
      <c r="E7" s="167"/>
      <c r="G7" s="100" t="s">
        <v>207</v>
      </c>
      <c r="H7" s="104"/>
      <c r="I7" s="105">
        <f ca="1">SUMIF('Kal Grund Kita Tausendf'!J22:M88,$G$7,'Kal Grund Kita Tausendf'!M22:M88)</f>
        <v>128.44</v>
      </c>
      <c r="J7" s="63">
        <f>COUNTIFS('Kal Grund Kita Tausendf'!J22:M88,$G$7)</f>
        <v>13</v>
      </c>
      <c r="U7" s="100" t="s">
        <v>207</v>
      </c>
      <c r="V7" s="3">
        <v>8.5</v>
      </c>
    </row>
    <row r="8" spans="1:22" ht="15" customHeight="1" x14ac:dyDescent="0.2">
      <c r="A8" s="107" t="s">
        <v>180</v>
      </c>
      <c r="B8" s="165" t="s">
        <v>200</v>
      </c>
      <c r="C8" s="166"/>
      <c r="D8" s="166"/>
      <c r="E8" s="167"/>
      <c r="G8" s="100" t="s">
        <v>317</v>
      </c>
      <c r="H8" s="104"/>
      <c r="I8" s="105">
        <f ca="1">SUMIF('Kal Grund Kita Tausendf'!J22:M88,$G$8,'Kal Grund Kita Tausendf'!M22:M88)</f>
        <v>94.820000000000007</v>
      </c>
      <c r="J8" s="63">
        <f>COUNTIFS('Kal Grund Kita Tausendf'!J22:M88,$G$8)</f>
        <v>2</v>
      </c>
      <c r="L8" s="118" t="str">
        <f>IF(N14&gt;0,"Ihre Eintragungen der Leistungswerte liegen weit über den Erfahrungswerten aus der Preisschätzung.","")</f>
        <v/>
      </c>
      <c r="U8" s="100" t="s">
        <v>317</v>
      </c>
      <c r="V8" s="3">
        <v>23.25</v>
      </c>
    </row>
    <row r="9" spans="1:22" ht="15" customHeight="1" x14ac:dyDescent="0.2">
      <c r="A9" s="106" t="s">
        <v>178</v>
      </c>
      <c r="B9" s="169" t="s">
        <v>197</v>
      </c>
      <c r="C9" s="166"/>
      <c r="D9" s="166"/>
      <c r="E9" s="167"/>
      <c r="G9" s="100" t="s">
        <v>312</v>
      </c>
      <c r="H9" s="104"/>
      <c r="I9" s="105">
        <f ca="1">SUMIF('Kal Grund Kita Tausendf'!J22:M88,$G$9,'Kal Grund Kita Tausendf'!M22:M88)</f>
        <v>147.37</v>
      </c>
      <c r="J9" s="63">
        <f>COUNTIFS('Kal Grund Kita Tausendf'!J22:M88,$G$9)</f>
        <v>6</v>
      </c>
      <c r="L9" s="118" t="str">
        <f>IF(N14&gt;0,"Bitte prüfen Sie diese.","")</f>
        <v/>
      </c>
      <c r="U9" s="100" t="s">
        <v>313</v>
      </c>
      <c r="V9" s="3">
        <v>21.13</v>
      </c>
    </row>
    <row r="10" spans="1:22" ht="15" customHeight="1" x14ac:dyDescent="0.2">
      <c r="A10" s="107" t="s">
        <v>160</v>
      </c>
      <c r="B10" s="165" t="s">
        <v>201</v>
      </c>
      <c r="C10" s="166"/>
      <c r="D10" s="166"/>
      <c r="E10" s="167"/>
      <c r="G10" s="100" t="s">
        <v>314</v>
      </c>
      <c r="H10" s="104"/>
      <c r="I10" s="105">
        <f ca="1">SUMIF('Kal Grund Kita Tausendf'!J22:M88,$G$10,'Kal Grund Kita Tausendf'!M22:M88)</f>
        <v>7.63</v>
      </c>
      <c r="J10" s="63">
        <f>COUNTIFS('Kal Grund Kita Tausendf'!J22:M88,$G$10)</f>
        <v>1</v>
      </c>
      <c r="L10" s="118" t="str">
        <f>IF(N14&gt;0,"Beachten Sie, dass Sie frei in der Kalkulation dieser Leistungswerte sind und wir durch den Hinweis","")</f>
        <v/>
      </c>
      <c r="U10" s="100" t="s">
        <v>312</v>
      </c>
      <c r="V10" s="3">
        <v>15</v>
      </c>
    </row>
    <row r="11" spans="1:22" ht="15" customHeight="1" x14ac:dyDescent="0.2">
      <c r="A11" s="107" t="s">
        <v>161</v>
      </c>
      <c r="B11" s="170" t="s">
        <v>202</v>
      </c>
      <c r="C11" s="166"/>
      <c r="D11" s="166"/>
      <c r="E11" s="167"/>
      <c r="G11" s="100" t="s">
        <v>310</v>
      </c>
      <c r="H11" s="104"/>
      <c r="I11" s="105">
        <f ca="1">SUMIF('Kal Grund Kita Tausendf'!J22:M88,$G$11,'Kal Grund Kita Tausendf'!M22:M88)</f>
        <v>410.47</v>
      </c>
      <c r="J11" s="63">
        <f>COUNTIFS('Kal Grund Kita Tausendf'!J22:M88,$G$11)</f>
        <v>20</v>
      </c>
      <c r="L11" s="118" t="str">
        <f>IF(N14&gt;0,"lediglich Fehleingaben vermeiden wollen.","")</f>
        <v/>
      </c>
      <c r="U11" s="100" t="s">
        <v>314</v>
      </c>
      <c r="V11" s="3">
        <v>13.25</v>
      </c>
    </row>
    <row r="12" spans="1:22" ht="15" customHeight="1" x14ac:dyDescent="0.2">
      <c r="A12" s="107" t="s">
        <v>162</v>
      </c>
      <c r="B12" s="165" t="s">
        <v>203</v>
      </c>
      <c r="C12" s="166"/>
      <c r="D12" s="166"/>
      <c r="E12" s="167"/>
      <c r="G12" s="100" t="s">
        <v>315</v>
      </c>
      <c r="H12" s="104"/>
      <c r="I12" s="105">
        <f ca="1">SUMIF('Kal Grund Kita Tausendf'!J22:M88,$G$12,'Kal Grund Kita Tausendf'!M22:M88)</f>
        <v>71.7</v>
      </c>
      <c r="J12" s="63">
        <f>COUNTIFS('Kal Grund Kita Tausendf'!J22:M88,$G$12)</f>
        <v>4</v>
      </c>
      <c r="U12" s="100" t="s">
        <v>310</v>
      </c>
      <c r="V12" s="3">
        <v>24.13</v>
      </c>
    </row>
    <row r="13" spans="1:22" ht="15" customHeight="1" x14ac:dyDescent="0.2">
      <c r="A13" s="107" t="s">
        <v>165</v>
      </c>
      <c r="B13" s="156" t="str">
        <f>HYPERLINK("http://maps.google.de/maps?hl=de&amp;bav=on.2,or.r_qf.&amp;bvm=bv.44770516,d.Yms&amp;biw=1395&amp;bih=916&amp;um=1&amp;ie=UTF-8&amp;q="&amp;B7&amp;"+"&amp;B8&amp;"+"&amp;B10&amp;"+"&amp;B11&amp;"+"&amp;B12&amp;"","In Google-Maps anzeigen (wenn Internet verfügbar)")</f>
        <v>In Google-Maps anzeigen (wenn Internet verfügbar)</v>
      </c>
      <c r="C13" s="157"/>
      <c r="D13" s="157"/>
      <c r="E13" s="158"/>
      <c r="U13" s="100" t="s">
        <v>315</v>
      </c>
      <c r="V13" s="3">
        <v>14.13</v>
      </c>
    </row>
    <row r="14" spans="1:22" ht="15" customHeight="1" x14ac:dyDescent="0.2">
      <c r="N14" s="109">
        <f>COUNTIF(X22:X$88,1)</f>
        <v>0</v>
      </c>
      <c r="O14" s="3" t="str">
        <f>IF(N14&gt;0,"Wert(e) prüfen.","")</f>
        <v/>
      </c>
      <c r="S14" s="111">
        <f>IF(COUNTA($S$22:$S$88)-COUNTBLANK($S$22:$S$88)=0,"",COUNTA($S$22:$S$88)-COUNTBLANK($S$22:$S$88))</f>
        <v>67</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115</v>
      </c>
      <c r="H20" s="1" t="s">
        <v>106</v>
      </c>
      <c r="I20" s="1" t="s">
        <v>107</v>
      </c>
      <c r="J20" s="1" t="s">
        <v>99</v>
      </c>
      <c r="K20" s="1" t="s">
        <v>104</v>
      </c>
      <c r="L20" s="1" t="s">
        <v>108</v>
      </c>
      <c r="M20" s="1" t="s">
        <v>109</v>
      </c>
      <c r="N20" s="1" t="s">
        <v>105</v>
      </c>
      <c r="O20" s="1" t="s">
        <v>110</v>
      </c>
      <c r="P20" s="1" t="s">
        <v>111</v>
      </c>
      <c r="Q20" s="1" t="s">
        <v>112</v>
      </c>
      <c r="R20" s="1" t="s">
        <v>139</v>
      </c>
    </row>
    <row r="21" spans="1:24" ht="29.1" customHeight="1" x14ac:dyDescent="0.2">
      <c r="A21" s="112" t="s">
        <v>124</v>
      </c>
      <c r="B21" s="12"/>
      <c r="C21" s="12"/>
      <c r="D21" s="12"/>
      <c r="E21" s="12"/>
      <c r="F21" s="12"/>
      <c r="G21" s="113">
        <f>SUM($G$22:$G$88)</f>
        <v>1500.6599999999996</v>
      </c>
      <c r="H21" s="113">
        <f>SUM($H$22:$H$88)</f>
        <v>0</v>
      </c>
      <c r="I21" s="113">
        <f>SUM($I$22:$I$88)</f>
        <v>0</v>
      </c>
      <c r="J21" s="44"/>
      <c r="K21" s="44"/>
      <c r="L21" s="114">
        <f>MAX(L22:L88)</f>
        <v>1</v>
      </c>
      <c r="M21" s="113">
        <f>SUM($M$22:$M$88)</f>
        <v>1500.6599999999996</v>
      </c>
      <c r="N21" s="44"/>
      <c r="O21" s="44"/>
      <c r="P21" s="113">
        <f>SUM($P$22:$P$88)</f>
        <v>0</v>
      </c>
      <c r="Q21" s="113">
        <f>SUM($Q$22:$Q$88)</f>
        <v>0</v>
      </c>
      <c r="R21" s="113">
        <f>ROUND(IF(Q21=0,0,Q21/L21),2)</f>
        <v>0</v>
      </c>
    </row>
    <row r="22" spans="1:24" ht="15" customHeight="1" x14ac:dyDescent="0.2">
      <c r="A22" s="100">
        <v>1</v>
      </c>
      <c r="B22" s="115" t="s">
        <v>205</v>
      </c>
      <c r="C22" s="116" t="s">
        <v>206</v>
      </c>
      <c r="D22" s="116"/>
      <c r="E22" s="116" t="s">
        <v>207</v>
      </c>
      <c r="F22" s="116" t="s">
        <v>208</v>
      </c>
      <c r="G22" s="59">
        <v>19.47</v>
      </c>
      <c r="H22" s="59"/>
      <c r="I22" s="59"/>
      <c r="J22" s="100" t="s">
        <v>207</v>
      </c>
      <c r="K22" s="100" t="s">
        <v>148</v>
      </c>
      <c r="L22" s="44">
        <f>VLOOKUP(K22,Reinigungstage!A10:C31,3,FALSE)</f>
        <v>1</v>
      </c>
      <c r="M22" s="44">
        <f t="shared" ref="M22:M52" si="0">ROUND(IF(L22=0,0,L22*G22),2)</f>
        <v>19.47</v>
      </c>
      <c r="N22" s="117">
        <f t="shared" ref="N22:N53" si="1">VLOOKUP(J22,$G$4:$H$12,2,FALSE)</f>
        <v>0</v>
      </c>
      <c r="O22" s="44">
        <f ca="1">IF('SVS GrundRG'!H61="",0,'SVS GrundRG'!H61)</f>
        <v>0</v>
      </c>
      <c r="P22" s="44">
        <f t="shared" ref="P22:P52" si="2">ROUND(IF(N22=0,0,M22/N22),2)</f>
        <v>0</v>
      </c>
      <c r="Q22" s="44">
        <f t="shared" ref="Q22:Q52" si="3">ROUND(IF(P22=0,0,P22*O22),2)</f>
        <v>0</v>
      </c>
      <c r="R22" s="44">
        <f t="shared" ref="R22:R52" si="4">ROUND(IF(P22=0,0,Q22/L22),2)</f>
        <v>0</v>
      </c>
      <c r="S22" s="3" t="str">
        <f t="shared" ref="S22:S52" si="5">IF(M22=0,"",IF(N22=0,"Leistungswert eintragen",IF(O22=0,"SVS prüfen","")))</f>
        <v>Leistungswert eintragen</v>
      </c>
      <c r="U22" s="3">
        <f t="shared" ref="U22:U52" si="6">VLOOKUP(J22,$U$4:$V$13,2,FALSE)</f>
        <v>8.5</v>
      </c>
      <c r="V22" s="3">
        <f t="shared" ref="V22:V52" si="7">U22*30%</f>
        <v>2.5499999999999998</v>
      </c>
      <c r="W22" s="3">
        <f t="shared" ref="W22:W52" si="8">SUM(U22:V22)</f>
        <v>11.05</v>
      </c>
      <c r="X22" s="3" t="str">
        <f t="shared" ref="X22:X52" si="9">IF(N22=0,"",IF(W22&lt;N22,1,IF(W22&gt;=N22,0,"")))</f>
        <v/>
      </c>
    </row>
    <row r="23" spans="1:24" ht="15" customHeight="1" x14ac:dyDescent="0.2">
      <c r="A23" s="100">
        <v>2</v>
      </c>
      <c r="B23" s="115" t="s">
        <v>209</v>
      </c>
      <c r="C23" s="116" t="s">
        <v>206</v>
      </c>
      <c r="D23" s="116"/>
      <c r="E23" s="116" t="s">
        <v>210</v>
      </c>
      <c r="F23" s="116" t="s">
        <v>211</v>
      </c>
      <c r="G23" s="59">
        <v>40.25</v>
      </c>
      <c r="H23" s="59"/>
      <c r="I23" s="59"/>
      <c r="J23" s="100" t="s">
        <v>309</v>
      </c>
      <c r="K23" s="100" t="s">
        <v>148</v>
      </c>
      <c r="L23" s="44">
        <f>VLOOKUP(K23,Reinigungstage!A10:C31,3,FALSE)</f>
        <v>1</v>
      </c>
      <c r="M23" s="44">
        <f t="shared" si="0"/>
        <v>40.25</v>
      </c>
      <c r="N23" s="117">
        <f t="shared" si="1"/>
        <v>0</v>
      </c>
      <c r="O23" s="44">
        <f ca="1">IF('SVS GrundRG'!H61="",0,'SVS GrundRG'!H61)</f>
        <v>0</v>
      </c>
      <c r="P23" s="44">
        <f t="shared" si="2"/>
        <v>0</v>
      </c>
      <c r="Q23" s="44">
        <f t="shared" si="3"/>
        <v>0</v>
      </c>
      <c r="R23" s="44">
        <f t="shared" si="4"/>
        <v>0</v>
      </c>
      <c r="S23" s="3" t="str">
        <f t="shared" si="5"/>
        <v>Leistungswert eintragen</v>
      </c>
      <c r="U23" s="3">
        <f t="shared" si="6"/>
        <v>15</v>
      </c>
      <c r="V23" s="3">
        <f t="shared" si="7"/>
        <v>4.5</v>
      </c>
      <c r="W23" s="3">
        <f t="shared" si="8"/>
        <v>19.5</v>
      </c>
      <c r="X23" s="3" t="str">
        <f t="shared" si="9"/>
        <v/>
      </c>
    </row>
    <row r="24" spans="1:24" ht="15" customHeight="1" x14ac:dyDescent="0.2">
      <c r="A24" s="100">
        <v>3</v>
      </c>
      <c r="B24" s="115" t="s">
        <v>212</v>
      </c>
      <c r="C24" s="116" t="s">
        <v>206</v>
      </c>
      <c r="D24" s="116"/>
      <c r="E24" s="116" t="s">
        <v>210</v>
      </c>
      <c r="F24" s="116" t="s">
        <v>211</v>
      </c>
      <c r="G24" s="59">
        <v>43.4</v>
      </c>
      <c r="H24" s="59"/>
      <c r="I24" s="59"/>
      <c r="J24" s="100" t="s">
        <v>309</v>
      </c>
      <c r="K24" s="100" t="s">
        <v>148</v>
      </c>
      <c r="L24" s="44">
        <f>VLOOKUP(K24,Reinigungstage!A10:C31,3,FALSE)</f>
        <v>1</v>
      </c>
      <c r="M24" s="44">
        <f t="shared" si="0"/>
        <v>43.4</v>
      </c>
      <c r="N24" s="117">
        <f t="shared" si="1"/>
        <v>0</v>
      </c>
      <c r="O24" s="44">
        <f ca="1">IF('SVS GrundRG'!H61="",0,'SVS GrundRG'!H61)</f>
        <v>0</v>
      </c>
      <c r="P24" s="44">
        <f t="shared" si="2"/>
        <v>0</v>
      </c>
      <c r="Q24" s="44">
        <f t="shared" si="3"/>
        <v>0</v>
      </c>
      <c r="R24" s="44">
        <f t="shared" si="4"/>
        <v>0</v>
      </c>
      <c r="S24" s="3" t="str">
        <f t="shared" si="5"/>
        <v>Leistungswert eintragen</v>
      </c>
      <c r="U24" s="3">
        <f t="shared" si="6"/>
        <v>15</v>
      </c>
      <c r="V24" s="3">
        <f t="shared" si="7"/>
        <v>4.5</v>
      </c>
      <c r="W24" s="3">
        <f t="shared" si="8"/>
        <v>19.5</v>
      </c>
      <c r="X24" s="3" t="str">
        <f t="shared" si="9"/>
        <v/>
      </c>
    </row>
    <row r="25" spans="1:24" ht="15" customHeight="1" x14ac:dyDescent="0.2">
      <c r="A25" s="100">
        <v>4</v>
      </c>
      <c r="B25" s="115" t="s">
        <v>213</v>
      </c>
      <c r="C25" s="116" t="s">
        <v>206</v>
      </c>
      <c r="D25" s="116"/>
      <c r="E25" s="116" t="s">
        <v>214</v>
      </c>
      <c r="F25" s="116" t="s">
        <v>211</v>
      </c>
      <c r="G25" s="59">
        <v>12.26</v>
      </c>
      <c r="H25" s="59"/>
      <c r="I25" s="59"/>
      <c r="J25" s="100" t="s">
        <v>310</v>
      </c>
      <c r="K25" s="100" t="s">
        <v>148</v>
      </c>
      <c r="L25" s="44">
        <f>VLOOKUP(K25,Reinigungstage!A10:C31,3,FALSE)</f>
        <v>1</v>
      </c>
      <c r="M25" s="44">
        <f t="shared" si="0"/>
        <v>12.26</v>
      </c>
      <c r="N25" s="117">
        <f t="shared" si="1"/>
        <v>0</v>
      </c>
      <c r="O25" s="44">
        <f ca="1">IF('SVS GrundRG'!H61="",0,'SVS GrundRG'!H61)</f>
        <v>0</v>
      </c>
      <c r="P25" s="44">
        <f t="shared" si="2"/>
        <v>0</v>
      </c>
      <c r="Q25" s="44">
        <f t="shared" si="3"/>
        <v>0</v>
      </c>
      <c r="R25" s="44">
        <f t="shared" si="4"/>
        <v>0</v>
      </c>
      <c r="S25" s="3" t="str">
        <f t="shared" si="5"/>
        <v>Leistungswert eintragen</v>
      </c>
      <c r="U25" s="3">
        <f t="shared" si="6"/>
        <v>24.13</v>
      </c>
      <c r="V25" s="3">
        <f t="shared" si="7"/>
        <v>7.238999999999999</v>
      </c>
      <c r="W25" s="3">
        <f t="shared" si="8"/>
        <v>31.369</v>
      </c>
      <c r="X25" s="3" t="str">
        <f t="shared" si="9"/>
        <v/>
      </c>
    </row>
    <row r="26" spans="1:24" ht="15" customHeight="1" x14ac:dyDescent="0.2">
      <c r="A26" s="100">
        <v>5</v>
      </c>
      <c r="B26" s="115" t="s">
        <v>215</v>
      </c>
      <c r="C26" s="116" t="s">
        <v>206</v>
      </c>
      <c r="D26" s="116"/>
      <c r="E26" s="116" t="s">
        <v>216</v>
      </c>
      <c r="F26" s="116" t="s">
        <v>211</v>
      </c>
      <c r="G26" s="59">
        <v>12.49</v>
      </c>
      <c r="H26" s="59"/>
      <c r="I26" s="59"/>
      <c r="J26" s="100" t="s">
        <v>311</v>
      </c>
      <c r="K26" s="100" t="s">
        <v>148</v>
      </c>
      <c r="L26" s="44">
        <f>VLOOKUP(K26,Reinigungstage!A10:C31,3,FALSE)</f>
        <v>1</v>
      </c>
      <c r="M26" s="44">
        <f t="shared" si="0"/>
        <v>12.49</v>
      </c>
      <c r="N26" s="117">
        <f t="shared" si="1"/>
        <v>0</v>
      </c>
      <c r="O26" s="44">
        <f ca="1">IF('SVS GrundRG'!H61="",0,'SVS GrundRG'!H61)</f>
        <v>0</v>
      </c>
      <c r="P26" s="44">
        <f t="shared" si="2"/>
        <v>0</v>
      </c>
      <c r="Q26" s="44">
        <f t="shared" si="3"/>
        <v>0</v>
      </c>
      <c r="R26" s="44">
        <f t="shared" si="4"/>
        <v>0</v>
      </c>
      <c r="S26" s="3" t="str">
        <f t="shared" si="5"/>
        <v>Leistungswert eintragen</v>
      </c>
      <c r="U26" s="3">
        <f t="shared" si="6"/>
        <v>17.125</v>
      </c>
      <c r="V26" s="3">
        <f t="shared" si="7"/>
        <v>5.1375000000000002</v>
      </c>
      <c r="W26" s="3">
        <f t="shared" si="8"/>
        <v>22.262499999999999</v>
      </c>
      <c r="X26" s="3" t="str">
        <f t="shared" si="9"/>
        <v/>
      </c>
    </row>
    <row r="27" spans="1:24" ht="15" customHeight="1" x14ac:dyDescent="0.2">
      <c r="A27" s="100">
        <v>6</v>
      </c>
      <c r="B27" s="115" t="s">
        <v>217</v>
      </c>
      <c r="C27" s="116" t="s">
        <v>206</v>
      </c>
      <c r="D27" s="116">
        <v>1</v>
      </c>
      <c r="E27" s="116" t="s">
        <v>218</v>
      </c>
      <c r="F27" s="116" t="s">
        <v>211</v>
      </c>
      <c r="G27" s="59">
        <v>37.159999999999997</v>
      </c>
      <c r="H27" s="59"/>
      <c r="I27" s="59"/>
      <c r="J27" s="100" t="s">
        <v>312</v>
      </c>
      <c r="K27" s="100" t="s">
        <v>148</v>
      </c>
      <c r="L27" s="44">
        <f>VLOOKUP(K27,Reinigungstage!A10:C31,3,FALSE)</f>
        <v>1</v>
      </c>
      <c r="M27" s="44">
        <f t="shared" si="0"/>
        <v>37.159999999999997</v>
      </c>
      <c r="N27" s="117">
        <f t="shared" si="1"/>
        <v>0</v>
      </c>
      <c r="O27" s="44">
        <f ca="1">IF('SVS GrundRG'!H61="",0,'SVS GrundRG'!H61)</f>
        <v>0</v>
      </c>
      <c r="P27" s="44">
        <f t="shared" si="2"/>
        <v>0</v>
      </c>
      <c r="Q27" s="44">
        <f t="shared" si="3"/>
        <v>0</v>
      </c>
      <c r="R27" s="44">
        <f t="shared" si="4"/>
        <v>0</v>
      </c>
      <c r="S27" s="3" t="str">
        <f t="shared" si="5"/>
        <v>Leistungswert eintragen</v>
      </c>
      <c r="U27" s="3">
        <f t="shared" si="6"/>
        <v>15</v>
      </c>
      <c r="V27" s="3">
        <f t="shared" si="7"/>
        <v>4.5</v>
      </c>
      <c r="W27" s="3">
        <f t="shared" si="8"/>
        <v>19.5</v>
      </c>
      <c r="X27" s="3" t="str">
        <f t="shared" si="9"/>
        <v/>
      </c>
    </row>
    <row r="28" spans="1:24" ht="15" customHeight="1" x14ac:dyDescent="0.2">
      <c r="A28" s="100">
        <v>7</v>
      </c>
      <c r="B28" s="115" t="s">
        <v>221</v>
      </c>
      <c r="C28" s="116" t="s">
        <v>206</v>
      </c>
      <c r="D28" s="116"/>
      <c r="E28" s="116" t="s">
        <v>222</v>
      </c>
      <c r="F28" s="116" t="s">
        <v>208</v>
      </c>
      <c r="G28" s="59">
        <v>7.54</v>
      </c>
      <c r="H28" s="59"/>
      <c r="I28" s="59"/>
      <c r="J28" s="100" t="s">
        <v>207</v>
      </c>
      <c r="K28" s="100" t="s">
        <v>148</v>
      </c>
      <c r="L28" s="44">
        <f>VLOOKUP(K28,Reinigungstage!A10:C31,3,FALSE)</f>
        <v>1</v>
      </c>
      <c r="M28" s="44">
        <f t="shared" si="0"/>
        <v>7.54</v>
      </c>
      <c r="N28" s="117">
        <f t="shared" si="1"/>
        <v>0</v>
      </c>
      <c r="O28" s="44">
        <f ca="1">IF('SVS GrundRG'!H61="",0,'SVS GrundRG'!H61)</f>
        <v>0</v>
      </c>
      <c r="P28" s="44">
        <f t="shared" si="2"/>
        <v>0</v>
      </c>
      <c r="Q28" s="44">
        <f t="shared" si="3"/>
        <v>0</v>
      </c>
      <c r="R28" s="44">
        <f t="shared" si="4"/>
        <v>0</v>
      </c>
      <c r="S28" s="3" t="str">
        <f t="shared" si="5"/>
        <v>Leistungswert eintragen</v>
      </c>
      <c r="U28" s="3">
        <f t="shared" si="6"/>
        <v>8.5</v>
      </c>
      <c r="V28" s="3">
        <f t="shared" si="7"/>
        <v>2.5499999999999998</v>
      </c>
      <c r="W28" s="3">
        <f t="shared" si="8"/>
        <v>11.05</v>
      </c>
      <c r="X28" s="3" t="str">
        <f t="shared" si="9"/>
        <v/>
      </c>
    </row>
    <row r="29" spans="1:24" ht="15" customHeight="1" x14ac:dyDescent="0.2">
      <c r="A29" s="100">
        <v>8</v>
      </c>
      <c r="B29" s="115" t="s">
        <v>7</v>
      </c>
      <c r="C29" s="116" t="s">
        <v>206</v>
      </c>
      <c r="D29" s="116"/>
      <c r="E29" s="116" t="s">
        <v>223</v>
      </c>
      <c r="F29" s="116" t="s">
        <v>211</v>
      </c>
      <c r="G29" s="59">
        <v>21.98</v>
      </c>
      <c r="H29" s="59"/>
      <c r="I29" s="59"/>
      <c r="J29" s="100" t="s">
        <v>310</v>
      </c>
      <c r="K29" s="100" t="s">
        <v>148</v>
      </c>
      <c r="L29" s="44">
        <f>VLOOKUP(K29,Reinigungstage!A10:C31,3,FALSE)</f>
        <v>1</v>
      </c>
      <c r="M29" s="44">
        <f t="shared" si="0"/>
        <v>21.98</v>
      </c>
      <c r="N29" s="117">
        <f t="shared" si="1"/>
        <v>0</v>
      </c>
      <c r="O29" s="44">
        <f ca="1">IF('SVS GrundRG'!H61="",0,'SVS GrundRG'!H61)</f>
        <v>0</v>
      </c>
      <c r="P29" s="44">
        <f t="shared" si="2"/>
        <v>0</v>
      </c>
      <c r="Q29" s="44">
        <f t="shared" si="3"/>
        <v>0</v>
      </c>
      <c r="R29" s="44">
        <f t="shared" si="4"/>
        <v>0</v>
      </c>
      <c r="S29" s="3" t="str">
        <f t="shared" si="5"/>
        <v>Leistungswert eintragen</v>
      </c>
      <c r="U29" s="3">
        <f t="shared" si="6"/>
        <v>24.13</v>
      </c>
      <c r="V29" s="3">
        <f t="shared" si="7"/>
        <v>7.238999999999999</v>
      </c>
      <c r="W29" s="3">
        <f t="shared" si="8"/>
        <v>31.369</v>
      </c>
      <c r="X29" s="3" t="str">
        <f t="shared" si="9"/>
        <v/>
      </c>
    </row>
    <row r="30" spans="1:24" ht="15" customHeight="1" x14ac:dyDescent="0.2">
      <c r="A30" s="100">
        <v>9</v>
      </c>
      <c r="B30" s="115" t="s">
        <v>9</v>
      </c>
      <c r="C30" s="116" t="s">
        <v>206</v>
      </c>
      <c r="D30" s="116"/>
      <c r="E30" s="116" t="s">
        <v>224</v>
      </c>
      <c r="F30" s="116" t="s">
        <v>211</v>
      </c>
      <c r="G30" s="59">
        <v>7.63</v>
      </c>
      <c r="H30" s="59"/>
      <c r="I30" s="59"/>
      <c r="J30" s="100" t="s">
        <v>314</v>
      </c>
      <c r="K30" s="100" t="s">
        <v>148</v>
      </c>
      <c r="L30" s="44">
        <f>VLOOKUP(K30,Reinigungstage!A10:C31,3,FALSE)</f>
        <v>1</v>
      </c>
      <c r="M30" s="44">
        <f t="shared" si="0"/>
        <v>7.63</v>
      </c>
      <c r="N30" s="117">
        <f t="shared" si="1"/>
        <v>0</v>
      </c>
      <c r="O30" s="44">
        <f ca="1">IF('SVS GrundRG'!H61="",0,'SVS GrundRG'!H61)</f>
        <v>0</v>
      </c>
      <c r="P30" s="44">
        <f t="shared" si="2"/>
        <v>0</v>
      </c>
      <c r="Q30" s="44">
        <f t="shared" si="3"/>
        <v>0</v>
      </c>
      <c r="R30" s="44">
        <f t="shared" si="4"/>
        <v>0</v>
      </c>
      <c r="S30" s="3" t="str">
        <f t="shared" si="5"/>
        <v>Leistungswert eintragen</v>
      </c>
      <c r="U30" s="3">
        <f t="shared" si="6"/>
        <v>13.25</v>
      </c>
      <c r="V30" s="3">
        <f t="shared" si="7"/>
        <v>3.9749999999999996</v>
      </c>
      <c r="W30" s="3">
        <f t="shared" si="8"/>
        <v>17.225000000000001</v>
      </c>
      <c r="X30" s="3" t="str">
        <f t="shared" si="9"/>
        <v/>
      </c>
    </row>
    <row r="31" spans="1:24" ht="15" customHeight="1" x14ac:dyDescent="0.2">
      <c r="A31" s="100">
        <v>10</v>
      </c>
      <c r="B31" s="115" t="s">
        <v>11</v>
      </c>
      <c r="C31" s="116" t="s">
        <v>206</v>
      </c>
      <c r="D31" s="116"/>
      <c r="E31" s="116" t="s">
        <v>225</v>
      </c>
      <c r="F31" s="116" t="s">
        <v>211</v>
      </c>
      <c r="G31" s="59">
        <v>5.1100000000000003</v>
      </c>
      <c r="H31" s="59"/>
      <c r="I31" s="59"/>
      <c r="J31" s="100" t="s">
        <v>309</v>
      </c>
      <c r="K31" s="100" t="s">
        <v>148</v>
      </c>
      <c r="L31" s="44">
        <f>VLOOKUP(K31,Reinigungstage!A10:C31,3,FALSE)</f>
        <v>1</v>
      </c>
      <c r="M31" s="44">
        <f t="shared" si="0"/>
        <v>5.1100000000000003</v>
      </c>
      <c r="N31" s="117">
        <f t="shared" si="1"/>
        <v>0</v>
      </c>
      <c r="O31" s="44">
        <f ca="1">IF('SVS GrundRG'!H61="",0,'SVS GrundRG'!H61)</f>
        <v>0</v>
      </c>
      <c r="P31" s="44">
        <f t="shared" si="2"/>
        <v>0</v>
      </c>
      <c r="Q31" s="44">
        <f t="shared" si="3"/>
        <v>0</v>
      </c>
      <c r="R31" s="44">
        <f t="shared" si="4"/>
        <v>0</v>
      </c>
      <c r="S31" s="3" t="str">
        <f t="shared" si="5"/>
        <v>Leistungswert eintragen</v>
      </c>
      <c r="U31" s="3">
        <f t="shared" si="6"/>
        <v>15</v>
      </c>
      <c r="V31" s="3">
        <f t="shared" si="7"/>
        <v>4.5</v>
      </c>
      <c r="W31" s="3">
        <f t="shared" si="8"/>
        <v>19.5</v>
      </c>
      <c r="X31" s="3" t="str">
        <f t="shared" si="9"/>
        <v/>
      </c>
    </row>
    <row r="32" spans="1:24" ht="15" customHeight="1" x14ac:dyDescent="0.2">
      <c r="A32" s="100">
        <v>11</v>
      </c>
      <c r="B32" s="115" t="s">
        <v>13</v>
      </c>
      <c r="C32" s="116" t="s">
        <v>206</v>
      </c>
      <c r="D32" s="116"/>
      <c r="E32" s="116" t="s">
        <v>210</v>
      </c>
      <c r="F32" s="116" t="s">
        <v>211</v>
      </c>
      <c r="G32" s="59">
        <v>41.1</v>
      </c>
      <c r="H32" s="59"/>
      <c r="I32" s="59"/>
      <c r="J32" s="100" t="s">
        <v>309</v>
      </c>
      <c r="K32" s="100" t="s">
        <v>148</v>
      </c>
      <c r="L32" s="44">
        <f>VLOOKUP(K32,Reinigungstage!A10:C31,3,FALSE)</f>
        <v>1</v>
      </c>
      <c r="M32" s="44">
        <f t="shared" si="0"/>
        <v>41.1</v>
      </c>
      <c r="N32" s="117">
        <f t="shared" si="1"/>
        <v>0</v>
      </c>
      <c r="O32" s="44">
        <f ca="1">IF('SVS GrundRG'!H61="",0,'SVS GrundRG'!H61)</f>
        <v>0</v>
      </c>
      <c r="P32" s="44">
        <f t="shared" si="2"/>
        <v>0</v>
      </c>
      <c r="Q32" s="44">
        <f t="shared" si="3"/>
        <v>0</v>
      </c>
      <c r="R32" s="44">
        <f t="shared" si="4"/>
        <v>0</v>
      </c>
      <c r="S32" s="3" t="str">
        <f t="shared" si="5"/>
        <v>Leistungswert eintragen</v>
      </c>
      <c r="U32" s="3">
        <f t="shared" si="6"/>
        <v>15</v>
      </c>
      <c r="V32" s="3">
        <f t="shared" si="7"/>
        <v>4.5</v>
      </c>
      <c r="W32" s="3">
        <f t="shared" si="8"/>
        <v>19.5</v>
      </c>
      <c r="X32" s="3" t="str">
        <f t="shared" si="9"/>
        <v/>
      </c>
    </row>
    <row r="33" spans="1:24" ht="15" customHeight="1" x14ac:dyDescent="0.2">
      <c r="A33" s="100">
        <v>12</v>
      </c>
      <c r="B33" s="115" t="s">
        <v>15</v>
      </c>
      <c r="C33" s="116" t="s">
        <v>206</v>
      </c>
      <c r="D33" s="116"/>
      <c r="E33" s="116" t="s">
        <v>210</v>
      </c>
      <c r="F33" s="116" t="s">
        <v>211</v>
      </c>
      <c r="G33" s="59">
        <v>40.46</v>
      </c>
      <c r="H33" s="59"/>
      <c r="I33" s="59"/>
      <c r="J33" s="100" t="s">
        <v>309</v>
      </c>
      <c r="K33" s="100" t="s">
        <v>148</v>
      </c>
      <c r="L33" s="44">
        <f>VLOOKUP(K33,Reinigungstage!A10:C31,3,FALSE)</f>
        <v>1</v>
      </c>
      <c r="M33" s="44">
        <f t="shared" si="0"/>
        <v>40.46</v>
      </c>
      <c r="N33" s="117">
        <f t="shared" si="1"/>
        <v>0</v>
      </c>
      <c r="O33" s="44">
        <f ca="1">IF('SVS GrundRG'!H61="",0,'SVS GrundRG'!H61)</f>
        <v>0</v>
      </c>
      <c r="P33" s="44">
        <f t="shared" si="2"/>
        <v>0</v>
      </c>
      <c r="Q33" s="44">
        <f t="shared" si="3"/>
        <v>0</v>
      </c>
      <c r="R33" s="44">
        <f t="shared" si="4"/>
        <v>0</v>
      </c>
      <c r="S33" s="3" t="str">
        <f t="shared" si="5"/>
        <v>Leistungswert eintragen</v>
      </c>
      <c r="U33" s="3">
        <f t="shared" si="6"/>
        <v>15</v>
      </c>
      <c r="V33" s="3">
        <f t="shared" si="7"/>
        <v>4.5</v>
      </c>
      <c r="W33" s="3">
        <f t="shared" si="8"/>
        <v>19.5</v>
      </c>
      <c r="X33" s="3" t="str">
        <f t="shared" si="9"/>
        <v/>
      </c>
    </row>
    <row r="34" spans="1:24" ht="15" customHeight="1" x14ac:dyDescent="0.2">
      <c r="A34" s="100">
        <v>13</v>
      </c>
      <c r="B34" s="115" t="s">
        <v>17</v>
      </c>
      <c r="C34" s="116" t="s">
        <v>206</v>
      </c>
      <c r="D34" s="116"/>
      <c r="E34" s="116" t="s">
        <v>226</v>
      </c>
      <c r="F34" s="116" t="s">
        <v>208</v>
      </c>
      <c r="G34" s="59">
        <v>7.16</v>
      </c>
      <c r="H34" s="59"/>
      <c r="I34" s="59"/>
      <c r="J34" s="100" t="s">
        <v>207</v>
      </c>
      <c r="K34" s="100" t="s">
        <v>148</v>
      </c>
      <c r="L34" s="44">
        <f>VLOOKUP(K34,Reinigungstage!A10:C31,3,FALSE)</f>
        <v>1</v>
      </c>
      <c r="M34" s="44">
        <f t="shared" si="0"/>
        <v>7.16</v>
      </c>
      <c r="N34" s="117">
        <f t="shared" si="1"/>
        <v>0</v>
      </c>
      <c r="O34" s="44">
        <f ca="1">IF('SVS GrundRG'!H61="",0,'SVS GrundRG'!H61)</f>
        <v>0</v>
      </c>
      <c r="P34" s="44">
        <f t="shared" si="2"/>
        <v>0</v>
      </c>
      <c r="Q34" s="44">
        <f t="shared" si="3"/>
        <v>0</v>
      </c>
      <c r="R34" s="44">
        <f t="shared" si="4"/>
        <v>0</v>
      </c>
      <c r="S34" s="3" t="str">
        <f t="shared" si="5"/>
        <v>Leistungswert eintragen</v>
      </c>
      <c r="U34" s="3">
        <f t="shared" si="6"/>
        <v>8.5</v>
      </c>
      <c r="V34" s="3">
        <f t="shared" si="7"/>
        <v>2.5499999999999998</v>
      </c>
      <c r="W34" s="3">
        <f t="shared" si="8"/>
        <v>11.05</v>
      </c>
      <c r="X34" s="3" t="str">
        <f t="shared" si="9"/>
        <v/>
      </c>
    </row>
    <row r="35" spans="1:24" ht="15" customHeight="1" x14ac:dyDescent="0.2">
      <c r="A35" s="100">
        <v>14</v>
      </c>
      <c r="B35" s="115" t="s">
        <v>227</v>
      </c>
      <c r="C35" s="116" t="s">
        <v>206</v>
      </c>
      <c r="D35" s="116"/>
      <c r="E35" s="116" t="s">
        <v>228</v>
      </c>
      <c r="F35" s="116" t="s">
        <v>208</v>
      </c>
      <c r="G35" s="59">
        <v>4.79</v>
      </c>
      <c r="H35" s="59"/>
      <c r="I35" s="59"/>
      <c r="J35" s="100" t="s">
        <v>207</v>
      </c>
      <c r="K35" s="100" t="s">
        <v>148</v>
      </c>
      <c r="L35" s="44">
        <f>VLOOKUP(K35,Reinigungstage!A10:C31,3,FALSE)</f>
        <v>1</v>
      </c>
      <c r="M35" s="44">
        <f t="shared" si="0"/>
        <v>4.79</v>
      </c>
      <c r="N35" s="117">
        <f t="shared" si="1"/>
        <v>0</v>
      </c>
      <c r="O35" s="44">
        <f ca="1">IF('SVS GrundRG'!H61="",0,'SVS GrundRG'!H61)</f>
        <v>0</v>
      </c>
      <c r="P35" s="44">
        <f t="shared" si="2"/>
        <v>0</v>
      </c>
      <c r="Q35" s="44">
        <f t="shared" si="3"/>
        <v>0</v>
      </c>
      <c r="R35" s="44">
        <f t="shared" si="4"/>
        <v>0</v>
      </c>
      <c r="S35" s="3" t="str">
        <f t="shared" si="5"/>
        <v>Leistungswert eintragen</v>
      </c>
      <c r="U35" s="3">
        <f t="shared" si="6"/>
        <v>8.5</v>
      </c>
      <c r="V35" s="3">
        <f t="shared" si="7"/>
        <v>2.5499999999999998</v>
      </c>
      <c r="W35" s="3">
        <f t="shared" si="8"/>
        <v>11.05</v>
      </c>
      <c r="X35" s="3" t="str">
        <f t="shared" si="9"/>
        <v/>
      </c>
    </row>
    <row r="36" spans="1:24" ht="15" customHeight="1" x14ac:dyDescent="0.2">
      <c r="A36" s="100">
        <v>15</v>
      </c>
      <c r="B36" s="115" t="s">
        <v>229</v>
      </c>
      <c r="C36" s="116" t="s">
        <v>206</v>
      </c>
      <c r="D36" s="116"/>
      <c r="E36" s="116" t="s">
        <v>230</v>
      </c>
      <c r="F36" s="116" t="s">
        <v>208</v>
      </c>
      <c r="G36" s="59">
        <v>4.7300000000000004</v>
      </c>
      <c r="H36" s="59"/>
      <c r="I36" s="59"/>
      <c r="J36" s="100" t="s">
        <v>207</v>
      </c>
      <c r="K36" s="100" t="s">
        <v>148</v>
      </c>
      <c r="L36" s="44">
        <f>VLOOKUP(K36,Reinigungstage!A10:C31,3,FALSE)</f>
        <v>1</v>
      </c>
      <c r="M36" s="44">
        <f t="shared" si="0"/>
        <v>4.7300000000000004</v>
      </c>
      <c r="N36" s="117">
        <f t="shared" si="1"/>
        <v>0</v>
      </c>
      <c r="O36" s="44">
        <f ca="1">IF('SVS GrundRG'!H61="",0,'SVS GrundRG'!H61)</f>
        <v>0</v>
      </c>
      <c r="P36" s="44">
        <f t="shared" si="2"/>
        <v>0</v>
      </c>
      <c r="Q36" s="44">
        <f t="shared" si="3"/>
        <v>0</v>
      </c>
      <c r="R36" s="44">
        <f t="shared" si="4"/>
        <v>0</v>
      </c>
      <c r="S36" s="3" t="str">
        <f t="shared" si="5"/>
        <v>Leistungswert eintragen</v>
      </c>
      <c r="U36" s="3">
        <f t="shared" si="6"/>
        <v>8.5</v>
      </c>
      <c r="V36" s="3">
        <f t="shared" si="7"/>
        <v>2.5499999999999998</v>
      </c>
      <c r="W36" s="3">
        <f t="shared" si="8"/>
        <v>11.05</v>
      </c>
      <c r="X36" s="3" t="str">
        <f t="shared" si="9"/>
        <v/>
      </c>
    </row>
    <row r="37" spans="1:24" ht="15" customHeight="1" x14ac:dyDescent="0.2">
      <c r="A37" s="100">
        <v>16</v>
      </c>
      <c r="B37" s="115" t="s">
        <v>231</v>
      </c>
      <c r="C37" s="116" t="s">
        <v>206</v>
      </c>
      <c r="D37" s="116"/>
      <c r="E37" s="116" t="s">
        <v>232</v>
      </c>
      <c r="F37" s="116" t="s">
        <v>208</v>
      </c>
      <c r="G37" s="59">
        <v>7.52</v>
      </c>
      <c r="H37" s="59"/>
      <c r="I37" s="59"/>
      <c r="J37" s="100" t="s">
        <v>207</v>
      </c>
      <c r="K37" s="100" t="s">
        <v>148</v>
      </c>
      <c r="L37" s="44">
        <f>VLOOKUP(K37,Reinigungstage!A10:C31,3,FALSE)</f>
        <v>1</v>
      </c>
      <c r="M37" s="44">
        <f t="shared" si="0"/>
        <v>7.52</v>
      </c>
      <c r="N37" s="117">
        <f t="shared" si="1"/>
        <v>0</v>
      </c>
      <c r="O37" s="44">
        <f ca="1">IF('SVS GrundRG'!H61="",0,'SVS GrundRG'!H61)</f>
        <v>0</v>
      </c>
      <c r="P37" s="44">
        <f t="shared" si="2"/>
        <v>0</v>
      </c>
      <c r="Q37" s="44">
        <f t="shared" si="3"/>
        <v>0</v>
      </c>
      <c r="R37" s="44">
        <f t="shared" si="4"/>
        <v>0</v>
      </c>
      <c r="S37" s="3" t="str">
        <f t="shared" si="5"/>
        <v>Leistungswert eintragen</v>
      </c>
      <c r="U37" s="3">
        <f t="shared" si="6"/>
        <v>8.5</v>
      </c>
      <c r="V37" s="3">
        <f t="shared" si="7"/>
        <v>2.5499999999999998</v>
      </c>
      <c r="W37" s="3">
        <f t="shared" si="8"/>
        <v>11.05</v>
      </c>
      <c r="X37" s="3" t="str">
        <f t="shared" si="9"/>
        <v/>
      </c>
    </row>
    <row r="38" spans="1:24" ht="15" customHeight="1" x14ac:dyDescent="0.2">
      <c r="A38" s="100">
        <v>17</v>
      </c>
      <c r="B38" s="115" t="s">
        <v>233</v>
      </c>
      <c r="C38" s="116" t="s">
        <v>206</v>
      </c>
      <c r="D38" s="116"/>
      <c r="E38" s="116" t="s">
        <v>210</v>
      </c>
      <c r="F38" s="116" t="s">
        <v>211</v>
      </c>
      <c r="G38" s="59">
        <v>40.46</v>
      </c>
      <c r="H38" s="59"/>
      <c r="I38" s="59"/>
      <c r="J38" s="100" t="s">
        <v>309</v>
      </c>
      <c r="K38" s="100" t="s">
        <v>148</v>
      </c>
      <c r="L38" s="44">
        <f>VLOOKUP(K38,Reinigungstage!A10:C31,3,FALSE)</f>
        <v>1</v>
      </c>
      <c r="M38" s="44">
        <f t="shared" si="0"/>
        <v>40.46</v>
      </c>
      <c r="N38" s="117">
        <f t="shared" si="1"/>
        <v>0</v>
      </c>
      <c r="O38" s="44">
        <f ca="1">IF('SVS GrundRG'!H61="",0,'SVS GrundRG'!H61)</f>
        <v>0</v>
      </c>
      <c r="P38" s="44">
        <f t="shared" si="2"/>
        <v>0</v>
      </c>
      <c r="Q38" s="44">
        <f t="shared" si="3"/>
        <v>0</v>
      </c>
      <c r="R38" s="44">
        <f t="shared" si="4"/>
        <v>0</v>
      </c>
      <c r="S38" s="3" t="str">
        <f t="shared" si="5"/>
        <v>Leistungswert eintragen</v>
      </c>
      <c r="U38" s="3">
        <f t="shared" si="6"/>
        <v>15</v>
      </c>
      <c r="V38" s="3">
        <f t="shared" si="7"/>
        <v>4.5</v>
      </c>
      <c r="W38" s="3">
        <f t="shared" si="8"/>
        <v>19.5</v>
      </c>
      <c r="X38" s="3" t="str">
        <f t="shared" si="9"/>
        <v/>
      </c>
    </row>
    <row r="39" spans="1:24" ht="15" customHeight="1" x14ac:dyDescent="0.2">
      <c r="A39" s="100">
        <v>18</v>
      </c>
      <c r="B39" s="115" t="s">
        <v>20</v>
      </c>
      <c r="C39" s="116" t="s">
        <v>206</v>
      </c>
      <c r="D39" s="116"/>
      <c r="E39" s="116" t="s">
        <v>210</v>
      </c>
      <c r="F39" s="116" t="s">
        <v>211</v>
      </c>
      <c r="G39" s="59">
        <v>40.46</v>
      </c>
      <c r="H39" s="59"/>
      <c r="I39" s="59"/>
      <c r="J39" s="100" t="s">
        <v>309</v>
      </c>
      <c r="K39" s="100" t="s">
        <v>148</v>
      </c>
      <c r="L39" s="44">
        <f>VLOOKUP(K39,Reinigungstage!A10:C31,3,FALSE)</f>
        <v>1</v>
      </c>
      <c r="M39" s="44">
        <f t="shared" si="0"/>
        <v>40.46</v>
      </c>
      <c r="N39" s="117">
        <f t="shared" si="1"/>
        <v>0</v>
      </c>
      <c r="O39" s="44">
        <f ca="1">IF('SVS GrundRG'!H61="",0,'SVS GrundRG'!H61)</f>
        <v>0</v>
      </c>
      <c r="P39" s="44">
        <f t="shared" si="2"/>
        <v>0</v>
      </c>
      <c r="Q39" s="44">
        <f t="shared" si="3"/>
        <v>0</v>
      </c>
      <c r="R39" s="44">
        <f t="shared" si="4"/>
        <v>0</v>
      </c>
      <c r="S39" s="3" t="str">
        <f t="shared" si="5"/>
        <v>Leistungswert eintragen</v>
      </c>
      <c r="U39" s="3">
        <f t="shared" si="6"/>
        <v>15</v>
      </c>
      <c r="V39" s="3">
        <f t="shared" si="7"/>
        <v>4.5</v>
      </c>
      <c r="W39" s="3">
        <f t="shared" si="8"/>
        <v>19.5</v>
      </c>
      <c r="X39" s="3" t="str">
        <f t="shared" si="9"/>
        <v/>
      </c>
    </row>
    <row r="40" spans="1:24" ht="15" customHeight="1" x14ac:dyDescent="0.2">
      <c r="A40" s="100">
        <v>19</v>
      </c>
      <c r="B40" s="115" t="s">
        <v>22</v>
      </c>
      <c r="C40" s="116" t="s">
        <v>206</v>
      </c>
      <c r="D40" s="116"/>
      <c r="E40" s="116" t="s">
        <v>214</v>
      </c>
      <c r="F40" s="116" t="s">
        <v>211</v>
      </c>
      <c r="G40" s="59">
        <v>20.76</v>
      </c>
      <c r="H40" s="59"/>
      <c r="I40" s="59"/>
      <c r="J40" s="100" t="s">
        <v>310</v>
      </c>
      <c r="K40" s="100" t="s">
        <v>148</v>
      </c>
      <c r="L40" s="44">
        <f>VLOOKUP(K40,Reinigungstage!A10:C31,3,FALSE)</f>
        <v>1</v>
      </c>
      <c r="M40" s="44">
        <f t="shared" si="0"/>
        <v>20.76</v>
      </c>
      <c r="N40" s="117">
        <f t="shared" si="1"/>
        <v>0</v>
      </c>
      <c r="O40" s="44">
        <f ca="1">IF('SVS GrundRG'!H61="",0,'SVS GrundRG'!H61)</f>
        <v>0</v>
      </c>
      <c r="P40" s="44">
        <f t="shared" si="2"/>
        <v>0</v>
      </c>
      <c r="Q40" s="44">
        <f t="shared" si="3"/>
        <v>0</v>
      </c>
      <c r="R40" s="44">
        <f t="shared" si="4"/>
        <v>0</v>
      </c>
      <c r="S40" s="3" t="str">
        <f t="shared" si="5"/>
        <v>Leistungswert eintragen</v>
      </c>
      <c r="U40" s="3">
        <f t="shared" si="6"/>
        <v>24.13</v>
      </c>
      <c r="V40" s="3">
        <f t="shared" si="7"/>
        <v>7.238999999999999</v>
      </c>
      <c r="W40" s="3">
        <f t="shared" si="8"/>
        <v>31.369</v>
      </c>
      <c r="X40" s="3" t="str">
        <f t="shared" si="9"/>
        <v/>
      </c>
    </row>
    <row r="41" spans="1:24" ht="15" customHeight="1" x14ac:dyDescent="0.2">
      <c r="A41" s="100">
        <v>20</v>
      </c>
      <c r="B41" s="115" t="s">
        <v>24</v>
      </c>
      <c r="C41" s="116" t="s">
        <v>206</v>
      </c>
      <c r="D41" s="116"/>
      <c r="E41" s="116" t="s">
        <v>234</v>
      </c>
      <c r="F41" s="116" t="s">
        <v>208</v>
      </c>
      <c r="G41" s="59">
        <v>2.09</v>
      </c>
      <c r="H41" s="59"/>
      <c r="I41" s="59"/>
      <c r="J41" s="100" t="s">
        <v>207</v>
      </c>
      <c r="K41" s="100" t="s">
        <v>148</v>
      </c>
      <c r="L41" s="44">
        <f>VLOOKUP(K41,Reinigungstage!A10:C31,3,FALSE)</f>
        <v>1</v>
      </c>
      <c r="M41" s="44">
        <f t="shared" si="0"/>
        <v>2.09</v>
      </c>
      <c r="N41" s="117">
        <f t="shared" si="1"/>
        <v>0</v>
      </c>
      <c r="O41" s="44">
        <f ca="1">IF('SVS GrundRG'!H61="",0,'SVS GrundRG'!H61)</f>
        <v>0</v>
      </c>
      <c r="P41" s="44">
        <f t="shared" si="2"/>
        <v>0</v>
      </c>
      <c r="Q41" s="44">
        <f t="shared" si="3"/>
        <v>0</v>
      </c>
      <c r="R41" s="44">
        <f t="shared" si="4"/>
        <v>0</v>
      </c>
      <c r="S41" s="3" t="str">
        <f t="shared" si="5"/>
        <v>Leistungswert eintragen</v>
      </c>
      <c r="U41" s="3">
        <f t="shared" si="6"/>
        <v>8.5</v>
      </c>
      <c r="V41" s="3">
        <f t="shared" si="7"/>
        <v>2.5499999999999998</v>
      </c>
      <c r="W41" s="3">
        <f t="shared" si="8"/>
        <v>11.05</v>
      </c>
      <c r="X41" s="3" t="str">
        <f t="shared" si="9"/>
        <v/>
      </c>
    </row>
    <row r="42" spans="1:24" ht="15" customHeight="1" x14ac:dyDescent="0.2">
      <c r="A42" s="100">
        <v>21</v>
      </c>
      <c r="B42" s="115" t="s">
        <v>26</v>
      </c>
      <c r="C42" s="116" t="s">
        <v>206</v>
      </c>
      <c r="D42" s="116">
        <v>2</v>
      </c>
      <c r="E42" s="116" t="s">
        <v>218</v>
      </c>
      <c r="F42" s="116" t="s">
        <v>211</v>
      </c>
      <c r="G42" s="59">
        <v>37.159999999999997</v>
      </c>
      <c r="H42" s="59"/>
      <c r="I42" s="59"/>
      <c r="J42" s="100" t="s">
        <v>312</v>
      </c>
      <c r="K42" s="100" t="s">
        <v>148</v>
      </c>
      <c r="L42" s="44">
        <f>VLOOKUP(K42,Reinigungstage!A10:C31,3,FALSE)</f>
        <v>1</v>
      </c>
      <c r="M42" s="44">
        <f t="shared" si="0"/>
        <v>37.159999999999997</v>
      </c>
      <c r="N42" s="117">
        <f t="shared" si="1"/>
        <v>0</v>
      </c>
      <c r="O42" s="44">
        <f ca="1">IF('SVS GrundRG'!H61="",0,'SVS GrundRG'!H61)</f>
        <v>0</v>
      </c>
      <c r="P42" s="44">
        <f t="shared" si="2"/>
        <v>0</v>
      </c>
      <c r="Q42" s="44">
        <f t="shared" si="3"/>
        <v>0</v>
      </c>
      <c r="R42" s="44">
        <f t="shared" si="4"/>
        <v>0</v>
      </c>
      <c r="S42" s="3" t="str">
        <f t="shared" si="5"/>
        <v>Leistungswert eintragen</v>
      </c>
      <c r="U42" s="3">
        <f t="shared" si="6"/>
        <v>15</v>
      </c>
      <c r="V42" s="3">
        <f t="shared" si="7"/>
        <v>4.5</v>
      </c>
      <c r="W42" s="3">
        <f t="shared" si="8"/>
        <v>19.5</v>
      </c>
      <c r="X42" s="3" t="str">
        <f t="shared" si="9"/>
        <v/>
      </c>
    </row>
    <row r="43" spans="1:24" ht="15" customHeight="1" x14ac:dyDescent="0.2">
      <c r="A43" s="100">
        <v>22</v>
      </c>
      <c r="B43" s="115" t="s">
        <v>28</v>
      </c>
      <c r="C43" s="116" t="s">
        <v>206</v>
      </c>
      <c r="D43" s="116"/>
      <c r="E43" s="116" t="s">
        <v>235</v>
      </c>
      <c r="F43" s="116" t="s">
        <v>211</v>
      </c>
      <c r="G43" s="59">
        <v>20.88</v>
      </c>
      <c r="H43" s="59"/>
      <c r="I43" s="59"/>
      <c r="J43" s="100" t="s">
        <v>310</v>
      </c>
      <c r="K43" s="100" t="s">
        <v>148</v>
      </c>
      <c r="L43" s="44">
        <f>VLOOKUP(K43,Reinigungstage!A10:C31,3,FALSE)</f>
        <v>1</v>
      </c>
      <c r="M43" s="44">
        <f t="shared" si="0"/>
        <v>20.88</v>
      </c>
      <c r="N43" s="117">
        <f t="shared" si="1"/>
        <v>0</v>
      </c>
      <c r="O43" s="44">
        <f ca="1">IF('SVS GrundRG'!H61="",0,'SVS GrundRG'!H61)</f>
        <v>0</v>
      </c>
      <c r="P43" s="44">
        <f t="shared" si="2"/>
        <v>0</v>
      </c>
      <c r="Q43" s="44">
        <f t="shared" si="3"/>
        <v>0</v>
      </c>
      <c r="R43" s="44">
        <f t="shared" si="4"/>
        <v>0</v>
      </c>
      <c r="S43" s="3" t="str">
        <f t="shared" si="5"/>
        <v>Leistungswert eintragen</v>
      </c>
      <c r="U43" s="3">
        <f t="shared" si="6"/>
        <v>24.13</v>
      </c>
      <c r="V43" s="3">
        <f t="shared" si="7"/>
        <v>7.238999999999999</v>
      </c>
      <c r="W43" s="3">
        <f t="shared" si="8"/>
        <v>31.369</v>
      </c>
      <c r="X43" s="3" t="str">
        <f t="shared" si="9"/>
        <v/>
      </c>
    </row>
    <row r="44" spans="1:24" ht="15" customHeight="1" x14ac:dyDescent="0.2">
      <c r="A44" s="100">
        <v>23</v>
      </c>
      <c r="B44" s="115" t="s">
        <v>236</v>
      </c>
      <c r="C44" s="116" t="s">
        <v>206</v>
      </c>
      <c r="D44" s="116"/>
      <c r="E44" s="116" t="s">
        <v>207</v>
      </c>
      <c r="F44" s="116" t="s">
        <v>208</v>
      </c>
      <c r="G44" s="59">
        <v>19.309999999999999</v>
      </c>
      <c r="H44" s="59"/>
      <c r="I44" s="59"/>
      <c r="J44" s="100" t="s">
        <v>207</v>
      </c>
      <c r="K44" s="100" t="s">
        <v>148</v>
      </c>
      <c r="L44" s="44">
        <f>VLOOKUP(K44,Reinigungstage!A10:C31,3,FALSE)</f>
        <v>1</v>
      </c>
      <c r="M44" s="44">
        <f t="shared" si="0"/>
        <v>19.309999999999999</v>
      </c>
      <c r="N44" s="117">
        <f t="shared" si="1"/>
        <v>0</v>
      </c>
      <c r="O44" s="44">
        <f ca="1">IF('SVS GrundRG'!H61="",0,'SVS GrundRG'!H61)</f>
        <v>0</v>
      </c>
      <c r="P44" s="44">
        <f t="shared" si="2"/>
        <v>0</v>
      </c>
      <c r="Q44" s="44">
        <f t="shared" si="3"/>
        <v>0</v>
      </c>
      <c r="R44" s="44">
        <f t="shared" si="4"/>
        <v>0</v>
      </c>
      <c r="S44" s="3" t="str">
        <f t="shared" si="5"/>
        <v>Leistungswert eintragen</v>
      </c>
      <c r="U44" s="3">
        <f t="shared" si="6"/>
        <v>8.5</v>
      </c>
      <c r="V44" s="3">
        <f t="shared" si="7"/>
        <v>2.5499999999999998</v>
      </c>
      <c r="W44" s="3">
        <f t="shared" si="8"/>
        <v>11.05</v>
      </c>
      <c r="X44" s="3" t="str">
        <f t="shared" si="9"/>
        <v/>
      </c>
    </row>
    <row r="45" spans="1:24" ht="15" customHeight="1" x14ac:dyDescent="0.2">
      <c r="A45" s="100">
        <v>24</v>
      </c>
      <c r="B45" s="115" t="s">
        <v>237</v>
      </c>
      <c r="C45" s="116" t="s">
        <v>206</v>
      </c>
      <c r="D45" s="116"/>
      <c r="E45" s="116" t="s">
        <v>214</v>
      </c>
      <c r="F45" s="116" t="s">
        <v>211</v>
      </c>
      <c r="G45" s="59">
        <v>20.69</v>
      </c>
      <c r="H45" s="59"/>
      <c r="I45" s="59"/>
      <c r="J45" s="100" t="s">
        <v>310</v>
      </c>
      <c r="K45" s="100" t="s">
        <v>148</v>
      </c>
      <c r="L45" s="44">
        <f>VLOOKUP(K45,Reinigungstage!A10:C31,3,FALSE)</f>
        <v>1</v>
      </c>
      <c r="M45" s="44">
        <f t="shared" si="0"/>
        <v>20.69</v>
      </c>
      <c r="N45" s="117">
        <f t="shared" si="1"/>
        <v>0</v>
      </c>
      <c r="O45" s="44">
        <f ca="1">IF('SVS GrundRG'!H61="",0,'SVS GrundRG'!H61)</f>
        <v>0</v>
      </c>
      <c r="P45" s="44">
        <f t="shared" si="2"/>
        <v>0</v>
      </c>
      <c r="Q45" s="44">
        <f t="shared" si="3"/>
        <v>0</v>
      </c>
      <c r="R45" s="44">
        <f t="shared" si="4"/>
        <v>0</v>
      </c>
      <c r="S45" s="3" t="str">
        <f t="shared" si="5"/>
        <v>Leistungswert eintragen</v>
      </c>
      <c r="U45" s="3">
        <f t="shared" si="6"/>
        <v>24.13</v>
      </c>
      <c r="V45" s="3">
        <f t="shared" si="7"/>
        <v>7.238999999999999</v>
      </c>
      <c r="W45" s="3">
        <f t="shared" si="8"/>
        <v>31.369</v>
      </c>
      <c r="X45" s="3" t="str">
        <f t="shared" si="9"/>
        <v/>
      </c>
    </row>
    <row r="46" spans="1:24" ht="15" customHeight="1" x14ac:dyDescent="0.2">
      <c r="A46" s="100">
        <v>25</v>
      </c>
      <c r="B46" s="115" t="s">
        <v>238</v>
      </c>
      <c r="C46" s="116" t="s">
        <v>206</v>
      </c>
      <c r="D46" s="116"/>
      <c r="E46" s="116" t="s">
        <v>210</v>
      </c>
      <c r="F46" s="116" t="s">
        <v>211</v>
      </c>
      <c r="G46" s="59">
        <v>40.46</v>
      </c>
      <c r="H46" s="59"/>
      <c r="I46" s="59"/>
      <c r="J46" s="100" t="s">
        <v>309</v>
      </c>
      <c r="K46" s="100" t="s">
        <v>148</v>
      </c>
      <c r="L46" s="44">
        <f>VLOOKUP(K46,Reinigungstage!A10:C31,3,FALSE)</f>
        <v>1</v>
      </c>
      <c r="M46" s="44">
        <f t="shared" si="0"/>
        <v>40.46</v>
      </c>
      <c r="N46" s="117">
        <f t="shared" si="1"/>
        <v>0</v>
      </c>
      <c r="O46" s="44">
        <f ca="1">IF('SVS GrundRG'!H61="",0,'SVS GrundRG'!H61)</f>
        <v>0</v>
      </c>
      <c r="P46" s="44">
        <f t="shared" si="2"/>
        <v>0</v>
      </c>
      <c r="Q46" s="44">
        <f t="shared" si="3"/>
        <v>0</v>
      </c>
      <c r="R46" s="44">
        <f t="shared" si="4"/>
        <v>0</v>
      </c>
      <c r="S46" s="3" t="str">
        <f t="shared" si="5"/>
        <v>Leistungswert eintragen</v>
      </c>
      <c r="U46" s="3">
        <f t="shared" si="6"/>
        <v>15</v>
      </c>
      <c r="V46" s="3">
        <f t="shared" si="7"/>
        <v>4.5</v>
      </c>
      <c r="W46" s="3">
        <f t="shared" si="8"/>
        <v>19.5</v>
      </c>
      <c r="X46" s="3" t="str">
        <f t="shared" si="9"/>
        <v/>
      </c>
    </row>
    <row r="47" spans="1:24" ht="15" customHeight="1" x14ac:dyDescent="0.2">
      <c r="A47" s="100">
        <v>26</v>
      </c>
      <c r="B47" s="115" t="s">
        <v>32</v>
      </c>
      <c r="C47" s="116" t="s">
        <v>206</v>
      </c>
      <c r="D47" s="116"/>
      <c r="E47" s="116" t="s">
        <v>210</v>
      </c>
      <c r="F47" s="116" t="s">
        <v>211</v>
      </c>
      <c r="G47" s="59">
        <v>40.46</v>
      </c>
      <c r="H47" s="59"/>
      <c r="I47" s="59"/>
      <c r="J47" s="100" t="s">
        <v>309</v>
      </c>
      <c r="K47" s="100" t="s">
        <v>148</v>
      </c>
      <c r="L47" s="44">
        <f>VLOOKUP(K47,Reinigungstage!A10:C31,3,FALSE)</f>
        <v>1</v>
      </c>
      <c r="M47" s="44">
        <f t="shared" si="0"/>
        <v>40.46</v>
      </c>
      <c r="N47" s="117">
        <f t="shared" si="1"/>
        <v>0</v>
      </c>
      <c r="O47" s="44">
        <f ca="1">IF('SVS GrundRG'!H61="",0,'SVS GrundRG'!H61)</f>
        <v>0</v>
      </c>
      <c r="P47" s="44">
        <f t="shared" si="2"/>
        <v>0</v>
      </c>
      <c r="Q47" s="44">
        <f t="shared" si="3"/>
        <v>0</v>
      </c>
      <c r="R47" s="44">
        <f t="shared" si="4"/>
        <v>0</v>
      </c>
      <c r="S47" s="3" t="str">
        <f t="shared" si="5"/>
        <v>Leistungswert eintragen</v>
      </c>
      <c r="U47" s="3">
        <f t="shared" si="6"/>
        <v>15</v>
      </c>
      <c r="V47" s="3">
        <f t="shared" si="7"/>
        <v>4.5</v>
      </c>
      <c r="W47" s="3">
        <f t="shared" si="8"/>
        <v>19.5</v>
      </c>
      <c r="X47" s="3" t="str">
        <f t="shared" si="9"/>
        <v/>
      </c>
    </row>
    <row r="48" spans="1:24" ht="15" customHeight="1" x14ac:dyDescent="0.2">
      <c r="A48" s="100">
        <v>27</v>
      </c>
      <c r="B48" s="115" t="s">
        <v>239</v>
      </c>
      <c r="C48" s="116" t="s">
        <v>240</v>
      </c>
      <c r="D48" s="116"/>
      <c r="E48" s="116" t="s">
        <v>241</v>
      </c>
      <c r="F48" s="116" t="s">
        <v>208</v>
      </c>
      <c r="G48" s="59">
        <v>5.29</v>
      </c>
      <c r="H48" s="59"/>
      <c r="I48" s="59"/>
      <c r="J48" s="100" t="s">
        <v>315</v>
      </c>
      <c r="K48" s="100" t="s">
        <v>148</v>
      </c>
      <c r="L48" s="44">
        <f>VLOOKUP(K48,Reinigungstage!A10:C31,3,FALSE)</f>
        <v>1</v>
      </c>
      <c r="M48" s="44">
        <f t="shared" si="0"/>
        <v>5.29</v>
      </c>
      <c r="N48" s="117">
        <f t="shared" si="1"/>
        <v>0</v>
      </c>
      <c r="O48" s="44">
        <f ca="1">IF('SVS GrundRG'!H61="",0,'SVS GrundRG'!H61)</f>
        <v>0</v>
      </c>
      <c r="P48" s="44">
        <f t="shared" si="2"/>
        <v>0</v>
      </c>
      <c r="Q48" s="44">
        <f t="shared" si="3"/>
        <v>0</v>
      </c>
      <c r="R48" s="44">
        <f t="shared" si="4"/>
        <v>0</v>
      </c>
      <c r="S48" s="3" t="str">
        <f t="shared" si="5"/>
        <v>Leistungswert eintragen</v>
      </c>
      <c r="U48" s="3">
        <f t="shared" si="6"/>
        <v>14.13</v>
      </c>
      <c r="V48" s="3">
        <f t="shared" si="7"/>
        <v>4.2389999999999999</v>
      </c>
      <c r="W48" s="3">
        <f t="shared" si="8"/>
        <v>18.369</v>
      </c>
      <c r="X48" s="3" t="str">
        <f t="shared" si="9"/>
        <v/>
      </c>
    </row>
    <row r="49" spans="1:24" ht="15" customHeight="1" x14ac:dyDescent="0.2">
      <c r="A49" s="100">
        <v>28</v>
      </c>
      <c r="B49" s="115" t="s">
        <v>242</v>
      </c>
      <c r="C49" s="116" t="s">
        <v>240</v>
      </c>
      <c r="D49" s="116"/>
      <c r="E49" s="116" t="s">
        <v>207</v>
      </c>
      <c r="F49" s="116" t="s">
        <v>208</v>
      </c>
      <c r="G49" s="59">
        <v>19.18</v>
      </c>
      <c r="H49" s="59"/>
      <c r="I49" s="59"/>
      <c r="J49" s="100" t="s">
        <v>207</v>
      </c>
      <c r="K49" s="100" t="s">
        <v>148</v>
      </c>
      <c r="L49" s="44">
        <f>VLOOKUP(K49,Reinigungstage!A10:C31,3,FALSE)</f>
        <v>1</v>
      </c>
      <c r="M49" s="44">
        <f t="shared" si="0"/>
        <v>19.18</v>
      </c>
      <c r="N49" s="117">
        <f t="shared" si="1"/>
        <v>0</v>
      </c>
      <c r="O49" s="44">
        <f ca="1">IF('SVS GrundRG'!H61="",0,'SVS GrundRG'!H61)</f>
        <v>0</v>
      </c>
      <c r="P49" s="44">
        <f t="shared" si="2"/>
        <v>0</v>
      </c>
      <c r="Q49" s="44">
        <f t="shared" si="3"/>
        <v>0</v>
      </c>
      <c r="R49" s="44">
        <f t="shared" si="4"/>
        <v>0</v>
      </c>
      <c r="S49" s="3" t="str">
        <f t="shared" si="5"/>
        <v>Leistungswert eintragen</v>
      </c>
      <c r="U49" s="3">
        <f t="shared" si="6"/>
        <v>8.5</v>
      </c>
      <c r="V49" s="3">
        <f t="shared" si="7"/>
        <v>2.5499999999999998</v>
      </c>
      <c r="W49" s="3">
        <f t="shared" si="8"/>
        <v>11.05</v>
      </c>
      <c r="X49" s="3" t="str">
        <f t="shared" si="9"/>
        <v/>
      </c>
    </row>
    <row r="50" spans="1:24" ht="15" customHeight="1" x14ac:dyDescent="0.2">
      <c r="A50" s="100">
        <v>29</v>
      </c>
      <c r="B50" s="115" t="s">
        <v>243</v>
      </c>
      <c r="C50" s="116" t="s">
        <v>240</v>
      </c>
      <c r="D50" s="116"/>
      <c r="E50" s="116" t="s">
        <v>214</v>
      </c>
      <c r="F50" s="116" t="s">
        <v>211</v>
      </c>
      <c r="G50" s="59">
        <v>12.22</v>
      </c>
      <c r="H50" s="59"/>
      <c r="I50" s="59"/>
      <c r="J50" s="100" t="s">
        <v>310</v>
      </c>
      <c r="K50" s="100" t="s">
        <v>148</v>
      </c>
      <c r="L50" s="44">
        <f>VLOOKUP(K50,Reinigungstage!A10:C31,3,FALSE)</f>
        <v>1</v>
      </c>
      <c r="M50" s="44">
        <f t="shared" si="0"/>
        <v>12.22</v>
      </c>
      <c r="N50" s="117">
        <f t="shared" si="1"/>
        <v>0</v>
      </c>
      <c r="O50" s="44">
        <f ca="1">IF('SVS GrundRG'!H61="",0,'SVS GrundRG'!H61)</f>
        <v>0</v>
      </c>
      <c r="P50" s="44">
        <f t="shared" si="2"/>
        <v>0</v>
      </c>
      <c r="Q50" s="44">
        <f t="shared" si="3"/>
        <v>0</v>
      </c>
      <c r="R50" s="44">
        <f t="shared" si="4"/>
        <v>0</v>
      </c>
      <c r="S50" s="3" t="str">
        <f t="shared" si="5"/>
        <v>Leistungswert eintragen</v>
      </c>
      <c r="U50" s="3">
        <f t="shared" si="6"/>
        <v>24.13</v>
      </c>
      <c r="V50" s="3">
        <f t="shared" si="7"/>
        <v>7.238999999999999</v>
      </c>
      <c r="W50" s="3">
        <f t="shared" si="8"/>
        <v>31.369</v>
      </c>
      <c r="X50" s="3" t="str">
        <f t="shared" si="9"/>
        <v/>
      </c>
    </row>
    <row r="51" spans="1:24" ht="15" customHeight="1" x14ac:dyDescent="0.2">
      <c r="A51" s="100">
        <v>30</v>
      </c>
      <c r="B51" s="115" t="s">
        <v>244</v>
      </c>
      <c r="C51" s="116" t="s">
        <v>240</v>
      </c>
      <c r="D51" s="116"/>
      <c r="E51" s="116" t="s">
        <v>210</v>
      </c>
      <c r="F51" s="116" t="s">
        <v>211</v>
      </c>
      <c r="G51" s="59">
        <v>40.25</v>
      </c>
      <c r="H51" s="59"/>
      <c r="I51" s="59"/>
      <c r="J51" s="100" t="s">
        <v>309</v>
      </c>
      <c r="K51" s="100" t="s">
        <v>148</v>
      </c>
      <c r="L51" s="44">
        <f>VLOOKUP(K51,Reinigungstage!A10:C31,3,FALSE)</f>
        <v>1</v>
      </c>
      <c r="M51" s="44">
        <f t="shared" si="0"/>
        <v>40.25</v>
      </c>
      <c r="N51" s="117">
        <f t="shared" si="1"/>
        <v>0</v>
      </c>
      <c r="O51" s="44">
        <f ca="1">IF('SVS GrundRG'!H61="",0,'SVS GrundRG'!H61)</f>
        <v>0</v>
      </c>
      <c r="P51" s="44">
        <f t="shared" si="2"/>
        <v>0</v>
      </c>
      <c r="Q51" s="44">
        <f t="shared" si="3"/>
        <v>0</v>
      </c>
      <c r="R51" s="44">
        <f t="shared" si="4"/>
        <v>0</v>
      </c>
      <c r="S51" s="3" t="str">
        <f t="shared" si="5"/>
        <v>Leistungswert eintragen</v>
      </c>
      <c r="U51" s="3">
        <f t="shared" si="6"/>
        <v>15</v>
      </c>
      <c r="V51" s="3">
        <f t="shared" si="7"/>
        <v>4.5</v>
      </c>
      <c r="W51" s="3">
        <f t="shared" si="8"/>
        <v>19.5</v>
      </c>
      <c r="X51" s="3" t="str">
        <f t="shared" si="9"/>
        <v/>
      </c>
    </row>
    <row r="52" spans="1:24" ht="15" customHeight="1" x14ac:dyDescent="0.2">
      <c r="A52" s="100">
        <v>31</v>
      </c>
      <c r="B52" s="115" t="s">
        <v>245</v>
      </c>
      <c r="C52" s="116" t="s">
        <v>240</v>
      </c>
      <c r="D52" s="116"/>
      <c r="E52" s="116" t="s">
        <v>210</v>
      </c>
      <c r="F52" s="116" t="s">
        <v>211</v>
      </c>
      <c r="G52" s="59">
        <v>43.48</v>
      </c>
      <c r="H52" s="59"/>
      <c r="I52" s="59"/>
      <c r="J52" s="100" t="s">
        <v>309</v>
      </c>
      <c r="K52" s="100" t="s">
        <v>148</v>
      </c>
      <c r="L52" s="44">
        <f>VLOOKUP(K52,Reinigungstage!A10:C31,3,FALSE)</f>
        <v>1</v>
      </c>
      <c r="M52" s="44">
        <f t="shared" si="0"/>
        <v>43.48</v>
      </c>
      <c r="N52" s="117">
        <f t="shared" si="1"/>
        <v>0</v>
      </c>
      <c r="O52" s="44">
        <f ca="1">IF('SVS GrundRG'!H61="",0,'SVS GrundRG'!H61)</f>
        <v>0</v>
      </c>
      <c r="P52" s="44">
        <f t="shared" si="2"/>
        <v>0</v>
      </c>
      <c r="Q52" s="44">
        <f t="shared" si="3"/>
        <v>0</v>
      </c>
      <c r="R52" s="44">
        <f t="shared" si="4"/>
        <v>0</v>
      </c>
      <c r="S52" s="3" t="str">
        <f t="shared" si="5"/>
        <v>Leistungswert eintragen</v>
      </c>
      <c r="U52" s="3">
        <f t="shared" si="6"/>
        <v>15</v>
      </c>
      <c r="V52" s="3">
        <f t="shared" si="7"/>
        <v>4.5</v>
      </c>
      <c r="W52" s="3">
        <f t="shared" si="8"/>
        <v>19.5</v>
      </c>
      <c r="X52" s="3" t="str">
        <f t="shared" si="9"/>
        <v/>
      </c>
    </row>
    <row r="53" spans="1:24" ht="15" customHeight="1" x14ac:dyDescent="0.2">
      <c r="A53" s="100">
        <v>32</v>
      </c>
      <c r="B53" s="115" t="s">
        <v>246</v>
      </c>
      <c r="C53" s="116" t="s">
        <v>240</v>
      </c>
      <c r="D53" s="116" t="s">
        <v>247</v>
      </c>
      <c r="E53" s="116" t="s">
        <v>223</v>
      </c>
      <c r="F53" s="116" t="s">
        <v>211</v>
      </c>
      <c r="G53" s="59">
        <v>33.51</v>
      </c>
      <c r="H53" s="59"/>
      <c r="I53" s="59"/>
      <c r="J53" s="100" t="s">
        <v>310</v>
      </c>
      <c r="K53" s="100" t="s">
        <v>148</v>
      </c>
      <c r="L53" s="44">
        <f>VLOOKUP(K53,Reinigungstage!A10:C31,3,FALSE)</f>
        <v>1</v>
      </c>
      <c r="M53" s="44">
        <f t="shared" ref="M53:M82" si="10">ROUND(IF(L53=0,0,L53*G53),2)</f>
        <v>33.51</v>
      </c>
      <c r="N53" s="117">
        <f t="shared" si="1"/>
        <v>0</v>
      </c>
      <c r="O53" s="44">
        <f ca="1">IF('SVS GrundRG'!H61="",0,'SVS GrundRG'!H61)</f>
        <v>0</v>
      </c>
      <c r="P53" s="44">
        <f t="shared" ref="P53:P82" si="11">ROUND(IF(N53=0,0,M53/N53),2)</f>
        <v>0</v>
      </c>
      <c r="Q53" s="44">
        <f t="shared" ref="Q53:Q82" si="12">ROUND(IF(P53=0,0,P53*O53),2)</f>
        <v>0</v>
      </c>
      <c r="R53" s="44">
        <f t="shared" ref="R53:R82" si="13">ROUND(IF(P53=0,0,Q53/L53),2)</f>
        <v>0</v>
      </c>
      <c r="S53" s="3" t="str">
        <f t="shared" ref="S53:S82" si="14">IF(M53=0,"",IF(N53=0,"Leistungswert eintragen",IF(O53=0,"SVS prüfen","")))</f>
        <v>Leistungswert eintragen</v>
      </c>
      <c r="U53" s="3">
        <f t="shared" ref="U53:U82" si="15">VLOOKUP(J53,$U$4:$V$13,2,FALSE)</f>
        <v>24.13</v>
      </c>
      <c r="V53" s="3">
        <f t="shared" ref="V53:V82" si="16">U53*30%</f>
        <v>7.238999999999999</v>
      </c>
      <c r="W53" s="3">
        <f t="shared" ref="W53:W82" si="17">SUM(U53:V53)</f>
        <v>31.369</v>
      </c>
      <c r="X53" s="3" t="str">
        <f t="shared" ref="X53:X82" si="18">IF(N53=0,"",IF(W53&lt;N53,1,IF(W53&gt;=N53,0,"")))</f>
        <v/>
      </c>
    </row>
    <row r="54" spans="1:24" ht="15" customHeight="1" x14ac:dyDescent="0.2">
      <c r="A54" s="100">
        <v>33</v>
      </c>
      <c r="B54" s="115" t="s">
        <v>248</v>
      </c>
      <c r="C54" s="116" t="s">
        <v>240</v>
      </c>
      <c r="D54" s="116">
        <v>1</v>
      </c>
      <c r="E54" s="116" t="s">
        <v>218</v>
      </c>
      <c r="F54" s="116" t="s">
        <v>211</v>
      </c>
      <c r="G54" s="59">
        <v>8.2799999999999994</v>
      </c>
      <c r="H54" s="59"/>
      <c r="I54" s="59"/>
      <c r="J54" s="100" t="s">
        <v>312</v>
      </c>
      <c r="K54" s="100" t="s">
        <v>148</v>
      </c>
      <c r="L54" s="44">
        <f>VLOOKUP(K54,Reinigungstage!A10:C31,3,FALSE)</f>
        <v>1</v>
      </c>
      <c r="M54" s="44">
        <f t="shared" si="10"/>
        <v>8.2799999999999994</v>
      </c>
      <c r="N54" s="117">
        <f t="shared" ref="N54:N88" si="19">VLOOKUP(J54,$G$4:$H$12,2,FALSE)</f>
        <v>0</v>
      </c>
      <c r="O54" s="44">
        <f ca="1">IF('SVS GrundRG'!H61="",0,'SVS GrundRG'!H61)</f>
        <v>0</v>
      </c>
      <c r="P54" s="44">
        <f t="shared" si="11"/>
        <v>0</v>
      </c>
      <c r="Q54" s="44">
        <f t="shared" si="12"/>
        <v>0</v>
      </c>
      <c r="R54" s="44">
        <f t="shared" si="13"/>
        <v>0</v>
      </c>
      <c r="S54" s="3" t="str">
        <f t="shared" si="14"/>
        <v>Leistungswert eintragen</v>
      </c>
      <c r="U54" s="3">
        <f t="shared" si="15"/>
        <v>15</v>
      </c>
      <c r="V54" s="3">
        <f t="shared" si="16"/>
        <v>4.5</v>
      </c>
      <c r="W54" s="3">
        <f t="shared" si="17"/>
        <v>19.5</v>
      </c>
      <c r="X54" s="3" t="str">
        <f t="shared" si="18"/>
        <v/>
      </c>
    </row>
    <row r="55" spans="1:24" ht="15" customHeight="1" x14ac:dyDescent="0.2">
      <c r="A55" s="100">
        <v>34</v>
      </c>
      <c r="B55" s="115" t="s">
        <v>249</v>
      </c>
      <c r="C55" s="116" t="s">
        <v>240</v>
      </c>
      <c r="D55" s="116"/>
      <c r="E55" s="116" t="s">
        <v>223</v>
      </c>
      <c r="F55" s="116" t="s">
        <v>211</v>
      </c>
      <c r="G55" s="59">
        <v>16.170000000000002</v>
      </c>
      <c r="H55" s="59"/>
      <c r="I55" s="59"/>
      <c r="J55" s="100" t="s">
        <v>310</v>
      </c>
      <c r="K55" s="100" t="s">
        <v>148</v>
      </c>
      <c r="L55" s="44">
        <f>VLOOKUP(K55,Reinigungstage!A10:C31,3,FALSE)</f>
        <v>1</v>
      </c>
      <c r="M55" s="44">
        <f t="shared" si="10"/>
        <v>16.170000000000002</v>
      </c>
      <c r="N55" s="117">
        <f t="shared" si="19"/>
        <v>0</v>
      </c>
      <c r="O55" s="44">
        <f ca="1">IF('SVS GrundRG'!H61="",0,'SVS GrundRG'!H61)</f>
        <v>0</v>
      </c>
      <c r="P55" s="44">
        <f t="shared" si="11"/>
        <v>0</v>
      </c>
      <c r="Q55" s="44">
        <f t="shared" si="12"/>
        <v>0</v>
      </c>
      <c r="R55" s="44">
        <f t="shared" si="13"/>
        <v>0</v>
      </c>
      <c r="S55" s="3" t="str">
        <f t="shared" si="14"/>
        <v>Leistungswert eintragen</v>
      </c>
      <c r="U55" s="3">
        <f t="shared" si="15"/>
        <v>24.13</v>
      </c>
      <c r="V55" s="3">
        <f t="shared" si="16"/>
        <v>7.238999999999999</v>
      </c>
      <c r="W55" s="3">
        <f t="shared" si="17"/>
        <v>31.369</v>
      </c>
      <c r="X55" s="3" t="str">
        <f t="shared" si="18"/>
        <v/>
      </c>
    </row>
    <row r="56" spans="1:24" ht="15" customHeight="1" x14ac:dyDescent="0.2">
      <c r="A56" s="100">
        <v>35</v>
      </c>
      <c r="B56" s="115" t="s">
        <v>250</v>
      </c>
      <c r="C56" s="116" t="s">
        <v>240</v>
      </c>
      <c r="D56" s="116"/>
      <c r="E56" s="116" t="s">
        <v>230</v>
      </c>
      <c r="F56" s="116" t="s">
        <v>208</v>
      </c>
      <c r="G56" s="59">
        <v>1.91</v>
      </c>
      <c r="H56" s="59"/>
      <c r="I56" s="59"/>
      <c r="J56" s="100" t="s">
        <v>207</v>
      </c>
      <c r="K56" s="100" t="s">
        <v>148</v>
      </c>
      <c r="L56" s="44">
        <f>VLOOKUP(K56,Reinigungstage!A10:C31,3,FALSE)</f>
        <v>1</v>
      </c>
      <c r="M56" s="44">
        <f t="shared" si="10"/>
        <v>1.91</v>
      </c>
      <c r="N56" s="117">
        <f t="shared" si="19"/>
        <v>0</v>
      </c>
      <c r="O56" s="44">
        <f ca="1">IF('SVS GrundRG'!H61="",0,'SVS GrundRG'!H61)</f>
        <v>0</v>
      </c>
      <c r="P56" s="44">
        <f t="shared" si="11"/>
        <v>0</v>
      </c>
      <c r="Q56" s="44">
        <f t="shared" si="12"/>
        <v>0</v>
      </c>
      <c r="R56" s="44">
        <f t="shared" si="13"/>
        <v>0</v>
      </c>
      <c r="S56" s="3" t="str">
        <f t="shared" si="14"/>
        <v>Leistungswert eintragen</v>
      </c>
      <c r="U56" s="3">
        <f t="shared" si="15"/>
        <v>8.5</v>
      </c>
      <c r="V56" s="3">
        <f t="shared" si="16"/>
        <v>2.5499999999999998</v>
      </c>
      <c r="W56" s="3">
        <f t="shared" si="17"/>
        <v>11.05</v>
      </c>
      <c r="X56" s="3" t="str">
        <f t="shared" si="18"/>
        <v/>
      </c>
    </row>
    <row r="57" spans="1:24" ht="15" customHeight="1" x14ac:dyDescent="0.2">
      <c r="A57" s="100">
        <v>36</v>
      </c>
      <c r="B57" s="115" t="s">
        <v>253</v>
      </c>
      <c r="C57" s="116" t="s">
        <v>240</v>
      </c>
      <c r="D57" s="116"/>
      <c r="E57" s="116" t="s">
        <v>228</v>
      </c>
      <c r="F57" s="116" t="s">
        <v>208</v>
      </c>
      <c r="G57" s="59">
        <v>3.67</v>
      </c>
      <c r="H57" s="59"/>
      <c r="I57" s="59"/>
      <c r="J57" s="100" t="s">
        <v>207</v>
      </c>
      <c r="K57" s="100" t="s">
        <v>148</v>
      </c>
      <c r="L57" s="44">
        <f>VLOOKUP(K57,Reinigungstage!A10:C31,3,FALSE)</f>
        <v>1</v>
      </c>
      <c r="M57" s="44">
        <f t="shared" si="10"/>
        <v>3.67</v>
      </c>
      <c r="N57" s="117">
        <f t="shared" si="19"/>
        <v>0</v>
      </c>
      <c r="O57" s="44">
        <f ca="1">IF('SVS GrundRG'!H61="",0,'SVS GrundRG'!H61)</f>
        <v>0</v>
      </c>
      <c r="P57" s="44">
        <f t="shared" si="11"/>
        <v>0</v>
      </c>
      <c r="Q57" s="44">
        <f t="shared" si="12"/>
        <v>0</v>
      </c>
      <c r="R57" s="44">
        <f t="shared" si="13"/>
        <v>0</v>
      </c>
      <c r="S57" s="3" t="str">
        <f t="shared" si="14"/>
        <v>Leistungswert eintragen</v>
      </c>
      <c r="U57" s="3">
        <f t="shared" si="15"/>
        <v>8.5</v>
      </c>
      <c r="V57" s="3">
        <f t="shared" si="16"/>
        <v>2.5499999999999998</v>
      </c>
      <c r="W57" s="3">
        <f t="shared" si="17"/>
        <v>11.05</v>
      </c>
      <c r="X57" s="3" t="str">
        <f t="shared" si="18"/>
        <v/>
      </c>
    </row>
    <row r="58" spans="1:24" ht="15" customHeight="1" x14ac:dyDescent="0.2">
      <c r="A58" s="100">
        <v>37</v>
      </c>
      <c r="B58" s="115" t="s">
        <v>254</v>
      </c>
      <c r="C58" s="116" t="s">
        <v>240</v>
      </c>
      <c r="D58" s="116"/>
      <c r="E58" s="116" t="s">
        <v>223</v>
      </c>
      <c r="F58" s="116" t="s">
        <v>211</v>
      </c>
      <c r="G58" s="59">
        <v>26.42</v>
      </c>
      <c r="H58" s="59"/>
      <c r="I58" s="59"/>
      <c r="J58" s="100" t="s">
        <v>310</v>
      </c>
      <c r="K58" s="100" t="s">
        <v>148</v>
      </c>
      <c r="L58" s="44">
        <f>VLOOKUP(K58,Reinigungstage!A10:C31,3,FALSE)</f>
        <v>1</v>
      </c>
      <c r="M58" s="44">
        <f t="shared" si="10"/>
        <v>26.42</v>
      </c>
      <c r="N58" s="117">
        <f t="shared" si="19"/>
        <v>0</v>
      </c>
      <c r="O58" s="44">
        <f ca="1">IF('SVS GrundRG'!H61="",0,'SVS GrundRG'!H61)</f>
        <v>0</v>
      </c>
      <c r="P58" s="44">
        <f t="shared" si="11"/>
        <v>0</v>
      </c>
      <c r="Q58" s="44">
        <f t="shared" si="12"/>
        <v>0</v>
      </c>
      <c r="R58" s="44">
        <f t="shared" si="13"/>
        <v>0</v>
      </c>
      <c r="S58" s="3" t="str">
        <f t="shared" si="14"/>
        <v>Leistungswert eintragen</v>
      </c>
      <c r="U58" s="3">
        <f t="shared" si="15"/>
        <v>24.13</v>
      </c>
      <c r="V58" s="3">
        <f t="shared" si="16"/>
        <v>7.238999999999999</v>
      </c>
      <c r="W58" s="3">
        <f t="shared" si="17"/>
        <v>31.369</v>
      </c>
      <c r="X58" s="3" t="str">
        <f t="shared" si="18"/>
        <v/>
      </c>
    </row>
    <row r="59" spans="1:24" ht="15" customHeight="1" x14ac:dyDescent="0.2">
      <c r="A59" s="100">
        <v>38</v>
      </c>
      <c r="B59" s="115" t="s">
        <v>255</v>
      </c>
      <c r="C59" s="116" t="s">
        <v>240</v>
      </c>
      <c r="D59" s="116"/>
      <c r="E59" s="116" t="s">
        <v>256</v>
      </c>
      <c r="F59" s="116" t="s">
        <v>211</v>
      </c>
      <c r="G59" s="59">
        <v>11.96</v>
      </c>
      <c r="H59" s="59"/>
      <c r="I59" s="59"/>
      <c r="J59" s="100" t="s">
        <v>309</v>
      </c>
      <c r="K59" s="100" t="s">
        <v>148</v>
      </c>
      <c r="L59" s="44">
        <f>VLOOKUP(K59,Reinigungstage!A10:C31,3,FALSE)</f>
        <v>1</v>
      </c>
      <c r="M59" s="44">
        <f t="shared" si="10"/>
        <v>11.96</v>
      </c>
      <c r="N59" s="117">
        <f t="shared" si="19"/>
        <v>0</v>
      </c>
      <c r="O59" s="44">
        <f ca="1">IF('SVS GrundRG'!H61="",0,'SVS GrundRG'!H61)</f>
        <v>0</v>
      </c>
      <c r="P59" s="44">
        <f t="shared" si="11"/>
        <v>0</v>
      </c>
      <c r="Q59" s="44">
        <f t="shared" si="12"/>
        <v>0</v>
      </c>
      <c r="R59" s="44">
        <f t="shared" si="13"/>
        <v>0</v>
      </c>
      <c r="S59" s="3" t="str">
        <f t="shared" si="14"/>
        <v>Leistungswert eintragen</v>
      </c>
      <c r="U59" s="3">
        <f t="shared" si="15"/>
        <v>15</v>
      </c>
      <c r="V59" s="3">
        <f t="shared" si="16"/>
        <v>4.5</v>
      </c>
      <c r="W59" s="3">
        <f t="shared" si="17"/>
        <v>19.5</v>
      </c>
      <c r="X59" s="3" t="str">
        <f t="shared" si="18"/>
        <v/>
      </c>
    </row>
    <row r="60" spans="1:24" ht="15" customHeight="1" x14ac:dyDescent="0.2">
      <c r="A60" s="100">
        <v>39</v>
      </c>
      <c r="B60" s="115" t="s">
        <v>257</v>
      </c>
      <c r="C60" s="116" t="s">
        <v>240</v>
      </c>
      <c r="D60" s="116"/>
      <c r="E60" s="116" t="s">
        <v>258</v>
      </c>
      <c r="F60" s="116" t="s">
        <v>211</v>
      </c>
      <c r="G60" s="59">
        <v>8.09</v>
      </c>
      <c r="H60" s="59"/>
      <c r="I60" s="59"/>
      <c r="J60" s="100" t="s">
        <v>309</v>
      </c>
      <c r="K60" s="100" t="s">
        <v>148</v>
      </c>
      <c r="L60" s="44">
        <f>VLOOKUP(K60,Reinigungstage!A10:C31,3,FALSE)</f>
        <v>1</v>
      </c>
      <c r="M60" s="44">
        <f t="shared" si="10"/>
        <v>8.09</v>
      </c>
      <c r="N60" s="117">
        <f t="shared" si="19"/>
        <v>0</v>
      </c>
      <c r="O60" s="44">
        <f ca="1">IF('SVS GrundRG'!H61="",0,'SVS GrundRG'!H61)</f>
        <v>0</v>
      </c>
      <c r="P60" s="44">
        <f t="shared" si="11"/>
        <v>0</v>
      </c>
      <c r="Q60" s="44">
        <f t="shared" si="12"/>
        <v>0</v>
      </c>
      <c r="R60" s="44">
        <f t="shared" si="13"/>
        <v>0</v>
      </c>
      <c r="S60" s="3" t="str">
        <f t="shared" si="14"/>
        <v>Leistungswert eintragen</v>
      </c>
      <c r="U60" s="3">
        <f t="shared" si="15"/>
        <v>15</v>
      </c>
      <c r="V60" s="3">
        <f t="shared" si="16"/>
        <v>4.5</v>
      </c>
      <c r="W60" s="3">
        <f t="shared" si="17"/>
        <v>19.5</v>
      </c>
      <c r="X60" s="3" t="str">
        <f t="shared" si="18"/>
        <v/>
      </c>
    </row>
    <row r="61" spans="1:24" ht="15" customHeight="1" x14ac:dyDescent="0.2">
      <c r="A61" s="100">
        <v>40</v>
      </c>
      <c r="B61" s="115" t="s">
        <v>259</v>
      </c>
      <c r="C61" s="116" t="s">
        <v>240</v>
      </c>
      <c r="D61" s="116"/>
      <c r="E61" s="116" t="s">
        <v>260</v>
      </c>
      <c r="F61" s="116" t="s">
        <v>208</v>
      </c>
      <c r="G61" s="59">
        <v>11.68</v>
      </c>
      <c r="H61" s="59"/>
      <c r="I61" s="59"/>
      <c r="J61" s="100" t="s">
        <v>207</v>
      </c>
      <c r="K61" s="100" t="s">
        <v>148</v>
      </c>
      <c r="L61" s="44">
        <f>VLOOKUP(K61,Reinigungstage!A10:C31,3,FALSE)</f>
        <v>1</v>
      </c>
      <c r="M61" s="44">
        <f t="shared" si="10"/>
        <v>11.68</v>
      </c>
      <c r="N61" s="117">
        <f t="shared" si="19"/>
        <v>0</v>
      </c>
      <c r="O61" s="44">
        <f ca="1">IF('SVS GrundRG'!H61="",0,'SVS GrundRG'!H61)</f>
        <v>0</v>
      </c>
      <c r="P61" s="44">
        <f t="shared" si="11"/>
        <v>0</v>
      </c>
      <c r="Q61" s="44">
        <f t="shared" si="12"/>
        <v>0</v>
      </c>
      <c r="R61" s="44">
        <f t="shared" si="13"/>
        <v>0</v>
      </c>
      <c r="S61" s="3" t="str">
        <f t="shared" si="14"/>
        <v>Leistungswert eintragen</v>
      </c>
      <c r="U61" s="3">
        <f t="shared" si="15"/>
        <v>8.5</v>
      </c>
      <c r="V61" s="3">
        <f t="shared" si="16"/>
        <v>2.5499999999999998</v>
      </c>
      <c r="W61" s="3">
        <f t="shared" si="17"/>
        <v>11.05</v>
      </c>
      <c r="X61" s="3" t="str">
        <f t="shared" si="18"/>
        <v/>
      </c>
    </row>
    <row r="62" spans="1:24" ht="15" customHeight="1" x14ac:dyDescent="0.2">
      <c r="A62" s="100">
        <v>41</v>
      </c>
      <c r="B62" s="115" t="s">
        <v>261</v>
      </c>
      <c r="C62" s="116" t="s">
        <v>240</v>
      </c>
      <c r="D62" s="116"/>
      <c r="E62" s="116" t="s">
        <v>262</v>
      </c>
      <c r="F62" s="116" t="s">
        <v>211</v>
      </c>
      <c r="G62" s="59">
        <v>7.79</v>
      </c>
      <c r="H62" s="59"/>
      <c r="I62" s="59"/>
      <c r="J62" s="100" t="s">
        <v>309</v>
      </c>
      <c r="K62" s="100" t="s">
        <v>148</v>
      </c>
      <c r="L62" s="44">
        <f>VLOOKUP(K62,Reinigungstage!A10:C31,3,FALSE)</f>
        <v>1</v>
      </c>
      <c r="M62" s="44">
        <f t="shared" si="10"/>
        <v>7.79</v>
      </c>
      <c r="N62" s="117">
        <f t="shared" si="19"/>
        <v>0</v>
      </c>
      <c r="O62" s="44">
        <f ca="1">IF('SVS GrundRG'!H61="",0,'SVS GrundRG'!H61)</f>
        <v>0</v>
      </c>
      <c r="P62" s="44">
        <f t="shared" si="11"/>
        <v>0</v>
      </c>
      <c r="Q62" s="44">
        <f t="shared" si="12"/>
        <v>0</v>
      </c>
      <c r="R62" s="44">
        <f t="shared" si="13"/>
        <v>0</v>
      </c>
      <c r="S62" s="3" t="str">
        <f t="shared" si="14"/>
        <v>Leistungswert eintragen</v>
      </c>
      <c r="U62" s="3">
        <f t="shared" si="15"/>
        <v>15</v>
      </c>
      <c r="V62" s="3">
        <f t="shared" si="16"/>
        <v>4.5</v>
      </c>
      <c r="W62" s="3">
        <f t="shared" si="17"/>
        <v>19.5</v>
      </c>
      <c r="X62" s="3" t="str">
        <f t="shared" si="18"/>
        <v/>
      </c>
    </row>
    <row r="63" spans="1:24" ht="24.95" customHeight="1" x14ac:dyDescent="0.2">
      <c r="A63" s="100">
        <v>42</v>
      </c>
      <c r="B63" s="115" t="s">
        <v>263</v>
      </c>
      <c r="C63" s="116" t="s">
        <v>240</v>
      </c>
      <c r="D63" s="116" t="s">
        <v>264</v>
      </c>
      <c r="E63" s="116" t="s">
        <v>265</v>
      </c>
      <c r="F63" s="116" t="s">
        <v>211</v>
      </c>
      <c r="G63" s="59">
        <v>14.98</v>
      </c>
      <c r="H63" s="59"/>
      <c r="I63" s="59"/>
      <c r="J63" s="100" t="s">
        <v>310</v>
      </c>
      <c r="K63" s="100" t="s">
        <v>148</v>
      </c>
      <c r="L63" s="44">
        <f>VLOOKUP(K63,Reinigungstage!A10:C31,3,FALSE)</f>
        <v>1</v>
      </c>
      <c r="M63" s="44">
        <f t="shared" si="10"/>
        <v>14.98</v>
      </c>
      <c r="N63" s="117">
        <f t="shared" si="19"/>
        <v>0</v>
      </c>
      <c r="O63" s="44">
        <f ca="1">IF('SVS GrundRG'!H61="",0,'SVS GrundRG'!H61)</f>
        <v>0</v>
      </c>
      <c r="P63" s="44">
        <f t="shared" si="11"/>
        <v>0</v>
      </c>
      <c r="Q63" s="44">
        <f t="shared" si="12"/>
        <v>0</v>
      </c>
      <c r="R63" s="44">
        <f t="shared" si="13"/>
        <v>0</v>
      </c>
      <c r="S63" s="3" t="str">
        <f t="shared" si="14"/>
        <v>Leistungswert eintragen</v>
      </c>
      <c r="U63" s="3">
        <f t="shared" si="15"/>
        <v>24.13</v>
      </c>
      <c r="V63" s="3">
        <f t="shared" si="16"/>
        <v>7.238999999999999</v>
      </c>
      <c r="W63" s="3">
        <f t="shared" si="17"/>
        <v>31.369</v>
      </c>
      <c r="X63" s="3" t="str">
        <f t="shared" si="18"/>
        <v/>
      </c>
    </row>
    <row r="64" spans="1:24" ht="21" x14ac:dyDescent="0.2">
      <c r="A64" s="100">
        <v>43</v>
      </c>
      <c r="B64" s="115" t="s">
        <v>268</v>
      </c>
      <c r="C64" s="116" t="s">
        <v>240</v>
      </c>
      <c r="D64" s="116"/>
      <c r="E64" s="116" t="s">
        <v>269</v>
      </c>
      <c r="F64" s="116" t="s">
        <v>211</v>
      </c>
      <c r="G64" s="59">
        <v>20.76</v>
      </c>
      <c r="H64" s="59"/>
      <c r="I64" s="59"/>
      <c r="J64" s="100" t="s">
        <v>316</v>
      </c>
      <c r="K64" s="100" t="s">
        <v>148</v>
      </c>
      <c r="L64" s="44">
        <f>VLOOKUP(K64,Reinigungstage!A10:C31,3,FALSE)</f>
        <v>1</v>
      </c>
      <c r="M64" s="44">
        <f t="shared" si="10"/>
        <v>20.76</v>
      </c>
      <c r="N64" s="117">
        <f t="shared" si="19"/>
        <v>0</v>
      </c>
      <c r="O64" s="44">
        <f ca="1">IF('SVS GrundRG'!H61="",0,'SVS GrundRG'!H61)</f>
        <v>0</v>
      </c>
      <c r="P64" s="44">
        <f t="shared" si="11"/>
        <v>0</v>
      </c>
      <c r="Q64" s="44">
        <f t="shared" si="12"/>
        <v>0</v>
      </c>
      <c r="R64" s="44">
        <f t="shared" si="13"/>
        <v>0</v>
      </c>
      <c r="S64" s="3" t="str">
        <f t="shared" si="14"/>
        <v>Leistungswert eintragen</v>
      </c>
      <c r="U64" s="3">
        <f t="shared" si="15"/>
        <v>16.25</v>
      </c>
      <c r="V64" s="3">
        <f t="shared" si="16"/>
        <v>4.875</v>
      </c>
      <c r="W64" s="3">
        <f t="shared" si="17"/>
        <v>21.125</v>
      </c>
      <c r="X64" s="3" t="str">
        <f t="shared" si="18"/>
        <v/>
      </c>
    </row>
    <row r="65" spans="1:24" ht="15" customHeight="1" x14ac:dyDescent="0.2">
      <c r="A65" s="100">
        <v>44</v>
      </c>
      <c r="B65" s="115" t="s">
        <v>270</v>
      </c>
      <c r="C65" s="116" t="s">
        <v>240</v>
      </c>
      <c r="D65" s="116"/>
      <c r="E65" s="116" t="s">
        <v>271</v>
      </c>
      <c r="F65" s="116" t="s">
        <v>211</v>
      </c>
      <c r="G65" s="59">
        <v>67.180000000000007</v>
      </c>
      <c r="H65" s="59"/>
      <c r="I65" s="59"/>
      <c r="J65" s="100" t="s">
        <v>317</v>
      </c>
      <c r="K65" s="100" t="s">
        <v>148</v>
      </c>
      <c r="L65" s="44">
        <f>VLOOKUP(K65,Reinigungstage!A10:C31,3,FALSE)</f>
        <v>1</v>
      </c>
      <c r="M65" s="44">
        <f t="shared" si="10"/>
        <v>67.180000000000007</v>
      </c>
      <c r="N65" s="117">
        <f t="shared" si="19"/>
        <v>0</v>
      </c>
      <c r="O65" s="44">
        <f ca="1">IF('SVS GrundRG'!H61="",0,'SVS GrundRG'!H61)</f>
        <v>0</v>
      </c>
      <c r="P65" s="44">
        <f t="shared" si="11"/>
        <v>0</v>
      </c>
      <c r="Q65" s="44">
        <f t="shared" si="12"/>
        <v>0</v>
      </c>
      <c r="R65" s="44">
        <f t="shared" si="13"/>
        <v>0</v>
      </c>
      <c r="S65" s="3" t="str">
        <f t="shared" si="14"/>
        <v>Leistungswert eintragen</v>
      </c>
      <c r="U65" s="3">
        <f t="shared" si="15"/>
        <v>23.25</v>
      </c>
      <c r="V65" s="3">
        <f t="shared" si="16"/>
        <v>6.9749999999999996</v>
      </c>
      <c r="W65" s="3">
        <f t="shared" si="17"/>
        <v>30.225000000000001</v>
      </c>
      <c r="X65" s="3" t="str">
        <f t="shared" si="18"/>
        <v/>
      </c>
    </row>
    <row r="66" spans="1:24" ht="15" customHeight="1" x14ac:dyDescent="0.2">
      <c r="A66" s="100">
        <v>45</v>
      </c>
      <c r="B66" s="115" t="s">
        <v>272</v>
      </c>
      <c r="C66" s="116" t="s">
        <v>240</v>
      </c>
      <c r="D66" s="116"/>
      <c r="E66" s="116" t="s">
        <v>273</v>
      </c>
      <c r="F66" s="116" t="s">
        <v>208</v>
      </c>
      <c r="G66" s="59">
        <v>33.520000000000003</v>
      </c>
      <c r="H66" s="59"/>
      <c r="I66" s="59"/>
      <c r="J66" s="100" t="s">
        <v>315</v>
      </c>
      <c r="K66" s="100" t="s">
        <v>148</v>
      </c>
      <c r="L66" s="44">
        <f>VLOOKUP(K66,Reinigungstage!A10:C31,3,FALSE)</f>
        <v>1</v>
      </c>
      <c r="M66" s="44">
        <f t="shared" si="10"/>
        <v>33.520000000000003</v>
      </c>
      <c r="N66" s="117">
        <f t="shared" si="19"/>
        <v>0</v>
      </c>
      <c r="O66" s="44">
        <f ca="1">IF('SVS GrundRG'!H61="",0,'SVS GrundRG'!H61)</f>
        <v>0</v>
      </c>
      <c r="P66" s="44">
        <f t="shared" si="11"/>
        <v>0</v>
      </c>
      <c r="Q66" s="44">
        <f t="shared" si="12"/>
        <v>0</v>
      </c>
      <c r="R66" s="44">
        <f t="shared" si="13"/>
        <v>0</v>
      </c>
      <c r="S66" s="3" t="str">
        <f t="shared" si="14"/>
        <v>Leistungswert eintragen</v>
      </c>
      <c r="U66" s="3">
        <f t="shared" si="15"/>
        <v>14.13</v>
      </c>
      <c r="V66" s="3">
        <f t="shared" si="16"/>
        <v>4.2389999999999999</v>
      </c>
      <c r="W66" s="3">
        <f t="shared" si="17"/>
        <v>18.369</v>
      </c>
      <c r="X66" s="3" t="str">
        <f t="shared" si="18"/>
        <v/>
      </c>
    </row>
    <row r="67" spans="1:24" ht="15" customHeight="1" x14ac:dyDescent="0.2">
      <c r="A67" s="100">
        <v>46</v>
      </c>
      <c r="B67" s="115" t="s">
        <v>274</v>
      </c>
      <c r="C67" s="116" t="s">
        <v>240</v>
      </c>
      <c r="D67" s="116"/>
      <c r="E67" s="116" t="s">
        <v>275</v>
      </c>
      <c r="F67" s="116" t="s">
        <v>208</v>
      </c>
      <c r="G67" s="59">
        <v>8.6</v>
      </c>
      <c r="H67" s="59"/>
      <c r="I67" s="59"/>
      <c r="J67" s="100" t="s">
        <v>315</v>
      </c>
      <c r="K67" s="100" t="s">
        <v>148</v>
      </c>
      <c r="L67" s="44">
        <f>VLOOKUP(K67,Reinigungstage!A10:C31,3,FALSE)</f>
        <v>1</v>
      </c>
      <c r="M67" s="44">
        <f t="shared" si="10"/>
        <v>8.6</v>
      </c>
      <c r="N67" s="117">
        <f t="shared" si="19"/>
        <v>0</v>
      </c>
      <c r="O67" s="44">
        <f ca="1">IF('SVS GrundRG'!H61="",0,'SVS GrundRG'!H61)</f>
        <v>0</v>
      </c>
      <c r="P67" s="44">
        <f t="shared" si="11"/>
        <v>0</v>
      </c>
      <c r="Q67" s="44">
        <f t="shared" si="12"/>
        <v>0</v>
      </c>
      <c r="R67" s="44">
        <f t="shared" si="13"/>
        <v>0</v>
      </c>
      <c r="S67" s="3" t="str">
        <f t="shared" si="14"/>
        <v>Leistungswert eintragen</v>
      </c>
      <c r="U67" s="3">
        <f t="shared" si="15"/>
        <v>14.13</v>
      </c>
      <c r="V67" s="3">
        <f t="shared" si="16"/>
        <v>4.2389999999999999</v>
      </c>
      <c r="W67" s="3">
        <f t="shared" si="17"/>
        <v>18.369</v>
      </c>
      <c r="X67" s="3" t="str">
        <f t="shared" si="18"/>
        <v/>
      </c>
    </row>
    <row r="68" spans="1:24" ht="15" customHeight="1" x14ac:dyDescent="0.2">
      <c r="A68" s="100">
        <v>47</v>
      </c>
      <c r="B68" s="115" t="s">
        <v>276</v>
      </c>
      <c r="C68" s="116" t="s">
        <v>240</v>
      </c>
      <c r="D68" s="116"/>
      <c r="E68" s="116" t="s">
        <v>277</v>
      </c>
      <c r="F68" s="116" t="s">
        <v>208</v>
      </c>
      <c r="G68" s="59">
        <v>24.29</v>
      </c>
      <c r="H68" s="59"/>
      <c r="I68" s="59"/>
      <c r="J68" s="100" t="s">
        <v>315</v>
      </c>
      <c r="K68" s="100" t="s">
        <v>148</v>
      </c>
      <c r="L68" s="44">
        <f>VLOOKUP(K68,Reinigungstage!A10:C31,3,FALSE)</f>
        <v>1</v>
      </c>
      <c r="M68" s="44">
        <f t="shared" si="10"/>
        <v>24.29</v>
      </c>
      <c r="N68" s="117">
        <f t="shared" si="19"/>
        <v>0</v>
      </c>
      <c r="O68" s="44">
        <f ca="1">IF('SVS GrundRG'!H61="",0,'SVS GrundRG'!H61)</f>
        <v>0</v>
      </c>
      <c r="P68" s="44">
        <f t="shared" si="11"/>
        <v>0</v>
      </c>
      <c r="Q68" s="44">
        <f t="shared" si="12"/>
        <v>0</v>
      </c>
      <c r="R68" s="44">
        <f t="shared" si="13"/>
        <v>0</v>
      </c>
      <c r="S68" s="3" t="str">
        <f t="shared" si="14"/>
        <v>Leistungswert eintragen</v>
      </c>
      <c r="U68" s="3">
        <f t="shared" si="15"/>
        <v>14.13</v>
      </c>
      <c r="V68" s="3">
        <f t="shared" si="16"/>
        <v>4.2389999999999999</v>
      </c>
      <c r="W68" s="3">
        <f t="shared" si="17"/>
        <v>18.369</v>
      </c>
      <c r="X68" s="3" t="str">
        <f t="shared" si="18"/>
        <v/>
      </c>
    </row>
    <row r="69" spans="1:24" ht="15" customHeight="1" x14ac:dyDescent="0.2">
      <c r="A69" s="100">
        <v>48</v>
      </c>
      <c r="B69" s="115" t="s">
        <v>278</v>
      </c>
      <c r="C69" s="116" t="s">
        <v>240</v>
      </c>
      <c r="D69" s="116">
        <v>2</v>
      </c>
      <c r="E69" s="116" t="s">
        <v>218</v>
      </c>
      <c r="F69" s="116" t="s">
        <v>211</v>
      </c>
      <c r="G69" s="59">
        <v>41.53</v>
      </c>
      <c r="H69" s="59"/>
      <c r="I69" s="59"/>
      <c r="J69" s="100" t="s">
        <v>312</v>
      </c>
      <c r="K69" s="100" t="s">
        <v>148</v>
      </c>
      <c r="L69" s="44">
        <f>VLOOKUP(K69,Reinigungstage!A10:C31,3,FALSE)</f>
        <v>1</v>
      </c>
      <c r="M69" s="44">
        <f t="shared" si="10"/>
        <v>41.53</v>
      </c>
      <c r="N69" s="117">
        <f t="shared" si="19"/>
        <v>0</v>
      </c>
      <c r="O69" s="44">
        <f ca="1">IF('SVS GrundRG'!H61="",0,'SVS GrundRG'!H61)</f>
        <v>0</v>
      </c>
      <c r="P69" s="44">
        <f t="shared" si="11"/>
        <v>0</v>
      </c>
      <c r="Q69" s="44">
        <f t="shared" si="12"/>
        <v>0</v>
      </c>
      <c r="R69" s="44">
        <f t="shared" si="13"/>
        <v>0</v>
      </c>
      <c r="S69" s="3" t="str">
        <f t="shared" si="14"/>
        <v>Leistungswert eintragen</v>
      </c>
      <c r="U69" s="3">
        <f t="shared" si="15"/>
        <v>15</v>
      </c>
      <c r="V69" s="3">
        <f t="shared" si="16"/>
        <v>4.5</v>
      </c>
      <c r="W69" s="3">
        <f t="shared" si="17"/>
        <v>19.5</v>
      </c>
      <c r="X69" s="3" t="str">
        <f t="shared" si="18"/>
        <v/>
      </c>
    </row>
    <row r="70" spans="1:24" ht="15" customHeight="1" x14ac:dyDescent="0.2">
      <c r="A70" s="100">
        <v>49</v>
      </c>
      <c r="B70" s="115" t="s">
        <v>279</v>
      </c>
      <c r="C70" s="116" t="s">
        <v>240</v>
      </c>
      <c r="D70" s="116"/>
      <c r="E70" s="116" t="s">
        <v>223</v>
      </c>
      <c r="F70" s="116" t="s">
        <v>211</v>
      </c>
      <c r="G70" s="59">
        <v>15.97</v>
      </c>
      <c r="H70" s="59"/>
      <c r="I70" s="59"/>
      <c r="J70" s="100" t="s">
        <v>310</v>
      </c>
      <c r="K70" s="100" t="s">
        <v>148</v>
      </c>
      <c r="L70" s="44">
        <f>VLOOKUP(K70,Reinigungstage!A10:C31,3,FALSE)</f>
        <v>1</v>
      </c>
      <c r="M70" s="44">
        <f t="shared" si="10"/>
        <v>15.97</v>
      </c>
      <c r="N70" s="117">
        <f t="shared" si="19"/>
        <v>0</v>
      </c>
      <c r="O70" s="44">
        <f ca="1">IF('SVS GrundRG'!H61="",0,'SVS GrundRG'!H61)</f>
        <v>0</v>
      </c>
      <c r="P70" s="44">
        <f t="shared" si="11"/>
        <v>0</v>
      </c>
      <c r="Q70" s="44">
        <f t="shared" si="12"/>
        <v>0</v>
      </c>
      <c r="R70" s="44">
        <f t="shared" si="13"/>
        <v>0</v>
      </c>
      <c r="S70" s="3" t="str">
        <f t="shared" si="14"/>
        <v>Leistungswert eintragen</v>
      </c>
      <c r="U70" s="3">
        <f t="shared" si="15"/>
        <v>24.13</v>
      </c>
      <c r="V70" s="3">
        <f t="shared" si="16"/>
        <v>7.238999999999999</v>
      </c>
      <c r="W70" s="3">
        <f t="shared" si="17"/>
        <v>31.369</v>
      </c>
      <c r="X70" s="3" t="str">
        <f t="shared" si="18"/>
        <v/>
      </c>
    </row>
    <row r="71" spans="1:24" ht="15" customHeight="1" x14ac:dyDescent="0.2">
      <c r="A71" s="100">
        <v>50</v>
      </c>
      <c r="B71" s="115" t="s">
        <v>280</v>
      </c>
      <c r="C71" s="116" t="s">
        <v>240</v>
      </c>
      <c r="D71" s="116"/>
      <c r="E71" s="116" t="s">
        <v>281</v>
      </c>
      <c r="F71" s="116" t="s">
        <v>211</v>
      </c>
      <c r="G71" s="59">
        <v>7.99</v>
      </c>
      <c r="H71" s="59"/>
      <c r="I71" s="59"/>
      <c r="J71" s="100" t="s">
        <v>309</v>
      </c>
      <c r="K71" s="100" t="s">
        <v>148</v>
      </c>
      <c r="L71" s="44">
        <f>VLOOKUP(K71,Reinigungstage!A10:C31,3,FALSE)</f>
        <v>1</v>
      </c>
      <c r="M71" s="44">
        <f t="shared" si="10"/>
        <v>7.99</v>
      </c>
      <c r="N71" s="117">
        <f t="shared" si="19"/>
        <v>0</v>
      </c>
      <c r="O71" s="44">
        <f ca="1">IF('SVS GrundRG'!H61="",0,'SVS GrundRG'!H61)</f>
        <v>0</v>
      </c>
      <c r="P71" s="44">
        <f t="shared" si="11"/>
        <v>0</v>
      </c>
      <c r="Q71" s="44">
        <f t="shared" si="12"/>
        <v>0</v>
      </c>
      <c r="R71" s="44">
        <f t="shared" si="13"/>
        <v>0</v>
      </c>
      <c r="S71" s="3" t="str">
        <f t="shared" si="14"/>
        <v>Leistungswert eintragen</v>
      </c>
      <c r="U71" s="3">
        <f t="shared" si="15"/>
        <v>15</v>
      </c>
      <c r="V71" s="3">
        <f t="shared" si="16"/>
        <v>4.5</v>
      </c>
      <c r="W71" s="3">
        <f t="shared" si="17"/>
        <v>19.5</v>
      </c>
      <c r="X71" s="3" t="str">
        <f t="shared" si="18"/>
        <v/>
      </c>
    </row>
    <row r="72" spans="1:24" ht="15" customHeight="1" x14ac:dyDescent="0.2">
      <c r="A72" s="100">
        <v>51</v>
      </c>
      <c r="B72" s="115" t="s">
        <v>282</v>
      </c>
      <c r="C72" s="116" t="s">
        <v>240</v>
      </c>
      <c r="D72" s="116"/>
      <c r="E72" s="116" t="s">
        <v>214</v>
      </c>
      <c r="F72" s="116" t="s">
        <v>211</v>
      </c>
      <c r="G72" s="59">
        <v>20.69</v>
      </c>
      <c r="H72" s="59"/>
      <c r="I72" s="59"/>
      <c r="J72" s="100" t="s">
        <v>310</v>
      </c>
      <c r="K72" s="100" t="s">
        <v>148</v>
      </c>
      <c r="L72" s="44">
        <f>VLOOKUP(K72,Reinigungstage!A10:C31,3,FALSE)</f>
        <v>1</v>
      </c>
      <c r="M72" s="44">
        <f t="shared" si="10"/>
        <v>20.69</v>
      </c>
      <c r="N72" s="117">
        <f t="shared" si="19"/>
        <v>0</v>
      </c>
      <c r="O72" s="44">
        <f ca="1">IF('SVS GrundRG'!H61="",0,'SVS GrundRG'!H61)</f>
        <v>0</v>
      </c>
      <c r="P72" s="44">
        <f t="shared" si="11"/>
        <v>0</v>
      </c>
      <c r="Q72" s="44">
        <f t="shared" si="12"/>
        <v>0</v>
      </c>
      <c r="R72" s="44">
        <f t="shared" si="13"/>
        <v>0</v>
      </c>
      <c r="S72" s="3" t="str">
        <f t="shared" si="14"/>
        <v>Leistungswert eintragen</v>
      </c>
      <c r="U72" s="3">
        <f t="shared" si="15"/>
        <v>24.13</v>
      </c>
      <c r="V72" s="3">
        <f t="shared" si="16"/>
        <v>7.238999999999999</v>
      </c>
      <c r="W72" s="3">
        <f t="shared" si="17"/>
        <v>31.369</v>
      </c>
      <c r="X72" s="3" t="str">
        <f t="shared" si="18"/>
        <v/>
      </c>
    </row>
    <row r="73" spans="1:24" ht="15" customHeight="1" x14ac:dyDescent="0.2">
      <c r="A73" s="100">
        <v>52</v>
      </c>
      <c r="B73" s="115" t="s">
        <v>283</v>
      </c>
      <c r="C73" s="116" t="s">
        <v>240</v>
      </c>
      <c r="D73" s="116"/>
      <c r="E73" s="116" t="s">
        <v>210</v>
      </c>
      <c r="F73" s="116" t="s">
        <v>211</v>
      </c>
      <c r="G73" s="59">
        <v>40.46</v>
      </c>
      <c r="H73" s="59"/>
      <c r="I73" s="59"/>
      <c r="J73" s="100" t="s">
        <v>309</v>
      </c>
      <c r="K73" s="100" t="s">
        <v>148</v>
      </c>
      <c r="L73" s="44">
        <f>VLOOKUP(K73,Reinigungstage!A10:C31,3,FALSE)</f>
        <v>1</v>
      </c>
      <c r="M73" s="44">
        <f t="shared" si="10"/>
        <v>40.46</v>
      </c>
      <c r="N73" s="117">
        <f t="shared" si="19"/>
        <v>0</v>
      </c>
      <c r="O73" s="44">
        <f ca="1">IF('SVS GrundRG'!H61="",0,'SVS GrundRG'!H61)</f>
        <v>0</v>
      </c>
      <c r="P73" s="44">
        <f t="shared" si="11"/>
        <v>0</v>
      </c>
      <c r="Q73" s="44">
        <f t="shared" si="12"/>
        <v>0</v>
      </c>
      <c r="R73" s="44">
        <f t="shared" si="13"/>
        <v>0</v>
      </c>
      <c r="S73" s="3" t="str">
        <f t="shared" si="14"/>
        <v>Leistungswert eintragen</v>
      </c>
      <c r="U73" s="3">
        <f t="shared" si="15"/>
        <v>15</v>
      </c>
      <c r="V73" s="3">
        <f t="shared" si="16"/>
        <v>4.5</v>
      </c>
      <c r="W73" s="3">
        <f t="shared" si="17"/>
        <v>19.5</v>
      </c>
      <c r="X73" s="3" t="str">
        <f t="shared" si="18"/>
        <v/>
      </c>
    </row>
    <row r="74" spans="1:24" ht="15" customHeight="1" x14ac:dyDescent="0.2">
      <c r="A74" s="100">
        <v>53</v>
      </c>
      <c r="B74" s="115" t="s">
        <v>284</v>
      </c>
      <c r="C74" s="116" t="s">
        <v>240</v>
      </c>
      <c r="D74" s="116"/>
      <c r="E74" s="116" t="s">
        <v>210</v>
      </c>
      <c r="F74" s="116" t="s">
        <v>211</v>
      </c>
      <c r="G74" s="59">
        <v>40.46</v>
      </c>
      <c r="H74" s="59"/>
      <c r="I74" s="59"/>
      <c r="J74" s="100" t="s">
        <v>309</v>
      </c>
      <c r="K74" s="100" t="s">
        <v>148</v>
      </c>
      <c r="L74" s="44">
        <f>VLOOKUP(K74,Reinigungstage!A10:C31,3,FALSE)</f>
        <v>1</v>
      </c>
      <c r="M74" s="44">
        <f t="shared" si="10"/>
        <v>40.46</v>
      </c>
      <c r="N74" s="117">
        <f t="shared" si="19"/>
        <v>0</v>
      </c>
      <c r="O74" s="44">
        <f ca="1">IF('SVS GrundRG'!H61="",0,'SVS GrundRG'!H61)</f>
        <v>0</v>
      </c>
      <c r="P74" s="44">
        <f t="shared" si="11"/>
        <v>0</v>
      </c>
      <c r="Q74" s="44">
        <f t="shared" si="12"/>
        <v>0</v>
      </c>
      <c r="R74" s="44">
        <f t="shared" si="13"/>
        <v>0</v>
      </c>
      <c r="S74" s="3" t="str">
        <f t="shared" si="14"/>
        <v>Leistungswert eintragen</v>
      </c>
      <c r="U74" s="3">
        <f t="shared" si="15"/>
        <v>15</v>
      </c>
      <c r="V74" s="3">
        <f t="shared" si="16"/>
        <v>4.5</v>
      </c>
      <c r="W74" s="3">
        <f t="shared" si="17"/>
        <v>19.5</v>
      </c>
      <c r="X74" s="3" t="str">
        <f t="shared" si="18"/>
        <v/>
      </c>
    </row>
    <row r="75" spans="1:24" ht="15" customHeight="1" x14ac:dyDescent="0.2">
      <c r="A75" s="100">
        <v>54</v>
      </c>
      <c r="B75" s="115" t="s">
        <v>285</v>
      </c>
      <c r="C75" s="116" t="s">
        <v>240</v>
      </c>
      <c r="D75" s="116"/>
      <c r="E75" s="116" t="s">
        <v>207</v>
      </c>
      <c r="F75" s="116" t="s">
        <v>208</v>
      </c>
      <c r="G75" s="59">
        <v>19.39</v>
      </c>
      <c r="H75" s="59"/>
      <c r="I75" s="59"/>
      <c r="J75" s="100" t="s">
        <v>207</v>
      </c>
      <c r="K75" s="100" t="s">
        <v>148</v>
      </c>
      <c r="L75" s="44">
        <f>VLOOKUP(K75,Reinigungstage!A10:C31,3,FALSE)</f>
        <v>1</v>
      </c>
      <c r="M75" s="44">
        <f t="shared" si="10"/>
        <v>19.39</v>
      </c>
      <c r="N75" s="117">
        <f t="shared" si="19"/>
        <v>0</v>
      </c>
      <c r="O75" s="44">
        <f ca="1">IF('SVS GrundRG'!H61="",0,'SVS GrundRG'!H61)</f>
        <v>0</v>
      </c>
      <c r="P75" s="44">
        <f t="shared" si="11"/>
        <v>0</v>
      </c>
      <c r="Q75" s="44">
        <f t="shared" si="12"/>
        <v>0</v>
      </c>
      <c r="R75" s="44">
        <f t="shared" si="13"/>
        <v>0</v>
      </c>
      <c r="S75" s="3" t="str">
        <f t="shared" si="14"/>
        <v>Leistungswert eintragen</v>
      </c>
      <c r="U75" s="3">
        <f t="shared" si="15"/>
        <v>8.5</v>
      </c>
      <c r="V75" s="3">
        <f t="shared" si="16"/>
        <v>2.5499999999999998</v>
      </c>
      <c r="W75" s="3">
        <f t="shared" si="17"/>
        <v>11.05</v>
      </c>
      <c r="X75" s="3" t="str">
        <f t="shared" si="18"/>
        <v/>
      </c>
    </row>
    <row r="76" spans="1:24" ht="15" customHeight="1" x14ac:dyDescent="0.2">
      <c r="A76" s="100">
        <v>55</v>
      </c>
      <c r="B76" s="115" t="s">
        <v>286</v>
      </c>
      <c r="C76" s="116" t="s">
        <v>287</v>
      </c>
      <c r="D76" s="116"/>
      <c r="E76" s="116" t="s">
        <v>288</v>
      </c>
      <c r="F76" s="116" t="s">
        <v>289</v>
      </c>
      <c r="G76" s="59">
        <v>40.26</v>
      </c>
      <c r="H76" s="59"/>
      <c r="I76" s="59"/>
      <c r="J76" s="100" t="s">
        <v>310</v>
      </c>
      <c r="K76" s="100" t="s">
        <v>148</v>
      </c>
      <c r="L76" s="44">
        <f>VLOOKUP(K76,Reinigungstage!A10:C31,3,FALSE)</f>
        <v>1</v>
      </c>
      <c r="M76" s="44">
        <f t="shared" si="10"/>
        <v>40.26</v>
      </c>
      <c r="N76" s="117">
        <f t="shared" si="19"/>
        <v>0</v>
      </c>
      <c r="O76" s="44">
        <f ca="1">IF('SVS GrundRG'!H61="",0,'SVS GrundRG'!H61)</f>
        <v>0</v>
      </c>
      <c r="P76" s="44">
        <f t="shared" si="11"/>
        <v>0</v>
      </c>
      <c r="Q76" s="44">
        <f t="shared" si="12"/>
        <v>0</v>
      </c>
      <c r="R76" s="44">
        <f t="shared" si="13"/>
        <v>0</v>
      </c>
      <c r="S76" s="3" t="str">
        <f t="shared" si="14"/>
        <v>Leistungswert eintragen</v>
      </c>
      <c r="U76" s="3">
        <f t="shared" si="15"/>
        <v>24.13</v>
      </c>
      <c r="V76" s="3">
        <f t="shared" si="16"/>
        <v>7.238999999999999</v>
      </c>
      <c r="W76" s="3">
        <f t="shared" si="17"/>
        <v>31.369</v>
      </c>
      <c r="X76" s="3" t="str">
        <f t="shared" si="18"/>
        <v/>
      </c>
    </row>
    <row r="77" spans="1:24" ht="24.95" customHeight="1" x14ac:dyDescent="0.2">
      <c r="A77" s="100">
        <v>56</v>
      </c>
      <c r="B77" s="115" t="s">
        <v>290</v>
      </c>
      <c r="C77" s="116" t="s">
        <v>287</v>
      </c>
      <c r="D77" s="116" t="s">
        <v>264</v>
      </c>
      <c r="E77" s="116" t="s">
        <v>291</v>
      </c>
      <c r="F77" s="116" t="s">
        <v>211</v>
      </c>
      <c r="G77" s="59">
        <v>37.07</v>
      </c>
      <c r="H77" s="59"/>
      <c r="I77" s="59"/>
      <c r="J77" s="100" t="s">
        <v>309</v>
      </c>
      <c r="K77" s="100" t="s">
        <v>148</v>
      </c>
      <c r="L77" s="44">
        <f>VLOOKUP(K77,Reinigungstage!A10:C31,3,FALSE)</f>
        <v>1</v>
      </c>
      <c r="M77" s="44">
        <f t="shared" si="10"/>
        <v>37.07</v>
      </c>
      <c r="N77" s="117">
        <f t="shared" si="19"/>
        <v>0</v>
      </c>
      <c r="O77" s="44">
        <f ca="1">IF('SVS GrundRG'!H61="",0,'SVS GrundRG'!H61)</f>
        <v>0</v>
      </c>
      <c r="P77" s="44">
        <f t="shared" si="11"/>
        <v>0</v>
      </c>
      <c r="Q77" s="44">
        <f t="shared" si="12"/>
        <v>0</v>
      </c>
      <c r="R77" s="44">
        <f t="shared" si="13"/>
        <v>0</v>
      </c>
      <c r="S77" s="3" t="str">
        <f t="shared" si="14"/>
        <v>Leistungswert eintragen</v>
      </c>
      <c r="U77" s="3">
        <f t="shared" si="15"/>
        <v>15</v>
      </c>
      <c r="V77" s="3">
        <f t="shared" si="16"/>
        <v>4.5</v>
      </c>
      <c r="W77" s="3">
        <f t="shared" si="17"/>
        <v>19.5</v>
      </c>
      <c r="X77" s="3" t="str">
        <f t="shared" si="18"/>
        <v/>
      </c>
    </row>
    <row r="78" spans="1:24" ht="24.95" customHeight="1" x14ac:dyDescent="0.2">
      <c r="A78" s="100">
        <v>57</v>
      </c>
      <c r="B78" s="115" t="s">
        <v>292</v>
      </c>
      <c r="C78" s="116" t="s">
        <v>287</v>
      </c>
      <c r="D78" s="116" t="s">
        <v>264</v>
      </c>
      <c r="E78" s="116" t="s">
        <v>293</v>
      </c>
      <c r="F78" s="116" t="s">
        <v>211</v>
      </c>
      <c r="G78" s="59">
        <v>37.270000000000003</v>
      </c>
      <c r="H78" s="59"/>
      <c r="I78" s="59"/>
      <c r="J78" s="100" t="s">
        <v>309</v>
      </c>
      <c r="K78" s="100" t="s">
        <v>148</v>
      </c>
      <c r="L78" s="44">
        <f>VLOOKUP(K78,Reinigungstage!A10:C31,3,FALSE)</f>
        <v>1</v>
      </c>
      <c r="M78" s="44">
        <f t="shared" si="10"/>
        <v>37.270000000000003</v>
      </c>
      <c r="N78" s="117">
        <f t="shared" si="19"/>
        <v>0</v>
      </c>
      <c r="O78" s="44">
        <f ca="1">IF('SVS GrundRG'!H61="",0,'SVS GrundRG'!H61)</f>
        <v>0</v>
      </c>
      <c r="P78" s="44">
        <f t="shared" si="11"/>
        <v>0</v>
      </c>
      <c r="Q78" s="44">
        <f t="shared" si="12"/>
        <v>0</v>
      </c>
      <c r="R78" s="44">
        <f t="shared" si="13"/>
        <v>0</v>
      </c>
      <c r="S78" s="3" t="str">
        <f t="shared" si="14"/>
        <v>Leistungswert eintragen</v>
      </c>
      <c r="U78" s="3">
        <f t="shared" si="15"/>
        <v>15</v>
      </c>
      <c r="V78" s="3">
        <f t="shared" si="16"/>
        <v>4.5</v>
      </c>
      <c r="W78" s="3">
        <f t="shared" si="17"/>
        <v>19.5</v>
      </c>
      <c r="X78" s="3" t="str">
        <f t="shared" si="18"/>
        <v/>
      </c>
    </row>
    <row r="79" spans="1:24" ht="24.95" customHeight="1" x14ac:dyDescent="0.2">
      <c r="A79" s="100">
        <v>58</v>
      </c>
      <c r="B79" s="115" t="s">
        <v>294</v>
      </c>
      <c r="C79" s="116" t="s">
        <v>287</v>
      </c>
      <c r="D79" s="116" t="s">
        <v>264</v>
      </c>
      <c r="E79" s="116" t="s">
        <v>295</v>
      </c>
      <c r="F79" s="116" t="s">
        <v>211</v>
      </c>
      <c r="G79" s="59">
        <v>23.79</v>
      </c>
      <c r="H79" s="59"/>
      <c r="I79" s="59"/>
      <c r="J79" s="100" t="s">
        <v>310</v>
      </c>
      <c r="K79" s="100" t="s">
        <v>148</v>
      </c>
      <c r="L79" s="44">
        <f>VLOOKUP(K79,Reinigungstage!A10:C31,3,FALSE)</f>
        <v>1</v>
      </c>
      <c r="M79" s="44">
        <f t="shared" si="10"/>
        <v>23.79</v>
      </c>
      <c r="N79" s="117">
        <f t="shared" si="19"/>
        <v>0</v>
      </c>
      <c r="O79" s="44">
        <f ca="1">IF('SVS GrundRG'!H61="",0,'SVS GrundRG'!H61)</f>
        <v>0</v>
      </c>
      <c r="P79" s="44">
        <f t="shared" si="11"/>
        <v>0</v>
      </c>
      <c r="Q79" s="44">
        <f t="shared" si="12"/>
        <v>0</v>
      </c>
      <c r="R79" s="44">
        <f t="shared" si="13"/>
        <v>0</v>
      </c>
      <c r="S79" s="3" t="str">
        <f t="shared" si="14"/>
        <v>Leistungswert eintragen</v>
      </c>
      <c r="U79" s="3">
        <f t="shared" si="15"/>
        <v>24.13</v>
      </c>
      <c r="V79" s="3">
        <f t="shared" si="16"/>
        <v>7.238999999999999</v>
      </c>
      <c r="W79" s="3">
        <f t="shared" si="17"/>
        <v>31.369</v>
      </c>
      <c r="X79" s="3" t="str">
        <f t="shared" si="18"/>
        <v/>
      </c>
    </row>
    <row r="80" spans="1:24" ht="24.95" customHeight="1" x14ac:dyDescent="0.2">
      <c r="A80" s="100">
        <v>59</v>
      </c>
      <c r="B80" s="115" t="s">
        <v>296</v>
      </c>
      <c r="C80" s="116" t="s">
        <v>287</v>
      </c>
      <c r="D80" s="116" t="s">
        <v>264</v>
      </c>
      <c r="E80" s="116" t="s">
        <v>297</v>
      </c>
      <c r="F80" s="116" t="s">
        <v>211</v>
      </c>
      <c r="G80" s="59">
        <v>11.62</v>
      </c>
      <c r="H80" s="59"/>
      <c r="I80" s="59"/>
      <c r="J80" s="100" t="s">
        <v>312</v>
      </c>
      <c r="K80" s="100" t="s">
        <v>148</v>
      </c>
      <c r="L80" s="44">
        <f>VLOOKUP(K80,Reinigungstage!A10:C31,3,FALSE)</f>
        <v>1</v>
      </c>
      <c r="M80" s="44">
        <f t="shared" si="10"/>
        <v>11.62</v>
      </c>
      <c r="N80" s="117">
        <f t="shared" si="19"/>
        <v>0</v>
      </c>
      <c r="O80" s="44">
        <f ca="1">IF('SVS GrundRG'!H61="",0,'SVS GrundRG'!H61)</f>
        <v>0</v>
      </c>
      <c r="P80" s="44">
        <f t="shared" si="11"/>
        <v>0</v>
      </c>
      <c r="Q80" s="44">
        <f t="shared" si="12"/>
        <v>0</v>
      </c>
      <c r="R80" s="44">
        <f t="shared" si="13"/>
        <v>0</v>
      </c>
      <c r="S80" s="3" t="str">
        <f t="shared" si="14"/>
        <v>Leistungswert eintragen</v>
      </c>
      <c r="U80" s="3">
        <f t="shared" si="15"/>
        <v>15</v>
      </c>
      <c r="V80" s="3">
        <f t="shared" si="16"/>
        <v>4.5</v>
      </c>
      <c r="W80" s="3">
        <f t="shared" si="17"/>
        <v>19.5</v>
      </c>
      <c r="X80" s="3" t="str">
        <f t="shared" si="18"/>
        <v/>
      </c>
    </row>
    <row r="81" spans="1:24" ht="24.95" customHeight="1" x14ac:dyDescent="0.2">
      <c r="A81" s="100">
        <v>60</v>
      </c>
      <c r="B81" s="115" t="s">
        <v>298</v>
      </c>
      <c r="C81" s="116" t="s">
        <v>287</v>
      </c>
      <c r="D81" s="116" t="s">
        <v>264</v>
      </c>
      <c r="E81" s="116" t="s">
        <v>223</v>
      </c>
      <c r="F81" s="116" t="s">
        <v>211</v>
      </c>
      <c r="G81" s="59">
        <v>5.08</v>
      </c>
      <c r="H81" s="59"/>
      <c r="I81" s="59"/>
      <c r="J81" s="100" t="s">
        <v>310</v>
      </c>
      <c r="K81" s="100" t="s">
        <v>148</v>
      </c>
      <c r="L81" s="44">
        <f>VLOOKUP(K81,Reinigungstage!A10:C31,3,FALSE)</f>
        <v>1</v>
      </c>
      <c r="M81" s="44">
        <f t="shared" si="10"/>
        <v>5.08</v>
      </c>
      <c r="N81" s="117">
        <f t="shared" si="19"/>
        <v>0</v>
      </c>
      <c r="O81" s="44">
        <f ca="1">IF('SVS GrundRG'!H61="",0,'SVS GrundRG'!H61)</f>
        <v>0</v>
      </c>
      <c r="P81" s="44">
        <f t="shared" si="11"/>
        <v>0</v>
      </c>
      <c r="Q81" s="44">
        <f t="shared" si="12"/>
        <v>0</v>
      </c>
      <c r="R81" s="44">
        <f t="shared" si="13"/>
        <v>0</v>
      </c>
      <c r="S81" s="3" t="str">
        <f t="shared" si="14"/>
        <v>Leistungswert eintragen</v>
      </c>
      <c r="U81" s="3">
        <f t="shared" si="15"/>
        <v>24.13</v>
      </c>
      <c r="V81" s="3">
        <f t="shared" si="16"/>
        <v>7.238999999999999</v>
      </c>
      <c r="W81" s="3">
        <f t="shared" si="17"/>
        <v>31.369</v>
      </c>
      <c r="X81" s="3" t="str">
        <f t="shared" si="18"/>
        <v/>
      </c>
    </row>
    <row r="82" spans="1:24" ht="24.95" customHeight="1" x14ac:dyDescent="0.2">
      <c r="A82" s="100">
        <v>61</v>
      </c>
      <c r="B82" s="115" t="s">
        <v>299</v>
      </c>
      <c r="C82" s="116" t="s">
        <v>287</v>
      </c>
      <c r="D82" s="116" t="s">
        <v>264</v>
      </c>
      <c r="E82" s="116" t="s">
        <v>223</v>
      </c>
      <c r="F82" s="116" t="s">
        <v>211</v>
      </c>
      <c r="G82" s="59">
        <v>9.7200000000000006</v>
      </c>
      <c r="H82" s="59"/>
      <c r="I82" s="59"/>
      <c r="J82" s="100" t="s">
        <v>310</v>
      </c>
      <c r="K82" s="100" t="s">
        <v>148</v>
      </c>
      <c r="L82" s="44">
        <f>VLOOKUP(K82,Reinigungstage!A10:C31,3,FALSE)</f>
        <v>1</v>
      </c>
      <c r="M82" s="44">
        <f t="shared" si="10"/>
        <v>9.7200000000000006</v>
      </c>
      <c r="N82" s="117">
        <f t="shared" si="19"/>
        <v>0</v>
      </c>
      <c r="O82" s="44">
        <f ca="1">IF('SVS GrundRG'!H61="",0,'SVS GrundRG'!H61)</f>
        <v>0</v>
      </c>
      <c r="P82" s="44">
        <f t="shared" si="11"/>
        <v>0</v>
      </c>
      <c r="Q82" s="44">
        <f t="shared" si="12"/>
        <v>0</v>
      </c>
      <c r="R82" s="44">
        <f t="shared" si="13"/>
        <v>0</v>
      </c>
      <c r="S82" s="3" t="str">
        <f t="shared" si="14"/>
        <v>Leistungswert eintragen</v>
      </c>
      <c r="U82" s="3">
        <f t="shared" si="15"/>
        <v>24.13</v>
      </c>
      <c r="V82" s="3">
        <f t="shared" si="16"/>
        <v>7.238999999999999</v>
      </c>
      <c r="W82" s="3">
        <f t="shared" si="17"/>
        <v>31.369</v>
      </c>
      <c r="X82" s="3" t="str">
        <f t="shared" si="18"/>
        <v/>
      </c>
    </row>
    <row r="83" spans="1:24" ht="24.95" customHeight="1" x14ac:dyDescent="0.2">
      <c r="A83" s="100">
        <v>62</v>
      </c>
      <c r="B83" s="115" t="s">
        <v>300</v>
      </c>
      <c r="C83" s="116" t="s">
        <v>287</v>
      </c>
      <c r="D83" s="116" t="s">
        <v>264</v>
      </c>
      <c r="E83" s="116" t="s">
        <v>295</v>
      </c>
      <c r="F83" s="116" t="s">
        <v>211</v>
      </c>
      <c r="G83" s="59">
        <v>28.48</v>
      </c>
      <c r="H83" s="59"/>
      <c r="I83" s="59"/>
      <c r="J83" s="100" t="s">
        <v>310</v>
      </c>
      <c r="K83" s="100" t="s">
        <v>148</v>
      </c>
      <c r="L83" s="44">
        <f>VLOOKUP(K83,Reinigungstage!A10:C31,3,FALSE)</f>
        <v>1</v>
      </c>
      <c r="M83" s="44">
        <f t="shared" ref="M83:M88" si="20">ROUND(IF(L83=0,0,L83*G83),2)</f>
        <v>28.48</v>
      </c>
      <c r="N83" s="117">
        <f t="shared" si="19"/>
        <v>0</v>
      </c>
      <c r="O83" s="44">
        <f ca="1">IF('SVS GrundRG'!H61="",0,'SVS GrundRG'!H61)</f>
        <v>0</v>
      </c>
      <c r="P83" s="44">
        <f t="shared" ref="P83:P88" si="21">ROUND(IF(N83=0,0,M83/N83),2)</f>
        <v>0</v>
      </c>
      <c r="Q83" s="44">
        <f t="shared" ref="Q83:Q88" si="22">ROUND(IF(P83=0,0,P83*O83),2)</f>
        <v>0</v>
      </c>
      <c r="R83" s="44">
        <f t="shared" ref="R83:R88" si="23">ROUND(IF(P83=0,0,Q83/L83),2)</f>
        <v>0</v>
      </c>
      <c r="S83" s="3" t="str">
        <f t="shared" ref="S83:S88" si="24">IF(M83=0,"",IF(N83=0,"Leistungswert eintragen",IF(O83=0,"SVS prüfen","")))</f>
        <v>Leistungswert eintragen</v>
      </c>
      <c r="U83" s="3">
        <f t="shared" ref="U83:U88" si="25">VLOOKUP(J83,$U$4:$V$13,2,FALSE)</f>
        <v>24.13</v>
      </c>
      <c r="V83" s="3">
        <f t="shared" ref="V83:V88" si="26">U83*30%</f>
        <v>7.238999999999999</v>
      </c>
      <c r="W83" s="3">
        <f t="shared" ref="W83:W88" si="27">SUM(U83:V83)</f>
        <v>31.369</v>
      </c>
      <c r="X83" s="3" t="str">
        <f t="shared" ref="X83:X88" si="28">IF(N83=0,"",IF(W83&lt;N83,1,IF(W83&gt;=N83,0,"")))</f>
        <v/>
      </c>
    </row>
    <row r="84" spans="1:24" ht="24.95" customHeight="1" x14ac:dyDescent="0.2">
      <c r="A84" s="100">
        <v>63</v>
      </c>
      <c r="B84" s="115" t="s">
        <v>301</v>
      </c>
      <c r="C84" s="116" t="s">
        <v>287</v>
      </c>
      <c r="D84" s="116" t="s">
        <v>264</v>
      </c>
      <c r="E84" s="116" t="s">
        <v>302</v>
      </c>
      <c r="F84" s="116" t="s">
        <v>211</v>
      </c>
      <c r="G84" s="59">
        <v>27.64</v>
      </c>
      <c r="H84" s="59"/>
      <c r="I84" s="59"/>
      <c r="J84" s="100" t="s">
        <v>317</v>
      </c>
      <c r="K84" s="100" t="s">
        <v>148</v>
      </c>
      <c r="L84" s="44">
        <f>VLOOKUP(K84,Reinigungstage!A10:C31,3,FALSE)</f>
        <v>1</v>
      </c>
      <c r="M84" s="44">
        <f t="shared" si="20"/>
        <v>27.64</v>
      </c>
      <c r="N84" s="117">
        <f t="shared" si="19"/>
        <v>0</v>
      </c>
      <c r="O84" s="44">
        <f ca="1">IF('SVS GrundRG'!H61="",0,'SVS GrundRG'!H61)</f>
        <v>0</v>
      </c>
      <c r="P84" s="44">
        <f t="shared" si="21"/>
        <v>0</v>
      </c>
      <c r="Q84" s="44">
        <f t="shared" si="22"/>
        <v>0</v>
      </c>
      <c r="R84" s="44">
        <f t="shared" si="23"/>
        <v>0</v>
      </c>
      <c r="S84" s="3" t="str">
        <f t="shared" si="24"/>
        <v>Leistungswert eintragen</v>
      </c>
      <c r="U84" s="3">
        <f t="shared" si="25"/>
        <v>23.25</v>
      </c>
      <c r="V84" s="3">
        <f t="shared" si="26"/>
        <v>6.9749999999999996</v>
      </c>
      <c r="W84" s="3">
        <f t="shared" si="27"/>
        <v>30.225000000000001</v>
      </c>
      <c r="X84" s="3" t="str">
        <f t="shared" si="28"/>
        <v/>
      </c>
    </row>
    <row r="85" spans="1:24" ht="15" customHeight="1" x14ac:dyDescent="0.2">
      <c r="A85" s="100">
        <v>64</v>
      </c>
      <c r="B85" s="115" t="s">
        <v>303</v>
      </c>
      <c r="C85" s="116" t="s">
        <v>287</v>
      </c>
      <c r="D85" s="116"/>
      <c r="E85" s="116" t="s">
        <v>304</v>
      </c>
      <c r="F85" s="116" t="s">
        <v>211</v>
      </c>
      <c r="G85" s="59">
        <v>11.62</v>
      </c>
      <c r="H85" s="59"/>
      <c r="I85" s="59"/>
      <c r="J85" s="100" t="s">
        <v>312</v>
      </c>
      <c r="K85" s="100" t="s">
        <v>148</v>
      </c>
      <c r="L85" s="44">
        <f>VLOOKUP(K85,Reinigungstage!A10:C31,3,FALSE)</f>
        <v>1</v>
      </c>
      <c r="M85" s="44">
        <f t="shared" si="20"/>
        <v>11.62</v>
      </c>
      <c r="N85" s="117">
        <f t="shared" si="19"/>
        <v>0</v>
      </c>
      <c r="O85" s="44">
        <f ca="1">IF('SVS GrundRG'!H61="",0,'SVS GrundRG'!H61)</f>
        <v>0</v>
      </c>
      <c r="P85" s="44">
        <f t="shared" si="21"/>
        <v>0</v>
      </c>
      <c r="Q85" s="44">
        <f t="shared" si="22"/>
        <v>0</v>
      </c>
      <c r="R85" s="44">
        <f t="shared" si="23"/>
        <v>0</v>
      </c>
      <c r="S85" s="3" t="str">
        <f t="shared" si="24"/>
        <v>Leistungswert eintragen</v>
      </c>
      <c r="U85" s="3">
        <f t="shared" si="25"/>
        <v>15</v>
      </c>
      <c r="V85" s="3">
        <f t="shared" si="26"/>
        <v>4.5</v>
      </c>
      <c r="W85" s="3">
        <f t="shared" si="27"/>
        <v>19.5</v>
      </c>
      <c r="X85" s="3" t="str">
        <f t="shared" si="28"/>
        <v/>
      </c>
    </row>
    <row r="86" spans="1:24" ht="15" customHeight="1" x14ac:dyDescent="0.2">
      <c r="A86" s="100">
        <v>65</v>
      </c>
      <c r="B86" s="115" t="s">
        <v>305</v>
      </c>
      <c r="C86" s="116" t="s">
        <v>287</v>
      </c>
      <c r="D86" s="116"/>
      <c r="E86" s="116" t="s">
        <v>223</v>
      </c>
      <c r="F86" s="116" t="s">
        <v>211</v>
      </c>
      <c r="G86" s="59">
        <v>20.18</v>
      </c>
      <c r="H86" s="59"/>
      <c r="I86" s="59"/>
      <c r="J86" s="100" t="s">
        <v>310</v>
      </c>
      <c r="K86" s="100" t="s">
        <v>148</v>
      </c>
      <c r="L86" s="44">
        <f>VLOOKUP(K86,Reinigungstage!A10:C31,3,FALSE)</f>
        <v>1</v>
      </c>
      <c r="M86" s="44">
        <f t="shared" si="20"/>
        <v>20.18</v>
      </c>
      <c r="N86" s="117">
        <f t="shared" si="19"/>
        <v>0</v>
      </c>
      <c r="O86" s="44">
        <f ca="1">IF('SVS GrundRG'!H61="",0,'SVS GrundRG'!H61)</f>
        <v>0</v>
      </c>
      <c r="P86" s="44">
        <f t="shared" si="21"/>
        <v>0</v>
      </c>
      <c r="Q86" s="44">
        <f t="shared" si="22"/>
        <v>0</v>
      </c>
      <c r="R86" s="44">
        <f t="shared" si="23"/>
        <v>0</v>
      </c>
      <c r="S86" s="3" t="str">
        <f t="shared" si="24"/>
        <v>Leistungswert eintragen</v>
      </c>
      <c r="U86" s="3">
        <f t="shared" si="25"/>
        <v>24.13</v>
      </c>
      <c r="V86" s="3">
        <f t="shared" si="26"/>
        <v>7.238999999999999</v>
      </c>
      <c r="W86" s="3">
        <f t="shared" si="27"/>
        <v>31.369</v>
      </c>
      <c r="X86" s="3" t="str">
        <f t="shared" si="28"/>
        <v/>
      </c>
    </row>
    <row r="87" spans="1:24" ht="15" customHeight="1" x14ac:dyDescent="0.2">
      <c r="A87" s="100">
        <v>66</v>
      </c>
      <c r="B87" s="115" t="s">
        <v>306</v>
      </c>
      <c r="C87" s="116" t="s">
        <v>287</v>
      </c>
      <c r="D87" s="116"/>
      <c r="E87" s="116" t="s">
        <v>223</v>
      </c>
      <c r="F87" s="116" t="s">
        <v>211</v>
      </c>
      <c r="G87" s="59">
        <v>9.85</v>
      </c>
      <c r="H87" s="59"/>
      <c r="I87" s="59"/>
      <c r="J87" s="100" t="s">
        <v>310</v>
      </c>
      <c r="K87" s="100" t="s">
        <v>148</v>
      </c>
      <c r="L87" s="44">
        <f>VLOOKUP(K87,Reinigungstage!A10:C31,3,FALSE)</f>
        <v>1</v>
      </c>
      <c r="M87" s="44">
        <f t="shared" si="20"/>
        <v>9.85</v>
      </c>
      <c r="N87" s="117">
        <f t="shared" si="19"/>
        <v>0</v>
      </c>
      <c r="O87" s="44">
        <f ca="1">IF('SVS GrundRG'!H61="",0,'SVS GrundRG'!H61)</f>
        <v>0</v>
      </c>
      <c r="P87" s="44">
        <f t="shared" si="21"/>
        <v>0</v>
      </c>
      <c r="Q87" s="44">
        <f t="shared" si="22"/>
        <v>0</v>
      </c>
      <c r="R87" s="44">
        <f t="shared" si="23"/>
        <v>0</v>
      </c>
      <c r="S87" s="3" t="str">
        <f t="shared" si="24"/>
        <v>Leistungswert eintragen</v>
      </c>
      <c r="U87" s="3">
        <f t="shared" si="25"/>
        <v>24.13</v>
      </c>
      <c r="V87" s="3">
        <f t="shared" si="26"/>
        <v>7.238999999999999</v>
      </c>
      <c r="W87" s="3">
        <f t="shared" si="27"/>
        <v>31.369</v>
      </c>
      <c r="X87" s="3" t="str">
        <f t="shared" si="28"/>
        <v/>
      </c>
    </row>
    <row r="88" spans="1:24" ht="15" customHeight="1" x14ac:dyDescent="0.2">
      <c r="A88" s="100">
        <v>67</v>
      </c>
      <c r="B88" s="115" t="s">
        <v>307</v>
      </c>
      <c r="C88" s="116" t="s">
        <v>287</v>
      </c>
      <c r="D88" s="116"/>
      <c r="E88" s="116" t="s">
        <v>308</v>
      </c>
      <c r="F88" s="116" t="s">
        <v>211</v>
      </c>
      <c r="G88" s="59">
        <v>36.58</v>
      </c>
      <c r="H88" s="59"/>
      <c r="I88" s="59"/>
      <c r="J88" s="100" t="s">
        <v>310</v>
      </c>
      <c r="K88" s="100" t="s">
        <v>148</v>
      </c>
      <c r="L88" s="44">
        <f>VLOOKUP(K88,Reinigungstage!A10:C31,3,FALSE)</f>
        <v>1</v>
      </c>
      <c r="M88" s="44">
        <f t="shared" si="20"/>
        <v>36.58</v>
      </c>
      <c r="N88" s="117">
        <f t="shared" si="19"/>
        <v>0</v>
      </c>
      <c r="O88" s="44">
        <f ca="1">IF('SVS GrundRG'!H61="",0,'SVS GrundRG'!H61)</f>
        <v>0</v>
      </c>
      <c r="P88" s="44">
        <f t="shared" si="21"/>
        <v>0</v>
      </c>
      <c r="Q88" s="44">
        <f t="shared" si="22"/>
        <v>0</v>
      </c>
      <c r="R88" s="44">
        <f t="shared" si="23"/>
        <v>0</v>
      </c>
      <c r="S88" s="3" t="str">
        <f t="shared" si="24"/>
        <v>Leistungswert eintragen</v>
      </c>
      <c r="U88" s="3">
        <f t="shared" si="25"/>
        <v>24.13</v>
      </c>
      <c r="V88" s="3">
        <f t="shared" si="26"/>
        <v>7.238999999999999</v>
      </c>
      <c r="W88" s="3">
        <f t="shared" si="27"/>
        <v>31.369</v>
      </c>
      <c r="X88" s="3" t="str">
        <f t="shared" si="28"/>
        <v/>
      </c>
    </row>
  </sheetData>
  <sheetProtection algorithmName="SHA-512" hashValue="EAa7roI10UDgJW5O5lEo65Y89Ti8xOXTE3hUDDO2GUhcAY9NOjxvG4zAbt5JdDXb0JiS4B6jWlZBd6tCBHCjhQ==" saltValue="ctnIoZU01p7zR9nq6Ca63Q==" spinCount="100000" sheet="1" objects="1" scenarios="1"/>
  <sortState xmlns:xlrd2="http://schemas.microsoft.com/office/spreadsheetml/2017/richdata2" ref="U4:U13">
    <sortCondition ref="U4"/>
  </sortState>
  <mergeCells count="16">
    <mergeCell ref="N2:Q5"/>
    <mergeCell ref="A4:A5"/>
    <mergeCell ref="A2:E2"/>
    <mergeCell ref="G2:G3"/>
    <mergeCell ref="H2:H3"/>
    <mergeCell ref="I2:I3"/>
    <mergeCell ref="J2:J3"/>
    <mergeCell ref="B13:E13"/>
    <mergeCell ref="B4:E5"/>
    <mergeCell ref="B6:E6"/>
    <mergeCell ref="B7:E7"/>
    <mergeCell ref="B8:E8"/>
    <mergeCell ref="B9:E9"/>
    <mergeCell ref="B10:E10"/>
    <mergeCell ref="B11:E11"/>
    <mergeCell ref="B12:E12"/>
  </mergeCells>
  <conditionalFormatting sqref="L8">
    <cfRule type="containsText" dxfId="15"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4" priority="5" operator="containsText" text="Bitte prüfen Sie diese.">
      <formula>NOT(ISERROR(SEARCH("Bitte prüfen Sie diese.",L9)))</formula>
    </cfRule>
  </conditionalFormatting>
  <conditionalFormatting sqref="L10">
    <cfRule type="containsText" dxfId="13"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2" priority="3" operator="containsText" text="lediglich Fehleingaben vermeiden wollen.">
      <formula>NOT(ISERROR(SEARCH("lediglich Fehleingaben vermeiden wollen.",L11)))</formula>
    </cfRule>
  </conditionalFormatting>
  <conditionalFormatting sqref="M11">
    <cfRule type="containsText" dxfId="11"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0" priority="7" operator="containsText" text="für die Objektart prüfen.">
      <formula>NOT(ISERROR(SEARCH("für die Objektart prüfen.",M12)))</formula>
    </cfRule>
  </conditionalFormatting>
  <conditionalFormatting sqref="N13">
    <cfRule type="expression" dxfId="9" priority="2" stopIfTrue="1">
      <formula>N13=0</formula>
    </cfRule>
  </conditionalFormatting>
  <conditionalFormatting sqref="N14">
    <cfRule type="expression" dxfId="8" priority="1">
      <formula>N14=0</formula>
    </cfRule>
  </conditionalFormatting>
  <conditionalFormatting sqref="N22:N88">
    <cfRule type="expression" dxfId="7" priority="11">
      <formula>X22=0</formula>
    </cfRule>
    <cfRule type="expression" dxfId="6" priority="12" stopIfTrue="1">
      <formula>X22=1</formula>
    </cfRule>
  </conditionalFormatting>
  <conditionalFormatting sqref="O13">
    <cfRule type="containsText" dxfId="5"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4" priority="9" operator="containsText" text="Wert(e) prüfen.">
      <formula>NOT(ISERROR(SEARCH("Wert(e) prüfen.",O14)))</formula>
    </cfRule>
  </conditionalFormatting>
  <conditionalFormatting sqref="S22:S88">
    <cfRule type="containsText" dxfId="3" priority="13" stopIfTrue="1" operator="containsText" text="SVS prüfen">
      <formula>NOT(ISERROR(SEARCH("SVS prüfen",S22)))</formula>
    </cfRule>
    <cfRule type="containsText" dxfId="2" priority="14" stopIfTrue="1" operator="containsText" text="Leistungswert eintragen">
      <formula>NOT(ISERROR(SEARCH("Leistungswert eintragen",S22)))</formula>
    </cfRule>
  </conditionalFormatting>
  <hyperlinks>
    <hyperlink ref="M1" location="Inhaltsverzeichnis!A1" display="Zurück zum Inhaltsverzeichnis" xr:uid="{1089ED3B-6E22-443F-9A6B-E4C70BB022DF}"/>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Kita Tausendf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07522"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07523"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07524"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7">
    <tabColor indexed="16"/>
  </sheetPr>
  <dimension ref="A1:O45"/>
  <sheetViews>
    <sheetView showGridLines="0" zoomScaleNormal="100" workbookViewId="0"/>
  </sheetViews>
  <sheetFormatPr baseColWidth="10" defaultColWidth="0" defaultRowHeight="15" customHeight="1" x14ac:dyDescent="0.15"/>
  <cols>
    <col min="1" max="1" width="7.7109375" style="14" customWidth="1"/>
    <col min="2" max="2" width="28.7109375" style="14" customWidth="1"/>
    <col min="3" max="3" width="35.7109375" style="14" customWidth="1"/>
    <col min="4" max="4" width="20.7109375" style="14" customWidth="1"/>
    <col min="5" max="5" width="11.7109375" style="14" customWidth="1"/>
    <col min="6" max="6" width="16.28515625" style="14" customWidth="1"/>
    <col min="7" max="7" width="17.28515625" style="14" customWidth="1"/>
    <col min="8" max="8" width="22.28515625" style="14" customWidth="1"/>
    <col min="9" max="9" width="11.7109375" style="14" hidden="1" customWidth="1"/>
    <col min="10" max="10" width="5.7109375" style="14" hidden="1" customWidth="1"/>
    <col min="11" max="11" width="12.7109375" style="14" hidden="1" customWidth="1"/>
    <col min="12" max="12" width="13.28515625" style="14" hidden="1" customWidth="1"/>
    <col min="13" max="13" width="10" style="14" hidden="1" customWidth="1"/>
    <col min="14" max="14" width="11.42578125" style="14" hidden="1" customWidth="1"/>
    <col min="15" max="15" width="10.5703125" style="14" hidden="1" customWidth="1"/>
    <col min="16" max="16384" width="0" style="14" hidden="1"/>
  </cols>
  <sheetData>
    <row r="1" spans="1:8" s="13" customFormat="1" ht="36" customHeight="1" x14ac:dyDescent="0.2">
      <c r="A1" s="13" t="s">
        <v>204</v>
      </c>
      <c r="D1" s="30"/>
      <c r="F1" s="31" t="s">
        <v>100</v>
      </c>
    </row>
    <row r="2" spans="1:8" s="13" customFormat="1" ht="25.9" customHeight="1" x14ac:dyDescent="0.2">
      <c r="A2" s="13" t="s">
        <v>103</v>
      </c>
      <c r="B2" s="15" t="str">
        <f>IF(Inhaltsverzeichnis!$C$3="", "",Inhaltsverzeichnis!$C$3)</f>
        <v/>
      </c>
      <c r="C2" s="32" t="b">
        <v>0</v>
      </c>
      <c r="D2" s="178" t="str">
        <f>IF(C2=TRUE,"Hier ist lediglich der Preis pro Einheit (€) auszufüllen.
Die rot markierten Informationen verschwinden, wenn die gelben Zellen ausgefüllt sind.  Wenn keine rote Schrift mehr angezeigt wird, ist alles ausgefüllt.","")</f>
        <v/>
      </c>
      <c r="E2" s="178"/>
      <c r="F2" s="178"/>
      <c r="G2" s="178"/>
    </row>
    <row r="3" spans="1:8" s="13" customFormat="1" ht="15" customHeight="1" x14ac:dyDescent="0.2">
      <c r="D3" s="179"/>
      <c r="E3" s="179"/>
      <c r="F3" s="179"/>
      <c r="G3" s="179"/>
      <c r="H3" s="33">
        <f>IF(COUNTA($H$5:$H$8)-COUNTBLANK($H$5:$H$8)=0,"",COUNTA($H$5:$H$8)-COUNTBLANK($H$5:$H$8))</f>
        <v>4</v>
      </c>
    </row>
    <row r="4" spans="1:8" ht="45" customHeight="1" x14ac:dyDescent="0.15">
      <c r="A4" s="39" t="s">
        <v>92</v>
      </c>
      <c r="B4" s="39" t="s">
        <v>113</v>
      </c>
      <c r="C4" s="40" t="s">
        <v>122</v>
      </c>
      <c r="D4" s="38" t="s">
        <v>153</v>
      </c>
      <c r="E4" s="38" t="s">
        <v>188</v>
      </c>
      <c r="F4" s="38" t="s">
        <v>189</v>
      </c>
      <c r="G4" s="38" t="s">
        <v>190</v>
      </c>
    </row>
    <row r="5" spans="1:8" ht="54.95" customHeight="1" x14ac:dyDescent="0.15">
      <c r="A5" s="47">
        <v>1</v>
      </c>
      <c r="B5" s="41" t="s">
        <v>197</v>
      </c>
      <c r="C5" s="41" t="s">
        <v>318</v>
      </c>
      <c r="D5" s="42" t="s">
        <v>319</v>
      </c>
      <c r="E5" s="42">
        <v>26</v>
      </c>
      <c r="F5" s="129"/>
      <c r="G5" s="48">
        <f>ROUND(IF(F5=0,0,F5*E5),2)</f>
        <v>0</v>
      </c>
      <c r="H5" s="13" t="str">
        <f>IF(F5=0,"Preis eintragen","")</f>
        <v>Preis eintragen</v>
      </c>
    </row>
    <row r="6" spans="1:8" ht="65.099999999999994" customHeight="1" x14ac:dyDescent="0.15">
      <c r="A6" s="47">
        <v>2</v>
      </c>
      <c r="B6" s="41" t="s">
        <v>197</v>
      </c>
      <c r="C6" s="41" t="s">
        <v>320</v>
      </c>
      <c r="D6" s="42" t="s">
        <v>321</v>
      </c>
      <c r="E6" s="42">
        <v>17</v>
      </c>
      <c r="F6" s="129"/>
      <c r="G6" s="48">
        <f>ROUND(IF(F6=0,0,F6*E6),2)</f>
        <v>0</v>
      </c>
      <c r="H6" s="13" t="str">
        <f>IF(F6=0,"Preis eintragen","")</f>
        <v>Preis eintragen</v>
      </c>
    </row>
    <row r="7" spans="1:8" ht="15" customHeight="1" x14ac:dyDescent="0.15">
      <c r="A7" s="47">
        <v>3</v>
      </c>
      <c r="B7" s="41" t="s">
        <v>197</v>
      </c>
      <c r="C7" s="41" t="s">
        <v>322</v>
      </c>
      <c r="D7" s="42" t="s">
        <v>323</v>
      </c>
      <c r="E7" s="42">
        <v>50</v>
      </c>
      <c r="F7" s="129"/>
      <c r="G7" s="48">
        <f>ROUND(IF(F7=0,0,F7*E7),2)</f>
        <v>0</v>
      </c>
      <c r="H7" s="13" t="str">
        <f>IF(F7=0,"Preis eintragen","")</f>
        <v>Preis eintragen</v>
      </c>
    </row>
    <row r="8" spans="1:8" ht="15" customHeight="1" x14ac:dyDescent="0.15">
      <c r="A8" s="47">
        <v>4</v>
      </c>
      <c r="B8" s="41" t="s">
        <v>197</v>
      </c>
      <c r="C8" s="41" t="s">
        <v>324</v>
      </c>
      <c r="D8" s="42" t="s">
        <v>323</v>
      </c>
      <c r="E8" s="42">
        <v>39.25</v>
      </c>
      <c r="F8" s="129"/>
      <c r="G8" s="48">
        <f>ROUND(IF(F8=0,0,F8*E8),2)</f>
        <v>0</v>
      </c>
      <c r="H8" s="13" t="str">
        <f>IF(F8=0,"Preis eintragen","")</f>
        <v>Preis eintragen</v>
      </c>
    </row>
    <row r="9" spans="1:8" ht="10.5" x14ac:dyDescent="0.15">
      <c r="A9" s="13"/>
      <c r="B9" s="13"/>
      <c r="C9" s="13"/>
      <c r="D9" s="13"/>
      <c r="E9" s="13"/>
      <c r="F9" s="13"/>
      <c r="G9" s="13"/>
      <c r="H9" s="13"/>
    </row>
    <row r="10" spans="1:8" ht="15" customHeight="1" x14ac:dyDescent="0.15">
      <c r="A10" s="13"/>
      <c r="B10" s="13" t="s">
        <v>351</v>
      </c>
      <c r="C10" s="13"/>
      <c r="D10" s="13"/>
      <c r="E10" s="13"/>
      <c r="F10" s="13"/>
      <c r="G10" s="13"/>
      <c r="H10" s="13"/>
    </row>
    <row r="11" spans="1:8" ht="15" customHeight="1" x14ac:dyDescent="0.15">
      <c r="A11" s="13"/>
      <c r="B11" s="13" t="s">
        <v>352</v>
      </c>
      <c r="C11" s="13"/>
      <c r="D11" s="13"/>
      <c r="E11" s="13"/>
      <c r="F11" s="13"/>
      <c r="G11" s="13"/>
      <c r="H11" s="13"/>
    </row>
    <row r="12" spans="1:8" ht="15" customHeight="1" x14ac:dyDescent="0.15">
      <c r="A12" s="13"/>
      <c r="B12" s="13" t="s">
        <v>353</v>
      </c>
      <c r="C12" s="13"/>
      <c r="D12" s="13"/>
      <c r="E12" s="13"/>
      <c r="F12" s="13"/>
      <c r="G12" s="13"/>
      <c r="H12" s="13"/>
    </row>
    <row r="13" spans="1:8" ht="10.5" x14ac:dyDescent="0.15">
      <c r="A13" s="13"/>
      <c r="B13" s="13"/>
      <c r="C13" s="13"/>
      <c r="D13" s="13"/>
      <c r="E13" s="13"/>
      <c r="F13" s="13"/>
      <c r="G13" s="13"/>
      <c r="H13" s="13"/>
    </row>
    <row r="14" spans="1:8" ht="15" customHeight="1" x14ac:dyDescent="0.15">
      <c r="A14" s="13"/>
      <c r="B14" s="13" t="s">
        <v>354</v>
      </c>
      <c r="C14" s="13"/>
      <c r="D14" s="13"/>
      <c r="E14" s="13"/>
      <c r="F14" s="13"/>
      <c r="G14" s="13"/>
      <c r="H14" s="13"/>
    </row>
    <row r="15" spans="1:8" ht="10.5" x14ac:dyDescent="0.15">
      <c r="A15" s="13"/>
      <c r="B15" s="13"/>
      <c r="C15" s="13"/>
      <c r="D15" s="13"/>
      <c r="E15" s="13"/>
      <c r="F15" s="13"/>
      <c r="G15" s="13"/>
      <c r="H15" s="13"/>
    </row>
    <row r="16" spans="1:8" ht="15" customHeight="1" x14ac:dyDescent="0.15">
      <c r="A16" s="13"/>
      <c r="B16" s="13" t="s">
        <v>355</v>
      </c>
      <c r="C16" s="13"/>
      <c r="D16" s="13"/>
      <c r="E16" s="13"/>
      <c r="F16" s="13"/>
      <c r="G16" s="13"/>
      <c r="H16" s="13"/>
    </row>
    <row r="17" spans="1:8" ht="15" customHeight="1" x14ac:dyDescent="0.15">
      <c r="A17" s="13"/>
      <c r="B17" s="13" t="s">
        <v>356</v>
      </c>
      <c r="C17" s="13"/>
      <c r="D17" s="13"/>
      <c r="E17" s="13"/>
      <c r="F17" s="13"/>
      <c r="G17" s="13"/>
      <c r="H17" s="13"/>
    </row>
    <row r="18" spans="1:8" ht="15" customHeight="1" x14ac:dyDescent="0.15">
      <c r="A18" s="13"/>
      <c r="B18" s="13" t="s">
        <v>357</v>
      </c>
      <c r="C18" s="13"/>
      <c r="D18" s="13"/>
      <c r="E18" s="13"/>
      <c r="F18" s="13"/>
      <c r="G18" s="13"/>
      <c r="H18" s="13"/>
    </row>
    <row r="19" spans="1:8" ht="10.5" x14ac:dyDescent="0.15">
      <c r="A19" s="13"/>
      <c r="C19" s="13"/>
      <c r="D19" s="13"/>
      <c r="E19" s="13"/>
      <c r="F19" s="13"/>
      <c r="G19" s="13"/>
      <c r="H19" s="13"/>
    </row>
    <row r="20" spans="1:8" ht="15" customHeight="1" x14ac:dyDescent="0.15">
      <c r="A20" s="13"/>
      <c r="B20" s="13" t="s">
        <v>358</v>
      </c>
      <c r="C20" s="13"/>
      <c r="D20" s="13"/>
      <c r="E20" s="13"/>
      <c r="F20" s="13"/>
      <c r="G20" s="13"/>
      <c r="H20" s="13"/>
    </row>
    <row r="21" spans="1:8" ht="10.5" x14ac:dyDescent="0.15">
      <c r="A21" s="13"/>
      <c r="B21" s="13"/>
      <c r="C21" s="13"/>
      <c r="D21" s="13"/>
      <c r="E21" s="13"/>
      <c r="F21" s="13"/>
      <c r="G21" s="13"/>
      <c r="H21" s="13"/>
    </row>
    <row r="22" spans="1:8" ht="10.5" x14ac:dyDescent="0.15">
      <c r="A22" s="13"/>
      <c r="B22" s="13"/>
      <c r="C22" s="13"/>
      <c r="D22" s="13"/>
      <c r="E22" s="13"/>
      <c r="F22" s="13"/>
      <c r="G22" s="13"/>
      <c r="H22" s="13"/>
    </row>
    <row r="23" spans="1:8" ht="10.5" x14ac:dyDescent="0.15">
      <c r="A23" s="13"/>
      <c r="B23" s="13"/>
      <c r="C23" s="13"/>
      <c r="D23" s="13"/>
      <c r="E23" s="13"/>
      <c r="F23" s="13"/>
      <c r="G23" s="13"/>
      <c r="H23" s="13"/>
    </row>
    <row r="24" spans="1:8" ht="10.5" x14ac:dyDescent="0.15">
      <c r="A24" s="13"/>
      <c r="B24" s="13"/>
      <c r="C24" s="13"/>
      <c r="D24" s="13"/>
      <c r="E24" s="13"/>
      <c r="F24" s="13"/>
      <c r="G24" s="13"/>
      <c r="H24" s="13"/>
    </row>
    <row r="25" spans="1:8" ht="10.5" x14ac:dyDescent="0.15">
      <c r="A25" s="13"/>
      <c r="B25" s="13"/>
      <c r="C25" s="13"/>
      <c r="D25" s="13"/>
      <c r="E25" s="13"/>
      <c r="F25" s="13"/>
      <c r="G25" s="13"/>
      <c r="H25" s="13"/>
    </row>
    <row r="26" spans="1:8" ht="10.5" x14ac:dyDescent="0.15">
      <c r="A26" s="13"/>
      <c r="B26" s="13"/>
      <c r="C26" s="13"/>
      <c r="D26" s="13"/>
      <c r="E26" s="13"/>
      <c r="F26" s="13"/>
      <c r="G26" s="13"/>
      <c r="H26" s="13"/>
    </row>
    <row r="27" spans="1:8" ht="10.5" x14ac:dyDescent="0.15">
      <c r="A27" s="13"/>
      <c r="B27" s="13"/>
      <c r="C27" s="13"/>
      <c r="D27" s="13"/>
      <c r="E27" s="13"/>
      <c r="F27" s="13"/>
      <c r="G27" s="13"/>
      <c r="H27" s="13"/>
    </row>
    <row r="28" spans="1:8" ht="10.5" x14ac:dyDescent="0.15">
      <c r="A28" s="13"/>
      <c r="B28" s="13"/>
      <c r="C28" s="13"/>
      <c r="D28" s="13"/>
      <c r="E28" s="13"/>
      <c r="F28" s="13"/>
      <c r="G28" s="13"/>
      <c r="H28" s="13"/>
    </row>
    <row r="29" spans="1:8" ht="10.5" x14ac:dyDescent="0.15">
      <c r="A29" s="13"/>
      <c r="B29" s="13"/>
      <c r="C29" s="13"/>
      <c r="D29" s="13"/>
      <c r="E29" s="13"/>
      <c r="F29" s="13"/>
      <c r="G29" s="13"/>
      <c r="H29" s="13"/>
    </row>
    <row r="30" spans="1:8" ht="10.5" x14ac:dyDescent="0.15">
      <c r="A30" s="13"/>
      <c r="B30" s="13"/>
      <c r="C30" s="13"/>
      <c r="D30" s="13"/>
      <c r="E30" s="13"/>
      <c r="F30" s="13"/>
      <c r="G30" s="13"/>
      <c r="H30" s="13"/>
    </row>
    <row r="31" spans="1:8" ht="10.5" x14ac:dyDescent="0.15">
      <c r="A31" s="13"/>
      <c r="B31" s="13"/>
      <c r="C31" s="13"/>
      <c r="D31" s="13"/>
      <c r="E31" s="13"/>
      <c r="F31" s="13"/>
      <c r="G31" s="13"/>
      <c r="H31" s="13"/>
    </row>
    <row r="32" spans="1:8" ht="10.5" x14ac:dyDescent="0.15">
      <c r="A32" s="13"/>
      <c r="B32" s="13"/>
      <c r="C32" s="13"/>
      <c r="D32" s="13"/>
      <c r="E32" s="13"/>
      <c r="F32" s="13"/>
      <c r="G32" s="13"/>
      <c r="H32" s="13"/>
    </row>
    <row r="33" spans="1:8" ht="10.5" x14ac:dyDescent="0.15">
      <c r="A33" s="13"/>
      <c r="B33" s="13"/>
      <c r="C33" s="13"/>
      <c r="D33" s="13"/>
      <c r="E33" s="13"/>
      <c r="F33" s="13"/>
      <c r="G33" s="13"/>
      <c r="H33" s="13"/>
    </row>
    <row r="34" spans="1:8" ht="10.5" x14ac:dyDescent="0.15">
      <c r="A34" s="13"/>
      <c r="B34" s="13"/>
      <c r="C34" s="13"/>
      <c r="D34" s="13"/>
      <c r="E34" s="13"/>
      <c r="F34" s="13"/>
      <c r="G34" s="13"/>
      <c r="H34" s="13"/>
    </row>
    <row r="35" spans="1:8" ht="10.5" x14ac:dyDescent="0.15">
      <c r="A35" s="13"/>
      <c r="B35" s="13"/>
      <c r="C35" s="13"/>
      <c r="D35" s="13"/>
      <c r="E35" s="13"/>
      <c r="F35" s="13"/>
      <c r="G35" s="13"/>
      <c r="H35" s="13"/>
    </row>
    <row r="36" spans="1:8" ht="10.5" x14ac:dyDescent="0.15">
      <c r="A36" s="13"/>
      <c r="B36" s="13"/>
      <c r="C36" s="13"/>
      <c r="D36" s="13"/>
      <c r="E36" s="13"/>
      <c r="F36" s="13"/>
      <c r="G36" s="13"/>
      <c r="H36" s="13"/>
    </row>
    <row r="37" spans="1:8" ht="10.5" x14ac:dyDescent="0.15">
      <c r="A37" s="13"/>
      <c r="B37" s="13"/>
      <c r="C37" s="13"/>
      <c r="D37" s="13"/>
      <c r="E37" s="13"/>
      <c r="F37" s="13"/>
      <c r="G37" s="13"/>
      <c r="H37" s="13"/>
    </row>
    <row r="38" spans="1:8" ht="10.5" x14ac:dyDescent="0.15">
      <c r="A38" s="13"/>
      <c r="B38" s="13"/>
      <c r="C38" s="13"/>
      <c r="D38" s="13"/>
      <c r="E38" s="13"/>
      <c r="F38" s="13"/>
      <c r="G38" s="13"/>
      <c r="H38" s="13"/>
    </row>
    <row r="39" spans="1:8" ht="10.5" x14ac:dyDescent="0.15">
      <c r="A39" s="13"/>
      <c r="B39" s="13"/>
      <c r="C39" s="13"/>
      <c r="D39" s="13"/>
      <c r="E39" s="13"/>
      <c r="F39" s="13"/>
      <c r="G39" s="13"/>
      <c r="H39" s="13"/>
    </row>
    <row r="40" spans="1:8" ht="10.5" x14ac:dyDescent="0.15">
      <c r="A40" s="13"/>
      <c r="B40" s="13"/>
      <c r="C40" s="13"/>
      <c r="D40" s="13"/>
      <c r="E40" s="13"/>
      <c r="F40" s="13"/>
      <c r="G40" s="13"/>
      <c r="H40" s="13"/>
    </row>
    <row r="41" spans="1:8" ht="10.5" x14ac:dyDescent="0.15">
      <c r="A41" s="13"/>
      <c r="B41" s="13"/>
      <c r="C41" s="13"/>
      <c r="D41" s="13"/>
      <c r="E41" s="13"/>
      <c r="F41" s="13"/>
      <c r="G41" s="13"/>
      <c r="H41" s="13"/>
    </row>
    <row r="42" spans="1:8" ht="10.5" x14ac:dyDescent="0.15">
      <c r="A42" s="13"/>
      <c r="B42" s="13"/>
      <c r="C42" s="13"/>
      <c r="D42" s="13"/>
      <c r="E42" s="13"/>
      <c r="F42" s="13"/>
      <c r="G42" s="13"/>
      <c r="H42" s="13"/>
    </row>
    <row r="43" spans="1:8" ht="10.5" x14ac:dyDescent="0.15">
      <c r="A43" s="13"/>
      <c r="B43" s="13"/>
      <c r="C43" s="13"/>
      <c r="D43" s="13"/>
      <c r="E43" s="13"/>
      <c r="F43" s="13"/>
      <c r="G43" s="13"/>
      <c r="H43" s="13"/>
    </row>
    <row r="44" spans="1:8" ht="10.5" x14ac:dyDescent="0.15">
      <c r="A44" s="13"/>
      <c r="B44" s="13"/>
      <c r="C44" s="13"/>
      <c r="D44" s="13"/>
      <c r="E44" s="13"/>
      <c r="F44" s="13"/>
      <c r="G44" s="13"/>
      <c r="H44" s="13"/>
    </row>
    <row r="45" spans="1:8" ht="10.5" x14ac:dyDescent="0.15">
      <c r="A45" s="13"/>
      <c r="B45" s="13"/>
      <c r="C45" s="13"/>
      <c r="D45" s="13"/>
      <c r="E45" s="13"/>
      <c r="F45" s="13"/>
      <c r="G45" s="13"/>
      <c r="H45" s="13"/>
    </row>
  </sheetData>
  <sheetProtection algorithmName="SHA-512" hashValue="PqFW+EsbecXFtLt/CNDYGL9/DA4+1rFk+I1tQgLL5Q7YhXR0Iv5LLpIfnMU8zU3ZWZwOws84Qnxlfzz2mzY+ag==" saltValue="WN+4PpZj6/A5SLu0Z5qWpQ==" spinCount="100000" sheet="1" objects="1" scenarios="1"/>
  <mergeCells count="1">
    <mergeCell ref="D2:G3"/>
  </mergeCells>
  <phoneticPr fontId="3" type="noConversion"/>
  <conditionalFormatting sqref="H5:H8">
    <cfRule type="containsText" dxfId="1" priority="1" stopIfTrue="1" operator="containsText" text="Preis eintragen">
      <formula>NOT(ISERROR(SEARCH("Preis eintragen",H5)))</formula>
    </cfRule>
  </conditionalFormatting>
  <hyperlinks>
    <hyperlink ref="F1" location="Inhaltsverzeichnis!A1" display="Zurück zum Inhaltsverzeichnis" xr:uid="{FDA93515-262E-44C8-9AFC-646FBC3EFA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Verbrauch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40" r:id="rId4" name="Check Box 4">
              <controlPr defaultSize="0" autoFill="0" autoLine="0" autoPict="0" altText="Hinweis">
                <anchor moveWithCells="1">
                  <from>
                    <xdr:col>2</xdr:col>
                    <xdr:colOff>952500</xdr:colOff>
                    <xdr:row>1</xdr:row>
                    <xdr:rowOff>47625</xdr:rowOff>
                  </from>
                  <to>
                    <xdr:col>2</xdr:col>
                    <xdr:colOff>1733550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5">
    <tabColor indexed="16"/>
  </sheetPr>
  <dimension ref="A1:K37"/>
  <sheetViews>
    <sheetView showGridLines="0" zoomScaleNormal="100" workbookViewId="0"/>
  </sheetViews>
  <sheetFormatPr baseColWidth="10" defaultColWidth="0" defaultRowHeight="15" customHeight="1" x14ac:dyDescent="0.15"/>
  <cols>
    <col min="1" max="1" width="7.7109375" style="14" customWidth="1"/>
    <col min="2" max="2" width="18.85546875" style="14" customWidth="1"/>
    <col min="3" max="3" width="27.7109375" style="14" customWidth="1"/>
    <col min="4" max="4" width="13.7109375" style="14" customWidth="1"/>
    <col min="5" max="8" width="12.7109375" style="14" customWidth="1"/>
    <col min="9" max="9" width="8.7109375" style="14" customWidth="1"/>
    <col min="10" max="10" width="12.7109375" style="14" customWidth="1"/>
    <col min="11" max="11" width="22.28515625" style="14" customWidth="1"/>
    <col min="12" max="16384" width="0" style="14" hidden="1"/>
  </cols>
  <sheetData>
    <row r="1" spans="1:11" ht="36" customHeight="1" x14ac:dyDescent="0.15">
      <c r="A1" s="13" t="s">
        <v>185</v>
      </c>
      <c r="B1" s="13"/>
      <c r="C1" s="13"/>
      <c r="D1" s="13"/>
      <c r="E1" s="34"/>
      <c r="F1" s="34"/>
      <c r="G1" s="29" t="s">
        <v>100</v>
      </c>
      <c r="H1" s="30"/>
      <c r="I1" s="30"/>
    </row>
    <row r="2" spans="1:11" ht="25.9" customHeight="1" x14ac:dyDescent="0.15">
      <c r="A2" s="13" t="s">
        <v>103</v>
      </c>
      <c r="B2" s="15" t="str">
        <f>IF(Inhaltsverzeichnis!$C$3="", "",Inhaltsverzeichnis!$C$3)</f>
        <v/>
      </c>
      <c r="C2" s="13"/>
      <c r="D2" s="32" t="b">
        <v>0</v>
      </c>
      <c r="E2" s="180" t="str">
        <f>IF(D2=TRUE,"Die rot markierten Informationen verschwinden, wenn die gelben Zellen ausgefüllt sind.  Wenn keine rote Schrift mehr angezeigt wird, ist alles ausgefüllt.","")</f>
        <v/>
      </c>
      <c r="F2" s="180"/>
      <c r="G2" s="180"/>
      <c r="H2" s="180"/>
      <c r="I2" s="180"/>
      <c r="J2" s="180"/>
    </row>
    <row r="3" spans="1:11" ht="22.5" customHeight="1" x14ac:dyDescent="0.15">
      <c r="A3" s="13"/>
      <c r="B3" s="13"/>
      <c r="C3" s="13"/>
      <c r="D3" s="13"/>
      <c r="E3" s="37"/>
      <c r="F3" s="37"/>
      <c r="G3" s="37"/>
      <c r="H3" s="37"/>
      <c r="I3" s="13"/>
      <c r="J3" s="13"/>
      <c r="K3" s="33">
        <f ca="1">IF(COUNTA($K$5:$K$13)-COUNTBLANK($K$5:$K$13)=0,"",COUNTA($K$5:$K$13)-COUNTBLANK($K$5:$K$13))</f>
        <v>9</v>
      </c>
    </row>
    <row r="4" spans="1:11" ht="35.1" customHeight="1" x14ac:dyDescent="0.15">
      <c r="A4" s="39" t="s">
        <v>92</v>
      </c>
      <c r="B4" s="39" t="s">
        <v>113</v>
      </c>
      <c r="C4" s="39" t="s">
        <v>116</v>
      </c>
      <c r="D4" s="38" t="s">
        <v>152</v>
      </c>
      <c r="E4" s="38" t="s">
        <v>118</v>
      </c>
      <c r="F4" s="38" t="s">
        <v>119</v>
      </c>
      <c r="G4" s="38" t="s">
        <v>120</v>
      </c>
      <c r="H4" s="38" t="s">
        <v>117</v>
      </c>
      <c r="I4" s="38" t="s">
        <v>121</v>
      </c>
      <c r="J4" s="38" t="s">
        <v>114</v>
      </c>
    </row>
    <row r="5" spans="1:11" ht="24.95" customHeight="1" x14ac:dyDescent="0.15">
      <c r="A5" s="49">
        <v>1</v>
      </c>
      <c r="B5" s="50" t="s">
        <v>197</v>
      </c>
      <c r="C5" s="51" t="s">
        <v>325</v>
      </c>
      <c r="D5" s="52">
        <v>5</v>
      </c>
      <c r="E5" s="53"/>
      <c r="F5" s="53">
        <v>2</v>
      </c>
      <c r="G5" s="53">
        <f t="shared" ref="G5:G13" si="0">ROUND((F5*H5),2)</f>
        <v>495</v>
      </c>
      <c r="H5" s="53">
        <f>VLOOKUP(D5,Reinigungstage!A10:D31,4,FALSE)</f>
        <v>247.5</v>
      </c>
      <c r="I5" s="53">
        <f ca="1">IF('SVS Wirtschaft'!$H$61="",0,'SVS Wirtschaft'!$H$61)</f>
        <v>0</v>
      </c>
      <c r="J5" s="53">
        <f t="shared" ref="J5:J13" ca="1" si="1">ROUND(IF(I5=0,0,I5*G5),2)</f>
        <v>0</v>
      </c>
      <c r="K5" s="14" t="str">
        <f t="shared" ref="K5:K13" ca="1" si="2">IF(I5=0,"SVS prüfen","")</f>
        <v>SVS prüfen</v>
      </c>
    </row>
    <row r="6" spans="1:11" ht="24.95" customHeight="1" x14ac:dyDescent="0.15">
      <c r="A6" s="49">
        <v>2</v>
      </c>
      <c r="B6" s="50" t="s">
        <v>197</v>
      </c>
      <c r="C6" s="51" t="s">
        <v>326</v>
      </c>
      <c r="D6" s="52">
        <v>5</v>
      </c>
      <c r="E6" s="53"/>
      <c r="F6" s="53">
        <v>2</v>
      </c>
      <c r="G6" s="53">
        <f t="shared" si="0"/>
        <v>495</v>
      </c>
      <c r="H6" s="53">
        <f>VLOOKUP(D6,Reinigungstage!A10:D31,4,FALSE)</f>
        <v>247.5</v>
      </c>
      <c r="I6" s="53">
        <f ca="1">IF('SVS Wirtschaft'!$H$61="",0,'SVS Wirtschaft'!$H$61)</f>
        <v>0</v>
      </c>
      <c r="J6" s="53">
        <f t="shared" ca="1" si="1"/>
        <v>0</v>
      </c>
      <c r="K6" s="14" t="str">
        <f t="shared" ca="1" si="2"/>
        <v>SVS prüfen</v>
      </c>
    </row>
    <row r="7" spans="1:11" ht="24.95" customHeight="1" x14ac:dyDescent="0.15">
      <c r="A7" s="49">
        <v>3</v>
      </c>
      <c r="B7" s="50" t="s">
        <v>197</v>
      </c>
      <c r="C7" s="51" t="s">
        <v>327</v>
      </c>
      <c r="D7" s="52">
        <v>5</v>
      </c>
      <c r="E7" s="53"/>
      <c r="F7" s="53">
        <v>1</v>
      </c>
      <c r="G7" s="53">
        <f t="shared" si="0"/>
        <v>247.5</v>
      </c>
      <c r="H7" s="53">
        <f>VLOOKUP(D7,Reinigungstage!A10:D31,4,FALSE)</f>
        <v>247.5</v>
      </c>
      <c r="I7" s="53">
        <f ca="1">IF('SVS Wirtschaft'!$H$61="",0,'SVS Wirtschaft'!$H$61)</f>
        <v>0</v>
      </c>
      <c r="J7" s="53">
        <f t="shared" ca="1" si="1"/>
        <v>0</v>
      </c>
      <c r="K7" s="14" t="str">
        <f t="shared" ca="1" si="2"/>
        <v>SVS prüfen</v>
      </c>
    </row>
    <row r="8" spans="1:11" ht="24.95" customHeight="1" x14ac:dyDescent="0.15">
      <c r="A8" s="49">
        <v>4</v>
      </c>
      <c r="B8" s="50" t="s">
        <v>197</v>
      </c>
      <c r="C8" s="51" t="s">
        <v>328</v>
      </c>
      <c r="D8" s="52">
        <v>1</v>
      </c>
      <c r="E8" s="53"/>
      <c r="F8" s="53">
        <v>1</v>
      </c>
      <c r="G8" s="53">
        <f t="shared" si="0"/>
        <v>51.41</v>
      </c>
      <c r="H8" s="53">
        <f>VLOOKUP(D8,Reinigungstage!A10:D31,4,FALSE)</f>
        <v>51.41</v>
      </c>
      <c r="I8" s="53">
        <f ca="1">IF('SVS Wirtschaft'!$H$61="",0,'SVS Wirtschaft'!$H$61)</f>
        <v>0</v>
      </c>
      <c r="J8" s="53">
        <f t="shared" ca="1" si="1"/>
        <v>0</v>
      </c>
      <c r="K8" s="14" t="str">
        <f t="shared" ca="1" si="2"/>
        <v>SVS prüfen</v>
      </c>
    </row>
    <row r="9" spans="1:11" ht="24.95" customHeight="1" x14ac:dyDescent="0.15">
      <c r="A9" s="49">
        <v>5</v>
      </c>
      <c r="B9" s="50" t="s">
        <v>197</v>
      </c>
      <c r="C9" s="51" t="s">
        <v>329</v>
      </c>
      <c r="D9" s="52" t="s">
        <v>142</v>
      </c>
      <c r="E9" s="53"/>
      <c r="F9" s="53">
        <v>2</v>
      </c>
      <c r="G9" s="53">
        <f t="shared" si="0"/>
        <v>24</v>
      </c>
      <c r="H9" s="53">
        <f>VLOOKUP(D9,Reinigungstage!A10:D31,4,FALSE)</f>
        <v>12</v>
      </c>
      <c r="I9" s="53">
        <f ca="1">IF('SVS Wirtschaft'!$H$61="",0,'SVS Wirtschaft'!$H$61)</f>
        <v>0</v>
      </c>
      <c r="J9" s="53">
        <f t="shared" ca="1" si="1"/>
        <v>0</v>
      </c>
      <c r="K9" s="14" t="str">
        <f t="shared" ca="1" si="2"/>
        <v>SVS prüfen</v>
      </c>
    </row>
    <row r="10" spans="1:11" ht="24.95" customHeight="1" x14ac:dyDescent="0.15">
      <c r="A10" s="49">
        <v>6</v>
      </c>
      <c r="B10" s="50" t="s">
        <v>197</v>
      </c>
      <c r="C10" s="51" t="s">
        <v>330</v>
      </c>
      <c r="D10" s="52">
        <v>1</v>
      </c>
      <c r="E10" s="53"/>
      <c r="F10" s="53">
        <v>0.5</v>
      </c>
      <c r="G10" s="53">
        <f t="shared" si="0"/>
        <v>25.71</v>
      </c>
      <c r="H10" s="53">
        <f>VLOOKUP(D10,Reinigungstage!A10:D31,4,FALSE)</f>
        <v>51.41</v>
      </c>
      <c r="I10" s="53">
        <f ca="1">IF('SVS Wirtschaft'!$H$61="",0,'SVS Wirtschaft'!$H$61)</f>
        <v>0</v>
      </c>
      <c r="J10" s="53">
        <f t="shared" ca="1" si="1"/>
        <v>0</v>
      </c>
      <c r="K10" s="14" t="str">
        <f t="shared" ca="1" si="2"/>
        <v>SVS prüfen</v>
      </c>
    </row>
    <row r="11" spans="1:11" ht="24.95" customHeight="1" x14ac:dyDescent="0.15">
      <c r="A11" s="49">
        <v>7</v>
      </c>
      <c r="B11" s="50" t="s">
        <v>197</v>
      </c>
      <c r="C11" s="51" t="s">
        <v>331</v>
      </c>
      <c r="D11" s="52">
        <v>2</v>
      </c>
      <c r="E11" s="53"/>
      <c r="F11" s="53">
        <v>0.5</v>
      </c>
      <c r="G11" s="53">
        <f t="shared" si="0"/>
        <v>51.42</v>
      </c>
      <c r="H11" s="53">
        <f>VLOOKUP(D11,Reinigungstage!A10:D31,4,FALSE)</f>
        <v>102.84</v>
      </c>
      <c r="I11" s="53">
        <f ca="1">IF('SVS Wirtschaft'!$H$61="",0,'SVS Wirtschaft'!$H$61)</f>
        <v>0</v>
      </c>
      <c r="J11" s="53">
        <f t="shared" ca="1" si="1"/>
        <v>0</v>
      </c>
      <c r="K11" s="14" t="str">
        <f t="shared" ca="1" si="2"/>
        <v>SVS prüfen</v>
      </c>
    </row>
    <row r="12" spans="1:11" ht="24.95" customHeight="1" x14ac:dyDescent="0.15">
      <c r="A12" s="49">
        <v>8</v>
      </c>
      <c r="B12" s="50" t="s">
        <v>197</v>
      </c>
      <c r="C12" s="51" t="s">
        <v>332</v>
      </c>
      <c r="D12" s="52">
        <v>1</v>
      </c>
      <c r="E12" s="53"/>
      <c r="F12" s="53">
        <v>1</v>
      </c>
      <c r="G12" s="53">
        <f t="shared" si="0"/>
        <v>51.41</v>
      </c>
      <c r="H12" s="53">
        <f>VLOOKUP(D12,Reinigungstage!A10:D31,4,FALSE)</f>
        <v>51.41</v>
      </c>
      <c r="I12" s="53">
        <f ca="1">IF('SVS Wirtschaft'!$H$61="",0,'SVS Wirtschaft'!$H$61)</f>
        <v>0</v>
      </c>
      <c r="J12" s="53">
        <f t="shared" ca="1" si="1"/>
        <v>0</v>
      </c>
      <c r="K12" s="14" t="str">
        <f t="shared" ca="1" si="2"/>
        <v>SVS prüfen</v>
      </c>
    </row>
    <row r="13" spans="1:11" ht="24.95" customHeight="1" x14ac:dyDescent="0.15">
      <c r="A13" s="49">
        <v>9</v>
      </c>
      <c r="B13" s="50" t="s">
        <v>197</v>
      </c>
      <c r="C13" s="51" t="s">
        <v>333</v>
      </c>
      <c r="D13" s="52" t="s">
        <v>142</v>
      </c>
      <c r="E13" s="53"/>
      <c r="F13" s="53">
        <v>12.75</v>
      </c>
      <c r="G13" s="53">
        <f t="shared" si="0"/>
        <v>153</v>
      </c>
      <c r="H13" s="53">
        <f>VLOOKUP(D13,Reinigungstage!A10:D31,4,FALSE)</f>
        <v>12</v>
      </c>
      <c r="I13" s="53">
        <f ca="1">IF('SVS Wirtschaft'!$H$61="",0,'SVS Wirtschaft'!$H$61)</f>
        <v>0</v>
      </c>
      <c r="J13" s="53">
        <f t="shared" ca="1" si="1"/>
        <v>0</v>
      </c>
      <c r="K13" s="14" t="str">
        <f t="shared" ca="1" si="2"/>
        <v>SVS prüfen</v>
      </c>
    </row>
    <row r="14" spans="1:11" ht="10.5" x14ac:dyDescent="0.15"/>
    <row r="15" spans="1:11" ht="10.5" x14ac:dyDescent="0.15"/>
    <row r="16" spans="1:11" ht="10.5" x14ac:dyDescent="0.15"/>
    <row r="17" s="14" customFormat="1" ht="10.5" x14ac:dyDescent="0.15"/>
    <row r="18" s="14" customFormat="1" ht="10.5" x14ac:dyDescent="0.15"/>
    <row r="19" s="14" customFormat="1" ht="10.5" x14ac:dyDescent="0.15"/>
    <row r="20" s="14" customFormat="1" ht="10.5" x14ac:dyDescent="0.15"/>
    <row r="21" s="14" customFormat="1" ht="10.5" x14ac:dyDescent="0.15"/>
    <row r="22" s="14" customFormat="1" ht="10.5" x14ac:dyDescent="0.15"/>
    <row r="23" s="14" customFormat="1" ht="10.5" x14ac:dyDescent="0.15"/>
    <row r="24" s="14" customFormat="1" ht="10.5" x14ac:dyDescent="0.15"/>
    <row r="25" s="14" customFormat="1" ht="10.5" x14ac:dyDescent="0.15"/>
    <row r="26" s="14" customFormat="1" ht="10.5" x14ac:dyDescent="0.15"/>
    <row r="27" s="14" customFormat="1" ht="10.5" x14ac:dyDescent="0.15"/>
    <row r="28" s="14" customFormat="1" ht="10.5" x14ac:dyDescent="0.15"/>
    <row r="29" s="14" customFormat="1" ht="10.5" x14ac:dyDescent="0.15"/>
    <row r="30" s="14" customFormat="1" ht="10.5" x14ac:dyDescent="0.15"/>
    <row r="31" s="14" customFormat="1" ht="10.5" x14ac:dyDescent="0.15"/>
    <row r="32" s="14" customFormat="1" ht="10.5" x14ac:dyDescent="0.15"/>
    <row r="33" s="14" customFormat="1" ht="10.5" x14ac:dyDescent="0.15"/>
    <row r="34" s="14" customFormat="1" ht="10.5" x14ac:dyDescent="0.15"/>
    <row r="35" s="14" customFormat="1" ht="10.5" x14ac:dyDescent="0.15"/>
    <row r="36" s="14" customFormat="1" ht="10.5" x14ac:dyDescent="0.15"/>
    <row r="37" s="14" customFormat="1" ht="10.5" x14ac:dyDescent="0.15"/>
  </sheetData>
  <sheetProtection algorithmName="SHA-512" hashValue="yDQV9huXLc4YOZOlK0pEZD4Vs5BrfxxvYC6Qt5spAOOiC7MkU0UiMwG8gHxG6FfVWJJD+JNWiDjexWcyjqvtCA==" saltValue="IeRXWJFZisscvS+LTLlBAg==" spinCount="100000" sheet="1" objects="1" scenarios="1"/>
  <mergeCells count="1">
    <mergeCell ref="E2:J2"/>
  </mergeCells>
  <phoneticPr fontId="3" type="noConversion"/>
  <conditionalFormatting sqref="K5:K13">
    <cfRule type="containsText" dxfId="0" priority="1" stopIfTrue="1" operator="containsText" text="SVS prüfen">
      <formula>NOT(ISERROR(SEARCH("SVS prüfen",K5)))</formula>
    </cfRule>
  </conditionalFormatting>
  <hyperlinks>
    <hyperlink ref="G1" location="Inhaltsverzeichnis!A1" display="Zurück zum Inhaltsverzeichnis" xr:uid="{17E8934A-55B9-4AA7-962B-4B613A9366CD}"/>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Wirtschaft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ltText="Hinweis">
                <anchor moveWithCells="1">
                  <from>
                    <xdr:col>3</xdr:col>
                    <xdr:colOff>114300</xdr:colOff>
                    <xdr:row>1</xdr:row>
                    <xdr:rowOff>38100</xdr:rowOff>
                  </from>
                  <to>
                    <xdr:col>3</xdr:col>
                    <xdr:colOff>885825</xdr:colOff>
                    <xdr:row>2</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Props1.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13</vt:i4>
      </vt:variant>
    </vt:vector>
  </HeadingPairs>
  <TitlesOfParts>
    <vt:vector size="23" baseType="lpstr">
      <vt:lpstr>Inhaltsverzeichnis</vt:lpstr>
      <vt:lpstr>Preisübersicht</vt:lpstr>
      <vt:lpstr>SVS UnterhaltsRG</vt:lpstr>
      <vt:lpstr>SVS GrundRG</vt:lpstr>
      <vt:lpstr>SVS Wirtschaft</vt:lpstr>
      <vt:lpstr>Kal Unter Kita Tausendf</vt:lpstr>
      <vt:lpstr>Kal Grund Kita Tausendf</vt:lpstr>
      <vt:lpstr>Kal Verbrauch Gesamt</vt:lpstr>
      <vt:lpstr>Kal Wirtschaft Gesamt</vt:lpstr>
      <vt:lpstr>Reinigungstage</vt:lpstr>
      <vt:lpstr>Inhaltsverzeichnis!Druckbereich</vt:lpstr>
      <vt:lpstr>'Kal Grund Kita Tausendf'!Druckbereich</vt:lpstr>
      <vt:lpstr>'Kal Unter Kita Tausendf'!Druckbereich</vt:lpstr>
      <vt:lpstr>'Kal Verbrauch Gesamt'!Druckbereich</vt:lpstr>
      <vt:lpstr>'Kal Wirtschaft Gesamt'!Druckbereich</vt:lpstr>
      <vt:lpstr>Preisübersicht!Druckbereich</vt:lpstr>
      <vt:lpstr>Reinigungstage!Druckbereich</vt:lpstr>
      <vt:lpstr>'SVS GrundRG'!Druckbereich</vt:lpstr>
      <vt:lpstr>'SVS UnterhaltsRG'!Druckbereich</vt:lpstr>
      <vt:lpstr>'SVS Wirtschaft'!Druckbereich</vt:lpstr>
      <vt:lpstr>'Kal Grund Kita Tausendf'!Drucktitel</vt:lpstr>
      <vt:lpstr>'Kal Unter Kita Tausendf'!Drucktitel</vt:lpstr>
      <vt:lpstr>Preisübersicht!Drucktitel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2023-08-29T08:48:13Z</cp:lastPrinted>
  <dcterms:created xsi:type="dcterms:W3CDTF">2012-06-08T19:50:39Z</dcterms:created>
  <dcterms:modified xsi:type="dcterms:W3CDTF">2026-03-24T10:32:41Z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