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1.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3.xml" ContentType="application/vnd.openxmlformats-officedocument.drawing+xml"/>
  <Override PartName="/xl/ctrlProps/ctrlProp41.xml" ContentType="application/vnd.ms-excel.controlproperties+xml"/>
  <Override PartName="/xl/drawings/drawing14.xml" ContentType="application/vnd.openxmlformats-officedocument.drawing+xml"/>
  <Override PartName="/xl/ctrlProps/ctrlProp4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911AD15F-FE82-4930-93F4-1D5A31605CBD}" xr6:coauthVersionLast="47" xr6:coauthVersionMax="47" xr10:uidLastSave="{00000000-0000-0000-0000-000000000000}"/>
  <workbookProtection workbookAlgorithmName="SHA-512" workbookHashValue="YyG4f2fLTxqTZMX4wZyv1hn2d78WW5uR6HKP5LDIHYNvQ93ANmcBNiNylBNgfvTrwzc/DeqgJhmaW6CPzJFCUQ==" workbookSaltValue="evQW+kIwLn2UOlDlmlZPGg=="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Kal Unter Haus am See" sheetId="62" r:id="rId5"/>
    <sheet name="Kal Grund Haus am See" sheetId="66" r:id="rId6"/>
    <sheet name="Kal Unter Rathaus" sheetId="63" r:id="rId7"/>
    <sheet name="Kal Grund Rathaus" sheetId="67" r:id="rId8"/>
    <sheet name="Kal Unter Verwaltung 1" sheetId="64" r:id="rId9"/>
    <sheet name="Kal Grund Verwaltung 1" sheetId="68" r:id="rId10"/>
    <sheet name="Kal Unter Verwaltung 2" sheetId="65" r:id="rId11"/>
    <sheet name="Kal Grund Verwaltung 2" sheetId="69" r:id="rId12"/>
    <sheet name="Kal Verbrauch Gesamt" sheetId="26" r:id="rId13"/>
    <sheet name="Reinigungstage" sheetId="46" r:id="rId14"/>
  </sheets>
  <definedNames>
    <definedName name="berAuftragskosten" localSheetId="5">SVS #REF!</definedName>
    <definedName name="berAuftragskosten" localSheetId="7">SVS #REF!</definedName>
    <definedName name="berAuftragskosten" localSheetId="9">SVS #REF!</definedName>
    <definedName name="berAuftragskosten" localSheetId="11">SVS #REF!</definedName>
    <definedName name="berAuftragskosten" localSheetId="4">SVS #REF!</definedName>
    <definedName name="berAuftragskosten" localSheetId="6">SVS #REF!</definedName>
    <definedName name="berAuftragskosten" localSheetId="8">SVS #REF!</definedName>
    <definedName name="berAuftragskosten" localSheetId="10">SVS #REF!</definedName>
    <definedName name="berAuftragskosten">SVS #REF!</definedName>
    <definedName name="BereichSVSGrundWC">#REF!</definedName>
    <definedName name="berRGTageObjekt">#REF!</definedName>
    <definedName name="_xlnm.Print_Area" localSheetId="0">Inhaltsverzeichnis!$A$1:$J$23</definedName>
    <definedName name="_xlnm.Print_Area" localSheetId="5">'Kal Grund Haus am See'!$A$1:$R$61</definedName>
    <definedName name="_xlnm.Print_Area" localSheetId="7">'Kal Grund Rathaus'!$A$1:$R$63</definedName>
    <definedName name="_xlnm.Print_Area" localSheetId="9">'Kal Grund Verwaltung 1'!$A$1:$R$62</definedName>
    <definedName name="_xlnm.Print_Area" localSheetId="11">'Kal Grund Verwaltung 2'!$A$1:$R$69</definedName>
    <definedName name="_xlnm.Print_Area" localSheetId="4">'Kal Unter Haus am See'!$A$1:$S$65</definedName>
    <definedName name="_xlnm.Print_Area" localSheetId="6">'Kal Unter Rathaus'!$A$1:$S$66</definedName>
    <definedName name="_xlnm.Print_Area" localSheetId="8">'Kal Unter Verwaltung 1'!$A$1:$S$63</definedName>
    <definedName name="_xlnm.Print_Area" localSheetId="10">'Kal Unter Verwaltung 2'!$A$1:$S$71</definedName>
    <definedName name="_xlnm.Print_Area" localSheetId="12">'Kal Verbrauch Gesamt'!$A$1:$G$23</definedName>
    <definedName name="_xlnm.Print_Area" localSheetId="1">Preisübersicht!$A$1:$H$10</definedName>
    <definedName name="_xlnm.Print_Area" localSheetId="13">Reinigungstage!$A$1:$I$31</definedName>
    <definedName name="_xlnm.Print_Area" localSheetId="3">'SVS GrundRG'!$A$1:$I$79</definedName>
    <definedName name="_xlnm.Print_Area" localSheetId="2">'SVS UnterhaltsRG'!$A$1:$I$79</definedName>
    <definedName name="_xlnm.Print_Titles" localSheetId="5">'Kal Grund Haus am See'!$20:$21</definedName>
    <definedName name="_xlnm.Print_Titles" localSheetId="7">'Kal Grund Rathaus'!$20:$21</definedName>
    <definedName name="_xlnm.Print_Titles" localSheetId="9">'Kal Grund Verwaltung 1'!$20:$21</definedName>
    <definedName name="_xlnm.Print_Titles" localSheetId="11">'Kal Grund Verwaltung 2'!$20:$21</definedName>
    <definedName name="_xlnm.Print_Titles" localSheetId="4">'Kal Unter Haus am See'!$20:$21</definedName>
    <definedName name="_xlnm.Print_Titles" localSheetId="6">'Kal Unter Rathaus'!$20:$21</definedName>
    <definedName name="_xlnm.Print_Titles" localSheetId="8">'Kal Unter Verwaltung 1'!$20:$21</definedName>
    <definedName name="_xlnm.Print_Titles" localSheetId="10">'Kal Unter Verwaltung 2'!$20:$21</definedName>
    <definedName name="_xlnm.Print_Titles" localSheetId="1">Preisübersicht!$1:$5</definedName>
    <definedName name="Ferien">#REF!</definedName>
    <definedName name="sAuftragskosten" localSheetId="5">SVS #REF!</definedName>
    <definedName name="sAuftragskosten" localSheetId="7">SVS #REF!</definedName>
    <definedName name="sAuftragskosten" localSheetId="9">SVS #REF!</definedName>
    <definedName name="sAuftragskosten" localSheetId="11">SVS #REF!</definedName>
    <definedName name="sAuftragskosten" localSheetId="4">SVS #REF!</definedName>
    <definedName name="sAuftragskosten" localSheetId="6">SVS #REF!</definedName>
    <definedName name="sAuftragskosten" localSheetId="8">SVS #REF!</definedName>
    <definedName name="sAuftragskosten" localSheetId="10">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9" l="1"/>
  <c r="L21" i="65"/>
  <c r="L21" i="68"/>
  <c r="L21" i="64"/>
  <c r="L21" i="67"/>
  <c r="L21" i="63"/>
  <c r="L21" i="66"/>
  <c r="L21" i="62"/>
  <c r="E22" i="1"/>
  <c r="E21" i="1"/>
  <c r="F6" i="1"/>
  <c r="H13" i="26"/>
  <c r="G13" i="26"/>
  <c r="H12" i="26"/>
  <c r="G12" i="26"/>
  <c r="H11" i="26"/>
  <c r="G11" i="26"/>
  <c r="H10" i="26"/>
  <c r="G10" i="26"/>
  <c r="H9" i="26"/>
  <c r="G9" i="26"/>
  <c r="H8" i="26"/>
  <c r="G8" i="26"/>
  <c r="H7" i="26"/>
  <c r="G7" i="26"/>
  <c r="H6" i="26"/>
  <c r="G6" i="26"/>
  <c r="H5" i="26"/>
  <c r="H3" i="26" s="1"/>
  <c r="G5" i="26"/>
  <c r="U69" i="69"/>
  <c r="U68" i="69"/>
  <c r="U67" i="69"/>
  <c r="U66" i="69"/>
  <c r="V66" i="69" s="1"/>
  <c r="W66" i="69" s="1"/>
  <c r="U65" i="69"/>
  <c r="V65" i="69" s="1"/>
  <c r="W65" i="69" s="1"/>
  <c r="U64" i="69"/>
  <c r="V64" i="69" s="1"/>
  <c r="W64" i="69" s="1"/>
  <c r="U63" i="69"/>
  <c r="V63" i="69" s="1"/>
  <c r="W63" i="69" s="1"/>
  <c r="U62" i="69"/>
  <c r="V62" i="69" s="1"/>
  <c r="W62" i="69" s="1"/>
  <c r="U61" i="69"/>
  <c r="V61" i="69" s="1"/>
  <c r="W61" i="69" s="1"/>
  <c r="U60" i="69"/>
  <c r="V60" i="69" s="1"/>
  <c r="W60" i="69" s="1"/>
  <c r="U59" i="69"/>
  <c r="V59" i="69" s="1"/>
  <c r="W59" i="69" s="1"/>
  <c r="U58" i="69"/>
  <c r="V58" i="69" s="1"/>
  <c r="W58" i="69" s="1"/>
  <c r="U57" i="69"/>
  <c r="V57" i="69" s="1"/>
  <c r="W57" i="69" s="1"/>
  <c r="U56" i="69"/>
  <c r="V56" i="69" s="1"/>
  <c r="W56" i="69" s="1"/>
  <c r="U55" i="69"/>
  <c r="V55" i="69" s="1"/>
  <c r="W55" i="69" s="1"/>
  <c r="U54" i="69"/>
  <c r="V54" i="69" s="1"/>
  <c r="W54" i="69" s="1"/>
  <c r="U53" i="69"/>
  <c r="V53" i="69" s="1"/>
  <c r="W53" i="69" s="1"/>
  <c r="U52" i="69"/>
  <c r="V52" i="69" s="1"/>
  <c r="W52" i="69" s="1"/>
  <c r="U51" i="69"/>
  <c r="V51" i="69" s="1"/>
  <c r="W51" i="69" s="1"/>
  <c r="U50" i="69"/>
  <c r="V50" i="69" s="1"/>
  <c r="W50" i="69" s="1"/>
  <c r="U49" i="69"/>
  <c r="V49" i="69" s="1"/>
  <c r="W49" i="69" s="1"/>
  <c r="U48" i="69"/>
  <c r="V48" i="69" s="1"/>
  <c r="W48" i="69" s="1"/>
  <c r="U47" i="69"/>
  <c r="V47" i="69" s="1"/>
  <c r="W47" i="69" s="1"/>
  <c r="U46" i="69"/>
  <c r="V46" i="69" s="1"/>
  <c r="W46" i="69" s="1"/>
  <c r="U45" i="69"/>
  <c r="V45" i="69" s="1"/>
  <c r="W45" i="69" s="1"/>
  <c r="U44" i="69"/>
  <c r="V44" i="69" s="1"/>
  <c r="W44" i="69" s="1"/>
  <c r="U43" i="69"/>
  <c r="V43" i="69" s="1"/>
  <c r="W43" i="69" s="1"/>
  <c r="U42" i="69"/>
  <c r="V42" i="69" s="1"/>
  <c r="W42" i="69" s="1"/>
  <c r="U41" i="69"/>
  <c r="V41" i="69" s="1"/>
  <c r="W41" i="69" s="1"/>
  <c r="U40" i="69"/>
  <c r="V40" i="69" s="1"/>
  <c r="W40" i="69" s="1"/>
  <c r="U39" i="69"/>
  <c r="V39" i="69" s="1"/>
  <c r="W39" i="69" s="1"/>
  <c r="U38" i="69"/>
  <c r="V38" i="69" s="1"/>
  <c r="W38" i="69" s="1"/>
  <c r="U37" i="69"/>
  <c r="V37" i="69" s="1"/>
  <c r="W37" i="69" s="1"/>
  <c r="U36" i="69"/>
  <c r="V36" i="69" s="1"/>
  <c r="W36" i="69" s="1"/>
  <c r="U35" i="69"/>
  <c r="V35" i="69" s="1"/>
  <c r="W35" i="69" s="1"/>
  <c r="U34" i="69"/>
  <c r="U33" i="69"/>
  <c r="U32" i="69"/>
  <c r="V32" i="69" s="1"/>
  <c r="W32" i="69" s="1"/>
  <c r="U31" i="69"/>
  <c r="U30" i="69"/>
  <c r="U29" i="69"/>
  <c r="U28" i="69"/>
  <c r="V28" i="69" s="1"/>
  <c r="W28" i="69" s="1"/>
  <c r="U27" i="69"/>
  <c r="U26" i="69"/>
  <c r="U25" i="69"/>
  <c r="U24" i="69"/>
  <c r="U23" i="69"/>
  <c r="U22" i="69"/>
  <c r="V22" i="69" s="1"/>
  <c r="W22" i="69" s="1"/>
  <c r="N69" i="69"/>
  <c r="P69" i="69" s="1"/>
  <c r="N68" i="69"/>
  <c r="P68" i="69" s="1"/>
  <c r="N67" i="69"/>
  <c r="N66" i="69"/>
  <c r="P66" i="69" s="1"/>
  <c r="N65" i="69"/>
  <c r="P65" i="69" s="1"/>
  <c r="N64" i="69"/>
  <c r="P64" i="69" s="1"/>
  <c r="N63" i="69"/>
  <c r="P63" i="69" s="1"/>
  <c r="N62" i="69"/>
  <c r="P62" i="69" s="1"/>
  <c r="N61" i="69"/>
  <c r="P61" i="69" s="1"/>
  <c r="N60" i="69"/>
  <c r="P60" i="69" s="1"/>
  <c r="N59" i="69"/>
  <c r="P59" i="69" s="1"/>
  <c r="N58" i="69"/>
  <c r="P58" i="69" s="1"/>
  <c r="N57" i="69"/>
  <c r="P57" i="69" s="1"/>
  <c r="N56" i="69"/>
  <c r="P56" i="69" s="1"/>
  <c r="N55" i="69"/>
  <c r="P55" i="69" s="1"/>
  <c r="N54" i="69"/>
  <c r="P54" i="69" s="1"/>
  <c r="N53" i="69"/>
  <c r="P53" i="69" s="1"/>
  <c r="N52" i="69"/>
  <c r="N51" i="69"/>
  <c r="N50" i="69"/>
  <c r="N49" i="69"/>
  <c r="N48" i="69"/>
  <c r="N47" i="69"/>
  <c r="N46" i="69"/>
  <c r="N45" i="69"/>
  <c r="N44" i="69"/>
  <c r="N43" i="69"/>
  <c r="N42" i="69"/>
  <c r="N41" i="69"/>
  <c r="N40" i="69"/>
  <c r="N39" i="69"/>
  <c r="N38" i="69"/>
  <c r="N37" i="69"/>
  <c r="N36" i="69"/>
  <c r="N35" i="69"/>
  <c r="N34" i="69"/>
  <c r="N33" i="69"/>
  <c r="N32" i="69"/>
  <c r="N31" i="69"/>
  <c r="N30" i="69"/>
  <c r="N29" i="69"/>
  <c r="N28" i="69"/>
  <c r="N27" i="69"/>
  <c r="N26" i="69"/>
  <c r="N25" i="69"/>
  <c r="N24" i="69"/>
  <c r="N23" i="69"/>
  <c r="N22" i="69"/>
  <c r="I21" i="69"/>
  <c r="H21" i="69"/>
  <c r="G21" i="69"/>
  <c r="V69" i="69"/>
  <c r="W69" i="69" s="1"/>
  <c r="V68" i="69"/>
  <c r="W68" i="69" s="1"/>
  <c r="V67" i="69"/>
  <c r="W67" i="69" s="1"/>
  <c r="U62" i="68"/>
  <c r="U61" i="68"/>
  <c r="U60" i="68"/>
  <c r="U59" i="68"/>
  <c r="V59" i="68" s="1"/>
  <c r="W59" i="68" s="1"/>
  <c r="U58" i="68"/>
  <c r="V58" i="68" s="1"/>
  <c r="W58" i="68" s="1"/>
  <c r="U57" i="68"/>
  <c r="V57" i="68" s="1"/>
  <c r="W57" i="68" s="1"/>
  <c r="U56" i="68"/>
  <c r="V56" i="68" s="1"/>
  <c r="W56" i="68" s="1"/>
  <c r="U55" i="68"/>
  <c r="V55" i="68" s="1"/>
  <c r="W55" i="68" s="1"/>
  <c r="U54" i="68"/>
  <c r="V54" i="68" s="1"/>
  <c r="W54" i="68" s="1"/>
  <c r="U53" i="68"/>
  <c r="V53" i="68" s="1"/>
  <c r="W53" i="68" s="1"/>
  <c r="U52" i="68"/>
  <c r="V52" i="68" s="1"/>
  <c r="W52" i="68" s="1"/>
  <c r="U51" i="68"/>
  <c r="V51" i="68" s="1"/>
  <c r="W51" i="68" s="1"/>
  <c r="U50" i="68"/>
  <c r="V50" i="68" s="1"/>
  <c r="W50" i="68" s="1"/>
  <c r="U49" i="68"/>
  <c r="V49" i="68" s="1"/>
  <c r="W49" i="68" s="1"/>
  <c r="U48" i="68"/>
  <c r="V48" i="68" s="1"/>
  <c r="W48" i="68" s="1"/>
  <c r="U47" i="68"/>
  <c r="V47" i="68" s="1"/>
  <c r="W47" i="68" s="1"/>
  <c r="U46" i="68"/>
  <c r="V46" i="68" s="1"/>
  <c r="W46" i="68" s="1"/>
  <c r="U45" i="68"/>
  <c r="V45" i="68" s="1"/>
  <c r="W45" i="68" s="1"/>
  <c r="U44" i="68"/>
  <c r="V44" i="68" s="1"/>
  <c r="W44" i="68" s="1"/>
  <c r="U43" i="68"/>
  <c r="V43" i="68" s="1"/>
  <c r="W43" i="68" s="1"/>
  <c r="U42" i="68"/>
  <c r="V42" i="68" s="1"/>
  <c r="W42" i="68" s="1"/>
  <c r="U41" i="68"/>
  <c r="V41" i="68" s="1"/>
  <c r="W41" i="68" s="1"/>
  <c r="U40" i="68"/>
  <c r="V40" i="68" s="1"/>
  <c r="W40" i="68" s="1"/>
  <c r="U39" i="68"/>
  <c r="V39" i="68" s="1"/>
  <c r="W39" i="68" s="1"/>
  <c r="U38" i="68"/>
  <c r="V38" i="68" s="1"/>
  <c r="W38" i="68" s="1"/>
  <c r="U37" i="68"/>
  <c r="V37" i="68" s="1"/>
  <c r="W37" i="68" s="1"/>
  <c r="U36" i="68"/>
  <c r="V36" i="68" s="1"/>
  <c r="W36" i="68" s="1"/>
  <c r="U35" i="68"/>
  <c r="V35" i="68" s="1"/>
  <c r="W35" i="68" s="1"/>
  <c r="U34" i="68"/>
  <c r="V34" i="68" s="1"/>
  <c r="W34" i="68" s="1"/>
  <c r="U33" i="68"/>
  <c r="V33" i="68" s="1"/>
  <c r="W33" i="68" s="1"/>
  <c r="U32" i="68"/>
  <c r="V32" i="68" s="1"/>
  <c r="W32" i="68" s="1"/>
  <c r="U31" i="68"/>
  <c r="V31" i="68" s="1"/>
  <c r="W31" i="68" s="1"/>
  <c r="U30" i="68"/>
  <c r="V30" i="68" s="1"/>
  <c r="W30" i="68" s="1"/>
  <c r="U29" i="68"/>
  <c r="V29" i="68" s="1"/>
  <c r="W29" i="68" s="1"/>
  <c r="U28" i="68"/>
  <c r="U27" i="68"/>
  <c r="U26" i="68"/>
  <c r="V26" i="68" s="1"/>
  <c r="W26" i="68" s="1"/>
  <c r="U25" i="68"/>
  <c r="U24" i="68"/>
  <c r="U23" i="68"/>
  <c r="U22" i="68"/>
  <c r="V22" i="68" s="1"/>
  <c r="W22" i="68" s="1"/>
  <c r="N62" i="68"/>
  <c r="N61" i="68"/>
  <c r="P61" i="68" s="1"/>
  <c r="N60" i="68"/>
  <c r="P60" i="68" s="1"/>
  <c r="N59" i="68"/>
  <c r="P59" i="68" s="1"/>
  <c r="N58" i="68"/>
  <c r="P58" i="68" s="1"/>
  <c r="N57" i="68"/>
  <c r="P57" i="68" s="1"/>
  <c r="N56" i="68"/>
  <c r="P56" i="68" s="1"/>
  <c r="N55" i="68"/>
  <c r="P55" i="68" s="1"/>
  <c r="N54" i="68"/>
  <c r="N53" i="68"/>
  <c r="P53" i="68" s="1"/>
  <c r="N52" i="68"/>
  <c r="P52" i="68" s="1"/>
  <c r="N51" i="68"/>
  <c r="P51" i="68" s="1"/>
  <c r="N50" i="68"/>
  <c r="N49" i="68"/>
  <c r="N48" i="68"/>
  <c r="N47" i="68"/>
  <c r="N46" i="68"/>
  <c r="N45" i="68"/>
  <c r="N44" i="68"/>
  <c r="N43" i="68"/>
  <c r="N42" i="68"/>
  <c r="N41" i="68"/>
  <c r="N40" i="68"/>
  <c r="N39" i="68"/>
  <c r="N38" i="68"/>
  <c r="N37" i="68"/>
  <c r="N36" i="68"/>
  <c r="N35" i="68"/>
  <c r="N34" i="68"/>
  <c r="N33" i="68"/>
  <c r="N32" i="68"/>
  <c r="N31" i="68"/>
  <c r="N30" i="68"/>
  <c r="N29" i="68"/>
  <c r="N28" i="68"/>
  <c r="N27" i="68"/>
  <c r="N26" i="68"/>
  <c r="N25" i="68"/>
  <c r="N24" i="68"/>
  <c r="N23" i="68"/>
  <c r="N22" i="68"/>
  <c r="I21" i="68"/>
  <c r="H21" i="68"/>
  <c r="G21" i="68"/>
  <c r="V62" i="68"/>
  <c r="W62" i="68" s="1"/>
  <c r="X62" i="68" s="1"/>
  <c r="P62" i="68"/>
  <c r="V61" i="68"/>
  <c r="W61" i="68" s="1"/>
  <c r="V60" i="68"/>
  <c r="W60" i="68" s="1"/>
  <c r="U63" i="67"/>
  <c r="U62" i="67"/>
  <c r="U61" i="67"/>
  <c r="U60" i="67"/>
  <c r="U59" i="67"/>
  <c r="U58" i="67"/>
  <c r="U57" i="67"/>
  <c r="U56" i="67"/>
  <c r="U55" i="67"/>
  <c r="U54" i="67"/>
  <c r="U53" i="67"/>
  <c r="U52" i="67"/>
  <c r="U51" i="67"/>
  <c r="U50" i="67"/>
  <c r="U49" i="67"/>
  <c r="U48" i="67"/>
  <c r="U47" i="67"/>
  <c r="U46" i="67"/>
  <c r="U45" i="67"/>
  <c r="U44" i="67"/>
  <c r="U43" i="67"/>
  <c r="U42" i="67"/>
  <c r="U41" i="67"/>
  <c r="U40" i="67"/>
  <c r="V40" i="67" s="1"/>
  <c r="W40" i="67" s="1"/>
  <c r="U39" i="67"/>
  <c r="U38" i="67"/>
  <c r="U37" i="67"/>
  <c r="U36" i="67"/>
  <c r="U35" i="67"/>
  <c r="U34" i="67"/>
  <c r="U33" i="67"/>
  <c r="U32" i="67"/>
  <c r="U31" i="67"/>
  <c r="U30" i="67"/>
  <c r="U29" i="67"/>
  <c r="U28" i="67"/>
  <c r="U27" i="67"/>
  <c r="U26" i="67"/>
  <c r="U25" i="67"/>
  <c r="U24" i="67"/>
  <c r="U23" i="67"/>
  <c r="U22" i="67"/>
  <c r="N63" i="67"/>
  <c r="N62" i="67"/>
  <c r="N61" i="67"/>
  <c r="N60" i="67"/>
  <c r="N59" i="67"/>
  <c r="N58" i="67"/>
  <c r="N57" i="67"/>
  <c r="N56" i="67"/>
  <c r="N55" i="67"/>
  <c r="N54" i="67"/>
  <c r="N53" i="67"/>
  <c r="N52" i="67"/>
  <c r="N51" i="67"/>
  <c r="N50" i="67"/>
  <c r="N49" i="67"/>
  <c r="N48" i="67"/>
  <c r="N47" i="67"/>
  <c r="N46" i="67"/>
  <c r="N45" i="67"/>
  <c r="N44" i="67"/>
  <c r="N43" i="67"/>
  <c r="N42" i="67"/>
  <c r="N41" i="67"/>
  <c r="N40" i="67"/>
  <c r="N39" i="67"/>
  <c r="N38" i="67"/>
  <c r="N37" i="67"/>
  <c r="N36" i="67"/>
  <c r="N35" i="67"/>
  <c r="N34" i="67"/>
  <c r="N33" i="67"/>
  <c r="N32" i="67"/>
  <c r="N31" i="67"/>
  <c r="N30" i="67"/>
  <c r="N29" i="67"/>
  <c r="N28" i="67"/>
  <c r="N27" i="67"/>
  <c r="N26" i="67"/>
  <c r="N25" i="67"/>
  <c r="N24" i="67"/>
  <c r="N23" i="67"/>
  <c r="N22" i="67"/>
  <c r="I21" i="67"/>
  <c r="H21" i="67"/>
  <c r="G21" i="67"/>
  <c r="V63" i="67"/>
  <c r="W63" i="67" s="1"/>
  <c r="X63" i="67" s="1"/>
  <c r="P63" i="67"/>
  <c r="V62" i="67"/>
  <c r="W62" i="67" s="1"/>
  <c r="X62" i="67" s="1"/>
  <c r="P62" i="67"/>
  <c r="V61" i="67"/>
  <c r="W61" i="67" s="1"/>
  <c r="X61" i="67" s="1"/>
  <c r="P61" i="67"/>
  <c r="X60" i="67"/>
  <c r="V60" i="67"/>
  <c r="W60" i="67" s="1"/>
  <c r="P60" i="67"/>
  <c r="V59" i="67"/>
  <c r="W59" i="67" s="1"/>
  <c r="X59" i="67" s="1"/>
  <c r="P59" i="67"/>
  <c r="V58" i="67"/>
  <c r="W58" i="67" s="1"/>
  <c r="X58" i="67" s="1"/>
  <c r="P58" i="67"/>
  <c r="V57" i="67"/>
  <c r="W57" i="67" s="1"/>
  <c r="X57" i="67" s="1"/>
  <c r="P57" i="67"/>
  <c r="V56" i="67"/>
  <c r="W56" i="67" s="1"/>
  <c r="X56" i="67" s="1"/>
  <c r="P56" i="67"/>
  <c r="V55" i="67"/>
  <c r="W55" i="67" s="1"/>
  <c r="X55" i="67" s="1"/>
  <c r="P55" i="67"/>
  <c r="V54" i="67"/>
  <c r="W54" i="67" s="1"/>
  <c r="V53" i="67"/>
  <c r="W53" i="67" s="1"/>
  <c r="V52" i="67"/>
  <c r="W52" i="67" s="1"/>
  <c r="V51" i="67"/>
  <c r="W51" i="67" s="1"/>
  <c r="V50" i="67"/>
  <c r="W50" i="67" s="1"/>
  <c r="V49" i="67"/>
  <c r="W49" i="67" s="1"/>
  <c r="V48" i="67"/>
  <c r="W48" i="67" s="1"/>
  <c r="V47" i="67"/>
  <c r="W47" i="67" s="1"/>
  <c r="V46" i="67"/>
  <c r="W46" i="67" s="1"/>
  <c r="V45" i="67"/>
  <c r="W45" i="67" s="1"/>
  <c r="V44" i="67"/>
  <c r="W44" i="67" s="1"/>
  <c r="V43" i="67"/>
  <c r="W43" i="67" s="1"/>
  <c r="V42" i="67"/>
  <c r="W42" i="67" s="1"/>
  <c r="V41" i="67"/>
  <c r="W41" i="67" s="1"/>
  <c r="V38" i="67"/>
  <c r="W38" i="67" s="1"/>
  <c r="V22" i="67"/>
  <c r="W22" i="67" s="1"/>
  <c r="U61" i="66"/>
  <c r="U60" i="66"/>
  <c r="U59" i="66"/>
  <c r="U58" i="66"/>
  <c r="U57" i="66"/>
  <c r="U56" i="66"/>
  <c r="U55" i="66"/>
  <c r="U54" i="66"/>
  <c r="U53" i="66"/>
  <c r="U52" i="66"/>
  <c r="U51" i="66"/>
  <c r="U50" i="66"/>
  <c r="U49" i="66"/>
  <c r="U48" i="66"/>
  <c r="U47" i="66"/>
  <c r="U46" i="66"/>
  <c r="U45" i="66"/>
  <c r="U44" i="66"/>
  <c r="V44" i="66" s="1"/>
  <c r="W44" i="66" s="1"/>
  <c r="U43" i="66"/>
  <c r="V43" i="66" s="1"/>
  <c r="W43" i="66" s="1"/>
  <c r="U42" i="66"/>
  <c r="V42" i="66" s="1"/>
  <c r="W42" i="66" s="1"/>
  <c r="U41" i="66"/>
  <c r="V41" i="66" s="1"/>
  <c r="W41" i="66" s="1"/>
  <c r="U40" i="66"/>
  <c r="V40" i="66" s="1"/>
  <c r="W40" i="66" s="1"/>
  <c r="U39" i="66"/>
  <c r="U38" i="66"/>
  <c r="U37" i="66"/>
  <c r="U36" i="66"/>
  <c r="V36" i="66" s="1"/>
  <c r="W36" i="66" s="1"/>
  <c r="U35" i="66"/>
  <c r="U34" i="66"/>
  <c r="V34" i="66" s="1"/>
  <c r="W34" i="66" s="1"/>
  <c r="U33" i="66"/>
  <c r="V33" i="66" s="1"/>
  <c r="U32" i="66"/>
  <c r="U31" i="66"/>
  <c r="U30" i="66"/>
  <c r="U29" i="66"/>
  <c r="U28" i="66"/>
  <c r="U27" i="66"/>
  <c r="U26" i="66"/>
  <c r="U25" i="66"/>
  <c r="U24" i="66"/>
  <c r="U23" i="66"/>
  <c r="V23" i="66" s="1"/>
  <c r="U22" i="66"/>
  <c r="V22" i="66" s="1"/>
  <c r="N61" i="66"/>
  <c r="N60" i="66"/>
  <c r="N59" i="66"/>
  <c r="N58" i="66"/>
  <c r="N57" i="66"/>
  <c r="N56" i="66"/>
  <c r="N55" i="66"/>
  <c r="N54" i="66"/>
  <c r="N53" i="66"/>
  <c r="N52" i="66"/>
  <c r="N51" i="66"/>
  <c r="N50" i="66"/>
  <c r="N49" i="66"/>
  <c r="N48" i="66"/>
  <c r="P48" i="66" s="1"/>
  <c r="N47" i="66"/>
  <c r="P47" i="66" s="1"/>
  <c r="N46" i="66"/>
  <c r="N45" i="66"/>
  <c r="P45" i="66" s="1"/>
  <c r="N44" i="66"/>
  <c r="P44" i="66" s="1"/>
  <c r="N43" i="66"/>
  <c r="N42" i="66"/>
  <c r="N41" i="66"/>
  <c r="N40" i="66"/>
  <c r="N39" i="66"/>
  <c r="N38" i="66"/>
  <c r="P38" i="66" s="1"/>
  <c r="N37" i="66"/>
  <c r="N36" i="66"/>
  <c r="N35" i="66"/>
  <c r="N34" i="66"/>
  <c r="N33" i="66"/>
  <c r="N32" i="66"/>
  <c r="N31" i="66"/>
  <c r="N30" i="66"/>
  <c r="N29" i="66"/>
  <c r="N28" i="66"/>
  <c r="N27" i="66"/>
  <c r="P27" i="66" s="1"/>
  <c r="N26" i="66"/>
  <c r="N25" i="66"/>
  <c r="N24" i="66"/>
  <c r="N23" i="66"/>
  <c r="N22" i="66"/>
  <c r="I21" i="66"/>
  <c r="H21" i="66"/>
  <c r="G21" i="66"/>
  <c r="V61" i="66"/>
  <c r="W61" i="66" s="1"/>
  <c r="X61" i="66" s="1"/>
  <c r="P61" i="66"/>
  <c r="V60" i="66"/>
  <c r="W60" i="66" s="1"/>
  <c r="X60" i="66" s="1"/>
  <c r="P60" i="66"/>
  <c r="V59" i="66"/>
  <c r="W59" i="66" s="1"/>
  <c r="X59" i="66" s="1"/>
  <c r="P59" i="66"/>
  <c r="X58" i="66"/>
  <c r="V58" i="66"/>
  <c r="W58" i="66" s="1"/>
  <c r="P58" i="66"/>
  <c r="V57" i="66"/>
  <c r="W57" i="66" s="1"/>
  <c r="X57" i="66" s="1"/>
  <c r="P57" i="66"/>
  <c r="V56" i="66"/>
  <c r="W56" i="66" s="1"/>
  <c r="X56" i="66" s="1"/>
  <c r="P56" i="66"/>
  <c r="V55" i="66"/>
  <c r="W55" i="66" s="1"/>
  <c r="X55" i="66" s="1"/>
  <c r="P55" i="66"/>
  <c r="V54" i="66"/>
  <c r="W54" i="66" s="1"/>
  <c r="X54" i="66" s="1"/>
  <c r="P54" i="66"/>
  <c r="V53" i="66"/>
  <c r="W53" i="66" s="1"/>
  <c r="X53" i="66" s="1"/>
  <c r="P53" i="66"/>
  <c r="X52" i="66"/>
  <c r="V52" i="66"/>
  <c r="W52" i="66" s="1"/>
  <c r="P52" i="66"/>
  <c r="V51" i="66"/>
  <c r="W51" i="66" s="1"/>
  <c r="X51" i="66" s="1"/>
  <c r="P51" i="66"/>
  <c r="V50" i="66"/>
  <c r="W50" i="66" s="1"/>
  <c r="X50" i="66" s="1"/>
  <c r="P50" i="66"/>
  <c r="V49" i="66"/>
  <c r="W49" i="66" s="1"/>
  <c r="X49" i="66" s="1"/>
  <c r="P49" i="66"/>
  <c r="V48" i="66"/>
  <c r="W48" i="66" s="1"/>
  <c r="V47" i="66"/>
  <c r="W47" i="66" s="1"/>
  <c r="V46" i="66"/>
  <c r="W46" i="66" s="1"/>
  <c r="V45" i="66"/>
  <c r="W45" i="66" s="1"/>
  <c r="U71" i="65"/>
  <c r="U70" i="65"/>
  <c r="U69" i="65"/>
  <c r="U68" i="65"/>
  <c r="U67" i="65"/>
  <c r="U66" i="65"/>
  <c r="U65" i="65"/>
  <c r="U64" i="65"/>
  <c r="U63" i="65"/>
  <c r="U62" i="65"/>
  <c r="U61" i="65"/>
  <c r="U60" i="65"/>
  <c r="U59" i="65"/>
  <c r="U58" i="65"/>
  <c r="U57" i="65"/>
  <c r="U56" i="65"/>
  <c r="U55" i="65"/>
  <c r="U54" i="65"/>
  <c r="U53" i="65"/>
  <c r="U52" i="65"/>
  <c r="U51" i="65"/>
  <c r="U50" i="65"/>
  <c r="U49" i="65"/>
  <c r="U48" i="65"/>
  <c r="U47" i="65"/>
  <c r="U46" i="65"/>
  <c r="U45" i="65"/>
  <c r="U44" i="65"/>
  <c r="U43" i="65"/>
  <c r="U42" i="65"/>
  <c r="U41" i="65"/>
  <c r="U40" i="65"/>
  <c r="U39" i="65"/>
  <c r="U38" i="65"/>
  <c r="U37" i="65"/>
  <c r="U36" i="65"/>
  <c r="U35" i="65"/>
  <c r="U34" i="65"/>
  <c r="U33" i="65"/>
  <c r="U32" i="65"/>
  <c r="U31" i="65"/>
  <c r="U30" i="65"/>
  <c r="U29" i="65"/>
  <c r="U28" i="65"/>
  <c r="U27" i="65"/>
  <c r="U26" i="65"/>
  <c r="U25" i="65"/>
  <c r="U24" i="65"/>
  <c r="U23" i="65"/>
  <c r="U22" i="65"/>
  <c r="N71" i="65"/>
  <c r="N70" i="65"/>
  <c r="N69" i="65"/>
  <c r="P69" i="65" s="1"/>
  <c r="R69" i="65" s="1"/>
  <c r="N68" i="65"/>
  <c r="N67" i="65"/>
  <c r="N66" i="65"/>
  <c r="N65" i="65"/>
  <c r="N64" i="65"/>
  <c r="N63" i="65"/>
  <c r="N62" i="65"/>
  <c r="N61" i="65"/>
  <c r="N60" i="65"/>
  <c r="N59" i="65"/>
  <c r="N58" i="65"/>
  <c r="N57" i="65"/>
  <c r="N56" i="65"/>
  <c r="N55" i="65"/>
  <c r="N54" i="65"/>
  <c r="N53" i="65"/>
  <c r="N52" i="65"/>
  <c r="P52" i="65" s="1"/>
  <c r="R52" i="65" s="1"/>
  <c r="N51" i="65"/>
  <c r="N50" i="65"/>
  <c r="N49" i="65"/>
  <c r="N48" i="65"/>
  <c r="P48" i="65" s="1"/>
  <c r="R48" i="65" s="1"/>
  <c r="N47" i="65"/>
  <c r="P47" i="65" s="1"/>
  <c r="R47" i="65" s="1"/>
  <c r="N46" i="65"/>
  <c r="N45" i="65"/>
  <c r="N44" i="65"/>
  <c r="N43" i="65"/>
  <c r="P43" i="65" s="1"/>
  <c r="R43" i="65" s="1"/>
  <c r="N42" i="65"/>
  <c r="P42" i="65" s="1"/>
  <c r="R42" i="65" s="1"/>
  <c r="N41" i="65"/>
  <c r="N40" i="65"/>
  <c r="N39" i="65"/>
  <c r="P39" i="65" s="1"/>
  <c r="R39" i="65" s="1"/>
  <c r="N38" i="65"/>
  <c r="N37" i="65"/>
  <c r="P37" i="65" s="1"/>
  <c r="R37" i="65" s="1"/>
  <c r="N36" i="65"/>
  <c r="P36" i="65" s="1"/>
  <c r="R36" i="65" s="1"/>
  <c r="N35" i="65"/>
  <c r="P35" i="65" s="1"/>
  <c r="R35" i="65" s="1"/>
  <c r="N34" i="65"/>
  <c r="P34" i="65" s="1"/>
  <c r="R34" i="65" s="1"/>
  <c r="N33" i="65"/>
  <c r="N32" i="65"/>
  <c r="N31" i="65"/>
  <c r="N30" i="65"/>
  <c r="P30" i="65" s="1"/>
  <c r="R30" i="65" s="1"/>
  <c r="N29" i="65"/>
  <c r="N28" i="65"/>
  <c r="P28" i="65" s="1"/>
  <c r="R28" i="65" s="1"/>
  <c r="N27" i="65"/>
  <c r="N26" i="65"/>
  <c r="P26" i="65" s="1"/>
  <c r="R26" i="65" s="1"/>
  <c r="N25" i="65"/>
  <c r="P25" i="65" s="1"/>
  <c r="R25" i="65" s="1"/>
  <c r="N24" i="65"/>
  <c r="N23" i="65"/>
  <c r="P23" i="65" s="1"/>
  <c r="R23" i="65" s="1"/>
  <c r="N22" i="65"/>
  <c r="P22" i="65" s="1"/>
  <c r="I21" i="65"/>
  <c r="H21" i="65"/>
  <c r="G21" i="65"/>
  <c r="P71" i="65"/>
  <c r="R71" i="65" s="1"/>
  <c r="P70" i="65"/>
  <c r="R70" i="65" s="1"/>
  <c r="P68" i="65"/>
  <c r="R68" i="65" s="1"/>
  <c r="P67" i="65"/>
  <c r="R67" i="65" s="1"/>
  <c r="P66" i="65"/>
  <c r="R66" i="65" s="1"/>
  <c r="P65" i="65"/>
  <c r="R65" i="65" s="1"/>
  <c r="P64" i="65"/>
  <c r="R64" i="65" s="1"/>
  <c r="P63" i="65"/>
  <c r="R63" i="65" s="1"/>
  <c r="P62" i="65"/>
  <c r="R62" i="65" s="1"/>
  <c r="P61" i="65"/>
  <c r="R61" i="65" s="1"/>
  <c r="P60" i="65"/>
  <c r="R60" i="65" s="1"/>
  <c r="P59" i="65"/>
  <c r="R59" i="65" s="1"/>
  <c r="P58" i="65"/>
  <c r="R58" i="65" s="1"/>
  <c r="P57" i="65"/>
  <c r="R57" i="65" s="1"/>
  <c r="P56" i="65"/>
  <c r="R56" i="65" s="1"/>
  <c r="P55" i="65"/>
  <c r="R55" i="65" s="1"/>
  <c r="P54" i="65"/>
  <c r="R54" i="65" s="1"/>
  <c r="P53" i="65"/>
  <c r="R53" i="65" s="1"/>
  <c r="P51" i="65"/>
  <c r="R51" i="65" s="1"/>
  <c r="P50" i="65"/>
  <c r="R50" i="65" s="1"/>
  <c r="P49" i="65"/>
  <c r="R49" i="65" s="1"/>
  <c r="P46" i="65"/>
  <c r="R46" i="65" s="1"/>
  <c r="P45" i="65"/>
  <c r="R45" i="65" s="1"/>
  <c r="P44" i="65"/>
  <c r="R44" i="65" s="1"/>
  <c r="P41" i="65"/>
  <c r="R41" i="65" s="1"/>
  <c r="P40" i="65"/>
  <c r="R40" i="65" s="1"/>
  <c r="P38" i="65"/>
  <c r="R38" i="65" s="1"/>
  <c r="P33" i="65"/>
  <c r="R33" i="65" s="1"/>
  <c r="P32" i="65"/>
  <c r="R32" i="65" s="1"/>
  <c r="P29" i="65"/>
  <c r="R29" i="65" s="1"/>
  <c r="P27" i="65"/>
  <c r="R27" i="65" s="1"/>
  <c r="P24" i="65"/>
  <c r="R24" i="65" s="1"/>
  <c r="U63" i="64"/>
  <c r="U62" i="64"/>
  <c r="U61" i="64"/>
  <c r="U60" i="64"/>
  <c r="U59" i="64"/>
  <c r="U58" i="64"/>
  <c r="U57" i="64"/>
  <c r="U56" i="64"/>
  <c r="U55" i="64"/>
  <c r="U54" i="64"/>
  <c r="U53" i="64"/>
  <c r="U52" i="64"/>
  <c r="U51" i="64"/>
  <c r="U50" i="64"/>
  <c r="U49" i="64"/>
  <c r="U48" i="64"/>
  <c r="U47" i="64"/>
  <c r="U46" i="64"/>
  <c r="U45" i="64"/>
  <c r="U44" i="64"/>
  <c r="U43" i="64"/>
  <c r="U42" i="64"/>
  <c r="U41" i="64"/>
  <c r="U40" i="64"/>
  <c r="U39" i="64"/>
  <c r="U38" i="64"/>
  <c r="U37" i="64"/>
  <c r="U36" i="64"/>
  <c r="U35" i="64"/>
  <c r="U34" i="64"/>
  <c r="U33" i="64"/>
  <c r="U32" i="64"/>
  <c r="U31" i="64"/>
  <c r="U30" i="64"/>
  <c r="U29" i="64"/>
  <c r="U28" i="64"/>
  <c r="U27" i="64"/>
  <c r="U26" i="64"/>
  <c r="U25" i="64"/>
  <c r="U24" i="64"/>
  <c r="U23" i="64"/>
  <c r="U22" i="64"/>
  <c r="N63" i="64"/>
  <c r="N62" i="64"/>
  <c r="N61" i="64"/>
  <c r="N60" i="64"/>
  <c r="N59" i="64"/>
  <c r="N58" i="64"/>
  <c r="N57" i="64"/>
  <c r="N56" i="64"/>
  <c r="N55" i="64"/>
  <c r="N54" i="64"/>
  <c r="N53" i="64"/>
  <c r="N52" i="64"/>
  <c r="N51" i="64"/>
  <c r="N50" i="64"/>
  <c r="N49" i="64"/>
  <c r="N48" i="64"/>
  <c r="N47" i="64"/>
  <c r="N46" i="64"/>
  <c r="P46" i="64" s="1"/>
  <c r="R46" i="64" s="1"/>
  <c r="N45" i="64"/>
  <c r="N44" i="64"/>
  <c r="P44" i="64" s="1"/>
  <c r="R44" i="64" s="1"/>
  <c r="N43" i="64"/>
  <c r="P43" i="64" s="1"/>
  <c r="R43" i="64" s="1"/>
  <c r="N42" i="64"/>
  <c r="P42" i="64" s="1"/>
  <c r="R42" i="64" s="1"/>
  <c r="N41" i="64"/>
  <c r="N40" i="64"/>
  <c r="P40" i="64" s="1"/>
  <c r="R40" i="64" s="1"/>
  <c r="N39" i="64"/>
  <c r="N38" i="64"/>
  <c r="P38" i="64" s="1"/>
  <c r="R38" i="64" s="1"/>
  <c r="N37" i="64"/>
  <c r="P37" i="64" s="1"/>
  <c r="R37" i="64" s="1"/>
  <c r="N36" i="64"/>
  <c r="N35" i="64"/>
  <c r="N34" i="64"/>
  <c r="N33" i="64"/>
  <c r="P33" i="64" s="1"/>
  <c r="R33" i="64" s="1"/>
  <c r="N32" i="64"/>
  <c r="N31" i="64"/>
  <c r="P31" i="64" s="1"/>
  <c r="R31" i="64" s="1"/>
  <c r="N30" i="64"/>
  <c r="P30" i="64" s="1"/>
  <c r="R30" i="64" s="1"/>
  <c r="N29" i="64"/>
  <c r="N28" i="64"/>
  <c r="P28" i="64" s="1"/>
  <c r="R28" i="64" s="1"/>
  <c r="N27" i="64"/>
  <c r="N26" i="64"/>
  <c r="P26" i="64" s="1"/>
  <c r="R26" i="64" s="1"/>
  <c r="N25" i="64"/>
  <c r="N24" i="64"/>
  <c r="N23" i="64"/>
  <c r="N22" i="64"/>
  <c r="I21" i="64"/>
  <c r="H21" i="64"/>
  <c r="G21" i="64"/>
  <c r="P63" i="64"/>
  <c r="R63" i="64" s="1"/>
  <c r="P62" i="64"/>
  <c r="R62" i="64" s="1"/>
  <c r="P61" i="64"/>
  <c r="R61" i="64" s="1"/>
  <c r="P60" i="64"/>
  <c r="R60" i="64" s="1"/>
  <c r="P59" i="64"/>
  <c r="R59" i="64" s="1"/>
  <c r="P58" i="64"/>
  <c r="R58" i="64" s="1"/>
  <c r="P57" i="64"/>
  <c r="R57" i="64" s="1"/>
  <c r="P56" i="64"/>
  <c r="R56" i="64" s="1"/>
  <c r="P55" i="64"/>
  <c r="R55" i="64" s="1"/>
  <c r="P54" i="64"/>
  <c r="R54" i="64" s="1"/>
  <c r="P53" i="64"/>
  <c r="R53" i="64" s="1"/>
  <c r="P52" i="64"/>
  <c r="R52" i="64" s="1"/>
  <c r="P51" i="64"/>
  <c r="R51" i="64" s="1"/>
  <c r="P50" i="64"/>
  <c r="R50" i="64" s="1"/>
  <c r="P49" i="64"/>
  <c r="R49" i="64" s="1"/>
  <c r="P48" i="64"/>
  <c r="R48" i="64" s="1"/>
  <c r="P47" i="64"/>
  <c r="R47" i="64" s="1"/>
  <c r="P45" i="64"/>
  <c r="R45" i="64" s="1"/>
  <c r="P41" i="64"/>
  <c r="R41" i="64" s="1"/>
  <c r="P39" i="64"/>
  <c r="R39" i="64" s="1"/>
  <c r="P35" i="64"/>
  <c r="R35" i="64" s="1"/>
  <c r="P34" i="64"/>
  <c r="R34" i="64" s="1"/>
  <c r="P32" i="64"/>
  <c r="R32" i="64" s="1"/>
  <c r="P29" i="64"/>
  <c r="R29" i="64" s="1"/>
  <c r="P27" i="64"/>
  <c r="R27" i="64" s="1"/>
  <c r="P25" i="64"/>
  <c r="P24" i="64"/>
  <c r="R24" i="64" s="1"/>
  <c r="P23" i="64"/>
  <c r="R23" i="64" s="1"/>
  <c r="P22" i="64"/>
  <c r="R22" i="64" s="1"/>
  <c r="U66" i="63"/>
  <c r="U65" i="63"/>
  <c r="U64" i="63"/>
  <c r="U63" i="63"/>
  <c r="U62" i="63"/>
  <c r="U61" i="63"/>
  <c r="U60" i="63"/>
  <c r="U59" i="63"/>
  <c r="U58" i="63"/>
  <c r="U57" i="63"/>
  <c r="U56" i="63"/>
  <c r="U55" i="63"/>
  <c r="U54" i="63"/>
  <c r="U53" i="63"/>
  <c r="U52" i="63"/>
  <c r="U51" i="63"/>
  <c r="U50" i="63"/>
  <c r="U49" i="63"/>
  <c r="U48" i="63"/>
  <c r="U47" i="63"/>
  <c r="U46" i="63"/>
  <c r="U45" i="63"/>
  <c r="U44" i="63"/>
  <c r="U43" i="63"/>
  <c r="U42" i="63"/>
  <c r="U41" i="63"/>
  <c r="U40" i="63"/>
  <c r="U39" i="63"/>
  <c r="U38" i="63"/>
  <c r="U37" i="63"/>
  <c r="U36" i="63"/>
  <c r="U35" i="63"/>
  <c r="U34" i="63"/>
  <c r="U33" i="63"/>
  <c r="U32" i="63"/>
  <c r="U31" i="63"/>
  <c r="U30" i="63"/>
  <c r="U29" i="63"/>
  <c r="U28" i="63"/>
  <c r="U27" i="63"/>
  <c r="U26" i="63"/>
  <c r="U25" i="63"/>
  <c r="U24" i="63"/>
  <c r="U23" i="63"/>
  <c r="U22" i="63"/>
  <c r="N66" i="63"/>
  <c r="N65" i="63"/>
  <c r="N64" i="63"/>
  <c r="N63" i="63"/>
  <c r="N62" i="63"/>
  <c r="P62" i="63" s="1"/>
  <c r="R62" i="63" s="1"/>
  <c r="N61" i="63"/>
  <c r="P61" i="63" s="1"/>
  <c r="R61" i="63" s="1"/>
  <c r="N60" i="63"/>
  <c r="P60" i="63" s="1"/>
  <c r="R60" i="63" s="1"/>
  <c r="N59" i="63"/>
  <c r="N58" i="63"/>
  <c r="P58" i="63" s="1"/>
  <c r="R58" i="63" s="1"/>
  <c r="N57" i="63"/>
  <c r="P57" i="63" s="1"/>
  <c r="R57" i="63" s="1"/>
  <c r="N56" i="63"/>
  <c r="P56" i="63" s="1"/>
  <c r="R56" i="63" s="1"/>
  <c r="N55" i="63"/>
  <c r="P55" i="63" s="1"/>
  <c r="R55" i="63" s="1"/>
  <c r="N54" i="63"/>
  <c r="N53" i="63"/>
  <c r="P53" i="63" s="1"/>
  <c r="R53" i="63" s="1"/>
  <c r="N52" i="63"/>
  <c r="N51" i="63"/>
  <c r="P51" i="63" s="1"/>
  <c r="R51" i="63" s="1"/>
  <c r="N50" i="63"/>
  <c r="N49" i="63"/>
  <c r="P49" i="63" s="1"/>
  <c r="R49" i="63" s="1"/>
  <c r="N48" i="63"/>
  <c r="P48" i="63" s="1"/>
  <c r="R48" i="63" s="1"/>
  <c r="N47" i="63"/>
  <c r="P47" i="63" s="1"/>
  <c r="R47" i="63" s="1"/>
  <c r="N46" i="63"/>
  <c r="P46" i="63" s="1"/>
  <c r="R46" i="63" s="1"/>
  <c r="N45" i="63"/>
  <c r="P45" i="63" s="1"/>
  <c r="R45" i="63" s="1"/>
  <c r="N44" i="63"/>
  <c r="N43" i="63"/>
  <c r="P43" i="63" s="1"/>
  <c r="R43" i="63" s="1"/>
  <c r="N42" i="63"/>
  <c r="P42" i="63" s="1"/>
  <c r="R42" i="63" s="1"/>
  <c r="N41" i="63"/>
  <c r="P41" i="63" s="1"/>
  <c r="R41" i="63" s="1"/>
  <c r="N40" i="63"/>
  <c r="P40" i="63" s="1"/>
  <c r="R40" i="63" s="1"/>
  <c r="N39" i="63"/>
  <c r="N38" i="63"/>
  <c r="N37" i="63"/>
  <c r="P37" i="63" s="1"/>
  <c r="R37" i="63" s="1"/>
  <c r="N36" i="63"/>
  <c r="N35" i="63"/>
  <c r="N34" i="63"/>
  <c r="N33" i="63"/>
  <c r="P33" i="63" s="1"/>
  <c r="R33" i="63" s="1"/>
  <c r="N32" i="63"/>
  <c r="P32" i="63" s="1"/>
  <c r="R32" i="63" s="1"/>
  <c r="N31" i="63"/>
  <c r="P31" i="63" s="1"/>
  <c r="R31" i="63" s="1"/>
  <c r="N30" i="63"/>
  <c r="P30" i="63" s="1"/>
  <c r="R30" i="63" s="1"/>
  <c r="N29" i="63"/>
  <c r="P29" i="63" s="1"/>
  <c r="R29" i="63" s="1"/>
  <c r="N28" i="63"/>
  <c r="P28" i="63" s="1"/>
  <c r="R28" i="63" s="1"/>
  <c r="N27" i="63"/>
  <c r="N26" i="63"/>
  <c r="P26" i="63" s="1"/>
  <c r="R26" i="63" s="1"/>
  <c r="N25" i="63"/>
  <c r="P25" i="63" s="1"/>
  <c r="R25" i="63" s="1"/>
  <c r="N24" i="63"/>
  <c r="P24" i="63" s="1"/>
  <c r="R24" i="63" s="1"/>
  <c r="N23" i="63"/>
  <c r="P23" i="63" s="1"/>
  <c r="R23" i="63" s="1"/>
  <c r="N22" i="63"/>
  <c r="P22" i="63" s="1"/>
  <c r="I21" i="63"/>
  <c r="H21" i="63"/>
  <c r="G21" i="63"/>
  <c r="P66" i="63"/>
  <c r="R66" i="63" s="1"/>
  <c r="P65" i="63"/>
  <c r="R65" i="63" s="1"/>
  <c r="P64" i="63"/>
  <c r="R64" i="63" s="1"/>
  <c r="P63" i="63"/>
  <c r="R63" i="63" s="1"/>
  <c r="P59" i="63"/>
  <c r="R59" i="63" s="1"/>
  <c r="P54" i="63"/>
  <c r="R54" i="63" s="1"/>
  <c r="P52" i="63"/>
  <c r="R52" i="63" s="1"/>
  <c r="P50" i="63"/>
  <c r="R50" i="63" s="1"/>
  <c r="P44" i="63"/>
  <c r="R44" i="63" s="1"/>
  <c r="P39" i="63"/>
  <c r="R39" i="63" s="1"/>
  <c r="P38" i="63"/>
  <c r="R38" i="63" s="1"/>
  <c r="P36" i="63"/>
  <c r="R36" i="63" s="1"/>
  <c r="P35" i="63"/>
  <c r="R35" i="63" s="1"/>
  <c r="P34" i="63"/>
  <c r="R34" i="63" s="1"/>
  <c r="P27" i="63"/>
  <c r="R27" i="63" s="1"/>
  <c r="U65" i="62"/>
  <c r="U64" i="62"/>
  <c r="U63" i="62"/>
  <c r="U62" i="62"/>
  <c r="U61" i="62"/>
  <c r="U60" i="62"/>
  <c r="U59" i="62"/>
  <c r="U58" i="62"/>
  <c r="U57" i="62"/>
  <c r="U56" i="62"/>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65" i="62"/>
  <c r="N64" i="62"/>
  <c r="P64" i="62" s="1"/>
  <c r="R64" i="62" s="1"/>
  <c r="N63" i="62"/>
  <c r="P63" i="62" s="1"/>
  <c r="R63" i="62" s="1"/>
  <c r="N62" i="62"/>
  <c r="P62" i="62" s="1"/>
  <c r="R62" i="62" s="1"/>
  <c r="N61" i="62"/>
  <c r="P61" i="62" s="1"/>
  <c r="R61" i="62" s="1"/>
  <c r="N60" i="62"/>
  <c r="N59" i="62"/>
  <c r="N58" i="62"/>
  <c r="N57" i="62"/>
  <c r="N56" i="62"/>
  <c r="N55" i="62"/>
  <c r="P55" i="62" s="1"/>
  <c r="R55" i="62" s="1"/>
  <c r="N54" i="62"/>
  <c r="N53" i="62"/>
  <c r="P53" i="62" s="1"/>
  <c r="R53" i="62" s="1"/>
  <c r="N52" i="62"/>
  <c r="P52" i="62" s="1"/>
  <c r="R52" i="62" s="1"/>
  <c r="N51" i="62"/>
  <c r="P51" i="62" s="1"/>
  <c r="R51" i="62" s="1"/>
  <c r="N50" i="62"/>
  <c r="P50" i="62" s="1"/>
  <c r="R50" i="62" s="1"/>
  <c r="N49" i="62"/>
  <c r="P49" i="62" s="1"/>
  <c r="R49" i="62" s="1"/>
  <c r="N48" i="62"/>
  <c r="P48" i="62" s="1"/>
  <c r="R48" i="62" s="1"/>
  <c r="N47" i="62"/>
  <c r="P47" i="62" s="1"/>
  <c r="R47" i="62" s="1"/>
  <c r="N46" i="62"/>
  <c r="P46" i="62" s="1"/>
  <c r="R46" i="62" s="1"/>
  <c r="N45" i="62"/>
  <c r="P45" i="62" s="1"/>
  <c r="R45" i="62" s="1"/>
  <c r="N44" i="62"/>
  <c r="P44" i="62" s="1"/>
  <c r="R44" i="62" s="1"/>
  <c r="N43" i="62"/>
  <c r="P43" i="62" s="1"/>
  <c r="R43" i="62" s="1"/>
  <c r="N42" i="62"/>
  <c r="P42" i="62" s="1"/>
  <c r="R42" i="62" s="1"/>
  <c r="N41" i="62"/>
  <c r="P41" i="62" s="1"/>
  <c r="R41" i="62" s="1"/>
  <c r="N40" i="62"/>
  <c r="P40" i="62" s="1"/>
  <c r="R40" i="62" s="1"/>
  <c r="N39" i="62"/>
  <c r="P39" i="62" s="1"/>
  <c r="R39" i="62" s="1"/>
  <c r="N38" i="62"/>
  <c r="P38" i="62" s="1"/>
  <c r="R38" i="62" s="1"/>
  <c r="N37" i="62"/>
  <c r="P37" i="62" s="1"/>
  <c r="R37" i="62" s="1"/>
  <c r="N36" i="62"/>
  <c r="P36" i="62" s="1"/>
  <c r="R36" i="62" s="1"/>
  <c r="N35" i="62"/>
  <c r="P35" i="62" s="1"/>
  <c r="R35" i="62" s="1"/>
  <c r="N34" i="62"/>
  <c r="P34" i="62" s="1"/>
  <c r="R34" i="62" s="1"/>
  <c r="N33" i="62"/>
  <c r="P33" i="62" s="1"/>
  <c r="R33" i="62" s="1"/>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R23" i="62" s="1"/>
  <c r="N22" i="62"/>
  <c r="P22" i="62" s="1"/>
  <c r="I21" i="62"/>
  <c r="H21" i="62"/>
  <c r="G21" i="62"/>
  <c r="P65" i="62"/>
  <c r="R65" i="62" s="1"/>
  <c r="P58" i="62"/>
  <c r="R58" i="62" s="1"/>
  <c r="P57" i="62"/>
  <c r="R57" i="62" s="1"/>
  <c r="P56" i="62"/>
  <c r="R56" i="62" s="1"/>
  <c r="P54" i="62"/>
  <c r="R54" i="62" s="1"/>
  <c r="L69" i="69"/>
  <c r="M69" i="69" s="1"/>
  <c r="L68" i="69"/>
  <c r="M68" i="69" s="1"/>
  <c r="L67" i="69"/>
  <c r="M67" i="69" s="1"/>
  <c r="L66" i="69"/>
  <c r="M66" i="69" s="1"/>
  <c r="L65" i="69"/>
  <c r="M65" i="69" s="1"/>
  <c r="L64" i="69"/>
  <c r="M64" i="69" s="1"/>
  <c r="L63" i="69"/>
  <c r="M63" i="69" s="1"/>
  <c r="L62" i="69"/>
  <c r="M62" i="69" s="1"/>
  <c r="L61" i="69"/>
  <c r="M61" i="69" s="1"/>
  <c r="L60" i="69"/>
  <c r="M60" i="69" s="1"/>
  <c r="L59" i="69"/>
  <c r="M59" i="69" s="1"/>
  <c r="L58" i="69"/>
  <c r="M58" i="69" s="1"/>
  <c r="L57" i="69"/>
  <c r="M57" i="69" s="1"/>
  <c r="L56" i="69"/>
  <c r="M56" i="69" s="1"/>
  <c r="L55" i="69"/>
  <c r="M55" i="69" s="1"/>
  <c r="L54" i="69"/>
  <c r="M54" i="69" s="1"/>
  <c r="L53" i="69"/>
  <c r="M53" i="69" s="1"/>
  <c r="L52" i="69"/>
  <c r="M52" i="69" s="1"/>
  <c r="L51" i="69"/>
  <c r="M51" i="69" s="1"/>
  <c r="L50" i="69"/>
  <c r="M50" i="69" s="1"/>
  <c r="L49" i="69"/>
  <c r="M49" i="69" s="1"/>
  <c r="L48" i="69"/>
  <c r="M48" i="69" s="1"/>
  <c r="L47" i="69"/>
  <c r="M47" i="69" s="1"/>
  <c r="L46" i="69"/>
  <c r="M46" i="69" s="1"/>
  <c r="L45" i="69"/>
  <c r="M45" i="69" s="1"/>
  <c r="L44" i="69"/>
  <c r="M44" i="69" s="1"/>
  <c r="L43" i="69"/>
  <c r="M43" i="69" s="1"/>
  <c r="L42" i="69"/>
  <c r="M42" i="69" s="1"/>
  <c r="L41" i="69"/>
  <c r="M41" i="69" s="1"/>
  <c r="L40" i="69"/>
  <c r="M40" i="69" s="1"/>
  <c r="L39" i="69"/>
  <c r="M39" i="69" s="1"/>
  <c r="L38" i="69"/>
  <c r="M38" i="69" s="1"/>
  <c r="L37" i="69"/>
  <c r="M37" i="69" s="1"/>
  <c r="L36" i="69"/>
  <c r="M36" i="69" s="1"/>
  <c r="L35" i="69"/>
  <c r="M35" i="69" s="1"/>
  <c r="L34" i="69"/>
  <c r="M34" i="69" s="1"/>
  <c r="L33" i="69"/>
  <c r="M33" i="69" s="1"/>
  <c r="L32" i="69"/>
  <c r="M32" i="69" s="1"/>
  <c r="L31" i="69"/>
  <c r="M31" i="69" s="1"/>
  <c r="L30" i="69"/>
  <c r="M30" i="69" s="1"/>
  <c r="L29" i="69"/>
  <c r="M29" i="69" s="1"/>
  <c r="L28" i="69"/>
  <c r="M28" i="69" s="1"/>
  <c r="L27" i="69"/>
  <c r="M27" i="69" s="1"/>
  <c r="L26" i="69"/>
  <c r="M26" i="69" s="1"/>
  <c r="L25" i="69"/>
  <c r="M25" i="69" s="1"/>
  <c r="L24" i="69"/>
  <c r="M24" i="69" s="1"/>
  <c r="L23" i="69"/>
  <c r="M23" i="69" s="1"/>
  <c r="L22" i="69"/>
  <c r="M22" i="69" s="1"/>
  <c r="L62" i="68"/>
  <c r="M62" i="68" s="1"/>
  <c r="L61" i="68"/>
  <c r="M61" i="68" s="1"/>
  <c r="L60" i="68"/>
  <c r="M60" i="68" s="1"/>
  <c r="L59" i="68"/>
  <c r="M59" i="68" s="1"/>
  <c r="L58" i="68"/>
  <c r="M58" i="68" s="1"/>
  <c r="L57" i="68"/>
  <c r="M57" i="68" s="1"/>
  <c r="L56" i="68"/>
  <c r="M56" i="68" s="1"/>
  <c r="L55" i="68"/>
  <c r="M55" i="68" s="1"/>
  <c r="L54" i="68"/>
  <c r="M54" i="68" s="1"/>
  <c r="L53" i="68"/>
  <c r="M53" i="68" s="1"/>
  <c r="L52" i="68"/>
  <c r="M52" i="68" s="1"/>
  <c r="L51" i="68"/>
  <c r="M51" i="68" s="1"/>
  <c r="L50" i="68"/>
  <c r="M50" i="68" s="1"/>
  <c r="L49" i="68"/>
  <c r="M49" i="68" s="1"/>
  <c r="L48" i="68"/>
  <c r="M48" i="68" s="1"/>
  <c r="L47" i="68"/>
  <c r="M47" i="68" s="1"/>
  <c r="L46" i="68"/>
  <c r="M46" i="68" s="1"/>
  <c r="L45" i="68"/>
  <c r="M45" i="68" s="1"/>
  <c r="L44" i="68"/>
  <c r="M44" i="68" s="1"/>
  <c r="L43" i="68"/>
  <c r="M43" i="68" s="1"/>
  <c r="L42" i="68"/>
  <c r="M42" i="68" s="1"/>
  <c r="L41" i="68"/>
  <c r="M41" i="68" s="1"/>
  <c r="L40" i="68"/>
  <c r="M40" i="68" s="1"/>
  <c r="L39" i="68"/>
  <c r="M39" i="68" s="1"/>
  <c r="L38" i="68"/>
  <c r="M38" i="68" s="1"/>
  <c r="L37" i="68"/>
  <c r="M37" i="68" s="1"/>
  <c r="L36" i="68"/>
  <c r="M36" i="68" s="1"/>
  <c r="L35" i="68"/>
  <c r="M35" i="68" s="1"/>
  <c r="L34" i="68"/>
  <c r="M34" i="68" s="1"/>
  <c r="L33" i="68"/>
  <c r="M33" i="68" s="1"/>
  <c r="L32" i="68"/>
  <c r="M32" i="68" s="1"/>
  <c r="L31" i="68"/>
  <c r="M31" i="68" s="1"/>
  <c r="L30" i="68"/>
  <c r="M30" i="68" s="1"/>
  <c r="L29" i="68"/>
  <c r="M29" i="68" s="1"/>
  <c r="L28" i="68"/>
  <c r="M28" i="68" s="1"/>
  <c r="L27" i="68"/>
  <c r="M27" i="68" s="1"/>
  <c r="L26" i="68"/>
  <c r="M26" i="68" s="1"/>
  <c r="L25" i="68"/>
  <c r="M25" i="68" s="1"/>
  <c r="L24" i="68"/>
  <c r="M24" i="68" s="1"/>
  <c r="L23" i="68"/>
  <c r="M23" i="68" s="1"/>
  <c r="L22" i="68"/>
  <c r="L63" i="67"/>
  <c r="M63" i="67" s="1"/>
  <c r="L62" i="67"/>
  <c r="M62" i="67" s="1"/>
  <c r="L61" i="67"/>
  <c r="M61" i="67" s="1"/>
  <c r="L60" i="67"/>
  <c r="M60" i="67" s="1"/>
  <c r="L59" i="67"/>
  <c r="M59" i="67" s="1"/>
  <c r="L58" i="67"/>
  <c r="M58" i="67" s="1"/>
  <c r="L57" i="67"/>
  <c r="M57" i="67" s="1"/>
  <c r="L56" i="67"/>
  <c r="M56" i="67" s="1"/>
  <c r="L55" i="67"/>
  <c r="M55" i="67" s="1"/>
  <c r="L54" i="67"/>
  <c r="M54" i="67" s="1"/>
  <c r="L53" i="67"/>
  <c r="M53" i="67" s="1"/>
  <c r="L52" i="67"/>
  <c r="M52" i="67" s="1"/>
  <c r="L51" i="67"/>
  <c r="M51" i="67" s="1"/>
  <c r="L50" i="67"/>
  <c r="M50" i="67" s="1"/>
  <c r="L49" i="67"/>
  <c r="M49" i="67" s="1"/>
  <c r="L48" i="67"/>
  <c r="M48" i="67" s="1"/>
  <c r="L47" i="67"/>
  <c r="M47" i="67" s="1"/>
  <c r="L46" i="67"/>
  <c r="M46" i="67" s="1"/>
  <c r="L45" i="67"/>
  <c r="M45" i="67" s="1"/>
  <c r="L44" i="67"/>
  <c r="M44" i="67" s="1"/>
  <c r="L43" i="67"/>
  <c r="M43" i="67" s="1"/>
  <c r="L42" i="67"/>
  <c r="M42" i="67" s="1"/>
  <c r="L41" i="67"/>
  <c r="M41" i="67" s="1"/>
  <c r="L40" i="67"/>
  <c r="M40" i="67" s="1"/>
  <c r="L39" i="67"/>
  <c r="M39" i="67" s="1"/>
  <c r="L38" i="67"/>
  <c r="M38" i="67" s="1"/>
  <c r="L37" i="67"/>
  <c r="M37" i="67" s="1"/>
  <c r="L36" i="67"/>
  <c r="M36" i="67" s="1"/>
  <c r="L35" i="67"/>
  <c r="M35" i="67" s="1"/>
  <c r="L34" i="67"/>
  <c r="M34" i="67" s="1"/>
  <c r="L33" i="67"/>
  <c r="M33" i="67" s="1"/>
  <c r="L32" i="67"/>
  <c r="M32" i="67" s="1"/>
  <c r="L31" i="67"/>
  <c r="M31" i="67" s="1"/>
  <c r="L30" i="67"/>
  <c r="M30" i="67" s="1"/>
  <c r="L29" i="67"/>
  <c r="M29" i="67" s="1"/>
  <c r="L28" i="67"/>
  <c r="M28" i="67" s="1"/>
  <c r="L27" i="67"/>
  <c r="M27" i="67" s="1"/>
  <c r="L26" i="67"/>
  <c r="M26" i="67" s="1"/>
  <c r="L25" i="67"/>
  <c r="M25" i="67" s="1"/>
  <c r="L24" i="67"/>
  <c r="M24" i="67" s="1"/>
  <c r="L23" i="67"/>
  <c r="M23" i="67" s="1"/>
  <c r="L22" i="67"/>
  <c r="L61" i="66"/>
  <c r="M61" i="66" s="1"/>
  <c r="L60" i="66"/>
  <c r="M60" i="66" s="1"/>
  <c r="L59" i="66"/>
  <c r="M59" i="66" s="1"/>
  <c r="L58" i="66"/>
  <c r="M58" i="66" s="1"/>
  <c r="L57" i="66"/>
  <c r="M57" i="66" s="1"/>
  <c r="L56" i="66"/>
  <c r="M56" i="66" s="1"/>
  <c r="L55" i="66"/>
  <c r="M55" i="66" s="1"/>
  <c r="L54" i="66"/>
  <c r="M54" i="66" s="1"/>
  <c r="L53" i="66"/>
  <c r="M53" i="66" s="1"/>
  <c r="L52" i="66"/>
  <c r="M52" i="66" s="1"/>
  <c r="L51" i="66"/>
  <c r="M51" i="66" s="1"/>
  <c r="L50" i="66"/>
  <c r="M50" i="66" s="1"/>
  <c r="L49" i="66"/>
  <c r="M49" i="66" s="1"/>
  <c r="L48" i="66"/>
  <c r="M48" i="66" s="1"/>
  <c r="L47" i="66"/>
  <c r="M47" i="66" s="1"/>
  <c r="L46" i="66"/>
  <c r="M46" i="66" s="1"/>
  <c r="L45" i="66"/>
  <c r="M45" i="66" s="1"/>
  <c r="L44" i="66"/>
  <c r="M44" i="66" s="1"/>
  <c r="L43" i="66"/>
  <c r="M43" i="66" s="1"/>
  <c r="L42" i="66"/>
  <c r="M42" i="66" s="1"/>
  <c r="L41" i="66"/>
  <c r="M41" i="66" s="1"/>
  <c r="L40" i="66"/>
  <c r="M40" i="66" s="1"/>
  <c r="L39" i="66"/>
  <c r="M39" i="66" s="1"/>
  <c r="L38" i="66"/>
  <c r="M38" i="66" s="1"/>
  <c r="L37" i="66"/>
  <c r="M37" i="66" s="1"/>
  <c r="L36" i="66"/>
  <c r="M36" i="66" s="1"/>
  <c r="L35" i="66"/>
  <c r="M35" i="66" s="1"/>
  <c r="L34" i="66"/>
  <c r="M34" i="66" s="1"/>
  <c r="L33" i="66"/>
  <c r="M33" i="66" s="1"/>
  <c r="L32" i="66"/>
  <c r="M32" i="66" s="1"/>
  <c r="L31" i="66"/>
  <c r="M31" i="66" s="1"/>
  <c r="L30" i="66"/>
  <c r="M30" i="66" s="1"/>
  <c r="L29" i="66"/>
  <c r="M29" i="66" s="1"/>
  <c r="L28" i="66"/>
  <c r="M28" i="66" s="1"/>
  <c r="L27" i="66"/>
  <c r="M27" i="66" s="1"/>
  <c r="L26" i="66"/>
  <c r="M26" i="66" s="1"/>
  <c r="S26" i="66" s="1"/>
  <c r="L25" i="66"/>
  <c r="M25" i="66" s="1"/>
  <c r="L24" i="66"/>
  <c r="M24" i="66" s="1"/>
  <c r="L23" i="66"/>
  <c r="M23" i="66" s="1"/>
  <c r="L22" i="66"/>
  <c r="M22" i="66" s="1"/>
  <c r="L71" i="65"/>
  <c r="M71" i="65" s="1"/>
  <c r="L70" i="65"/>
  <c r="M70" i="65" s="1"/>
  <c r="L69" i="65"/>
  <c r="M69" i="65" s="1"/>
  <c r="L68" i="65"/>
  <c r="M68" i="65" s="1"/>
  <c r="L67" i="65"/>
  <c r="M67" i="65" s="1"/>
  <c r="L66" i="65"/>
  <c r="M66" i="65" s="1"/>
  <c r="L65" i="65"/>
  <c r="M65" i="65" s="1"/>
  <c r="L64" i="65"/>
  <c r="M64" i="65" s="1"/>
  <c r="L63" i="65"/>
  <c r="M63" i="65" s="1"/>
  <c r="L62" i="65"/>
  <c r="M62" i="65" s="1"/>
  <c r="L61" i="65"/>
  <c r="M61" i="65" s="1"/>
  <c r="L60" i="65"/>
  <c r="M60" i="65" s="1"/>
  <c r="L59" i="65"/>
  <c r="M59" i="65" s="1"/>
  <c r="L58" i="65"/>
  <c r="M58" i="65" s="1"/>
  <c r="L57" i="65"/>
  <c r="M57" i="65" s="1"/>
  <c r="L56" i="65"/>
  <c r="M56" i="65" s="1"/>
  <c r="L55" i="65"/>
  <c r="M55" i="65" s="1"/>
  <c r="L54" i="65"/>
  <c r="M54" i="65" s="1"/>
  <c r="L53" i="65"/>
  <c r="M53" i="65" s="1"/>
  <c r="L52" i="65"/>
  <c r="M52" i="65" s="1"/>
  <c r="L51" i="65"/>
  <c r="M51" i="65" s="1"/>
  <c r="L50" i="65"/>
  <c r="M50" i="65" s="1"/>
  <c r="L49" i="65"/>
  <c r="M49" i="65" s="1"/>
  <c r="L42" i="65"/>
  <c r="M42" i="65" s="1"/>
  <c r="L41" i="65"/>
  <c r="M41" i="65" s="1"/>
  <c r="L40" i="65"/>
  <c r="M40" i="65" s="1"/>
  <c r="L39" i="65"/>
  <c r="M39" i="65" s="1"/>
  <c r="L38" i="65"/>
  <c r="M38" i="65" s="1"/>
  <c r="L37" i="65"/>
  <c r="M37" i="65" s="1"/>
  <c r="L36" i="65"/>
  <c r="M36" i="65" s="1"/>
  <c r="L35" i="65"/>
  <c r="M35" i="65" s="1"/>
  <c r="L34" i="65"/>
  <c r="M34" i="65"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M22" i="65" s="1"/>
  <c r="L63" i="64"/>
  <c r="M63" i="64" s="1"/>
  <c r="L62" i="64"/>
  <c r="M62" i="64" s="1"/>
  <c r="L61" i="64"/>
  <c r="M61" i="64" s="1"/>
  <c r="L60" i="64"/>
  <c r="M60" i="64" s="1"/>
  <c r="L59" i="64"/>
  <c r="M59" i="64" s="1"/>
  <c r="L58" i="64"/>
  <c r="M58" i="64" s="1"/>
  <c r="L57" i="64"/>
  <c r="M57" i="64" s="1"/>
  <c r="L56" i="64"/>
  <c r="M56" i="64" s="1"/>
  <c r="L55" i="64"/>
  <c r="M55" i="64" s="1"/>
  <c r="L54" i="64"/>
  <c r="M54" i="64" s="1"/>
  <c r="L53" i="64"/>
  <c r="M53" i="64" s="1"/>
  <c r="L52" i="64"/>
  <c r="M52" i="64" s="1"/>
  <c r="L51" i="64"/>
  <c r="M51" i="64" s="1"/>
  <c r="L50" i="64"/>
  <c r="M50" i="64" s="1"/>
  <c r="L49" i="64"/>
  <c r="M49" i="64" s="1"/>
  <c r="L48" i="64"/>
  <c r="M48" i="64" s="1"/>
  <c r="L47" i="64"/>
  <c r="M47" i="64" s="1"/>
  <c r="L46" i="64"/>
  <c r="M46" i="64" s="1"/>
  <c r="L45" i="64"/>
  <c r="M45" i="64" s="1"/>
  <c r="L44" i="64"/>
  <c r="M44" i="64" s="1"/>
  <c r="L43" i="64"/>
  <c r="M43" i="64" s="1"/>
  <c r="L42" i="64"/>
  <c r="M42" i="64" s="1"/>
  <c r="L41" i="64"/>
  <c r="M41" i="64" s="1"/>
  <c r="L40" i="64"/>
  <c r="M40" i="64" s="1"/>
  <c r="L39" i="64"/>
  <c r="M39" i="64" s="1"/>
  <c r="L38" i="64"/>
  <c r="M38" i="64" s="1"/>
  <c r="L37" i="64"/>
  <c r="M37" i="64" s="1"/>
  <c r="L36" i="64"/>
  <c r="M36" i="64" s="1"/>
  <c r="L35" i="64"/>
  <c r="M35" i="64" s="1"/>
  <c r="L34" i="64"/>
  <c r="M34" i="64" s="1"/>
  <c r="L33" i="64"/>
  <c r="M33" i="64" s="1"/>
  <c r="L32" i="64"/>
  <c r="M32" i="64" s="1"/>
  <c r="L31" i="64"/>
  <c r="M31" i="64" s="1"/>
  <c r="L30" i="64"/>
  <c r="M30" i="64" s="1"/>
  <c r="L29" i="64"/>
  <c r="M29" i="64" s="1"/>
  <c r="L28" i="64"/>
  <c r="M28" i="64" s="1"/>
  <c r="L27" i="64"/>
  <c r="M27" i="64" s="1"/>
  <c r="L26" i="64"/>
  <c r="M26" i="64" s="1"/>
  <c r="L25" i="64"/>
  <c r="M25" i="64" s="1"/>
  <c r="L24" i="64"/>
  <c r="M24" i="64" s="1"/>
  <c r="L23" i="64"/>
  <c r="M23" i="64" s="1"/>
  <c r="L22" i="64"/>
  <c r="M22" i="64" s="1"/>
  <c r="L66" i="63"/>
  <c r="M66" i="63" s="1"/>
  <c r="L65" i="63"/>
  <c r="M65" i="63" s="1"/>
  <c r="L64" i="63"/>
  <c r="M64" i="63" s="1"/>
  <c r="L63" i="63"/>
  <c r="M63" i="63" s="1"/>
  <c r="L62" i="63"/>
  <c r="M62" i="63" s="1"/>
  <c r="L61" i="63"/>
  <c r="M61" i="63" s="1"/>
  <c r="L60" i="63"/>
  <c r="M60" i="63" s="1"/>
  <c r="L59" i="63"/>
  <c r="M59" i="63" s="1"/>
  <c r="L58" i="63"/>
  <c r="M58" i="63" s="1"/>
  <c r="L57" i="63"/>
  <c r="M57" i="63" s="1"/>
  <c r="L56" i="63"/>
  <c r="M56" i="63" s="1"/>
  <c r="L55" i="63"/>
  <c r="M55" i="63" s="1"/>
  <c r="L54" i="63"/>
  <c r="M54" i="63" s="1"/>
  <c r="L53" i="63"/>
  <c r="M53" i="63" s="1"/>
  <c r="L52" i="63"/>
  <c r="M52" i="63" s="1"/>
  <c r="L51" i="63"/>
  <c r="M51" i="63" s="1"/>
  <c r="L50" i="63"/>
  <c r="M50" i="63" s="1"/>
  <c r="L49" i="63"/>
  <c r="M49" i="63" s="1"/>
  <c r="L48" i="63"/>
  <c r="M48" i="63" s="1"/>
  <c r="L47" i="63"/>
  <c r="M47" i="63" s="1"/>
  <c r="L46" i="63"/>
  <c r="M46" i="63"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60" i="62"/>
  <c r="M60" i="62" s="1"/>
  <c r="L59" i="62"/>
  <c r="M59" i="62" s="1"/>
  <c r="L52" i="62"/>
  <c r="M52" i="62" s="1"/>
  <c r="L40" i="62"/>
  <c r="M40" i="62" s="1"/>
  <c r="L26" i="62"/>
  <c r="M26" i="62" s="1"/>
  <c r="I22" i="46"/>
  <c r="I21" i="46"/>
  <c r="H22" i="46"/>
  <c r="H21" i="46"/>
  <c r="G22" i="46"/>
  <c r="G21" i="46"/>
  <c r="F22" i="46"/>
  <c r="F21" i="46"/>
  <c r="E22" i="46"/>
  <c r="E21" i="46"/>
  <c r="E20" i="46"/>
  <c r="E19" i="46"/>
  <c r="E18" i="46"/>
  <c r="E17" i="46"/>
  <c r="E16" i="46"/>
  <c r="E15" i="46"/>
  <c r="E14" i="46"/>
  <c r="E13" i="46"/>
  <c r="E12" i="46"/>
  <c r="E11" i="46"/>
  <c r="E10" i="46"/>
  <c r="D22" i="46"/>
  <c r="D21" i="46"/>
  <c r="D20" i="46"/>
  <c r="D19" i="46"/>
  <c r="D18" i="46"/>
  <c r="D17" i="46"/>
  <c r="D16" i="46"/>
  <c r="D15" i="46"/>
  <c r="D14" i="46"/>
  <c r="D13" i="46"/>
  <c r="D12" i="46"/>
  <c r="D11" i="46"/>
  <c r="D10" i="46"/>
  <c r="C22" i="46"/>
  <c r="C21" i="46"/>
  <c r="C20" i="46"/>
  <c r="C19" i="46"/>
  <c r="C18" i="46"/>
  <c r="C17" i="46"/>
  <c r="C16" i="46"/>
  <c r="C15" i="46"/>
  <c r="C14" i="46"/>
  <c r="C13" i="46"/>
  <c r="C12" i="46"/>
  <c r="C11" i="46"/>
  <c r="C10" i="46"/>
  <c r="B22" i="46"/>
  <c r="B21" i="46"/>
  <c r="B20" i="46"/>
  <c r="B19" i="46"/>
  <c r="B18" i="46"/>
  <c r="B17" i="46"/>
  <c r="B16" i="46"/>
  <c r="L22" i="62" s="1"/>
  <c r="B15" i="46"/>
  <c r="B14" i="46"/>
  <c r="B13" i="46"/>
  <c r="B12" i="46"/>
  <c r="B11" i="46"/>
  <c r="B10" i="46"/>
  <c r="B13" i="69"/>
  <c r="B4" i="69"/>
  <c r="N2" i="69"/>
  <c r="B13" i="68"/>
  <c r="B4" i="68"/>
  <c r="N2" i="68"/>
  <c r="B13" i="67"/>
  <c r="B4" i="67"/>
  <c r="N2" i="67"/>
  <c r="B13" i="66"/>
  <c r="B4" i="66"/>
  <c r="N2" i="66"/>
  <c r="B13" i="65"/>
  <c r="B4" i="65"/>
  <c r="N2" i="65"/>
  <c r="B13" i="64"/>
  <c r="B4" i="64"/>
  <c r="N2" i="64"/>
  <c r="B13" i="63"/>
  <c r="B4" i="63"/>
  <c r="N2" i="63"/>
  <c r="B13" i="62"/>
  <c r="B4" i="62"/>
  <c r="N2" i="62"/>
  <c r="H23" i="1" l="1"/>
  <c r="E9" i="3"/>
  <c r="E8" i="3"/>
  <c r="H22" i="1"/>
  <c r="E7" i="3"/>
  <c r="H21" i="1"/>
  <c r="X61" i="68"/>
  <c r="R21" i="65"/>
  <c r="E23" i="1"/>
  <c r="R21" i="64"/>
  <c r="R21" i="63"/>
  <c r="E20" i="1"/>
  <c r="R21" i="62"/>
  <c r="X66" i="69"/>
  <c r="X65" i="69"/>
  <c r="X64" i="69"/>
  <c r="X63" i="69"/>
  <c r="X62" i="69"/>
  <c r="X69" i="69"/>
  <c r="X68" i="69"/>
  <c r="P67" i="69"/>
  <c r="X67" i="69"/>
  <c r="X61" i="69"/>
  <c r="X60" i="69"/>
  <c r="X59" i="69"/>
  <c r="X58" i="69"/>
  <c r="X57" i="69"/>
  <c r="X56" i="69"/>
  <c r="X55" i="69"/>
  <c r="X54" i="69"/>
  <c r="X53" i="69"/>
  <c r="V24" i="69"/>
  <c r="W24" i="69" s="1"/>
  <c r="X24" i="69" s="1"/>
  <c r="P52" i="69"/>
  <c r="X52" i="69"/>
  <c r="X51" i="69"/>
  <c r="P51" i="69"/>
  <c r="X50" i="69"/>
  <c r="P50" i="69"/>
  <c r="X49" i="69"/>
  <c r="P49" i="69"/>
  <c r="X48" i="69"/>
  <c r="P48" i="69"/>
  <c r="X47" i="69"/>
  <c r="P47" i="69"/>
  <c r="X46" i="69"/>
  <c r="P46" i="69"/>
  <c r="X45" i="69"/>
  <c r="P45" i="69"/>
  <c r="X44" i="69"/>
  <c r="P44" i="69"/>
  <c r="X43" i="69"/>
  <c r="P43" i="69"/>
  <c r="X42" i="69"/>
  <c r="P42" i="69"/>
  <c r="X41" i="69"/>
  <c r="P41" i="69"/>
  <c r="P40" i="69"/>
  <c r="X40" i="69"/>
  <c r="X37" i="69"/>
  <c r="P37" i="69"/>
  <c r="X34" i="69"/>
  <c r="P34" i="69"/>
  <c r="X28" i="69"/>
  <c r="P28" i="69"/>
  <c r="P25" i="69"/>
  <c r="X22" i="69"/>
  <c r="P22" i="69"/>
  <c r="X60" i="68"/>
  <c r="X59" i="68"/>
  <c r="X58" i="68"/>
  <c r="X57" i="68"/>
  <c r="X56" i="68"/>
  <c r="X55" i="68"/>
  <c r="X53" i="68"/>
  <c r="X52" i="68"/>
  <c r="X51" i="68"/>
  <c r="X54" i="68"/>
  <c r="P54" i="68"/>
  <c r="P50" i="68"/>
  <c r="X50" i="68"/>
  <c r="X49" i="68"/>
  <c r="P49" i="68"/>
  <c r="X48" i="68"/>
  <c r="P48" i="68"/>
  <c r="X47" i="68"/>
  <c r="P47" i="68"/>
  <c r="X46" i="68"/>
  <c r="P46" i="68"/>
  <c r="X45" i="68"/>
  <c r="P45" i="68"/>
  <c r="X44" i="68"/>
  <c r="P44" i="68"/>
  <c r="X43" i="68"/>
  <c r="P43" i="68"/>
  <c r="X42" i="68"/>
  <c r="P42" i="68"/>
  <c r="X41" i="68"/>
  <c r="P41" i="68"/>
  <c r="X40" i="68"/>
  <c r="P40" i="68"/>
  <c r="X39" i="68"/>
  <c r="P39" i="68"/>
  <c r="X38" i="68"/>
  <c r="P38" i="68"/>
  <c r="X37" i="68"/>
  <c r="P37" i="68"/>
  <c r="X36" i="68"/>
  <c r="P36" i="68"/>
  <c r="P35" i="68"/>
  <c r="X35" i="68"/>
  <c r="P27" i="68"/>
  <c r="P23" i="68"/>
  <c r="P54" i="67"/>
  <c r="X54" i="67"/>
  <c r="X53" i="67"/>
  <c r="P53" i="67"/>
  <c r="P52" i="67"/>
  <c r="X52" i="67"/>
  <c r="X51" i="67"/>
  <c r="P51" i="67"/>
  <c r="X50" i="67"/>
  <c r="P50" i="67"/>
  <c r="X49" i="67"/>
  <c r="P49" i="67"/>
  <c r="X48" i="67"/>
  <c r="P48" i="67"/>
  <c r="X47" i="67"/>
  <c r="P47" i="67"/>
  <c r="X46" i="67"/>
  <c r="P46" i="67"/>
  <c r="X45" i="67"/>
  <c r="P45" i="67"/>
  <c r="X44" i="67"/>
  <c r="P44" i="67"/>
  <c r="X43" i="67"/>
  <c r="P43" i="67"/>
  <c r="X42" i="67"/>
  <c r="P42" i="67"/>
  <c r="P41" i="67"/>
  <c r="X41" i="67"/>
  <c r="X40" i="67"/>
  <c r="P40" i="67"/>
  <c r="X36" i="67"/>
  <c r="P36" i="67"/>
  <c r="X32" i="67"/>
  <c r="P32" i="67"/>
  <c r="X23" i="67"/>
  <c r="P23" i="67"/>
  <c r="X48" i="66"/>
  <c r="X47" i="66"/>
  <c r="X45" i="66"/>
  <c r="X46" i="66"/>
  <c r="P46" i="66"/>
  <c r="W23" i="66"/>
  <c r="W22" i="66"/>
  <c r="W33" i="66"/>
  <c r="V37" i="66"/>
  <c r="W37" i="66" s="1"/>
  <c r="X37" i="66" s="1"/>
  <c r="V25" i="66"/>
  <c r="W25" i="66" s="1"/>
  <c r="X25" i="66" s="1"/>
  <c r="X43" i="66"/>
  <c r="P43" i="66"/>
  <c r="X42" i="66"/>
  <c r="P42" i="66"/>
  <c r="P41" i="66"/>
  <c r="X41" i="66"/>
  <c r="X40" i="66"/>
  <c r="P40" i="66"/>
  <c r="X39" i="66"/>
  <c r="P39" i="66"/>
  <c r="P37" i="66"/>
  <c r="X35" i="66"/>
  <c r="P35" i="66"/>
  <c r="X33" i="66"/>
  <c r="P33" i="66"/>
  <c r="X29" i="66"/>
  <c r="P29" i="66"/>
  <c r="X23" i="66"/>
  <c r="P23" i="66"/>
  <c r="L46" i="65"/>
  <c r="M46" i="65" s="1"/>
  <c r="L45" i="65"/>
  <c r="M45" i="65" s="1"/>
  <c r="L44" i="65"/>
  <c r="M44" i="65" s="1"/>
  <c r="L43" i="65"/>
  <c r="M43" i="65" s="1"/>
  <c r="L48" i="65"/>
  <c r="M48" i="65" s="1"/>
  <c r="L47" i="65"/>
  <c r="M47" i="65" s="1"/>
  <c r="L24" i="63"/>
  <c r="M24" i="63" s="1"/>
  <c r="L23" i="63"/>
  <c r="M23" i="63" s="1"/>
  <c r="L22" i="63"/>
  <c r="M22" i="63" s="1"/>
  <c r="V50" i="65"/>
  <c r="V52" i="64"/>
  <c r="I4" i="69"/>
  <c r="M21" i="69"/>
  <c r="I8" i="69"/>
  <c r="I6" i="69"/>
  <c r="I9" i="69"/>
  <c r="I5" i="69"/>
  <c r="J4" i="69"/>
  <c r="I7" i="69"/>
  <c r="J9" i="69"/>
  <c r="J6" i="69"/>
  <c r="J8" i="69"/>
  <c r="J5" i="69"/>
  <c r="J7" i="69"/>
  <c r="M22" i="68"/>
  <c r="M22" i="67"/>
  <c r="J7" i="67"/>
  <c r="I8" i="67"/>
  <c r="J8" i="67"/>
  <c r="J9" i="67"/>
  <c r="I6" i="67"/>
  <c r="J6" i="67"/>
  <c r="I5" i="67"/>
  <c r="J4" i="67"/>
  <c r="J5" i="67"/>
  <c r="I7" i="67"/>
  <c r="M21" i="66"/>
  <c r="I4" i="66"/>
  <c r="J4" i="66"/>
  <c r="I5" i="66"/>
  <c r="J5" i="66"/>
  <c r="I6" i="66"/>
  <c r="J6" i="66"/>
  <c r="I7" i="66"/>
  <c r="J7" i="66"/>
  <c r="I8" i="66"/>
  <c r="J8" i="66"/>
  <c r="I9" i="66"/>
  <c r="J9" i="66"/>
  <c r="I10" i="66"/>
  <c r="J10" i="66"/>
  <c r="V71" i="65"/>
  <c r="V70" i="65"/>
  <c r="V69" i="65"/>
  <c r="V68" i="65"/>
  <c r="V67" i="65"/>
  <c r="V66" i="65"/>
  <c r="V65" i="65"/>
  <c r="V64" i="65"/>
  <c r="V63" i="65"/>
  <c r="V62" i="65"/>
  <c r="V61" i="65"/>
  <c r="V60" i="65"/>
  <c r="V59" i="65"/>
  <c r="V58" i="65"/>
  <c r="V57" i="65"/>
  <c r="V56" i="65"/>
  <c r="V55" i="65"/>
  <c r="V54" i="65"/>
  <c r="V53" i="65"/>
  <c r="V52" i="65"/>
  <c r="V51" i="65"/>
  <c r="V49" i="65"/>
  <c r="V42" i="65"/>
  <c r="T42" i="65"/>
  <c r="Q42" i="65"/>
  <c r="S42" i="65" s="1"/>
  <c r="V41" i="65"/>
  <c r="V40" i="65"/>
  <c r="V39" i="65"/>
  <c r="V38" i="65"/>
  <c r="V37" i="65"/>
  <c r="V36" i="65"/>
  <c r="V35" i="65"/>
  <c r="V34" i="65"/>
  <c r="V33" i="65"/>
  <c r="V32" i="65"/>
  <c r="V30" i="65"/>
  <c r="V29" i="65"/>
  <c r="V28" i="65"/>
  <c r="V27" i="65"/>
  <c r="V26" i="65"/>
  <c r="V25" i="65"/>
  <c r="V24" i="65"/>
  <c r="V23" i="65"/>
  <c r="V22" i="65"/>
  <c r="M21" i="65"/>
  <c r="I8" i="65"/>
  <c r="J7" i="65"/>
  <c r="J6" i="65"/>
  <c r="I5" i="65"/>
  <c r="I4" i="65"/>
  <c r="J4" i="65"/>
  <c r="J8" i="65"/>
  <c r="I9" i="65"/>
  <c r="J9" i="65"/>
  <c r="I10" i="65"/>
  <c r="J10" i="65"/>
  <c r="I7" i="65"/>
  <c r="I6" i="65"/>
  <c r="J5" i="65"/>
  <c r="V63" i="64"/>
  <c r="V62" i="64"/>
  <c r="V61" i="64"/>
  <c r="V60" i="64"/>
  <c r="V59" i="64"/>
  <c r="V58" i="64"/>
  <c r="V57" i="64"/>
  <c r="V56" i="64"/>
  <c r="V55" i="64"/>
  <c r="V54" i="64"/>
  <c r="V53" i="64"/>
  <c r="V51" i="64"/>
  <c r="V50" i="64"/>
  <c r="V49" i="64"/>
  <c r="V48" i="64"/>
  <c r="V47" i="64"/>
  <c r="V46" i="64"/>
  <c r="V45" i="64"/>
  <c r="V44" i="64"/>
  <c r="V43" i="64"/>
  <c r="V42" i="64"/>
  <c r="V41" i="64"/>
  <c r="V40" i="64"/>
  <c r="V39" i="64"/>
  <c r="V38" i="64"/>
  <c r="V37" i="64"/>
  <c r="V35" i="64"/>
  <c r="V34" i="64"/>
  <c r="V33" i="64"/>
  <c r="V32" i="64"/>
  <c r="V31" i="64"/>
  <c r="V30" i="64"/>
  <c r="V29" i="64"/>
  <c r="V28" i="64"/>
  <c r="V27" i="64"/>
  <c r="V26" i="64"/>
  <c r="V25" i="64"/>
  <c r="V24" i="64"/>
  <c r="V23" i="64"/>
  <c r="V22" i="64"/>
  <c r="J5" i="64"/>
  <c r="M21" i="64"/>
  <c r="J10" i="64"/>
  <c r="I10" i="64"/>
  <c r="I9" i="64"/>
  <c r="I7" i="64"/>
  <c r="J7" i="64"/>
  <c r="I5" i="64"/>
  <c r="I6" i="64"/>
  <c r="I4" i="64"/>
  <c r="J9" i="64"/>
  <c r="J6" i="64"/>
  <c r="J4" i="64"/>
  <c r="I8" i="64"/>
  <c r="J8" i="64"/>
  <c r="V66" i="63"/>
  <c r="V65" i="63"/>
  <c r="V64" i="63"/>
  <c r="V63" i="63"/>
  <c r="Q62" i="63"/>
  <c r="S62" i="63" s="1"/>
  <c r="T62" i="63"/>
  <c r="V62" i="63"/>
  <c r="V61" i="63"/>
  <c r="Q60" i="63"/>
  <c r="S60" i="63" s="1"/>
  <c r="T60" i="63"/>
  <c r="V60" i="63"/>
  <c r="Q59" i="63"/>
  <c r="S59" i="63" s="1"/>
  <c r="T59" i="63"/>
  <c r="V59" i="63"/>
  <c r="Q58" i="63"/>
  <c r="S58" i="63" s="1"/>
  <c r="T58" i="63"/>
  <c r="V58" i="63"/>
  <c r="V57" i="63"/>
  <c r="V56" i="63"/>
  <c r="V55" i="63"/>
  <c r="V54" i="63"/>
  <c r="V53" i="63"/>
  <c r="V52" i="63"/>
  <c r="V51" i="63"/>
  <c r="V50" i="63"/>
  <c r="V49" i="63"/>
  <c r="V48" i="63"/>
  <c r="V47" i="63"/>
  <c r="V46" i="63"/>
  <c r="V45" i="63"/>
  <c r="V44" i="63"/>
  <c r="V43" i="63"/>
  <c r="V42" i="63"/>
  <c r="V41" i="63"/>
  <c r="V40" i="63"/>
  <c r="V39" i="63"/>
  <c r="V38" i="63"/>
  <c r="V37" i="63"/>
  <c r="V36" i="63"/>
  <c r="V35" i="63"/>
  <c r="V34" i="63"/>
  <c r="V33" i="63"/>
  <c r="V32" i="63"/>
  <c r="V31" i="63"/>
  <c r="V30" i="63"/>
  <c r="V29" i="63"/>
  <c r="V28" i="63"/>
  <c r="V27" i="63"/>
  <c r="V26" i="63"/>
  <c r="V25" i="63"/>
  <c r="V24" i="63"/>
  <c r="V23" i="63"/>
  <c r="V22" i="63"/>
  <c r="I10" i="63"/>
  <c r="J10" i="63"/>
  <c r="J8" i="63"/>
  <c r="I5" i="63"/>
  <c r="I6" i="63"/>
  <c r="J4" i="63"/>
  <c r="J6" i="63"/>
  <c r="J9" i="63"/>
  <c r="I9" i="63"/>
  <c r="J5" i="63"/>
  <c r="I4" i="63"/>
  <c r="I7" i="63"/>
  <c r="M21" i="63"/>
  <c r="J7" i="63"/>
  <c r="I8" i="63"/>
  <c r="Q52" i="62"/>
  <c r="S52" i="62" s="1"/>
  <c r="V52" i="62"/>
  <c r="T52" i="62"/>
  <c r="Q40" i="62"/>
  <c r="S40" i="62" s="1"/>
  <c r="T40" i="62"/>
  <c r="V40" i="62"/>
  <c r="Q26" i="62"/>
  <c r="S26" i="62" s="1"/>
  <c r="T26" i="62"/>
  <c r="V26" i="62"/>
  <c r="L36" i="62"/>
  <c r="M36" i="62" s="1"/>
  <c r="L51" i="62"/>
  <c r="M51" i="62" s="1"/>
  <c r="L41" i="62"/>
  <c r="M41" i="62" s="1"/>
  <c r="L37" i="62"/>
  <c r="M37" i="62" s="1"/>
  <c r="L61" i="62"/>
  <c r="M61" i="62" s="1"/>
  <c r="L46" i="62"/>
  <c r="M46" i="62" s="1"/>
  <c r="L29" i="62"/>
  <c r="M29" i="62" s="1"/>
  <c r="L43" i="62"/>
  <c r="M43" i="62" s="1"/>
  <c r="L44" i="62"/>
  <c r="M44" i="62" s="1"/>
  <c r="L34" i="62"/>
  <c r="M34" i="62" s="1"/>
  <c r="L49" i="62"/>
  <c r="M49" i="62" s="1"/>
  <c r="L62" i="62"/>
  <c r="M62" i="62" s="1"/>
  <c r="L27" i="62"/>
  <c r="M27" i="62" s="1"/>
  <c r="L30" i="62"/>
  <c r="M30" i="62" s="1"/>
  <c r="L25" i="62"/>
  <c r="M25" i="62" s="1"/>
  <c r="L48" i="62"/>
  <c r="M48" i="62" s="1"/>
  <c r="L23" i="62"/>
  <c r="L42" i="62"/>
  <c r="M42" i="62" s="1"/>
  <c r="L28" i="62"/>
  <c r="M28" i="62" s="1"/>
  <c r="L39" i="62"/>
  <c r="M39" i="62" s="1"/>
  <c r="L24" i="62"/>
  <c r="M24" i="62" s="1"/>
  <c r="L38" i="62"/>
  <c r="M38" i="62" s="1"/>
  <c r="L45" i="62"/>
  <c r="M45" i="62" s="1"/>
  <c r="M22" i="62"/>
  <c r="L65" i="62"/>
  <c r="M65" i="62" s="1"/>
  <c r="L50" i="62"/>
  <c r="M50" i="62" s="1"/>
  <c r="L47" i="62"/>
  <c r="M47" i="62" s="1"/>
  <c r="L53" i="62"/>
  <c r="M53" i="62" s="1"/>
  <c r="L57" i="62"/>
  <c r="M57" i="62" s="1"/>
  <c r="L35" i="62"/>
  <c r="M35" i="62" s="1"/>
  <c r="L56" i="62"/>
  <c r="M56" i="62" s="1"/>
  <c r="L64" i="62"/>
  <c r="M64" i="62" s="1"/>
  <c r="L31" i="62"/>
  <c r="M31" i="62" s="1"/>
  <c r="L54" i="62"/>
  <c r="M54" i="62" s="1"/>
  <c r="L58" i="62"/>
  <c r="M58" i="62" s="1"/>
  <c r="L55" i="62"/>
  <c r="M55" i="62" s="1"/>
  <c r="L32" i="62"/>
  <c r="M32" i="62" s="1"/>
  <c r="L63" i="62"/>
  <c r="M63" i="62" s="1"/>
  <c r="L33" i="62"/>
  <c r="M33" i="62" s="1"/>
  <c r="V34" i="69"/>
  <c r="W34" i="69" s="1"/>
  <c r="V33" i="69"/>
  <c r="W33" i="69" s="1"/>
  <c r="V31" i="69"/>
  <c r="W31" i="69" s="1"/>
  <c r="V30" i="69"/>
  <c r="W30" i="69" s="1"/>
  <c r="V29" i="69"/>
  <c r="W29" i="69" s="1"/>
  <c r="V27" i="69"/>
  <c r="W27" i="69" s="1"/>
  <c r="X27" i="69" s="1"/>
  <c r="V26" i="69"/>
  <c r="W26" i="69" s="1"/>
  <c r="V25" i="69"/>
  <c r="W25" i="69" s="1"/>
  <c r="X25" i="69" s="1"/>
  <c r="V23" i="69"/>
  <c r="W23" i="69" s="1"/>
  <c r="X39" i="69"/>
  <c r="P39" i="69"/>
  <c r="X38" i="69"/>
  <c r="P38" i="69"/>
  <c r="X36" i="69"/>
  <c r="P36" i="69"/>
  <c r="X35" i="69"/>
  <c r="P35" i="69"/>
  <c r="X33" i="69"/>
  <c r="P33" i="69"/>
  <c r="X32" i="69"/>
  <c r="P32" i="69"/>
  <c r="X31" i="69"/>
  <c r="P31" i="69"/>
  <c r="X30" i="69"/>
  <c r="P30" i="69"/>
  <c r="X29" i="69"/>
  <c r="P29" i="69"/>
  <c r="P27" i="69"/>
  <c r="X26" i="69"/>
  <c r="P26" i="69"/>
  <c r="P24" i="69"/>
  <c r="X23" i="69"/>
  <c r="P23" i="69"/>
  <c r="V28" i="68"/>
  <c r="W28" i="68" s="1"/>
  <c r="V27" i="68"/>
  <c r="W27" i="68" s="1"/>
  <c r="X27" i="68" s="1"/>
  <c r="V25" i="68"/>
  <c r="W25" i="68" s="1"/>
  <c r="V24" i="68"/>
  <c r="W24" i="68" s="1"/>
  <c r="V23" i="68"/>
  <c r="W23" i="68" s="1"/>
  <c r="X23" i="68" s="1"/>
  <c r="X34" i="68"/>
  <c r="P34" i="68"/>
  <c r="X33" i="68"/>
  <c r="P33" i="68"/>
  <c r="X32" i="68"/>
  <c r="P32" i="68"/>
  <c r="X31" i="68"/>
  <c r="P31" i="68"/>
  <c r="X30" i="68"/>
  <c r="P30" i="68"/>
  <c r="X29" i="68"/>
  <c r="P29" i="68"/>
  <c r="X28" i="68"/>
  <c r="P28" i="68"/>
  <c r="X26" i="68"/>
  <c r="P26" i="68"/>
  <c r="X25" i="68"/>
  <c r="P25" i="68"/>
  <c r="X24" i="68"/>
  <c r="P24" i="68"/>
  <c r="X22" i="68"/>
  <c r="P22" i="68"/>
  <c r="V39" i="67"/>
  <c r="W39" i="67" s="1"/>
  <c r="V37" i="67"/>
  <c r="W37" i="67" s="1"/>
  <c r="V36" i="67"/>
  <c r="W36" i="67" s="1"/>
  <c r="V35" i="67"/>
  <c r="W35" i="67" s="1"/>
  <c r="V34" i="67"/>
  <c r="W34" i="67" s="1"/>
  <c r="V33" i="67"/>
  <c r="W33" i="67" s="1"/>
  <c r="V32" i="67"/>
  <c r="W32" i="67" s="1"/>
  <c r="V31" i="67"/>
  <c r="W31" i="67" s="1"/>
  <c r="V30" i="67"/>
  <c r="W30" i="67" s="1"/>
  <c r="V29" i="67"/>
  <c r="W29" i="67" s="1"/>
  <c r="X29" i="67" s="1"/>
  <c r="V28" i="67"/>
  <c r="W28" i="67" s="1"/>
  <c r="V27" i="67"/>
  <c r="W27" i="67" s="1"/>
  <c r="V26" i="67"/>
  <c r="W26" i="67" s="1"/>
  <c r="V25" i="67"/>
  <c r="W25" i="67" s="1"/>
  <c r="V24" i="67"/>
  <c r="W24" i="67" s="1"/>
  <c r="V23" i="67"/>
  <c r="W23" i="67" s="1"/>
  <c r="X39" i="67"/>
  <c r="P39" i="67"/>
  <c r="X38" i="67"/>
  <c r="P38" i="67"/>
  <c r="X37" i="67"/>
  <c r="P37" i="67"/>
  <c r="X35" i="67"/>
  <c r="P35" i="67"/>
  <c r="X34" i="67"/>
  <c r="P34" i="67"/>
  <c r="X33" i="67"/>
  <c r="P33" i="67"/>
  <c r="X31" i="67"/>
  <c r="P31" i="67"/>
  <c r="X30" i="67"/>
  <c r="P30" i="67"/>
  <c r="P29" i="67"/>
  <c r="X28" i="67"/>
  <c r="P28" i="67"/>
  <c r="X27" i="67"/>
  <c r="P27" i="67"/>
  <c r="X26" i="67"/>
  <c r="P26" i="67"/>
  <c r="X25" i="67"/>
  <c r="P25" i="67"/>
  <c r="X24" i="67"/>
  <c r="P24" i="67"/>
  <c r="X22" i="67"/>
  <c r="P22" i="67"/>
  <c r="V39" i="66"/>
  <c r="W39" i="66" s="1"/>
  <c r="V38" i="66"/>
  <c r="W38" i="66" s="1"/>
  <c r="V35" i="66"/>
  <c r="W35" i="66" s="1"/>
  <c r="V32" i="66"/>
  <c r="W32" i="66" s="1"/>
  <c r="V31" i="66"/>
  <c r="W31" i="66" s="1"/>
  <c r="V30" i="66"/>
  <c r="W30" i="66" s="1"/>
  <c r="X30" i="66" s="1"/>
  <c r="V29" i="66"/>
  <c r="W29" i="66" s="1"/>
  <c r="V28" i="66"/>
  <c r="W28" i="66" s="1"/>
  <c r="V27" i="66"/>
  <c r="W27" i="66" s="1"/>
  <c r="V26" i="66"/>
  <c r="W26" i="66" s="1"/>
  <c r="V24" i="66"/>
  <c r="W24" i="66" s="1"/>
  <c r="X44" i="66"/>
  <c r="X38" i="66"/>
  <c r="X36" i="66"/>
  <c r="P36" i="66"/>
  <c r="X34" i="66"/>
  <c r="P34" i="66"/>
  <c r="X32" i="66"/>
  <c r="P32" i="66"/>
  <c r="X31" i="66"/>
  <c r="P31" i="66"/>
  <c r="P30" i="66"/>
  <c r="X28" i="66"/>
  <c r="P28" i="66"/>
  <c r="X27" i="66"/>
  <c r="X26" i="66"/>
  <c r="P26" i="66"/>
  <c r="P25" i="66"/>
  <c r="X24" i="66"/>
  <c r="P24" i="66"/>
  <c r="X22" i="66"/>
  <c r="P22" i="66"/>
  <c r="V31" i="65"/>
  <c r="P31" i="65"/>
  <c r="R22" i="65"/>
  <c r="V36" i="64"/>
  <c r="P36" i="64"/>
  <c r="R25" i="64"/>
  <c r="R22" i="63"/>
  <c r="P21" i="63"/>
  <c r="V60" i="62"/>
  <c r="P60" i="62"/>
  <c r="R60" i="62" s="1"/>
  <c r="V59" i="62"/>
  <c r="P59" i="62"/>
  <c r="R59" i="62" s="1"/>
  <c r="R22" i="62"/>
  <c r="P21" i="62"/>
  <c r="D17" i="29"/>
  <c r="D17" i="38"/>
  <c r="D18" i="38"/>
  <c r="F18" i="38" s="1"/>
  <c r="D19" i="38"/>
  <c r="D20" i="38"/>
  <c r="F20" i="38" s="1"/>
  <c r="D21" i="38"/>
  <c r="D22" i="38"/>
  <c r="F22" i="38"/>
  <c r="D76" i="29"/>
  <c r="R31" i="65" l="1"/>
  <c r="P21" i="65"/>
  <c r="R36" i="64"/>
  <c r="P21" i="64"/>
  <c r="V46" i="65"/>
  <c r="V45" i="65"/>
  <c r="V44" i="65"/>
  <c r="V43" i="65"/>
  <c r="V48" i="65"/>
  <c r="V47" i="65"/>
  <c r="I5" i="68"/>
  <c r="J5" i="68"/>
  <c r="N14" i="64"/>
  <c r="O14" i="64" s="1"/>
  <c r="N13" i="64"/>
  <c r="I6" i="68"/>
  <c r="M21" i="68"/>
  <c r="J8" i="68"/>
  <c r="I7" i="68"/>
  <c r="I4" i="68"/>
  <c r="J7" i="68"/>
  <c r="J6" i="68"/>
  <c r="I9" i="68"/>
  <c r="J9" i="68"/>
  <c r="I8" i="68"/>
  <c r="M21" i="67"/>
  <c r="I4" i="67"/>
  <c r="I9" i="67"/>
  <c r="V36" i="62"/>
  <c r="V51" i="62"/>
  <c r="V41" i="62"/>
  <c r="V37" i="62"/>
  <c r="V61" i="62"/>
  <c r="V46" i="62"/>
  <c r="V29" i="62"/>
  <c r="V43" i="62"/>
  <c r="V44" i="62"/>
  <c r="V34" i="62"/>
  <c r="V49" i="62"/>
  <c r="V62" i="62"/>
  <c r="V27" i="62"/>
  <c r="V30" i="62"/>
  <c r="V25" i="62"/>
  <c r="V48" i="62"/>
  <c r="V42" i="62"/>
  <c r="V28" i="62"/>
  <c r="V39" i="62"/>
  <c r="V24" i="62"/>
  <c r="V38" i="62"/>
  <c r="V45" i="62"/>
  <c r="V22" i="62"/>
  <c r="M21" i="62"/>
  <c r="I5" i="62"/>
  <c r="V65" i="62"/>
  <c r="V50" i="62"/>
  <c r="V47" i="62"/>
  <c r="V53" i="62"/>
  <c r="V57" i="62"/>
  <c r="V35" i="62"/>
  <c r="V56" i="62"/>
  <c r="V64" i="62"/>
  <c r="V31" i="62"/>
  <c r="V54" i="62"/>
  <c r="V58" i="62"/>
  <c r="V55" i="62"/>
  <c r="V32" i="62"/>
  <c r="V63" i="62"/>
  <c r="V33" i="62"/>
  <c r="J4" i="68"/>
  <c r="N14" i="63"/>
  <c r="O14" i="63" s="1"/>
  <c r="N13" i="63"/>
  <c r="M23" i="62"/>
  <c r="I6" i="62"/>
  <c r="J7" i="62"/>
  <c r="I9" i="62"/>
  <c r="I10" i="62"/>
  <c r="J8" i="62"/>
  <c r="J4" i="62"/>
  <c r="J6" i="62"/>
  <c r="I7" i="62"/>
  <c r="I8" i="62"/>
  <c r="J10" i="62"/>
  <c r="J9" i="62"/>
  <c r="J5" i="62"/>
  <c r="N14" i="69"/>
  <c r="P21" i="69"/>
  <c r="N14" i="68"/>
  <c r="P21" i="68"/>
  <c r="N14" i="67"/>
  <c r="P21" i="67"/>
  <c r="N14" i="66"/>
  <c r="Q26" i="66"/>
  <c r="R26" i="66"/>
  <c r="P21" i="66"/>
  <c r="H18" i="38"/>
  <c r="H20" i="38"/>
  <c r="N14" i="65" l="1"/>
  <c r="O14" i="65" s="1"/>
  <c r="N13" i="65"/>
  <c r="O13" i="64"/>
  <c r="M12" i="64"/>
  <c r="M11" i="64"/>
  <c r="V23" i="62"/>
  <c r="I4" i="62"/>
  <c r="M12" i="63"/>
  <c r="O13" i="63"/>
  <c r="M11" i="63"/>
  <c r="L8" i="69"/>
  <c r="L9" i="69"/>
  <c r="L10" i="69"/>
  <c r="L11" i="69"/>
  <c r="O14" i="69"/>
  <c r="L8" i="68"/>
  <c r="L9" i="68"/>
  <c r="L10" i="68"/>
  <c r="L11" i="68"/>
  <c r="O14" i="68"/>
  <c r="L8" i="67"/>
  <c r="L9" i="67"/>
  <c r="L10" i="67"/>
  <c r="L11" i="67"/>
  <c r="O14" i="67"/>
  <c r="L8" i="66"/>
  <c r="L10" i="66"/>
  <c r="O14" i="66"/>
  <c r="L9" i="66"/>
  <c r="L11" i="66"/>
  <c r="D76" i="38"/>
  <c r="D23" i="38" s="1"/>
  <c r="D24" i="38" s="1"/>
  <c r="F24" i="38" s="1"/>
  <c r="F57" i="29"/>
  <c r="F42" i="29"/>
  <c r="F34" i="29"/>
  <c r="F59" i="29" s="1"/>
  <c r="F57" i="38"/>
  <c r="F42" i="38"/>
  <c r="F34" i="38"/>
  <c r="F59" i="38" s="1"/>
  <c r="M11" i="65" l="1"/>
  <c r="O13" i="65"/>
  <c r="M12" i="65"/>
  <c r="N13" i="62"/>
  <c r="N14" i="62"/>
  <c r="O14" i="62" s="1"/>
  <c r="F28" i="29"/>
  <c r="D23" i="29"/>
  <c r="D21" i="29"/>
  <c r="D19" i="29"/>
  <c r="F28" i="38"/>
  <c r="O13" i="62" l="1"/>
  <c r="M12" i="62"/>
  <c r="M11" i="62"/>
  <c r="B2" i="26"/>
  <c r="D2" i="26" l="1"/>
  <c r="C2" i="38" l="1"/>
  <c r="C2" i="29"/>
  <c r="C2" i="3" l="1"/>
  <c r="E1" i="46" l="1"/>
  <c r="E1" i="29"/>
  <c r="E1" i="38"/>
  <c r="I2" i="1"/>
  <c r="B2" i="46" l="1"/>
  <c r="K68" i="29" l="1"/>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O71" i="65" s="1"/>
  <c r="K61" i="29"/>
  <c r="H61" i="29"/>
  <c r="O69" i="69" s="1"/>
  <c r="S69" i="69" l="1"/>
  <c r="Q69" i="69"/>
  <c r="R69" i="69" s="1"/>
  <c r="Q71" i="65"/>
  <c r="S71" i="65" s="1"/>
  <c r="T71" i="65"/>
  <c r="O67" i="69"/>
  <c r="O68" i="69"/>
  <c r="O65" i="69"/>
  <c r="O66" i="69"/>
  <c r="O63" i="69"/>
  <c r="O64" i="69"/>
  <c r="O61" i="69"/>
  <c r="O62" i="69"/>
  <c r="O59" i="69"/>
  <c r="O60" i="69"/>
  <c r="O57" i="69"/>
  <c r="O58" i="69"/>
  <c r="O55" i="69"/>
  <c r="O56" i="69"/>
  <c r="O53" i="69"/>
  <c r="O54" i="69"/>
  <c r="O51" i="69"/>
  <c r="O52" i="69"/>
  <c r="O49" i="69"/>
  <c r="O50" i="69"/>
  <c r="O47" i="69"/>
  <c r="O48" i="69"/>
  <c r="O45" i="69"/>
  <c r="O46" i="69"/>
  <c r="O43" i="69"/>
  <c r="O44" i="69"/>
  <c r="O41" i="69"/>
  <c r="O42" i="69"/>
  <c r="O40" i="69"/>
  <c r="O38" i="69"/>
  <c r="O39" i="69"/>
  <c r="O36" i="69"/>
  <c r="O37" i="69"/>
  <c r="O34" i="69"/>
  <c r="O35" i="69"/>
  <c r="O32" i="69"/>
  <c r="O33" i="69"/>
  <c r="O30" i="69"/>
  <c r="O31" i="69"/>
  <c r="O28" i="69"/>
  <c r="O29" i="69"/>
  <c r="O26" i="69"/>
  <c r="O27" i="69"/>
  <c r="O24" i="69"/>
  <c r="O25" i="69"/>
  <c r="O22" i="69"/>
  <c r="O23" i="69"/>
  <c r="O62" i="68"/>
  <c r="O60" i="68"/>
  <c r="O61" i="68"/>
  <c r="O58" i="68"/>
  <c r="O59" i="68"/>
  <c r="O56" i="68"/>
  <c r="O57" i="68"/>
  <c r="O54" i="68"/>
  <c r="O55" i="68"/>
  <c r="O52" i="68"/>
  <c r="O53" i="68"/>
  <c r="O51" i="68"/>
  <c r="O49" i="68"/>
  <c r="O50" i="68"/>
  <c r="O47" i="68"/>
  <c r="O48" i="68"/>
  <c r="O45" i="68"/>
  <c r="O46" i="68"/>
  <c r="O43" i="68"/>
  <c r="O44" i="68"/>
  <c r="O41" i="68"/>
  <c r="O42" i="68"/>
  <c r="O39" i="68"/>
  <c r="O40" i="68"/>
  <c r="O37" i="68"/>
  <c r="O38" i="68"/>
  <c r="O35" i="68"/>
  <c r="O36" i="68"/>
  <c r="O33" i="68"/>
  <c r="O34" i="68"/>
  <c r="O31" i="68"/>
  <c r="O32" i="68"/>
  <c r="O29" i="68"/>
  <c r="O30" i="68"/>
  <c r="O27" i="68"/>
  <c r="O28" i="68"/>
  <c r="O25" i="68"/>
  <c r="O26" i="68"/>
  <c r="O23" i="68"/>
  <c r="O24" i="68"/>
  <c r="O63" i="67"/>
  <c r="O22" i="68"/>
  <c r="O61" i="67"/>
  <c r="O62" i="67"/>
  <c r="O60" i="67"/>
  <c r="O58" i="67"/>
  <c r="O59" i="67"/>
  <c r="O56" i="67"/>
  <c r="O57" i="67"/>
  <c r="O54" i="67"/>
  <c r="O55" i="67"/>
  <c r="O52" i="67"/>
  <c r="O53" i="67"/>
  <c r="O50" i="67"/>
  <c r="O51" i="67"/>
  <c r="O48" i="67"/>
  <c r="O49" i="67"/>
  <c r="O46" i="67"/>
  <c r="O47" i="67"/>
  <c r="O44" i="67"/>
  <c r="O45" i="67"/>
  <c r="O42" i="67"/>
  <c r="O43" i="67"/>
  <c r="O40" i="67"/>
  <c r="O41" i="67"/>
  <c r="O38" i="67"/>
  <c r="O39" i="67"/>
  <c r="O36" i="67"/>
  <c r="O37" i="67"/>
  <c r="O34" i="67"/>
  <c r="O35" i="67"/>
  <c r="O32" i="67"/>
  <c r="O33" i="67"/>
  <c r="O30" i="67"/>
  <c r="O31" i="67"/>
  <c r="O28" i="67"/>
  <c r="O29" i="67"/>
  <c r="O26" i="67"/>
  <c r="O27" i="67"/>
  <c r="O24" i="67"/>
  <c r="O25" i="67"/>
  <c r="O22" i="67"/>
  <c r="O23" i="67"/>
  <c r="O60" i="66"/>
  <c r="O61" i="66"/>
  <c r="O58" i="66"/>
  <c r="O59" i="66"/>
  <c r="O56" i="66"/>
  <c r="O57" i="66"/>
  <c r="O54" i="66"/>
  <c r="O55" i="66"/>
  <c r="O52" i="66"/>
  <c r="O53" i="66"/>
  <c r="O50" i="66"/>
  <c r="O51" i="66"/>
  <c r="O49" i="66"/>
  <c r="O47" i="66"/>
  <c r="O48" i="66"/>
  <c r="O45" i="66"/>
  <c r="O46" i="66"/>
  <c r="O43" i="66"/>
  <c r="O44" i="66"/>
  <c r="O41" i="66"/>
  <c r="O42" i="66"/>
  <c r="O39" i="66"/>
  <c r="O40" i="66"/>
  <c r="O37" i="66"/>
  <c r="O38" i="66"/>
  <c r="O36" i="66"/>
  <c r="O34" i="66"/>
  <c r="O35" i="66"/>
  <c r="O32" i="66"/>
  <c r="O33" i="66"/>
  <c r="O30" i="66"/>
  <c r="O31" i="66"/>
  <c r="O28" i="66"/>
  <c r="O29" i="66"/>
  <c r="O26" i="66"/>
  <c r="O27" i="66"/>
  <c r="O24" i="66"/>
  <c r="O25" i="66"/>
  <c r="O22" i="66"/>
  <c r="O23" i="66"/>
  <c r="O69" i="65"/>
  <c r="O70" i="65"/>
  <c r="O67" i="65"/>
  <c r="O68" i="65"/>
  <c r="O65" i="65"/>
  <c r="O66" i="65"/>
  <c r="O63" i="65"/>
  <c r="O64" i="65"/>
  <c r="O61" i="65"/>
  <c r="O62" i="65"/>
  <c r="O59" i="65"/>
  <c r="O60" i="65"/>
  <c r="O57" i="65"/>
  <c r="O58" i="65"/>
  <c r="O55" i="65"/>
  <c r="O56" i="65"/>
  <c r="O53" i="65"/>
  <c r="O54" i="65"/>
  <c r="O51" i="65"/>
  <c r="O52" i="65"/>
  <c r="O49" i="65"/>
  <c r="O50" i="65"/>
  <c r="O47" i="65"/>
  <c r="O48" i="65"/>
  <c r="O45" i="65"/>
  <c r="O46" i="65"/>
  <c r="O43" i="65"/>
  <c r="O44" i="65"/>
  <c r="O41" i="65"/>
  <c r="O42" i="65"/>
  <c r="O39" i="65"/>
  <c r="O40" i="65"/>
  <c r="O37" i="65"/>
  <c r="O38" i="65"/>
  <c r="O35" i="65"/>
  <c r="O36" i="65"/>
  <c r="O33" i="65"/>
  <c r="O34" i="65"/>
  <c r="O31" i="65"/>
  <c r="O32" i="65"/>
  <c r="O29" i="65"/>
  <c r="O30" i="65"/>
  <c r="O27" i="65"/>
  <c r="O28" i="65"/>
  <c r="O25" i="65"/>
  <c r="O26" i="65"/>
  <c r="O23" i="65"/>
  <c r="O24" i="65"/>
  <c r="O63" i="64"/>
  <c r="O22" i="65"/>
  <c r="O61" i="64"/>
  <c r="O62" i="64"/>
  <c r="O59" i="64"/>
  <c r="O60" i="64"/>
  <c r="O57" i="64"/>
  <c r="O58" i="64"/>
  <c r="O55" i="64"/>
  <c r="O56" i="64"/>
  <c r="O53" i="64"/>
  <c r="O54" i="64"/>
  <c r="O51" i="64"/>
  <c r="O52" i="64"/>
  <c r="O49" i="64"/>
  <c r="O50" i="64"/>
  <c r="O47" i="64"/>
  <c r="O48" i="64"/>
  <c r="O45" i="64"/>
  <c r="O46" i="64"/>
  <c r="O43" i="64"/>
  <c r="O44" i="64"/>
  <c r="O41" i="64"/>
  <c r="O42" i="64"/>
  <c r="O39" i="64"/>
  <c r="O40" i="64"/>
  <c r="O37" i="64"/>
  <c r="O38" i="64"/>
  <c r="O35" i="64"/>
  <c r="O36" i="64"/>
  <c r="O33" i="64"/>
  <c r="O34" i="64"/>
  <c r="O31" i="64"/>
  <c r="O32" i="64"/>
  <c r="O29" i="64"/>
  <c r="O30" i="64"/>
  <c r="O27" i="64"/>
  <c r="O28" i="64"/>
  <c r="O25" i="64"/>
  <c r="O26" i="64"/>
  <c r="O23" i="64"/>
  <c r="O24" i="64"/>
  <c r="O66" i="63"/>
  <c r="O22" i="64"/>
  <c r="O64" i="63"/>
  <c r="O65" i="63"/>
  <c r="O62" i="63"/>
  <c r="O63" i="63"/>
  <c r="O60" i="63"/>
  <c r="O61" i="63"/>
  <c r="O58" i="63"/>
  <c r="O59" i="63"/>
  <c r="O56" i="63"/>
  <c r="O57" i="63"/>
  <c r="O54" i="63"/>
  <c r="O55" i="63"/>
  <c r="O52" i="63"/>
  <c r="O53" i="63"/>
  <c r="O50" i="63"/>
  <c r="O51" i="63"/>
  <c r="O48" i="63"/>
  <c r="O49" i="63"/>
  <c r="O46" i="63"/>
  <c r="O47" i="63"/>
  <c r="O44" i="63"/>
  <c r="O45" i="63"/>
  <c r="O42" i="63"/>
  <c r="O43" i="63"/>
  <c r="O40" i="63"/>
  <c r="O41" i="63"/>
  <c r="O38" i="63"/>
  <c r="O39" i="63"/>
  <c r="O36" i="63"/>
  <c r="O37" i="63"/>
  <c r="O34" i="63"/>
  <c r="O35" i="63"/>
  <c r="O32" i="63"/>
  <c r="O33" i="63"/>
  <c r="O30" i="63"/>
  <c r="O31" i="63"/>
  <c r="O28" i="63"/>
  <c r="O29" i="63"/>
  <c r="O26" i="63"/>
  <c r="O27" i="63"/>
  <c r="O24" i="63"/>
  <c r="O25" i="63"/>
  <c r="O22" i="63"/>
  <c r="O23" i="63"/>
  <c r="O64" i="62"/>
  <c r="O65" i="62"/>
  <c r="O62" i="62"/>
  <c r="O63" i="62"/>
  <c r="O60" i="62"/>
  <c r="O61" i="62"/>
  <c r="O58" i="62"/>
  <c r="O59" i="62"/>
  <c r="O56" i="62"/>
  <c r="O57" i="62"/>
  <c r="O54" i="62"/>
  <c r="O55" i="62"/>
  <c r="O52" i="62"/>
  <c r="O53" i="62"/>
  <c r="O50" i="62"/>
  <c r="O51" i="62"/>
  <c r="O48" i="62"/>
  <c r="O49" i="62"/>
  <c r="O46" i="62"/>
  <c r="O47" i="62"/>
  <c r="O44" i="62"/>
  <c r="O45" i="62"/>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55" i="69" l="1"/>
  <c r="Q55" i="69"/>
  <c r="R55" i="69" s="1"/>
  <c r="S32" i="69"/>
  <c r="Q32" i="69"/>
  <c r="R32" i="69" s="1"/>
  <c r="Q56" i="69"/>
  <c r="R56" i="69" s="1"/>
  <c r="S56" i="69"/>
  <c r="Q54" i="69"/>
  <c r="R54" i="69" s="1"/>
  <c r="S54" i="69"/>
  <c r="S45" i="69"/>
  <c r="Q45" i="69"/>
  <c r="R45" i="69" s="1"/>
  <c r="S57" i="69"/>
  <c r="Q57" i="69"/>
  <c r="R57" i="69" s="1"/>
  <c r="S49" i="69"/>
  <c r="Q49" i="69"/>
  <c r="R49" i="69" s="1"/>
  <c r="S48" i="69"/>
  <c r="Q48" i="69"/>
  <c r="R48" i="69" s="1"/>
  <c r="Q67" i="69"/>
  <c r="R67" i="69" s="1"/>
  <c r="S67" i="69"/>
  <c r="S68" i="69"/>
  <c r="Q68" i="69"/>
  <c r="R68" i="69" s="1"/>
  <c r="S47" i="69"/>
  <c r="Q47" i="69"/>
  <c r="R47" i="69" s="1"/>
  <c r="S46" i="69"/>
  <c r="Q46" i="69"/>
  <c r="R46" i="69" s="1"/>
  <c r="Q66" i="69"/>
  <c r="R66" i="69" s="1"/>
  <c r="S66" i="69"/>
  <c r="Q52" i="69"/>
  <c r="R52" i="69" s="1"/>
  <c r="S52" i="69"/>
  <c r="Q41" i="69"/>
  <c r="R41" i="69" s="1"/>
  <c r="S41" i="69"/>
  <c r="S33" i="69"/>
  <c r="Q33" i="69"/>
  <c r="R33" i="69" s="1"/>
  <c r="S30" i="69"/>
  <c r="Q30" i="69"/>
  <c r="R30" i="69" s="1"/>
  <c r="S65" i="69"/>
  <c r="Q65" i="69"/>
  <c r="R65" i="69" s="1"/>
  <c r="S63" i="69"/>
  <c r="Q63" i="69"/>
  <c r="R63" i="69" s="1"/>
  <c r="S64" i="69"/>
  <c r="Q64" i="69"/>
  <c r="R64" i="69" s="1"/>
  <c r="S61" i="69"/>
  <c r="Q61" i="69"/>
  <c r="R61" i="69" s="1"/>
  <c r="S62" i="69"/>
  <c r="Q62" i="69"/>
  <c r="R62" i="69" s="1"/>
  <c r="S59" i="69"/>
  <c r="Q59" i="69"/>
  <c r="R59" i="69" s="1"/>
  <c r="S60" i="69"/>
  <c r="Q60" i="69"/>
  <c r="R60" i="69" s="1"/>
  <c r="S58" i="69"/>
  <c r="Q58" i="69"/>
  <c r="R58" i="69" s="1"/>
  <c r="S53" i="69"/>
  <c r="Q53" i="69"/>
  <c r="R53" i="69" s="1"/>
  <c r="S51" i="69"/>
  <c r="Q51" i="69"/>
  <c r="R51" i="69" s="1"/>
  <c r="S50" i="69"/>
  <c r="Q50" i="69"/>
  <c r="R50" i="69" s="1"/>
  <c r="S43" i="69"/>
  <c r="Q43" i="69"/>
  <c r="R43" i="69" s="1"/>
  <c r="S44" i="69"/>
  <c r="Q44" i="69"/>
  <c r="R44" i="69" s="1"/>
  <c r="S42" i="69"/>
  <c r="Q42" i="69"/>
  <c r="R42" i="69" s="1"/>
  <c r="S40" i="69"/>
  <c r="Q40" i="69"/>
  <c r="R40" i="69" s="1"/>
  <c r="S38" i="69"/>
  <c r="Q38" i="69"/>
  <c r="R38" i="69" s="1"/>
  <c r="Q39" i="69"/>
  <c r="R39" i="69" s="1"/>
  <c r="S39" i="69"/>
  <c r="S36" i="69"/>
  <c r="Q36" i="69"/>
  <c r="R36" i="69" s="1"/>
  <c r="S37" i="69"/>
  <c r="Q37" i="69"/>
  <c r="R37" i="69" s="1"/>
  <c r="S34" i="69"/>
  <c r="Q34" i="69"/>
  <c r="R34" i="69" s="1"/>
  <c r="S35" i="69"/>
  <c r="Q35" i="69"/>
  <c r="R35" i="69" s="1"/>
  <c r="S31" i="69"/>
  <c r="Q31" i="69"/>
  <c r="R31" i="69" s="1"/>
  <c r="S28" i="69"/>
  <c r="Q28" i="69"/>
  <c r="R28" i="69" s="1"/>
  <c r="S29" i="69"/>
  <c r="Q29" i="69"/>
  <c r="R29" i="69" s="1"/>
  <c r="S26" i="69"/>
  <c r="Q26" i="69"/>
  <c r="R26" i="69" s="1"/>
  <c r="Q27" i="69"/>
  <c r="R27" i="69" s="1"/>
  <c r="S27" i="69"/>
  <c r="S24" i="69"/>
  <c r="Q24" i="69"/>
  <c r="R24" i="69" s="1"/>
  <c r="S25" i="69"/>
  <c r="Q25" i="69"/>
  <c r="R25" i="69" s="1"/>
  <c r="S22" i="69"/>
  <c r="Q22" i="69"/>
  <c r="S23" i="69"/>
  <c r="Q23" i="69"/>
  <c r="R23" i="69" s="1"/>
  <c r="Q57" i="65"/>
  <c r="S57" i="65" s="1"/>
  <c r="T57" i="65"/>
  <c r="Q33" i="65"/>
  <c r="S33" i="65" s="1"/>
  <c r="T33" i="65"/>
  <c r="Q58" i="65"/>
  <c r="S58" i="65" s="1"/>
  <c r="T58" i="65"/>
  <c r="Q56" i="65"/>
  <c r="S56" i="65" s="1"/>
  <c r="T56" i="65"/>
  <c r="Q47" i="65"/>
  <c r="S47" i="65" s="1"/>
  <c r="T47" i="65"/>
  <c r="Q59" i="65"/>
  <c r="S59" i="65" s="1"/>
  <c r="T59" i="65"/>
  <c r="Q51" i="65"/>
  <c r="S51" i="65" s="1"/>
  <c r="T51" i="65"/>
  <c r="Q50" i="65"/>
  <c r="S50" i="65" s="1"/>
  <c r="T50" i="65"/>
  <c r="Q22" i="65"/>
  <c r="S22" i="65" s="1"/>
  <c r="T22" i="65"/>
  <c r="Q69" i="65"/>
  <c r="S69" i="65" s="1"/>
  <c r="T69" i="65"/>
  <c r="Q70" i="65"/>
  <c r="S70" i="65" s="1"/>
  <c r="T70" i="65"/>
  <c r="Q49" i="65"/>
  <c r="S49" i="65" s="1"/>
  <c r="T49" i="65"/>
  <c r="Q48" i="65"/>
  <c r="S48" i="65" s="1"/>
  <c r="T48" i="65"/>
  <c r="Q68" i="65"/>
  <c r="S68" i="65" s="1"/>
  <c r="T68" i="65"/>
  <c r="Q54" i="65"/>
  <c r="S54" i="65" s="1"/>
  <c r="T54" i="65"/>
  <c r="Q43" i="65"/>
  <c r="S43" i="65" s="1"/>
  <c r="T43" i="65"/>
  <c r="Q34" i="65"/>
  <c r="S34" i="65" s="1"/>
  <c r="T34" i="65"/>
  <c r="Q31" i="65"/>
  <c r="S31" i="65" s="1"/>
  <c r="T31" i="65"/>
  <c r="Q67" i="65"/>
  <c r="S67" i="65" s="1"/>
  <c r="T67" i="65"/>
  <c r="Q65" i="65"/>
  <c r="S65" i="65" s="1"/>
  <c r="T65" i="65"/>
  <c r="Q66" i="65"/>
  <c r="S66" i="65" s="1"/>
  <c r="T66" i="65"/>
  <c r="Q63" i="65"/>
  <c r="S63" i="65" s="1"/>
  <c r="T63" i="65"/>
  <c r="Q64" i="65"/>
  <c r="S64" i="65" s="1"/>
  <c r="T64" i="65"/>
  <c r="Q61" i="65"/>
  <c r="S61" i="65" s="1"/>
  <c r="T61" i="65"/>
  <c r="Q62" i="65"/>
  <c r="S62" i="65" s="1"/>
  <c r="T62" i="65"/>
  <c r="Q60" i="65"/>
  <c r="S60" i="65" s="1"/>
  <c r="T60" i="65"/>
  <c r="Q55" i="65"/>
  <c r="S55" i="65" s="1"/>
  <c r="T55" i="65"/>
  <c r="Q53" i="65"/>
  <c r="S53" i="65" s="1"/>
  <c r="T53" i="65"/>
  <c r="Q52" i="65"/>
  <c r="S52" i="65" s="1"/>
  <c r="T52" i="65"/>
  <c r="Q45" i="65"/>
  <c r="S45" i="65" s="1"/>
  <c r="T45" i="65"/>
  <c r="Q46" i="65"/>
  <c r="S46" i="65" s="1"/>
  <c r="T46" i="65"/>
  <c r="Q44" i="65"/>
  <c r="S44" i="65" s="1"/>
  <c r="T44" i="65"/>
  <c r="Q41" i="65"/>
  <c r="S41" i="65" s="1"/>
  <c r="T41" i="65"/>
  <c r="Q39" i="65"/>
  <c r="S39" i="65" s="1"/>
  <c r="T39" i="65"/>
  <c r="Q40" i="65"/>
  <c r="S40" i="65" s="1"/>
  <c r="T40" i="65"/>
  <c r="Q37" i="65"/>
  <c r="S37" i="65" s="1"/>
  <c r="T37" i="65"/>
  <c r="Q38" i="65"/>
  <c r="S38" i="65" s="1"/>
  <c r="T38" i="65"/>
  <c r="Q35" i="65"/>
  <c r="S35" i="65" s="1"/>
  <c r="T35" i="65"/>
  <c r="Q36" i="65"/>
  <c r="S36" i="65" s="1"/>
  <c r="T36" i="65"/>
  <c r="Q32" i="65"/>
  <c r="S32" i="65" s="1"/>
  <c r="T32" i="65"/>
  <c r="Q29" i="65"/>
  <c r="S29" i="65" s="1"/>
  <c r="T29" i="65"/>
  <c r="Q30" i="65"/>
  <c r="S30" i="65" s="1"/>
  <c r="T30" i="65"/>
  <c r="Q27" i="65"/>
  <c r="S27" i="65" s="1"/>
  <c r="T27" i="65"/>
  <c r="Q28" i="65"/>
  <c r="S28" i="65" s="1"/>
  <c r="T28" i="65"/>
  <c r="Q25" i="65"/>
  <c r="S25" i="65" s="1"/>
  <c r="T25" i="65"/>
  <c r="Q26" i="65"/>
  <c r="S26" i="65" s="1"/>
  <c r="T26" i="65"/>
  <c r="Q23" i="65"/>
  <c r="T23" i="65"/>
  <c r="Q24" i="65"/>
  <c r="S24" i="65" s="1"/>
  <c r="T24" i="65"/>
  <c r="S58" i="68"/>
  <c r="Q58" i="68"/>
  <c r="R58" i="68" s="1"/>
  <c r="S52" i="68"/>
  <c r="Q52" i="68"/>
  <c r="R52" i="68" s="1"/>
  <c r="S28" i="68"/>
  <c r="Q28" i="68"/>
  <c r="R28" i="68" s="1"/>
  <c r="S60" i="68"/>
  <c r="Q60" i="68"/>
  <c r="R60" i="68" s="1"/>
  <c r="S59" i="68"/>
  <c r="Q59" i="68"/>
  <c r="R59" i="68" s="1"/>
  <c r="Q53" i="68"/>
  <c r="R53" i="68" s="1"/>
  <c r="S53" i="68"/>
  <c r="S35" i="68"/>
  <c r="Q35" i="68"/>
  <c r="R35" i="68" s="1"/>
  <c r="S62" i="68"/>
  <c r="Q62" i="68"/>
  <c r="R62" i="68" s="1"/>
  <c r="Q55" i="68"/>
  <c r="R55" i="68" s="1"/>
  <c r="S55" i="68"/>
  <c r="S36" i="68"/>
  <c r="Q36" i="68"/>
  <c r="R36" i="68" s="1"/>
  <c r="Q61" i="68"/>
  <c r="R61" i="68" s="1"/>
  <c r="S61" i="68"/>
  <c r="Q54" i="68"/>
  <c r="R54" i="68" s="1"/>
  <c r="S54" i="68"/>
  <c r="S45" i="68"/>
  <c r="Q45" i="68"/>
  <c r="R45" i="68" s="1"/>
  <c r="S26" i="68"/>
  <c r="Q26" i="68"/>
  <c r="R26" i="68" s="1"/>
  <c r="S56" i="68"/>
  <c r="Q56" i="68"/>
  <c r="R56" i="68" s="1"/>
  <c r="S57" i="68"/>
  <c r="Q57" i="68"/>
  <c r="R57" i="68" s="1"/>
  <c r="S51" i="68"/>
  <c r="Q51" i="68"/>
  <c r="R51" i="68" s="1"/>
  <c r="S49" i="68"/>
  <c r="Q49" i="68"/>
  <c r="R49" i="68" s="1"/>
  <c r="S50" i="68"/>
  <c r="Q50" i="68"/>
  <c r="R50" i="68" s="1"/>
  <c r="Q47" i="68"/>
  <c r="R47" i="68" s="1"/>
  <c r="S47" i="68"/>
  <c r="S48" i="68"/>
  <c r="Q48" i="68"/>
  <c r="R48" i="68" s="1"/>
  <c r="Q46" i="68"/>
  <c r="R46" i="68" s="1"/>
  <c r="S46" i="68"/>
  <c r="S43" i="68"/>
  <c r="Q43" i="68"/>
  <c r="R43" i="68" s="1"/>
  <c r="S44" i="68"/>
  <c r="Q44" i="68"/>
  <c r="R44" i="68" s="1"/>
  <c r="S41" i="68"/>
  <c r="Q41" i="68"/>
  <c r="R41" i="68" s="1"/>
  <c r="S42" i="68"/>
  <c r="Q42" i="68"/>
  <c r="R42" i="68" s="1"/>
  <c r="S39" i="68"/>
  <c r="Q39" i="68"/>
  <c r="R39" i="68" s="1"/>
  <c r="S40" i="68"/>
  <c r="Q40" i="68"/>
  <c r="R40" i="68" s="1"/>
  <c r="S37" i="68"/>
  <c r="Q37" i="68"/>
  <c r="R37" i="68" s="1"/>
  <c r="S38" i="68"/>
  <c r="Q38" i="68"/>
  <c r="R38" i="68" s="1"/>
  <c r="S33" i="68"/>
  <c r="Q33" i="68"/>
  <c r="R33" i="68" s="1"/>
  <c r="S34" i="68"/>
  <c r="Q34" i="68"/>
  <c r="R34" i="68" s="1"/>
  <c r="S31" i="68"/>
  <c r="Q31" i="68"/>
  <c r="R31" i="68" s="1"/>
  <c r="S32" i="68"/>
  <c r="Q32" i="68"/>
  <c r="R32" i="68" s="1"/>
  <c r="Q29" i="68"/>
  <c r="R29" i="68" s="1"/>
  <c r="S29" i="68"/>
  <c r="Q30" i="68"/>
  <c r="R30" i="68" s="1"/>
  <c r="S30" i="68"/>
  <c r="S27" i="68"/>
  <c r="Q27" i="68"/>
  <c r="R27" i="68" s="1"/>
  <c r="Q25" i="68"/>
  <c r="R25" i="68" s="1"/>
  <c r="S25" i="68"/>
  <c r="S23" i="68"/>
  <c r="Q23" i="68"/>
  <c r="R23" i="68" s="1"/>
  <c r="Q24" i="68"/>
  <c r="R24" i="68" s="1"/>
  <c r="S24" i="68"/>
  <c r="S22" i="68"/>
  <c r="Q22" i="68"/>
  <c r="Q59" i="64"/>
  <c r="S59" i="64" s="1"/>
  <c r="T59" i="64"/>
  <c r="Q53" i="64"/>
  <c r="S53" i="64" s="1"/>
  <c r="T53" i="64"/>
  <c r="Q28" i="64"/>
  <c r="S28" i="64" s="1"/>
  <c r="T28" i="64"/>
  <c r="Q61" i="64"/>
  <c r="S61" i="64" s="1"/>
  <c r="T61" i="64"/>
  <c r="Q60" i="64"/>
  <c r="S60" i="64" s="1"/>
  <c r="T60" i="64"/>
  <c r="Q54" i="64"/>
  <c r="S54" i="64" s="1"/>
  <c r="T54" i="64"/>
  <c r="Q35" i="64"/>
  <c r="S35" i="64" s="1"/>
  <c r="T35" i="64"/>
  <c r="Q63" i="64"/>
  <c r="S63" i="64" s="1"/>
  <c r="T63" i="64"/>
  <c r="Q56" i="64"/>
  <c r="S56" i="64" s="1"/>
  <c r="T56" i="64"/>
  <c r="Q36" i="64"/>
  <c r="S36" i="64" s="1"/>
  <c r="T36" i="64"/>
  <c r="Q52" i="64"/>
  <c r="S52" i="64" s="1"/>
  <c r="T52" i="64"/>
  <c r="Q62" i="64"/>
  <c r="S62" i="64" s="1"/>
  <c r="T62" i="64"/>
  <c r="Q55" i="64"/>
  <c r="S55" i="64" s="1"/>
  <c r="T55" i="64"/>
  <c r="Q45" i="64"/>
  <c r="S45" i="64" s="1"/>
  <c r="T45" i="64"/>
  <c r="Q26" i="64"/>
  <c r="S26" i="64" s="1"/>
  <c r="T26" i="64"/>
  <c r="Q57" i="64"/>
  <c r="S57" i="64" s="1"/>
  <c r="T57" i="64"/>
  <c r="Q58" i="64"/>
  <c r="S58" i="64" s="1"/>
  <c r="T58" i="64"/>
  <c r="Q51" i="64"/>
  <c r="S51" i="64" s="1"/>
  <c r="T51" i="64"/>
  <c r="Q49" i="64"/>
  <c r="S49" i="64" s="1"/>
  <c r="T49" i="64"/>
  <c r="Q50" i="64"/>
  <c r="S50" i="64" s="1"/>
  <c r="T50" i="64"/>
  <c r="Q47" i="64"/>
  <c r="S47" i="64" s="1"/>
  <c r="T47" i="64"/>
  <c r="Q48" i="64"/>
  <c r="S48" i="64" s="1"/>
  <c r="T48" i="64"/>
  <c r="Q46" i="64"/>
  <c r="S46" i="64" s="1"/>
  <c r="T46" i="64"/>
  <c r="Q43" i="64"/>
  <c r="S43" i="64" s="1"/>
  <c r="T43" i="64"/>
  <c r="Q44" i="64"/>
  <c r="S44" i="64" s="1"/>
  <c r="T44" i="64"/>
  <c r="Q41" i="64"/>
  <c r="S41" i="64" s="1"/>
  <c r="T41" i="64"/>
  <c r="Q42" i="64"/>
  <c r="S42" i="64" s="1"/>
  <c r="T42" i="64"/>
  <c r="Q39" i="64"/>
  <c r="S39" i="64" s="1"/>
  <c r="T39" i="64"/>
  <c r="Q40" i="64"/>
  <c r="S40" i="64" s="1"/>
  <c r="T40" i="64"/>
  <c r="Q37" i="64"/>
  <c r="S37" i="64" s="1"/>
  <c r="T37" i="64"/>
  <c r="Q38" i="64"/>
  <c r="S38" i="64" s="1"/>
  <c r="T38" i="64"/>
  <c r="Q33" i="64"/>
  <c r="S33" i="64" s="1"/>
  <c r="T33" i="64"/>
  <c r="Q34" i="64"/>
  <c r="S34" i="64" s="1"/>
  <c r="T34" i="64"/>
  <c r="Q31" i="64"/>
  <c r="S31" i="64" s="1"/>
  <c r="T31" i="64"/>
  <c r="Q32" i="64"/>
  <c r="S32" i="64" s="1"/>
  <c r="T32" i="64"/>
  <c r="Q29" i="64"/>
  <c r="T29" i="64"/>
  <c r="Q30" i="64"/>
  <c r="S30" i="64" s="1"/>
  <c r="T30" i="64"/>
  <c r="Q27" i="64"/>
  <c r="S27" i="64" s="1"/>
  <c r="T27" i="64"/>
  <c r="Q25" i="64"/>
  <c r="S25" i="64" s="1"/>
  <c r="T25" i="64"/>
  <c r="Q23" i="64"/>
  <c r="S23" i="64" s="1"/>
  <c r="T23" i="64"/>
  <c r="Q24" i="64"/>
  <c r="S24" i="64" s="1"/>
  <c r="T24" i="64"/>
  <c r="Q22" i="64"/>
  <c r="S22" i="64" s="1"/>
  <c r="T22" i="64"/>
  <c r="S52" i="67"/>
  <c r="Q52" i="67"/>
  <c r="R52" i="67" s="1"/>
  <c r="S42" i="67"/>
  <c r="Q42" i="67"/>
  <c r="R42" i="67" s="1"/>
  <c r="S30" i="67"/>
  <c r="Q30" i="67"/>
  <c r="R30" i="67" s="1"/>
  <c r="S63" i="67"/>
  <c r="Q63" i="67"/>
  <c r="R63" i="67" s="1"/>
  <c r="S60" i="67"/>
  <c r="Q60" i="67"/>
  <c r="R60" i="67" s="1"/>
  <c r="S55" i="67"/>
  <c r="Q55" i="67"/>
  <c r="R55" i="67" s="1"/>
  <c r="S48" i="67"/>
  <c r="Q48" i="67"/>
  <c r="R48" i="67" s="1"/>
  <c r="S43" i="67"/>
  <c r="Q43" i="67"/>
  <c r="R43" i="67" s="1"/>
  <c r="S32" i="67"/>
  <c r="Q32" i="67"/>
  <c r="R32" i="67" s="1"/>
  <c r="S61" i="67"/>
  <c r="Q61" i="67"/>
  <c r="R61" i="67" s="1"/>
  <c r="S62" i="67"/>
  <c r="Q62" i="67"/>
  <c r="R62" i="67" s="1"/>
  <c r="S56" i="67"/>
  <c r="Q56" i="67"/>
  <c r="R56" i="67" s="1"/>
  <c r="S57" i="67"/>
  <c r="Q57" i="67"/>
  <c r="R57" i="67" s="1"/>
  <c r="S44" i="67"/>
  <c r="Q44" i="67"/>
  <c r="R44" i="67" s="1"/>
  <c r="S33" i="67"/>
  <c r="Q33" i="67"/>
  <c r="R33" i="67" s="1"/>
  <c r="S59" i="67"/>
  <c r="Q59" i="67"/>
  <c r="R59" i="67" s="1"/>
  <c r="S54" i="67"/>
  <c r="Q54" i="67"/>
  <c r="R54" i="67" s="1"/>
  <c r="S53" i="67"/>
  <c r="Q53" i="67"/>
  <c r="R53" i="67" s="1"/>
  <c r="Q40" i="67"/>
  <c r="R40" i="67" s="1"/>
  <c r="S40" i="67"/>
  <c r="S41" i="67"/>
  <c r="Q41" i="67"/>
  <c r="R41" i="67" s="1"/>
  <c r="S36" i="67"/>
  <c r="Q36" i="67"/>
  <c r="R36" i="67" s="1"/>
  <c r="S31" i="67"/>
  <c r="Q31" i="67"/>
  <c r="R31" i="67" s="1"/>
  <c r="S58" i="67"/>
  <c r="Q58" i="67"/>
  <c r="R58" i="67" s="1"/>
  <c r="S50" i="67"/>
  <c r="Q50" i="67"/>
  <c r="R50" i="67" s="1"/>
  <c r="S51" i="67"/>
  <c r="Q51" i="67"/>
  <c r="R51" i="67" s="1"/>
  <c r="S49" i="67"/>
  <c r="Q49" i="67"/>
  <c r="R49" i="67" s="1"/>
  <c r="S46" i="67"/>
  <c r="Q46" i="67"/>
  <c r="R46" i="67" s="1"/>
  <c r="S47" i="67"/>
  <c r="Q47" i="67"/>
  <c r="R47" i="67" s="1"/>
  <c r="S45" i="67"/>
  <c r="Q45" i="67"/>
  <c r="R45" i="67" s="1"/>
  <c r="Q38" i="67"/>
  <c r="R38" i="67" s="1"/>
  <c r="S38" i="67"/>
  <c r="Q39" i="67"/>
  <c r="R39" i="67" s="1"/>
  <c r="S39" i="67"/>
  <c r="S37" i="67"/>
  <c r="Q37" i="67"/>
  <c r="R37" i="67" s="1"/>
  <c r="S34" i="67"/>
  <c r="Q34" i="67"/>
  <c r="R34" i="67" s="1"/>
  <c r="S35" i="67"/>
  <c r="Q35" i="67"/>
  <c r="R35" i="67" s="1"/>
  <c r="S28" i="67"/>
  <c r="Q28" i="67"/>
  <c r="R28" i="67" s="1"/>
  <c r="S29" i="67"/>
  <c r="Q29" i="67"/>
  <c r="R29" i="67" s="1"/>
  <c r="S26" i="67"/>
  <c r="Q26" i="67"/>
  <c r="R26" i="67" s="1"/>
  <c r="S27" i="67"/>
  <c r="Q27" i="67"/>
  <c r="R27" i="67" s="1"/>
  <c r="S24" i="67"/>
  <c r="Q24" i="67"/>
  <c r="R24" i="67" s="1"/>
  <c r="S25" i="67"/>
  <c r="Q25" i="67"/>
  <c r="R25" i="67" s="1"/>
  <c r="S22" i="67"/>
  <c r="Q22" i="67"/>
  <c r="S23" i="67"/>
  <c r="Q23" i="67"/>
  <c r="R23" i="67" s="1"/>
  <c r="Q52" i="63"/>
  <c r="S52" i="63" s="1"/>
  <c r="T52" i="63"/>
  <c r="Q42" i="63"/>
  <c r="S42" i="63" s="1"/>
  <c r="T42" i="63"/>
  <c r="Q30" i="63"/>
  <c r="S30" i="63" s="1"/>
  <c r="T30" i="63"/>
  <c r="Q66" i="63"/>
  <c r="S66" i="63" s="1"/>
  <c r="T66" i="63"/>
  <c r="Q63" i="63"/>
  <c r="S63" i="63" s="1"/>
  <c r="T63" i="63"/>
  <c r="Q55" i="63"/>
  <c r="S55" i="63" s="1"/>
  <c r="T55" i="63"/>
  <c r="Q48" i="63"/>
  <c r="S48" i="63" s="1"/>
  <c r="T48" i="63"/>
  <c r="Q43" i="63"/>
  <c r="S43" i="63" s="1"/>
  <c r="T43" i="63"/>
  <c r="Q32" i="63"/>
  <c r="S32" i="63" s="1"/>
  <c r="T32" i="63"/>
  <c r="Q64" i="63"/>
  <c r="S64" i="63" s="1"/>
  <c r="T64" i="63"/>
  <c r="Q65" i="63"/>
  <c r="S65" i="63" s="1"/>
  <c r="T65" i="63"/>
  <c r="Q56" i="63"/>
  <c r="S56" i="63" s="1"/>
  <c r="T56" i="63"/>
  <c r="Q57" i="63"/>
  <c r="S57" i="63" s="1"/>
  <c r="T57" i="63"/>
  <c r="Q44" i="63"/>
  <c r="S44" i="63" s="1"/>
  <c r="T44" i="63"/>
  <c r="Q33" i="63"/>
  <c r="S33" i="63" s="1"/>
  <c r="T33" i="63"/>
  <c r="Q61" i="63"/>
  <c r="S61" i="63" s="1"/>
  <c r="T61" i="63"/>
  <c r="Q54" i="63"/>
  <c r="S54" i="63" s="1"/>
  <c r="T54" i="63"/>
  <c r="Q53" i="63"/>
  <c r="S53" i="63" s="1"/>
  <c r="T53" i="63"/>
  <c r="Q40" i="63"/>
  <c r="S40" i="63" s="1"/>
  <c r="T40" i="63"/>
  <c r="Q41" i="63"/>
  <c r="S41" i="63" s="1"/>
  <c r="T41" i="63"/>
  <c r="Q36" i="63"/>
  <c r="S36" i="63" s="1"/>
  <c r="T36" i="63"/>
  <c r="Q31" i="63"/>
  <c r="S31" i="63" s="1"/>
  <c r="T31" i="63"/>
  <c r="Q50" i="63"/>
  <c r="S50" i="63" s="1"/>
  <c r="T50" i="63"/>
  <c r="Q51" i="63"/>
  <c r="S51" i="63" s="1"/>
  <c r="T51" i="63"/>
  <c r="Q49" i="63"/>
  <c r="S49" i="63" s="1"/>
  <c r="T49" i="63"/>
  <c r="Q46" i="63"/>
  <c r="S46" i="63" s="1"/>
  <c r="T46" i="63"/>
  <c r="Q47" i="63"/>
  <c r="S47" i="63" s="1"/>
  <c r="T47" i="63"/>
  <c r="Q45" i="63"/>
  <c r="S45" i="63" s="1"/>
  <c r="T45" i="63"/>
  <c r="Q38" i="63"/>
  <c r="S38" i="63" s="1"/>
  <c r="T38" i="63"/>
  <c r="Q39" i="63"/>
  <c r="S39" i="63" s="1"/>
  <c r="T39" i="63"/>
  <c r="Q37" i="63"/>
  <c r="S37" i="63" s="1"/>
  <c r="T37" i="63"/>
  <c r="Q34" i="63"/>
  <c r="S34" i="63" s="1"/>
  <c r="T34" i="63"/>
  <c r="Q35" i="63"/>
  <c r="S35" i="63" s="1"/>
  <c r="T35" i="63"/>
  <c r="Q28" i="63"/>
  <c r="S28" i="63" s="1"/>
  <c r="T28" i="63"/>
  <c r="Q29" i="63"/>
  <c r="S29" i="63" s="1"/>
  <c r="T29" i="63"/>
  <c r="Q26" i="63"/>
  <c r="S26" i="63" s="1"/>
  <c r="T26" i="63"/>
  <c r="Q27" i="63"/>
  <c r="S27" i="63" s="1"/>
  <c r="T27" i="63"/>
  <c r="Q24" i="63"/>
  <c r="S24" i="63" s="1"/>
  <c r="T24" i="63"/>
  <c r="Q25" i="63"/>
  <c r="S25" i="63" s="1"/>
  <c r="T25" i="63"/>
  <c r="Q22" i="63"/>
  <c r="T22" i="63"/>
  <c r="Q23" i="63"/>
  <c r="S23" i="63" s="1"/>
  <c r="T23" i="63"/>
  <c r="S56" i="66"/>
  <c r="Q56" i="66"/>
  <c r="R56" i="66" s="1"/>
  <c r="S55" i="66"/>
  <c r="Q55" i="66"/>
  <c r="R55" i="66" s="1"/>
  <c r="S42" i="66"/>
  <c r="Q42" i="66"/>
  <c r="R42" i="66" s="1"/>
  <c r="S30" i="66"/>
  <c r="Q30" i="66"/>
  <c r="R30" i="66" s="1"/>
  <c r="Q60" i="66"/>
  <c r="R60" i="66" s="1"/>
  <c r="S60" i="66"/>
  <c r="S61" i="66"/>
  <c r="Q61" i="66"/>
  <c r="R61" i="66" s="1"/>
  <c r="Q49" i="66"/>
  <c r="R49" i="66" s="1"/>
  <c r="S49" i="66"/>
  <c r="S47" i="66"/>
  <c r="Q47" i="66"/>
  <c r="R47" i="66" s="1"/>
  <c r="Q45" i="66"/>
  <c r="R45" i="66" s="1"/>
  <c r="S45" i="66"/>
  <c r="S43" i="66"/>
  <c r="Q43" i="66"/>
  <c r="R43" i="66" s="1"/>
  <c r="S35" i="66"/>
  <c r="Q35" i="66"/>
  <c r="R35" i="66" s="1"/>
  <c r="S33" i="66"/>
  <c r="Q33" i="66"/>
  <c r="R33" i="66" s="1"/>
  <c r="S31" i="66"/>
  <c r="Q31" i="66"/>
  <c r="R31" i="66" s="1"/>
  <c r="S59" i="66"/>
  <c r="Q59" i="66"/>
  <c r="R59" i="66" s="1"/>
  <c r="Q44" i="66"/>
  <c r="R44" i="66" s="1"/>
  <c r="S44" i="66"/>
  <c r="S32" i="66"/>
  <c r="Q32" i="66"/>
  <c r="R32" i="66" s="1"/>
  <c r="Q58" i="66"/>
  <c r="R58" i="66" s="1"/>
  <c r="S58" i="66"/>
  <c r="Q57" i="66"/>
  <c r="R57" i="66" s="1"/>
  <c r="S57" i="66"/>
  <c r="Q54" i="66"/>
  <c r="R54" i="66" s="1"/>
  <c r="S54" i="66"/>
  <c r="Q52" i="66"/>
  <c r="R52" i="66" s="1"/>
  <c r="S52" i="66"/>
  <c r="Q53" i="66"/>
  <c r="R53" i="66" s="1"/>
  <c r="S53" i="66"/>
  <c r="Q50" i="66"/>
  <c r="R50" i="66" s="1"/>
  <c r="S50" i="66"/>
  <c r="Q51" i="66"/>
  <c r="R51" i="66" s="1"/>
  <c r="S51" i="66"/>
  <c r="Q41" i="66"/>
  <c r="R41" i="66" s="1"/>
  <c r="S41" i="66"/>
  <c r="S39" i="66"/>
  <c r="Q39" i="66"/>
  <c r="R39" i="66" s="1"/>
  <c r="S40" i="66"/>
  <c r="Q40" i="66"/>
  <c r="R40" i="66" s="1"/>
  <c r="S28" i="66"/>
  <c r="Q28" i="66"/>
  <c r="R28" i="66" s="1"/>
  <c r="S29" i="66"/>
  <c r="Q29" i="66"/>
  <c r="R29" i="66" s="1"/>
  <c r="S27" i="66"/>
  <c r="Q27" i="66"/>
  <c r="R27" i="66" s="1"/>
  <c r="Q48" i="66"/>
  <c r="R48" i="66" s="1"/>
  <c r="S48" i="66"/>
  <c r="Q46" i="66"/>
  <c r="R46" i="66" s="1"/>
  <c r="S46" i="66"/>
  <c r="S34" i="66"/>
  <c r="Q34" i="66"/>
  <c r="R34" i="66" s="1"/>
  <c r="S25" i="66"/>
  <c r="Q25" i="66"/>
  <c r="R25" i="66" s="1"/>
  <c r="S22" i="66"/>
  <c r="Q22" i="66"/>
  <c r="R22" i="66" s="1"/>
  <c r="S37" i="66"/>
  <c r="Q37" i="66"/>
  <c r="R37" i="66" s="1"/>
  <c r="S38" i="66"/>
  <c r="Q38" i="66"/>
  <c r="R38" i="66" s="1"/>
  <c r="S36" i="66"/>
  <c r="Q36" i="66"/>
  <c r="R36" i="66" s="1"/>
  <c r="S24" i="66"/>
  <c r="Q24" i="66"/>
  <c r="R24" i="66" s="1"/>
  <c r="S23" i="66"/>
  <c r="Q23" i="66"/>
  <c r="Q60" i="62"/>
  <c r="S60" i="62" s="1"/>
  <c r="T60" i="62"/>
  <c r="Q59" i="62"/>
  <c r="S59" i="62" s="1"/>
  <c r="T59" i="62"/>
  <c r="Q45" i="62"/>
  <c r="S45" i="62" s="1"/>
  <c r="T45" i="62"/>
  <c r="Q30" i="62"/>
  <c r="S30" i="62" s="1"/>
  <c r="T30" i="62"/>
  <c r="Q64" i="62"/>
  <c r="S64" i="62" s="1"/>
  <c r="T64" i="62"/>
  <c r="Q65" i="62"/>
  <c r="S65" i="62" s="1"/>
  <c r="T65" i="62"/>
  <c r="Q53" i="62"/>
  <c r="S53" i="62" s="1"/>
  <c r="T53" i="62"/>
  <c r="Q50" i="62"/>
  <c r="S50" i="62" s="1"/>
  <c r="T50" i="62"/>
  <c r="Q48" i="62"/>
  <c r="S48" i="62" s="1"/>
  <c r="T48" i="62"/>
  <c r="Q46" i="62"/>
  <c r="S46" i="62" s="1"/>
  <c r="T46" i="62"/>
  <c r="Q35" i="62"/>
  <c r="S35" i="62" s="1"/>
  <c r="T35" i="62"/>
  <c r="Q33" i="62"/>
  <c r="S33" i="62" s="1"/>
  <c r="T33" i="62"/>
  <c r="Q31" i="62"/>
  <c r="S31" i="62" s="1"/>
  <c r="T31" i="62"/>
  <c r="Q63" i="62"/>
  <c r="S63" i="62" s="1"/>
  <c r="T63" i="62"/>
  <c r="Q47" i="62"/>
  <c r="S47" i="62" s="1"/>
  <c r="T47" i="62"/>
  <c r="Q32" i="62"/>
  <c r="S32" i="62" s="1"/>
  <c r="T32" i="62"/>
  <c r="Q41" i="62"/>
  <c r="S41" i="62" s="1"/>
  <c r="T41" i="62"/>
  <c r="Q36" i="62"/>
  <c r="S36" i="62" s="1"/>
  <c r="T36" i="62"/>
  <c r="Q62" i="62"/>
  <c r="S62" i="62" s="1"/>
  <c r="T62" i="62"/>
  <c r="Q61" i="62"/>
  <c r="S61" i="62" s="1"/>
  <c r="T61" i="62"/>
  <c r="Q58" i="62"/>
  <c r="S58" i="62" s="1"/>
  <c r="T58" i="62"/>
  <c r="Q56" i="62"/>
  <c r="T56" i="62"/>
  <c r="Q57" i="62"/>
  <c r="S57" i="62" s="1"/>
  <c r="T57" i="62"/>
  <c r="Q54" i="62"/>
  <c r="S54" i="62" s="1"/>
  <c r="T54" i="62"/>
  <c r="Q55" i="62"/>
  <c r="S55" i="62" s="1"/>
  <c r="T55" i="62"/>
  <c r="Q44" i="62"/>
  <c r="S44" i="62" s="1"/>
  <c r="T44" i="62"/>
  <c r="Q42" i="62"/>
  <c r="S42" i="62" s="1"/>
  <c r="T42" i="62"/>
  <c r="Q43" i="62"/>
  <c r="S43" i="62" s="1"/>
  <c r="T43" i="62"/>
  <c r="Q28" i="62"/>
  <c r="S28" i="62" s="1"/>
  <c r="T28" i="62"/>
  <c r="Q29" i="62"/>
  <c r="S29" i="62" s="1"/>
  <c r="T29" i="62"/>
  <c r="Q27" i="62"/>
  <c r="S27" i="62" s="1"/>
  <c r="T27" i="62"/>
  <c r="Q51" i="62"/>
  <c r="S51" i="62" s="1"/>
  <c r="T51" i="62"/>
  <c r="Q49" i="62"/>
  <c r="S49" i="62" s="1"/>
  <c r="T49" i="62"/>
  <c r="Q34" i="62"/>
  <c r="S34" i="62" s="1"/>
  <c r="T34" i="62"/>
  <c r="Q25" i="62"/>
  <c r="S25" i="62" s="1"/>
  <c r="T25" i="62"/>
  <c r="Q22" i="62"/>
  <c r="S22" i="62" s="1"/>
  <c r="T22" i="62"/>
  <c r="Q38" i="62"/>
  <c r="S38" i="62" s="1"/>
  <c r="T38" i="62"/>
  <c r="Q39" i="62"/>
  <c r="S39" i="62" s="1"/>
  <c r="T39" i="62"/>
  <c r="Q37" i="62"/>
  <c r="S37" i="62" s="1"/>
  <c r="T37" i="62"/>
  <c r="Q24" i="62"/>
  <c r="S24" i="62" s="1"/>
  <c r="T24" i="62"/>
  <c r="Q23" i="62"/>
  <c r="S23" i="62" s="1"/>
  <c r="T23" i="62"/>
  <c r="F29" i="29"/>
  <c r="K62" i="38"/>
  <c r="Q21" i="69" l="1"/>
  <c r="R22" i="69"/>
  <c r="S14" i="69"/>
  <c r="T14" i="65"/>
  <c r="S23" i="65"/>
  <c r="Q21" i="65"/>
  <c r="S21" i="65" s="1"/>
  <c r="S14" i="68"/>
  <c r="Q21" i="68"/>
  <c r="R22" i="68"/>
  <c r="T14" i="64"/>
  <c r="S29" i="64"/>
  <c r="Q21" i="64"/>
  <c r="S21" i="64" s="1"/>
  <c r="Q21" i="67"/>
  <c r="R22" i="67"/>
  <c r="S14" i="67"/>
  <c r="T14" i="63"/>
  <c r="Q21" i="63"/>
  <c r="S21" i="63" s="1"/>
  <c r="S22" i="63"/>
  <c r="Q21" i="66"/>
  <c r="R23" i="66"/>
  <c r="S14" i="66"/>
  <c r="S56" i="62"/>
  <c r="Q21" i="62"/>
  <c r="S21" i="62" s="1"/>
  <c r="T14" i="62"/>
  <c r="R21" i="69" l="1"/>
  <c r="D9" i="3"/>
  <c r="G23" i="1"/>
  <c r="F23" i="1"/>
  <c r="C9" i="3"/>
  <c r="G22" i="1"/>
  <c r="R21" i="68"/>
  <c r="D8" i="3"/>
  <c r="C8" i="3"/>
  <c r="F22" i="1"/>
  <c r="G21" i="1"/>
  <c r="D7" i="3"/>
  <c r="R21" i="67"/>
  <c r="F21" i="1"/>
  <c r="I21" i="1" s="1"/>
  <c r="J21" i="1" s="1"/>
  <c r="C7" i="3"/>
  <c r="D6" i="3"/>
  <c r="G20" i="1"/>
  <c r="R21" i="66"/>
  <c r="F20" i="1"/>
  <c r="C6" i="3"/>
  <c r="I23" i="1" l="1"/>
  <c r="J23" i="1" s="1"/>
  <c r="F9" i="3"/>
  <c r="H9" i="3" s="1"/>
  <c r="G9" i="3" s="1"/>
  <c r="F8" i="3"/>
  <c r="H8" i="3" s="1"/>
  <c r="G8" i="3" s="1"/>
  <c r="I22" i="1"/>
  <c r="J22" i="1" s="1"/>
  <c r="F7" i="3"/>
  <c r="H7" i="3" s="1"/>
  <c r="G7" i="3" s="1"/>
  <c r="I20" i="1"/>
  <c r="J20" i="1" s="1"/>
  <c r="F6" i="3"/>
  <c r="H6" i="3" l="1"/>
  <c r="F10" i="3"/>
  <c r="H10" i="3" l="1"/>
  <c r="G6" i="3"/>
  <c r="G10" i="3" s="1"/>
</calcChain>
</file>

<file path=xl/sharedStrings.xml><?xml version="1.0" encoding="utf-8"?>
<sst xmlns="http://schemas.openxmlformats.org/spreadsheetml/2006/main" count="2773" uniqueCount="391">
  <si>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</si>
  <si>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</si>
  <si>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</si>
  <si>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</si>
  <si>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</si>
  <si>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</si>
  <si>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</si>
  <si>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</si>
  <si>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</si>
  <si>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</si>
  <si>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</si>
  <si>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</si>
  <si>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</si>
  <si>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</si>
  <si>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</si>
  <si>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</si>
  <si>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</si>
  <si>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</si>
  <si>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</si>
  <si>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</si>
  <si>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</si>
  <si>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</si>
  <si>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</si>
  <si>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</si>
  <si>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</si>
  <si>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</si>
  <si>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</si>
  <si>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</si>
  <si>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</si>
  <si>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</si>
  <si>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</si>
  <si>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</si>
  <si>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</si>
  <si>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</si>
  <si>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</si>
  <si>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</si>
  <si>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</si>
  <si>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</si>
  <si>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</si>
  <si>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</si>
  <si>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</si>
  <si>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</si>
  <si>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</si>
  <si>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</si>
  <si>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</si>
  <si>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</si>
  <si>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</si>
  <si>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</si>
  <si>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</si>
  <si>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</si>
  <si>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</si>
  <si>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</si>
  <si>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</si>
  <si>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</si>
  <si>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</si>
  <si>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</si>
  <si>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</si>
  <si>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</si>
  <si>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</si>
  <si>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</si>
  <si>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</si>
  <si>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</si>
  <si>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</si>
  <si>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</si>
  <si>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</si>
  <si>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</si>
  <si>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</si>
  <si>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</si>
  <si>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</si>
  <si>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</si>
  <si>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</si>
  <si>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</si>
  <si>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</si>
  <si>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</si>
  <si>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</si>
  <si>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</si>
  <si>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</si>
  <si>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</si>
  <si>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</si>
  <si>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</si>
  <si>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</si>
  <si>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</si>
  <si>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</si>
  <si>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</si>
  <si>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</si>
  <si>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</si>
  <si>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</si>
  <si>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</si>
  <si>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</si>
  <si>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</si>
  <si>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</si>
  <si>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</si>
  <si>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</si>
  <si>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</si>
  <si>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</si>
  <si>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</si>
  <si>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</si>
  <si>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</si>
  <si>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</si>
  <si>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</si>
  <si>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</si>
  <si>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</si>
  <si>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</si>
  <si>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</si>
  <si>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</si>
  <si>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</si>
  <si>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</si>
  <si>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</si>
  <si>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</si>
  <si>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</si>
  <si>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</si>
  <si>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</si>
  <si>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</si>
  <si>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</si>
  <si>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Reinigungs-
fläche 
(m²)</t>
  </si>
  <si>
    <t>Reinigungsart</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</si>
  <si>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</si>
  <si>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</si>
  <si>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</si>
  <si>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</si>
  <si>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</si>
  <si>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</si>
  <si>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</si>
  <si>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</si>
  <si>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</si>
  <si>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</si>
  <si>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</si>
  <si>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</si>
  <si>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</si>
  <si>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</si>
  <si>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</si>
  <si>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</si>
  <si>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</si>
  <si>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</si>
  <si>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</si>
  <si>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</si>
  <si>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</si>
  <si>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</si>
  <si>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</si>
  <si>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</si>
  <si>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</si>
  <si>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</si>
  <si>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</si>
  <si>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</si>
  <si>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</si>
  <si>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</si>
  <si>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Einheit</t>
  </si>
  <si>
    <t>Reinigungstage</t>
  </si>
  <si>
    <t>Nettopreis</t>
  </si>
  <si>
    <t>Bruttopreis</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</si>
  <si>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</si>
  <si>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</si>
  <si>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</si>
  <si>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</si>
  <si>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</si>
  <si>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</si>
  <si>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</si>
  <si>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</si>
  <si>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</si>
  <si>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</si>
  <si>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</si>
  <si>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</si>
  <si>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</si>
  <si>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</si>
  <si>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</si>
  <si>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</si>
  <si>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</si>
  <si>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</si>
  <si>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</si>
  <si>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</si>
  <si>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</si>
  <si>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</si>
  <si>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</si>
  <si>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</si>
  <si>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</si>
  <si>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</si>
  <si>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</si>
  <si>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</si>
  <si>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</si>
  <si>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</si>
  <si>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</si>
  <si>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</si>
  <si>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</si>
  <si>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</si>
  <si>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</si>
  <si>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</si>
  <si>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</si>
  <si>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</si>
  <si>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</si>
  <si>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Haus am See</t>
  </si>
  <si>
    <t>Los 4</t>
  </si>
  <si>
    <t>Rathausstraße 1</t>
  </si>
  <si>
    <t>39418</t>
  </si>
  <si>
    <t>Staßfurt</t>
  </si>
  <si>
    <t>Rathaus</t>
  </si>
  <si>
    <t>Hohenerxlebener Straße 12</t>
  </si>
  <si>
    <t>Verwaltung 1</t>
  </si>
  <si>
    <t>Verwaltungsgebäude 1</t>
  </si>
  <si>
    <t>Steinstraße 19</t>
  </si>
  <si>
    <t>Verwaltung 2</t>
  </si>
  <si>
    <t>Verwaltungsbebäude 2</t>
  </si>
  <si>
    <t>Steinstraße 38</t>
  </si>
  <si>
    <t>Kalkulation Verbrauchsmaterial</t>
  </si>
  <si>
    <t>2.01</t>
  </si>
  <si>
    <t>2. OG</t>
  </si>
  <si>
    <t>Bibliothek</t>
  </si>
  <si>
    <t>Linoleum</t>
  </si>
  <si>
    <t>2.02</t>
  </si>
  <si>
    <t>Büro</t>
  </si>
  <si>
    <t>2.03</t>
  </si>
  <si>
    <t>Leiter</t>
  </si>
  <si>
    <t>2.04</t>
  </si>
  <si>
    <t>Verwaltungsbibliothek</t>
  </si>
  <si>
    <t>2.05</t>
  </si>
  <si>
    <t>Lager/Kopierer/         Technik/Server</t>
  </si>
  <si>
    <t>2.06</t>
  </si>
  <si>
    <t>WC Herren</t>
  </si>
  <si>
    <t>Fliesen</t>
  </si>
  <si>
    <t>2.06.1</t>
  </si>
  <si>
    <t>2.07</t>
  </si>
  <si>
    <t>WC Damen</t>
  </si>
  <si>
    <t>2.08</t>
  </si>
  <si>
    <t>Teeküche</t>
  </si>
  <si>
    <t>2.09</t>
  </si>
  <si>
    <t>Flur</t>
  </si>
  <si>
    <t>Treppenhaus</t>
  </si>
  <si>
    <t>Empfang</t>
  </si>
  <si>
    <t>Recherche/ Internet</t>
  </si>
  <si>
    <t>Galerie</t>
  </si>
  <si>
    <t>1.01</t>
  </si>
  <si>
    <t>1. OG</t>
  </si>
  <si>
    <t>Archiv</t>
  </si>
  <si>
    <t>Linol.</t>
  </si>
  <si>
    <t>1.01.1</t>
  </si>
  <si>
    <t>Aufbereitung</t>
  </si>
  <si>
    <t>1.02</t>
  </si>
  <si>
    <t>1.03</t>
  </si>
  <si>
    <t>Büro Leiter</t>
  </si>
  <si>
    <t>1.04</t>
  </si>
  <si>
    <t>Technik/ Lager</t>
  </si>
  <si>
    <t>1.05</t>
  </si>
  <si>
    <t>Personenstandsarchiv</t>
  </si>
  <si>
    <t>1.06</t>
  </si>
  <si>
    <t>1.06.1</t>
  </si>
  <si>
    <t>1.07</t>
  </si>
  <si>
    <t>1.08</t>
  </si>
  <si>
    <t>1.09</t>
  </si>
  <si>
    <t>1.10</t>
  </si>
  <si>
    <t>1.11</t>
  </si>
  <si>
    <t>1.12</t>
  </si>
  <si>
    <t>1.13</t>
  </si>
  <si>
    <t>0.01</t>
  </si>
  <si>
    <t>EG</t>
  </si>
  <si>
    <t>Ausstellung/ IBA-Prozess</t>
  </si>
  <si>
    <t>0.02</t>
  </si>
  <si>
    <t>Lager</t>
  </si>
  <si>
    <t>0.03</t>
  </si>
  <si>
    <t>0.05</t>
  </si>
  <si>
    <t>0.05.1</t>
  </si>
  <si>
    <t>0.06</t>
  </si>
  <si>
    <t>WC Barrierefrei</t>
  </si>
  <si>
    <t>0.07</t>
  </si>
  <si>
    <t>0.07.1</t>
  </si>
  <si>
    <t>0.08</t>
  </si>
  <si>
    <t>Aufbereitungsküche</t>
  </si>
  <si>
    <t>0.08.1</t>
  </si>
  <si>
    <t>Lager Küche</t>
  </si>
  <si>
    <t>0.09</t>
  </si>
  <si>
    <t>WC</t>
  </si>
  <si>
    <t>0.09.1</t>
  </si>
  <si>
    <t>0.10</t>
  </si>
  <si>
    <t>0.12</t>
  </si>
  <si>
    <t>Windfang</t>
  </si>
  <si>
    <t>0.13</t>
  </si>
  <si>
    <t>Foyer</t>
  </si>
  <si>
    <t>Funktion</t>
  </si>
  <si>
    <t>Sanitär</t>
  </si>
  <si>
    <t>Versorgung</t>
  </si>
  <si>
    <t>Verkehr</t>
  </si>
  <si>
    <t>Treppe</t>
  </si>
  <si>
    <t>Technik</t>
  </si>
  <si>
    <t>2.OG</t>
  </si>
  <si>
    <t>Küche</t>
  </si>
  <si>
    <t>Kopierraum</t>
  </si>
  <si>
    <t>1.OG</t>
  </si>
  <si>
    <t>Sekretariat OB</t>
  </si>
  <si>
    <t>Laminat</t>
  </si>
  <si>
    <t>Oberbürgermeister</t>
  </si>
  <si>
    <t>Sitzungszimmer</t>
  </si>
  <si>
    <t>Sanitärräume</t>
  </si>
  <si>
    <t>Büro/Poststelle</t>
  </si>
  <si>
    <t>Trauzimmer</t>
  </si>
  <si>
    <t>Wartefläche</t>
  </si>
  <si>
    <t xml:space="preserve"> (vorne und hinten)</t>
  </si>
  <si>
    <t>Außentreppen</t>
  </si>
  <si>
    <t>Stein</t>
  </si>
  <si>
    <t>Keller</t>
  </si>
  <si>
    <t>Seniorenrat</t>
  </si>
  <si>
    <t>Fenster gesamt</t>
  </si>
  <si>
    <t>ohne</t>
  </si>
  <si>
    <t>Aufzuginnenraum</t>
  </si>
  <si>
    <t>Aufzugvorraum</t>
  </si>
  <si>
    <t>201</t>
  </si>
  <si>
    <t>Büroraum</t>
  </si>
  <si>
    <t>202</t>
  </si>
  <si>
    <t>203</t>
  </si>
  <si>
    <t>204</t>
  </si>
  <si>
    <t>205</t>
  </si>
  <si>
    <t>206</t>
  </si>
  <si>
    <t>207 a</t>
  </si>
  <si>
    <t>207</t>
  </si>
  <si>
    <t>208</t>
  </si>
  <si>
    <t>209</t>
  </si>
  <si>
    <t>210</t>
  </si>
  <si>
    <t>211</t>
  </si>
  <si>
    <t>212</t>
  </si>
  <si>
    <t>zum DG</t>
  </si>
  <si>
    <t>Holz</t>
  </si>
  <si>
    <t>104 a</t>
  </si>
  <si>
    <t>107 a</t>
  </si>
  <si>
    <t>Sitzungsraum</t>
  </si>
  <si>
    <t>110</t>
  </si>
  <si>
    <t>111</t>
  </si>
  <si>
    <t>112</t>
  </si>
  <si>
    <t>113</t>
  </si>
  <si>
    <t>114</t>
  </si>
  <si>
    <t>115</t>
  </si>
  <si>
    <t>Küche mit Nebenr.</t>
  </si>
  <si>
    <t>Flur gesamt</t>
  </si>
  <si>
    <t>Büroräume ges.</t>
  </si>
  <si>
    <t>Küche u. Vorraum</t>
  </si>
  <si>
    <t>Hauptflur</t>
  </si>
  <si>
    <t>Treppe/Podeste</t>
  </si>
  <si>
    <t>Technikraum</t>
  </si>
  <si>
    <t>Textil</t>
  </si>
  <si>
    <t>203 a</t>
  </si>
  <si>
    <t>203 b</t>
  </si>
  <si>
    <t>205 a</t>
  </si>
  <si>
    <t xml:space="preserve">205 </t>
  </si>
  <si>
    <t>Telefonzentrale</t>
  </si>
  <si>
    <t>209 a</t>
  </si>
  <si>
    <t>210 a</t>
  </si>
  <si>
    <t>212 a</t>
  </si>
  <si>
    <t>213</t>
  </si>
  <si>
    <t>214</t>
  </si>
  <si>
    <t>IT-Raum</t>
  </si>
  <si>
    <t>215</t>
  </si>
  <si>
    <t>Mehrzweckraum</t>
  </si>
  <si>
    <t>216</t>
  </si>
  <si>
    <t>217</t>
  </si>
  <si>
    <t>vorn</t>
  </si>
  <si>
    <t xml:space="preserve">Treppe zum DG </t>
  </si>
  <si>
    <t>hinten</t>
  </si>
  <si>
    <t>102-104</t>
  </si>
  <si>
    <t>Kasse</t>
  </si>
  <si>
    <t>Tresorraum</t>
  </si>
  <si>
    <t>Auszahlraum</t>
  </si>
  <si>
    <t>Treppe zum 1.OG</t>
  </si>
  <si>
    <t>106-109,117-119</t>
  </si>
  <si>
    <t>Bürgerservice ges.</t>
  </si>
  <si>
    <t>111a</t>
  </si>
  <si>
    <t>113 a</t>
  </si>
  <si>
    <t>Papierhandtücher, 
Recyclingpapier natur
2-lagig,
Blattgröße ca. 24,5 cm x 23 cm,
5. 000 Blatt pro Einheit</t>
  </si>
  <si>
    <t>Karton</t>
  </si>
  <si>
    <t>Recycling-Tissue-Toilettenpapier, 
2 lagig, 
Blattgröße 11x9,4 cm,
250 Blatt pro Rolle, 
100% Altpapier,
64 Rollen pro Einheit</t>
  </si>
  <si>
    <t>Paket</t>
  </si>
  <si>
    <t>Handwaschseife,
hautmild,
Farbe: rosè,
geeignet für alle gängigen Spendertypen,
10 Liter pro Einheit</t>
  </si>
  <si>
    <t>Kanister</t>
  </si>
  <si>
    <t>Verwaltung</t>
  </si>
  <si>
    <t>UnterhaltsRG</t>
  </si>
  <si>
    <t>Reinigungs-häufigkeit</t>
  </si>
  <si>
    <t>GrundRG</t>
  </si>
  <si>
    <t>Verbrauch</t>
  </si>
  <si>
    <t>Preiszusammenstellung Los 4</t>
  </si>
  <si>
    <t>Jahrespreis in €</t>
  </si>
  <si>
    <t>MwSt.</t>
  </si>
  <si>
    <t>Jahrespreis Reinigung</t>
  </si>
  <si>
    <t>SVS UnterhaltsRG</t>
  </si>
  <si>
    <t>SVS GrundRG</t>
  </si>
  <si>
    <t>Wertungspreis (netto) in €</t>
  </si>
  <si>
    <t>Wertungspreis (brutto) in €</t>
  </si>
  <si>
    <t>Reinigungstage 
 maximal
 (UnterhaltsRG)</t>
  </si>
  <si>
    <t>Sachsen-Anhalt</t>
  </si>
  <si>
    <t>Schmutz-
fang in m²</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</si>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</sst>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cellStyleXfs>
  <cellXfs count="146">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6" fillId="0" borderId="0" xfId="55" applyFont="1" applyAlignment="1">
      <alignment vertical="center"/>
    </xf>
    <xf numFmtId="0" fontId="10" fillId="0" borderId="0" xfId="59"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2" fillId="0" borderId="0" xfId="55" applyFont="1" applyAlignment="1">
      <alignment vertical="center"/>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10" fillId="0" borderId="0" xfId="39" applyFont="1" applyAlignment="1" applyProtection="1">
      <alignment horizontal="left" vertical="center"/>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4" fontId="4" fillId="30" borderId="10" xfId="0" applyNumberFormat="1" applyFont="1" applyFill="1" applyBorder="1" applyAlignment="1">
      <alignment vertical="center" wrapText="1"/>
    </xf>
    <xf numFmtId="0" fontId="4" fillId="0" borderId="0" xfId="55" applyFont="1" applyAlignment="1">
      <alignment horizontal="left" vertical="center"/>
    </xf>
    <xf numFmtId="0" fontId="4" fillId="0" borderId="10" xfId="55" applyFont="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4" fontId="4" fillId="0" borderId="10" xfId="0" applyNumberFormat="1" applyFont="1" applyBorder="1" applyAlignment="1">
      <alignment horizontal="center" vertical="center" wrapText="1"/>
    </xf>
    <xf numFmtId="0" fontId="4" fillId="30" borderId="10" xfId="0" applyFont="1" applyFill="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0" borderId="0" xfId="55" applyFont="1" applyAlignment="1">
      <alignment horizontal="left" vertical="center" wrapText="1"/>
    </xf>
    <xf numFmtId="0" fontId="4" fillId="0" borderId="11" xfId="55" applyFont="1" applyBorder="1" applyAlignment="1">
      <alignment horizontal="left" vertical="center" wrapText="1"/>
    </xf>
  </cellXfs>
  <cellStyles count="6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115">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14"/>
      <tableStyleElement type="headerRow" dxfId="113"/>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M3" lockText="1"/>
</file>

<file path=xl/ctrlProps/ctrlProp11.xml><?xml version="1.0" encoding="utf-8"?>
<formControlPr xmlns="http://schemas.microsoft.com/office/spreadsheetml/2009/9/main" objectType="CheckBox" fmlaLink="M4" lockText="1"/>
</file>

<file path=xl/ctrlProps/ctrlProp12.xml><?xml version="1.0" encoding="utf-8"?>
<formControlPr xmlns="http://schemas.microsoft.com/office/spreadsheetml/2009/9/main" objectType="CheckBox" fmlaLink="M5" lockText="1"/>
</file>

<file path=xl/ctrlProps/ctrlProp13.xml><?xml version="1.0" encoding="utf-8"?>
<formControlPr xmlns="http://schemas.microsoft.com/office/spreadsheetml/2009/9/main" objectType="CheckBox" fmlaLink="M2" lockText="1"/>
</file>

<file path=xl/ctrlProps/ctrlProp14.xml><?xml version="1.0" encoding="utf-8"?>
<formControlPr xmlns="http://schemas.microsoft.com/office/spreadsheetml/2009/9/main" objectType="CheckBox" fmlaLink="M3" lockText="1"/>
</file>

<file path=xl/ctrlProps/ctrlProp15.xml><?xml version="1.0" encoding="utf-8"?>
<formControlPr xmlns="http://schemas.microsoft.com/office/spreadsheetml/2009/9/main" objectType="CheckBox" fmlaLink="M4" lockText="1"/>
</file>

<file path=xl/ctrlProps/ctrlProp16.xml><?xml version="1.0" encoding="utf-8"?>
<formControlPr xmlns="http://schemas.microsoft.com/office/spreadsheetml/2009/9/main" objectType="CheckBox" fmlaLink="M5" lockText="1"/>
</file>

<file path=xl/ctrlProps/ctrlProp17.xml><?xml version="1.0" encoding="utf-8"?>
<formControlPr xmlns="http://schemas.microsoft.com/office/spreadsheetml/2009/9/main" objectType="CheckBox" fmlaLink="M2" lockText="1"/>
</file>

<file path=xl/ctrlProps/ctrlProp18.xml><?xml version="1.0" encoding="utf-8"?>
<formControlPr xmlns="http://schemas.microsoft.com/office/spreadsheetml/2009/9/main" objectType="CheckBox" fmlaLink="M3" lockText="1"/>
</file>

<file path=xl/ctrlProps/ctrlProp19.xml><?xml version="1.0" encoding="utf-8"?>
<formControlPr xmlns="http://schemas.microsoft.com/office/spreadsheetml/2009/9/main" objectType="CheckBox" fmlaLink="M4"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5" lockText="1"/>
</file>

<file path=xl/ctrlProps/ctrlProp21.xml><?xml version="1.0" encoding="utf-8"?>
<formControlPr xmlns="http://schemas.microsoft.com/office/spreadsheetml/2009/9/main" objectType="CheckBox" fmlaLink="M2" lockText="1"/>
</file>

<file path=xl/ctrlProps/ctrlProp22.xml><?xml version="1.0" encoding="utf-8"?>
<formControlPr xmlns="http://schemas.microsoft.com/office/spreadsheetml/2009/9/main" objectType="CheckBox" fmlaLink="M3" lockText="1"/>
</file>

<file path=xl/ctrlProps/ctrlProp23.xml><?xml version="1.0" encoding="utf-8"?>
<formControlPr xmlns="http://schemas.microsoft.com/office/spreadsheetml/2009/9/main" objectType="CheckBox" fmlaLink="M4" lockText="1"/>
</file>

<file path=xl/ctrlProps/ctrlProp24.xml><?xml version="1.0" encoding="utf-8"?>
<formControlPr xmlns="http://schemas.microsoft.com/office/spreadsheetml/2009/9/main" objectType="CheckBox" fmlaLink="M5" lockText="1"/>
</file>

<file path=xl/ctrlProps/ctrlProp25.xml><?xml version="1.0" encoding="utf-8"?>
<formControlPr xmlns="http://schemas.microsoft.com/office/spreadsheetml/2009/9/main" objectType="CheckBox" fmlaLink="M2" lockText="1"/>
</file>

<file path=xl/ctrlProps/ctrlProp26.xml><?xml version="1.0" encoding="utf-8"?>
<formControlPr xmlns="http://schemas.microsoft.com/office/spreadsheetml/2009/9/main" objectType="CheckBox" fmlaLink="M3" lockText="1"/>
</file>

<file path=xl/ctrlProps/ctrlProp27.xml><?xml version="1.0" encoding="utf-8"?>
<formControlPr xmlns="http://schemas.microsoft.com/office/spreadsheetml/2009/9/main" objectType="CheckBox" fmlaLink="M4" lockText="1"/>
</file>

<file path=xl/ctrlProps/ctrlProp28.xml><?xml version="1.0" encoding="utf-8"?>
<formControlPr xmlns="http://schemas.microsoft.com/office/spreadsheetml/2009/9/main" objectType="CheckBox" fmlaLink="M5" lockText="1"/>
</file>

<file path=xl/ctrlProps/ctrlProp29.xml><?xml version="1.0" encoding="utf-8"?>
<formControlPr xmlns="http://schemas.microsoft.com/office/spreadsheetml/2009/9/main" objectType="CheckBox" fmlaLink="M2"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3" lockText="1"/>
</file>

<file path=xl/ctrlProps/ctrlProp31.xml><?xml version="1.0" encoding="utf-8"?>
<formControlPr xmlns="http://schemas.microsoft.com/office/spreadsheetml/2009/9/main" objectType="CheckBox" fmlaLink="M4" lockText="1"/>
</file>

<file path=xl/ctrlProps/ctrlProp32.xml><?xml version="1.0" encoding="utf-8"?>
<formControlPr xmlns="http://schemas.microsoft.com/office/spreadsheetml/2009/9/main" objectType="CheckBox" fmlaLink="M5" lockText="1"/>
</file>

<file path=xl/ctrlProps/ctrlProp33.xml><?xml version="1.0" encoding="utf-8"?>
<formControlPr xmlns="http://schemas.microsoft.com/office/spreadsheetml/2009/9/main" objectType="CheckBox" fmlaLink="M2" lockText="1"/>
</file>

<file path=xl/ctrlProps/ctrlProp34.xml><?xml version="1.0" encoding="utf-8"?>
<formControlPr xmlns="http://schemas.microsoft.com/office/spreadsheetml/2009/9/main" objectType="CheckBox" fmlaLink="M3" lockText="1"/>
</file>

<file path=xl/ctrlProps/ctrlProp35.xml><?xml version="1.0" encoding="utf-8"?>
<formControlPr xmlns="http://schemas.microsoft.com/office/spreadsheetml/2009/9/main" objectType="CheckBox" fmlaLink="M4" lockText="1"/>
</file>

<file path=xl/ctrlProps/ctrlProp36.xml><?xml version="1.0" encoding="utf-8"?>
<formControlPr xmlns="http://schemas.microsoft.com/office/spreadsheetml/2009/9/main" objectType="CheckBox" fmlaLink="M5" lockText="1"/>
</file>

<file path=xl/ctrlProps/ctrlProp37.xml><?xml version="1.0" encoding="utf-8"?>
<formControlPr xmlns="http://schemas.microsoft.com/office/spreadsheetml/2009/9/main" objectType="CheckBox" fmlaLink="M2" lockText="1"/>
</file>

<file path=xl/ctrlProps/ctrlProp38.xml><?xml version="1.0" encoding="utf-8"?>
<formControlPr xmlns="http://schemas.microsoft.com/office/spreadsheetml/2009/9/main" objectType="CheckBox" fmlaLink="M3" lockText="1"/>
</file>

<file path=xl/ctrlProps/ctrlProp39.xml><?xml version="1.0" encoding="utf-8"?>
<formControlPr xmlns="http://schemas.microsoft.com/office/spreadsheetml/2009/9/main" objectType="CheckBox" fmlaLink="M4" lockText="1"/>
</file>

<file path=xl/ctrlProps/ctrlProp4.xml><?xml version="1.0" encoding="utf-8"?>
<formControlPr xmlns="http://schemas.microsoft.com/office/spreadsheetml/2009/9/main" objectType="CheckBox" fmlaLink="B2" lockText="1"/>
</file>

<file path=xl/ctrlProps/ctrlProp40.xml><?xml version="1.0" encoding="utf-8"?>
<formControlPr xmlns="http://schemas.microsoft.com/office/spreadsheetml/2009/9/main" objectType="CheckBox" fmlaLink="M5" lockText="1"/>
</file>

<file path=xl/ctrlProps/ctrlProp41.xml><?xml version="1.0" encoding="utf-8"?>
<formControlPr xmlns="http://schemas.microsoft.com/office/spreadsheetml/2009/9/main" objectType="CheckBox" fmlaLink="C2" lockText="1"/>
</file>

<file path=xl/ctrlProps/ctrlProp42.xml><?xml version="1.0" encoding="utf-8"?>
<formControlPr xmlns="http://schemas.microsoft.com/office/spreadsheetml/2009/9/main" objectType="CheckBox" fmlaLink="D1"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M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900-000001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2642" name="Check Box 2" descr="Hinweis 2" hidden="1">
              <a:extLst>
                <a:ext uri="{63B3BB69-23CF-44E3-9099-C40C66FF867C}">
                  <a14:compatExt spid="_x0000_s112642"/>
                </a:ext>
                <a:ext uri="{FF2B5EF4-FFF2-40B4-BE49-F238E27FC236}">
                  <a16:creationId xmlns:a16="http://schemas.microsoft.com/office/drawing/2014/main" id="{00000000-0008-0000-0900-000002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2643" name="Check Box 3" descr="Hinweis 3" hidden="1">
              <a:extLst>
                <a:ext uri="{63B3BB69-23CF-44E3-9099-C40C66FF867C}">
                  <a14:compatExt spid="_x0000_s112643"/>
                </a:ext>
                <a:ext uri="{FF2B5EF4-FFF2-40B4-BE49-F238E27FC236}">
                  <a16:creationId xmlns:a16="http://schemas.microsoft.com/office/drawing/2014/main" id="{00000000-0008-0000-0900-000003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2644" name="Check Box 4" descr="Hinweis 3" hidden="1">
              <a:extLst>
                <a:ext uri="{63B3BB69-23CF-44E3-9099-C40C66FF867C}">
                  <a14:compatExt spid="_x0000_s112644"/>
                </a:ext>
                <a:ext uri="{FF2B5EF4-FFF2-40B4-BE49-F238E27FC236}">
                  <a16:creationId xmlns:a16="http://schemas.microsoft.com/office/drawing/2014/main" id="{00000000-0008-0000-0900-000004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A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A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A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A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B00-000001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3666" name="Check Box 2" descr="Hinweis 2" hidden="1">
              <a:extLst>
                <a:ext uri="{63B3BB69-23CF-44E3-9099-C40C66FF867C}">
                  <a14:compatExt spid="_x0000_s113666"/>
                </a:ext>
                <a:ext uri="{FF2B5EF4-FFF2-40B4-BE49-F238E27FC236}">
                  <a16:creationId xmlns:a16="http://schemas.microsoft.com/office/drawing/2014/main" id="{00000000-0008-0000-0B00-000002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3667" name="Check Box 3" descr="Hinweis 3" hidden="1">
              <a:extLst>
                <a:ext uri="{63B3BB69-23CF-44E3-9099-C40C66FF867C}">
                  <a14:compatExt spid="_x0000_s113667"/>
                </a:ext>
                <a:ext uri="{FF2B5EF4-FFF2-40B4-BE49-F238E27FC236}">
                  <a16:creationId xmlns:a16="http://schemas.microsoft.com/office/drawing/2014/main" id="{00000000-0008-0000-0B00-000003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3668" name="Check Box 4" descr="Hinweis 3" hidden="1">
              <a:extLst>
                <a:ext uri="{63B3BB69-23CF-44E3-9099-C40C66FF867C}">
                  <a14:compatExt spid="_x0000_s113668"/>
                </a:ext>
                <a:ext uri="{FF2B5EF4-FFF2-40B4-BE49-F238E27FC236}">
                  <a16:creationId xmlns:a16="http://schemas.microsoft.com/office/drawing/2014/main" id="{00000000-0008-0000-0B00-000004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C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4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4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4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4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5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5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5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5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6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6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700-000001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1618" name="Check Box 2" descr="Hinweis 2" hidden="1">
              <a:extLst>
                <a:ext uri="{63B3BB69-23CF-44E3-9099-C40C66FF867C}">
                  <a14:compatExt spid="_x0000_s111618"/>
                </a:ext>
                <a:ext uri="{FF2B5EF4-FFF2-40B4-BE49-F238E27FC236}">
                  <a16:creationId xmlns:a16="http://schemas.microsoft.com/office/drawing/2014/main" id="{00000000-0008-0000-0700-000002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1619" name="Check Box 3" descr="Hinweis 3" hidden="1">
              <a:extLst>
                <a:ext uri="{63B3BB69-23CF-44E3-9099-C40C66FF867C}">
                  <a14:compatExt spid="_x0000_s111619"/>
                </a:ext>
                <a:ext uri="{FF2B5EF4-FFF2-40B4-BE49-F238E27FC236}">
                  <a16:creationId xmlns:a16="http://schemas.microsoft.com/office/drawing/2014/main" id="{00000000-0008-0000-0700-000003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1620" name="Check Box 4" descr="Hinweis 3" hidden="1">
              <a:extLst>
                <a:ext uri="{63B3BB69-23CF-44E3-9099-C40C66FF867C}">
                  <a14:compatExt spid="_x0000_s111620"/>
                </a:ext>
                <a:ext uri="{FF2B5EF4-FFF2-40B4-BE49-F238E27FC236}">
                  <a16:creationId xmlns:a16="http://schemas.microsoft.com/office/drawing/2014/main" id="{00000000-0008-0000-0700-000004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8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8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8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8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2.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6.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0.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4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4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16" customWidth="1"/>
    <col min="6" max="7" width="11.5703125" style="3" customWidth="1"/>
    <col min="8" max="8" width="12" style="3" customWidth="1"/>
    <col min="9" max="10" width="12.7109375" style="3" customWidth="1"/>
    <col min="11" max="13" width="11.42578125" style="3" customWidth="1"/>
    <col min="14" max="16384" width="11.42578125" style="3"/>
  </cols>
  <sheetData>
    <row r="1" spans="1:12" x14ac:dyDescent="0.2">
      <c r="A1" s="44"/>
    </row>
    <row r="2" spans="1:12" ht="32.450000000000003" customHeight="1" x14ac:dyDescent="0.2">
      <c r="B2" s="45" t="s">
        <v>91</v>
      </c>
      <c r="G2" s="101" t="s">
        <v>184</v>
      </c>
      <c r="H2" s="101"/>
      <c r="I2" s="100"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00"/>
      <c r="K2" s="100"/>
      <c r="L2" s="100"/>
    </row>
    <row r="3" spans="1:12" ht="15" customHeight="1" x14ac:dyDescent="0.2">
      <c r="B3" s="46" t="s">
        <v>164</v>
      </c>
      <c r="C3" s="15"/>
      <c r="E3" s="46" t="s">
        <v>159</v>
      </c>
      <c r="F3" s="47">
        <v>46235</v>
      </c>
      <c r="G3" s="48"/>
      <c r="H3" s="32" t="b">
        <v>0</v>
      </c>
      <c r="I3" s="100"/>
      <c r="J3" s="100"/>
      <c r="K3" s="100"/>
      <c r="L3" s="100"/>
    </row>
    <row r="4" spans="1:12" ht="15" customHeight="1" x14ac:dyDescent="0.2">
      <c r="B4" s="46" t="s">
        <v>152</v>
      </c>
      <c r="C4" s="15"/>
      <c r="E4" s="46" t="s">
        <v>160</v>
      </c>
      <c r="F4" s="47">
        <v>47695</v>
      </c>
      <c r="G4" s="48"/>
      <c r="H4" s="32" t="b">
        <v>0</v>
      </c>
      <c r="I4" s="100"/>
      <c r="J4" s="100"/>
      <c r="K4" s="100"/>
      <c r="L4" s="100"/>
    </row>
    <row r="5" spans="1:12" ht="15" customHeight="1" x14ac:dyDescent="0.2">
      <c r="B5" s="46" t="s">
        <v>153</v>
      </c>
      <c r="C5" s="15"/>
      <c r="E5" s="46" t="s">
        <v>161</v>
      </c>
      <c r="F5" s="49">
        <v>2</v>
      </c>
      <c r="G5" s="48"/>
      <c r="H5" s="32" t="b">
        <v>0</v>
      </c>
      <c r="I5" s="100"/>
      <c r="J5" s="100"/>
      <c r="K5" s="100"/>
      <c r="L5" s="100"/>
    </row>
    <row r="6" spans="1:12" ht="15" customHeight="1" x14ac:dyDescent="0.2">
      <c r="B6" s="46" t="s">
        <v>154</v>
      </c>
      <c r="C6" s="15"/>
      <c r="E6" s="46" t="s">
        <v>162</v>
      </c>
      <c r="F6" s="47">
        <f>DATE(YEAR($F$4)+$F$5,MONTH($F$4),DAY($F$4))</f>
        <v>48426</v>
      </c>
      <c r="I6" s="100"/>
      <c r="J6" s="100"/>
      <c r="K6" s="100"/>
      <c r="L6" s="100"/>
    </row>
    <row r="7" spans="1:12" ht="15" customHeight="1" x14ac:dyDescent="0.2">
      <c r="B7" s="46" t="s">
        <v>165</v>
      </c>
      <c r="C7" s="15"/>
    </row>
    <row r="8" spans="1:12" ht="15" customHeight="1" x14ac:dyDescent="0.2">
      <c r="B8" s="46" t="s">
        <v>166</v>
      </c>
      <c r="C8" s="15"/>
    </row>
    <row r="9" spans="1:12" ht="15" customHeight="1" x14ac:dyDescent="0.2">
      <c r="B9" s="46" t="s">
        <v>167</v>
      </c>
      <c r="C9" s="15"/>
    </row>
    <row r="10" spans="1:12" ht="15" customHeight="1" x14ac:dyDescent="0.2">
      <c r="B10" s="46" t="s">
        <v>168</v>
      </c>
      <c r="C10" s="15"/>
    </row>
    <row r="11" spans="1:12" ht="15" customHeight="1" x14ac:dyDescent="0.2">
      <c r="B11" s="46" t="s">
        <v>169</v>
      </c>
      <c r="C11" s="15"/>
    </row>
    <row r="12" spans="1:12" ht="24.95" customHeight="1" x14ac:dyDescent="0.2"/>
    <row r="13" spans="1:12" ht="19.899999999999999" customHeight="1" x14ac:dyDescent="0.2">
      <c r="B13" s="4" t="s">
        <v>0</v>
      </c>
      <c r="C13" s="4" t="s">
        <v>190</v>
      </c>
      <c r="E13" s="3"/>
    </row>
    <row r="14" spans="1:12" ht="15" customHeight="1" x14ac:dyDescent="0.2">
      <c r="B14" s="29" t="s">
        <v>176</v>
      </c>
      <c r="E14" s="3"/>
    </row>
    <row r="15" spans="1:12" ht="15" customHeight="1" x14ac:dyDescent="0.2">
      <c r="B15" s="29" t="s">
        <v>377</v>
      </c>
      <c r="E15" s="3"/>
    </row>
    <row r="16" spans="1:12" ht="15" customHeight="1" x14ac:dyDescent="0.2">
      <c r="B16" s="29" t="s">
        <v>378</v>
      </c>
      <c r="E16" s="3"/>
    </row>
    <row r="17" spans="2:10" ht="15" customHeight="1" x14ac:dyDescent="0.2">
      <c r="B17" s="5" t="s">
        <v>147</v>
      </c>
      <c r="C17" s="3"/>
      <c r="E17" s="3"/>
    </row>
    <row r="18" spans="2:10" ht="15" customHeight="1" x14ac:dyDescent="0.2">
      <c r="B18" s="3"/>
      <c r="C18" s="3"/>
      <c r="E18" s="3"/>
    </row>
    <row r="19" spans="2:10" ht="90" customHeight="1" x14ac:dyDescent="0.2">
      <c r="B19" s="1" t="s">
        <v>170</v>
      </c>
      <c r="C19" s="1" t="s">
        <v>171</v>
      </c>
      <c r="D19" s="1" t="s">
        <v>172</v>
      </c>
      <c r="E19" s="1" t="s">
        <v>381</v>
      </c>
      <c r="F19" s="1" t="s">
        <v>369</v>
      </c>
      <c r="G19" s="1" t="s">
        <v>371</v>
      </c>
      <c r="H19" s="1" t="s">
        <v>372</v>
      </c>
      <c r="I19" s="1" t="s">
        <v>379</v>
      </c>
      <c r="J19" s="1" t="s">
        <v>380</v>
      </c>
    </row>
    <row r="20" spans="2:10" ht="15" customHeight="1" x14ac:dyDescent="0.2">
      <c r="B20" s="50" t="s">
        <v>189</v>
      </c>
      <c r="C20" s="50" t="s">
        <v>189</v>
      </c>
      <c r="D20" s="50" t="s">
        <v>185</v>
      </c>
      <c r="E20" s="51">
        <f>'Kal Unter Haus am See'!L21</f>
        <v>252.5</v>
      </c>
      <c r="F20" s="30">
        <f ca="1">'Kal Unter Haus am See'!Q21</f>
        <v>0</v>
      </c>
      <c r="G20" s="30">
        <f>'Kal Grund Haus am See'!Q21</f>
        <v>0</v>
      </c>
      <c r="H20" s="52"/>
      <c r="I20" s="31">
        <f ca="1">ROUND(SUM($F$20:$H$20),2)</f>
        <v>0</v>
      </c>
      <c r="J20" s="31">
        <f ca="1">ROUND($I$20* 1.19,2)</f>
        <v>0</v>
      </c>
    </row>
    <row r="21" spans="2:10" ht="15" customHeight="1" x14ac:dyDescent="0.2">
      <c r="B21" s="50" t="s">
        <v>194</v>
      </c>
      <c r="C21" s="50" t="s">
        <v>194</v>
      </c>
      <c r="D21" s="50" t="s">
        <v>185</v>
      </c>
      <c r="E21" s="51">
        <f>'Kal Unter Rathaus'!L21</f>
        <v>151.5</v>
      </c>
      <c r="F21" s="30">
        <f ca="1">'Kal Unter Rathaus'!Q21</f>
        <v>0</v>
      </c>
      <c r="G21" s="30">
        <f>'Kal Grund Rathaus'!Q21</f>
        <v>0</v>
      </c>
      <c r="H21" s="30">
        <f>SUMIF('Kal Verbrauch Gesamt'!$B$5:$B13,$B$21,'Kal Verbrauch Gesamt'!$G$5:$G13)</f>
        <v>0</v>
      </c>
      <c r="I21" s="31">
        <f ca="1">ROUND(SUM($F$21:$H$21),2)</f>
        <v>0</v>
      </c>
      <c r="J21" s="31">
        <f ca="1">ROUND($I$21* 1.19,2)</f>
        <v>0</v>
      </c>
    </row>
    <row r="22" spans="2:10" ht="15" customHeight="1" x14ac:dyDescent="0.2">
      <c r="B22" s="50" t="s">
        <v>196</v>
      </c>
      <c r="C22" s="50" t="s">
        <v>197</v>
      </c>
      <c r="D22" s="50" t="s">
        <v>185</v>
      </c>
      <c r="E22" s="51">
        <f>'Kal Unter Verwaltung 1'!L21</f>
        <v>151.5</v>
      </c>
      <c r="F22" s="30">
        <f ca="1">'Kal Unter Verwaltung 1'!Q21</f>
        <v>0</v>
      </c>
      <c r="G22" s="30">
        <f>'Kal Grund Verwaltung 1'!Q21</f>
        <v>0</v>
      </c>
      <c r="H22" s="30">
        <f>SUMIF('Kal Verbrauch Gesamt'!$B$5:$B13,$B$22,'Kal Verbrauch Gesamt'!$G$5:$G13)</f>
        <v>0</v>
      </c>
      <c r="I22" s="31">
        <f ca="1">ROUND(SUM($F$22:$H$22),2)</f>
        <v>0</v>
      </c>
      <c r="J22" s="31">
        <f ca="1">ROUND($I$22* 1.19,2)</f>
        <v>0</v>
      </c>
    </row>
    <row r="23" spans="2:10" ht="15" customHeight="1" x14ac:dyDescent="0.2">
      <c r="B23" s="50" t="s">
        <v>199</v>
      </c>
      <c r="C23" s="50" t="s">
        <v>200</v>
      </c>
      <c r="D23" s="50" t="s">
        <v>185</v>
      </c>
      <c r="E23" s="51">
        <f>'Kal Unter Verwaltung 2'!L21</f>
        <v>252.5</v>
      </c>
      <c r="F23" s="30">
        <f ca="1">'Kal Unter Verwaltung 2'!Q21</f>
        <v>0</v>
      </c>
      <c r="G23" s="30">
        <f>'Kal Grund Verwaltung 2'!Q21</f>
        <v>0</v>
      </c>
      <c r="H23" s="30">
        <f>SUMIF('Kal Verbrauch Gesamt'!$B$5:$B13,$B$23,'Kal Verbrauch Gesamt'!$G$5:$G13)</f>
        <v>0</v>
      </c>
      <c r="I23" s="31">
        <f ca="1">ROUND(SUM($F$23:$H$23),2)</f>
        <v>0</v>
      </c>
      <c r="J23" s="31">
        <f ca="1">ROUND($I$23* 1.19,2)</f>
        <v>0</v>
      </c>
    </row>
    <row r="24" spans="2:10" ht="15" customHeight="1" x14ac:dyDescent="0.2"/>
    <row r="25" spans="2:10" ht="15" customHeight="1" x14ac:dyDescent="0.2"/>
    <row r="26" spans="2:10" ht="15" customHeight="1" x14ac:dyDescent="0.2"/>
    <row r="27" spans="2:10" ht="15" customHeight="1" x14ac:dyDescent="0.2"/>
    <row r="28" spans="2:10" ht="15" customHeight="1" x14ac:dyDescent="0.2"/>
    <row r="29" spans="2:10" ht="15" customHeight="1" x14ac:dyDescent="0.2"/>
    <row r="30" spans="2:10" ht="15" customHeight="1" x14ac:dyDescent="0.2"/>
    <row r="31" spans="2:10" ht="15" customHeight="1" x14ac:dyDescent="0.2"/>
    <row r="32" spans="2: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UHm7sXIBt5iHhh1I/h4IrwTo5u6jBy7TcP7Qt2uoaqtWsMMaqeR8w7dN+brVuQOuaxqkLPIQIfwfMfxo48x+mQ==" saltValue="rIPHibkxHHVz9Upk4jzP0w==" spinCount="100000" sheet="1" objects="1" scenarios="1"/>
  <mergeCells count="2">
    <mergeCell ref="I2:L6"/>
    <mergeCell ref="G2:H2"/>
  </mergeCells>
  <phoneticPr fontId="3" type="noConversion"/>
  <hyperlinks>
    <hyperlink ref="B14" location="'Preisübersicht'!A1" display="Preisübersicht" xr:uid="{E14A8649-A846-4BC1-B622-FAC84E81A61D}"/>
    <hyperlink ref="B15" location="'SVS UnterhaltsRG'!A1" display="SVS UnterhaltsRG" xr:uid="{35C1D61E-50AD-41DD-B8F5-B336B2E5465B}"/>
    <hyperlink ref="B16" location="'SVS GrundRG'!A1" display="SVS GrundRG" xr:uid="{C86B049B-BC8A-4AE1-B238-4C187E66433E}"/>
    <hyperlink ref="B17" location="'Reinigungstage'!A1" display="Reinigungstage" xr:uid="{1131EEA5-F507-4236-9FFD-FDA1D662343F}"/>
    <hyperlink ref="F20" location="'Kal Unter Haus am See'!$Q$21" display="'Kal Unter Haus am See'!$Q$21" xr:uid="{A1C1089D-0902-45B3-AC5F-2E56FB31669B}"/>
    <hyperlink ref="F21" location="'Kal Unter Rathaus'!$Q$21" display="'Kal Unter Rathaus'!$Q$21" xr:uid="{966C4466-8235-42C4-9BE7-052412C3F181}"/>
    <hyperlink ref="F22" location="'Kal Unter Verwaltung 1'!$Q$21" display="'Kal Unter Verwaltung 1'!$Q$21" xr:uid="{B029A48D-FD47-47A1-9290-6364F60ADEFA}"/>
    <hyperlink ref="F23" location="'Kal Unter Verwaltung 2'!$Q$21" display="'Kal Unter Verwaltung 2'!$Q$21" xr:uid="{F8E0F091-AAF7-4011-AF7A-6DE8C925E608}"/>
    <hyperlink ref="G20" location="'Kal Grund Haus am See'!$Q$21" display="'Kal Grund Haus am See'!$Q$21" xr:uid="{5EC6E8A4-2A71-418E-8360-45FBC36FB7AE}"/>
    <hyperlink ref="G21" location="'Kal Grund Rathaus'!$Q$21" display="'Kal Grund Rathaus'!$Q$21" xr:uid="{F5CBEF50-8AA6-4B3C-AD90-F3EBC4FD095A}"/>
    <hyperlink ref="G22" location="'Kal Grund Verwaltung 1'!$Q$21" display="'Kal Grund Verwaltung 1'!$Q$21" xr:uid="{CA39BA84-E277-49CF-A736-5382F9BF31C3}"/>
    <hyperlink ref="G23" location="'Kal Grund Verwaltung 2'!$Q$21" display="'Kal Grund Verwaltung 2'!$Q$21" xr:uid="{E3C8FED5-0D01-4EC9-8E92-91E642B471A7}"/>
    <hyperlink ref="H21" location="'Kal Verbrauch Gesamt'!G5:G7" display="'Kal Verbrauch Gesamt'!G5:G7" xr:uid="{5687B747-FB8B-43AE-B621-355FACA9181C}"/>
    <hyperlink ref="H22" location="'Kal Verbrauch Gesamt'!G8:G10" display="'Kal Verbrauch Gesamt'!G8:G10" xr:uid="{A35661F5-F46C-4D0F-8AF0-A7285E84E4E7}"/>
    <hyperlink ref="H23" location="'Kal Verbrauch Gesamt'!G11:G13" display="'Kal Verbrauch Gesamt'!G11:G13" xr:uid="{4CC2DD1D-8BA8-4536-B1BC-E0990FE379B8}"/>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AD74-3BCE-4524-9A60-CFF7C0823798}">
  <sheetPr codeName="Tabelle38">
    <tabColor indexed="40"/>
  </sheetPr>
  <dimension ref="A1:X6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57031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285156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9" t="s">
        <v>150</v>
      </c>
      <c r="B2" s="140"/>
      <c r="C2" s="140"/>
      <c r="D2" s="140"/>
      <c r="E2" s="141"/>
      <c r="G2" s="142" t="s">
        <v>163</v>
      </c>
      <c r="H2" s="142" t="s">
        <v>155</v>
      </c>
      <c r="I2" s="142" t="s">
        <v>156</v>
      </c>
      <c r="J2" s="142" t="s">
        <v>175</v>
      </c>
      <c r="M2" s="69"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4" customHeight="1" x14ac:dyDescent="0.2">
      <c r="A3" s="71" t="s">
        <v>158</v>
      </c>
      <c r="B3" s="72"/>
      <c r="C3" s="72"/>
      <c r="D3" s="72"/>
      <c r="E3" s="73"/>
      <c r="G3" s="143"/>
      <c r="H3" s="143"/>
      <c r="I3" s="143"/>
      <c r="J3" s="143"/>
      <c r="M3" s="69" t="b">
        <v>0</v>
      </c>
      <c r="N3" s="100"/>
      <c r="O3" s="100"/>
      <c r="P3" s="100"/>
      <c r="Q3" s="100"/>
    </row>
    <row r="4" spans="1:22" ht="18.600000000000001" customHeight="1" x14ac:dyDescent="0.2">
      <c r="A4" s="137" t="s">
        <v>91</v>
      </c>
      <c r="B4" s="125" t="str">
        <f>IF(Inhaltsverzeichnis!C3="","",Inhaltsverzeichnis!C3)</f>
        <v/>
      </c>
      <c r="C4" s="126"/>
      <c r="D4" s="126"/>
      <c r="E4" s="127"/>
      <c r="G4" s="70" t="s">
        <v>208</v>
      </c>
      <c r="H4" s="74"/>
      <c r="I4" s="75">
        <f ca="1">SUMIF('Kal Grund Verwaltung 1'!J22:M62,$G$4,'Kal Grund Verwaltung 1'!M22:M62)</f>
        <v>693.05000000000007</v>
      </c>
      <c r="J4" s="49">
        <f>COUNTIFS('Kal Grund Verwaltung 1'!J22:M62,$G$4)</f>
        <v>27</v>
      </c>
      <c r="M4" s="69" t="b">
        <v>0</v>
      </c>
      <c r="N4" s="100"/>
      <c r="O4" s="100"/>
      <c r="P4" s="100"/>
      <c r="Q4" s="100"/>
      <c r="U4" s="70" t="s">
        <v>208</v>
      </c>
      <c r="V4" s="3">
        <v>11.875</v>
      </c>
    </row>
    <row r="5" spans="1:22" ht="15" customHeight="1" x14ac:dyDescent="0.2">
      <c r="A5" s="138"/>
      <c r="B5" s="128"/>
      <c r="C5" s="129"/>
      <c r="D5" s="129"/>
      <c r="E5" s="130"/>
      <c r="G5" s="70" t="s">
        <v>275</v>
      </c>
      <c r="H5" s="74"/>
      <c r="I5" s="75">
        <f ca="1">SUMIF('Kal Grund Verwaltung 1'!J22:M62,$G$5,'Kal Grund Verwaltung 1'!M22:M62)</f>
        <v>40.200000000000003</v>
      </c>
      <c r="J5" s="49">
        <f>COUNTIFS('Kal Grund Verwaltung 1'!J22:M62,$G$5)</f>
        <v>2</v>
      </c>
      <c r="M5" s="69" t="b">
        <v>0</v>
      </c>
      <c r="N5" s="100"/>
      <c r="O5" s="100"/>
      <c r="P5" s="100"/>
      <c r="Q5" s="100"/>
      <c r="U5" s="70" t="s">
        <v>275</v>
      </c>
      <c r="V5" s="3">
        <v>12.75</v>
      </c>
    </row>
    <row r="6" spans="1:22" ht="15" customHeight="1" x14ac:dyDescent="0.2">
      <c r="A6" s="76" t="s">
        <v>173</v>
      </c>
      <c r="B6" s="131" t="s">
        <v>190</v>
      </c>
      <c r="C6" s="132"/>
      <c r="D6" s="132"/>
      <c r="E6" s="133"/>
      <c r="G6" s="70" t="s">
        <v>276</v>
      </c>
      <c r="H6" s="74"/>
      <c r="I6" s="75">
        <f ca="1">SUMIF('Kal Grund Verwaltung 1'!J22:M62,$G$6,'Kal Grund Verwaltung 1'!M22:M62)</f>
        <v>18.829999999999998</v>
      </c>
      <c r="J6" s="49">
        <f>COUNTIFS('Kal Grund Verwaltung 1'!J22:M62,$G$6)</f>
        <v>2</v>
      </c>
      <c r="U6" s="70" t="s">
        <v>276</v>
      </c>
      <c r="V6" s="3">
        <v>10.25</v>
      </c>
    </row>
    <row r="7" spans="1:22" ht="15" customHeight="1" x14ac:dyDescent="0.2">
      <c r="A7" s="77" t="s">
        <v>171</v>
      </c>
      <c r="B7" s="134" t="s">
        <v>197</v>
      </c>
      <c r="C7" s="132"/>
      <c r="D7" s="132"/>
      <c r="E7" s="133"/>
      <c r="G7" s="70" t="s">
        <v>279</v>
      </c>
      <c r="H7" s="74"/>
      <c r="I7" s="75">
        <f ca="1">SUMIF('Kal Grund Verwaltung 1'!J22:M62,$G$7,'Kal Grund Verwaltung 1'!M22:M62)</f>
        <v>38.370000000000005</v>
      </c>
      <c r="J7" s="49">
        <f>COUNTIFS('Kal Grund Verwaltung 1'!J22:M62,$G$7)</f>
        <v>3</v>
      </c>
      <c r="U7" s="70" t="s">
        <v>280</v>
      </c>
      <c r="V7" s="3">
        <v>15.875</v>
      </c>
    </row>
    <row r="8" spans="1:22" ht="15" customHeight="1" x14ac:dyDescent="0.2">
      <c r="A8" s="77" t="s">
        <v>172</v>
      </c>
      <c r="B8" s="131"/>
      <c r="C8" s="132"/>
      <c r="D8" s="132"/>
      <c r="E8" s="133"/>
      <c r="G8" s="70" t="s">
        <v>278</v>
      </c>
      <c r="H8" s="74"/>
      <c r="I8" s="75">
        <f ca="1">SUMIF('Kal Grund Verwaltung 1'!J22:M62,$G$8,'Kal Grund Verwaltung 1'!M22:M62)</f>
        <v>256.62</v>
      </c>
      <c r="J8" s="49">
        <f>COUNTIFS('Kal Grund Verwaltung 1'!J22:M62,$G$8)</f>
        <v>4</v>
      </c>
      <c r="L8" s="88" t="str">
        <f>IF(N14&gt;0,"Ihre Eintragungen der Leistungswerte liegen weit über den Erfahrungswerten aus der Preisschätzung.","")</f>
        <v/>
      </c>
      <c r="U8" s="70" t="s">
        <v>279</v>
      </c>
      <c r="V8" s="3">
        <v>15.375</v>
      </c>
    </row>
    <row r="9" spans="1:22" ht="15" customHeight="1" x14ac:dyDescent="0.2">
      <c r="A9" s="76" t="s">
        <v>170</v>
      </c>
      <c r="B9" s="135" t="s">
        <v>196</v>
      </c>
      <c r="C9" s="132"/>
      <c r="D9" s="132"/>
      <c r="E9" s="133"/>
      <c r="G9" s="70" t="s">
        <v>277</v>
      </c>
      <c r="H9" s="74"/>
      <c r="I9" s="75">
        <f ca="1">SUMIF('Kal Grund Verwaltung 1'!J22:M62,$G$9,'Kal Grund Verwaltung 1'!M22:M62)</f>
        <v>44.400000000000006</v>
      </c>
      <c r="J9" s="49">
        <f>COUNTIFS('Kal Grund Verwaltung 1'!J22:M62,$G$9)</f>
        <v>3</v>
      </c>
      <c r="L9" s="88" t="str">
        <f>IF(N14&gt;0,"Bitte prüfen Sie diese.","")</f>
        <v/>
      </c>
      <c r="U9" s="70" t="s">
        <v>278</v>
      </c>
      <c r="V9" s="3">
        <v>16.25</v>
      </c>
    </row>
    <row r="10" spans="1:22" ht="15" customHeight="1" x14ac:dyDescent="0.2">
      <c r="A10" s="77" t="s">
        <v>152</v>
      </c>
      <c r="B10" s="131" t="s">
        <v>198</v>
      </c>
      <c r="C10" s="132"/>
      <c r="D10" s="132"/>
      <c r="E10" s="133"/>
      <c r="L10" s="88" t="str">
        <f>IF(N14&gt;0,"Beachten Sie, dass Sie frei in der Kalkulation dieser Leistungswerte sind und wir durch den Hinweis","")</f>
        <v/>
      </c>
      <c r="U10" s="70" t="s">
        <v>277</v>
      </c>
      <c r="V10" s="3">
        <v>15.375</v>
      </c>
    </row>
    <row r="11" spans="1:22" ht="15" customHeight="1" x14ac:dyDescent="0.2">
      <c r="A11" s="77" t="s">
        <v>153</v>
      </c>
      <c r="B11" s="136" t="s">
        <v>192</v>
      </c>
      <c r="C11" s="132"/>
      <c r="D11" s="132"/>
      <c r="E11" s="133"/>
      <c r="L11" s="88" t="str">
        <f>IF(N14&gt;0,"lediglich Fehleingaben vermeiden wollen.","")</f>
        <v/>
      </c>
    </row>
    <row r="12" spans="1:22" ht="15" customHeight="1" x14ac:dyDescent="0.2">
      <c r="A12" s="77" t="s">
        <v>154</v>
      </c>
      <c r="B12" s="131" t="s">
        <v>193</v>
      </c>
      <c r="C12" s="132"/>
      <c r="D12" s="132"/>
      <c r="E12" s="133"/>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row>
    <row r="14" spans="1:22" ht="15" customHeight="1" x14ac:dyDescent="0.2">
      <c r="N14" s="78">
        <f>COUNTIF(X22:X$62,1)</f>
        <v>0</v>
      </c>
      <c r="O14" s="3" t="str">
        <f>IF(N14&gt;0,"Wert(e) prüfen.","")</f>
        <v/>
      </c>
      <c r="S14" s="80">
        <f>IF(COUNTA($S$22:$S$62)-COUNTBLANK($S$22:$S$62)=0,"",COUNTA($S$22:$S$62)-COUNTBLANK($S$22:$S$62))</f>
        <v>41</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81" t="s">
        <v>118</v>
      </c>
      <c r="B21" s="12"/>
      <c r="C21" s="12"/>
      <c r="D21" s="12"/>
      <c r="E21" s="12"/>
      <c r="F21" s="12"/>
      <c r="G21" s="82">
        <f>SUM($G$22:$G$62)</f>
        <v>1091.4699999999998</v>
      </c>
      <c r="H21" s="82">
        <f>SUM($H$22:$H$62)</f>
        <v>0</v>
      </c>
      <c r="I21" s="82">
        <f>SUM($I$22:$I$62)</f>
        <v>0</v>
      </c>
      <c r="J21" s="31"/>
      <c r="K21" s="31"/>
      <c r="L21" s="83">
        <f>MAX(L22:L62)</f>
        <v>1</v>
      </c>
      <c r="M21" s="82">
        <f>SUM($M$22:$M$62)</f>
        <v>1091.4699999999998</v>
      </c>
      <c r="N21" s="31"/>
      <c r="O21" s="31"/>
      <c r="P21" s="82">
        <f>SUM($P$22:$P$62)</f>
        <v>0</v>
      </c>
      <c r="Q21" s="82">
        <f>SUM($Q$22:$Q$62)</f>
        <v>0</v>
      </c>
      <c r="R21" s="82">
        <f>ROUND(IF(Q21=0,0,Q21/L21),2)</f>
        <v>0</v>
      </c>
    </row>
    <row r="22" spans="1:24" ht="15" customHeight="1" x14ac:dyDescent="0.2">
      <c r="A22" s="70">
        <v>1</v>
      </c>
      <c r="B22" s="84" t="s">
        <v>302</v>
      </c>
      <c r="C22" s="85" t="s">
        <v>281</v>
      </c>
      <c r="D22" s="85"/>
      <c r="E22" s="85" t="s">
        <v>303</v>
      </c>
      <c r="F22" s="85" t="s">
        <v>206</v>
      </c>
      <c r="G22" s="51">
        <v>20.100000000000001</v>
      </c>
      <c r="H22" s="51"/>
      <c r="I22" s="51"/>
      <c r="J22" s="70" t="s">
        <v>208</v>
      </c>
      <c r="K22" s="70" t="s">
        <v>142</v>
      </c>
      <c r="L22" s="31">
        <f>VLOOKUP(K22,Reinigungstage!A10:H31,8,FALSE)</f>
        <v>1</v>
      </c>
      <c r="M22" s="31">
        <f t="shared" ref="M22:M62" si="0">ROUND(IF(L22=0,0,L22*G22),2)</f>
        <v>20.100000000000001</v>
      </c>
      <c r="N22" s="87">
        <f t="shared" ref="N22:N62" si="1">VLOOKUP(J22,$G$4:$H$9,2,FALSE)</f>
        <v>0</v>
      </c>
      <c r="O22" s="31">
        <f ca="1">IF('SVS GrundRG'!H61="",0,'SVS GrundRG'!H61)</f>
        <v>0</v>
      </c>
      <c r="P22" s="31">
        <f t="shared" ref="P22:P62" si="2">ROUND(IF(N22=0,0,M22/N22),2)</f>
        <v>0</v>
      </c>
      <c r="Q22" s="31">
        <f t="shared" ref="Q22:Q62" si="3">ROUND(IF(P22=0,0,P22*O22),2)</f>
        <v>0</v>
      </c>
      <c r="R22" s="31">
        <f t="shared" ref="R22:R62" si="4">ROUND(IF(P22=0,0,Q22/L22),2)</f>
        <v>0</v>
      </c>
      <c r="S22" s="3" t="str">
        <f t="shared" ref="S22:S62" si="5">IF(M22=0,"",IF(N22=0,"Leistungswert eintragen",IF(O22=0,"SVS prüfen","")))</f>
        <v>Leistungswert eintragen</v>
      </c>
      <c r="U22" s="3">
        <f t="shared" ref="U22:U62" si="6">VLOOKUP(J22,$U$4:$V$10,2,FALSE)</f>
        <v>11.875</v>
      </c>
      <c r="V22" s="3">
        <f t="shared" ref="V22:V62" si="7">U22*30%</f>
        <v>3.5625</v>
      </c>
      <c r="W22" s="3">
        <f t="shared" ref="W22:W62" si="8">SUM(U22:V22)</f>
        <v>15.4375</v>
      </c>
      <c r="X22" s="3" t="str">
        <f t="shared" ref="X22:X62" si="9">IF(N22=0,"",IF(W22&lt;N22,1,IF(W22&gt;=N22,0,"")))</f>
        <v/>
      </c>
    </row>
    <row r="23" spans="1:24" ht="15" customHeight="1" x14ac:dyDescent="0.2">
      <c r="A23" s="70">
        <v>2</v>
      </c>
      <c r="B23" s="84" t="s">
        <v>304</v>
      </c>
      <c r="C23" s="85" t="s">
        <v>281</v>
      </c>
      <c r="D23" s="85"/>
      <c r="E23" s="85" t="s">
        <v>303</v>
      </c>
      <c r="F23" s="85" t="s">
        <v>206</v>
      </c>
      <c r="G23" s="51">
        <v>20.6</v>
      </c>
      <c r="H23" s="51"/>
      <c r="I23" s="51"/>
      <c r="J23" s="70" t="s">
        <v>208</v>
      </c>
      <c r="K23" s="70" t="s">
        <v>142</v>
      </c>
      <c r="L23" s="31">
        <f>VLOOKUP(K23,Reinigungstage!A10:H31,8,FALSE)</f>
        <v>1</v>
      </c>
      <c r="M23" s="31">
        <f t="shared" si="0"/>
        <v>20.6</v>
      </c>
      <c r="N23" s="87">
        <f t="shared" si="1"/>
        <v>0</v>
      </c>
      <c r="O23" s="31">
        <f ca="1">IF('SVS GrundRG'!H61="",0,'SVS GrundRG'!H61)</f>
        <v>0</v>
      </c>
      <c r="P23" s="31">
        <f t="shared" si="2"/>
        <v>0</v>
      </c>
      <c r="Q23" s="31">
        <f t="shared" si="3"/>
        <v>0</v>
      </c>
      <c r="R23" s="31">
        <f t="shared" si="4"/>
        <v>0</v>
      </c>
      <c r="S23" s="3" t="str">
        <f t="shared" si="5"/>
        <v>Leistungswert eintragen</v>
      </c>
      <c r="U23" s="3">
        <f t="shared" si="6"/>
        <v>11.875</v>
      </c>
      <c r="V23" s="3">
        <f t="shared" si="7"/>
        <v>3.5625</v>
      </c>
      <c r="W23" s="3">
        <f t="shared" si="8"/>
        <v>15.4375</v>
      </c>
      <c r="X23" s="3" t="str">
        <f t="shared" si="9"/>
        <v/>
      </c>
    </row>
    <row r="24" spans="1:24" ht="15" customHeight="1" x14ac:dyDescent="0.2">
      <c r="A24" s="70">
        <v>3</v>
      </c>
      <c r="B24" s="84" t="s">
        <v>305</v>
      </c>
      <c r="C24" s="85" t="s">
        <v>281</v>
      </c>
      <c r="D24" s="85"/>
      <c r="E24" s="85" t="s">
        <v>303</v>
      </c>
      <c r="F24" s="85" t="s">
        <v>206</v>
      </c>
      <c r="G24" s="51">
        <v>16.399999999999999</v>
      </c>
      <c r="H24" s="51"/>
      <c r="I24" s="51"/>
      <c r="J24" s="70" t="s">
        <v>208</v>
      </c>
      <c r="K24" s="70" t="s">
        <v>142</v>
      </c>
      <c r="L24" s="31">
        <f>VLOOKUP(K24,Reinigungstage!A10:H31,8,FALSE)</f>
        <v>1</v>
      </c>
      <c r="M24" s="31">
        <f t="shared" si="0"/>
        <v>16.399999999999999</v>
      </c>
      <c r="N24" s="87">
        <f t="shared" si="1"/>
        <v>0</v>
      </c>
      <c r="O24" s="31">
        <f ca="1">IF('SVS GrundRG'!H61="",0,'SVS GrundRG'!H61)</f>
        <v>0</v>
      </c>
      <c r="P24" s="31">
        <f t="shared" si="2"/>
        <v>0</v>
      </c>
      <c r="Q24" s="31">
        <f t="shared" si="3"/>
        <v>0</v>
      </c>
      <c r="R24" s="31">
        <f t="shared" si="4"/>
        <v>0</v>
      </c>
      <c r="S24" s="3" t="str">
        <f t="shared" si="5"/>
        <v>Leistungswert eintragen</v>
      </c>
      <c r="U24" s="3">
        <f t="shared" si="6"/>
        <v>11.875</v>
      </c>
      <c r="V24" s="3">
        <f t="shared" si="7"/>
        <v>3.5625</v>
      </c>
      <c r="W24" s="3">
        <f t="shared" si="8"/>
        <v>15.4375</v>
      </c>
      <c r="X24" s="3" t="str">
        <f t="shared" si="9"/>
        <v/>
      </c>
    </row>
    <row r="25" spans="1:24" ht="15" customHeight="1" x14ac:dyDescent="0.2">
      <c r="A25" s="70">
        <v>4</v>
      </c>
      <c r="B25" s="84" t="s">
        <v>306</v>
      </c>
      <c r="C25" s="85" t="s">
        <v>281</v>
      </c>
      <c r="D25" s="85"/>
      <c r="E25" s="85" t="s">
        <v>303</v>
      </c>
      <c r="F25" s="85" t="s">
        <v>206</v>
      </c>
      <c r="G25" s="51">
        <v>15.8</v>
      </c>
      <c r="H25" s="51"/>
      <c r="I25" s="51"/>
      <c r="J25" s="70" t="s">
        <v>208</v>
      </c>
      <c r="K25" s="70" t="s">
        <v>142</v>
      </c>
      <c r="L25" s="31">
        <f>VLOOKUP(K25,Reinigungstage!A10:H31,8,FALSE)</f>
        <v>1</v>
      </c>
      <c r="M25" s="31">
        <f t="shared" si="0"/>
        <v>15.8</v>
      </c>
      <c r="N25" s="87">
        <f t="shared" si="1"/>
        <v>0</v>
      </c>
      <c r="O25" s="31">
        <f ca="1">IF('SVS GrundRG'!H61="",0,'SVS GrundRG'!H61)</f>
        <v>0</v>
      </c>
      <c r="P25" s="31">
        <f t="shared" si="2"/>
        <v>0</v>
      </c>
      <c r="Q25" s="31">
        <f t="shared" si="3"/>
        <v>0</v>
      </c>
      <c r="R25" s="31">
        <f t="shared" si="4"/>
        <v>0</v>
      </c>
      <c r="S25" s="3" t="str">
        <f t="shared" si="5"/>
        <v>Leistungswert eintragen</v>
      </c>
      <c r="U25" s="3">
        <f t="shared" si="6"/>
        <v>11.875</v>
      </c>
      <c r="V25" s="3">
        <f t="shared" si="7"/>
        <v>3.5625</v>
      </c>
      <c r="W25" s="3">
        <f t="shared" si="8"/>
        <v>15.4375</v>
      </c>
      <c r="X25" s="3" t="str">
        <f t="shared" si="9"/>
        <v/>
      </c>
    </row>
    <row r="26" spans="1:24" ht="15" customHeight="1" x14ac:dyDescent="0.2">
      <c r="A26" s="70">
        <v>5</v>
      </c>
      <c r="B26" s="84" t="s">
        <v>307</v>
      </c>
      <c r="C26" s="85" t="s">
        <v>281</v>
      </c>
      <c r="D26" s="85"/>
      <c r="E26" s="85" t="s">
        <v>283</v>
      </c>
      <c r="F26" s="85" t="s">
        <v>206</v>
      </c>
      <c r="G26" s="51">
        <v>16.5</v>
      </c>
      <c r="H26" s="51"/>
      <c r="I26" s="51"/>
      <c r="J26" s="70" t="s">
        <v>275</v>
      </c>
      <c r="K26" s="70" t="s">
        <v>142</v>
      </c>
      <c r="L26" s="31">
        <f>VLOOKUP(K26,Reinigungstage!A10:H31,8,FALSE)</f>
        <v>1</v>
      </c>
      <c r="M26" s="31">
        <f t="shared" si="0"/>
        <v>16.5</v>
      </c>
      <c r="N26" s="87">
        <f t="shared" si="1"/>
        <v>0</v>
      </c>
      <c r="O26" s="31">
        <f ca="1">IF('SVS GrundRG'!H61="",0,'SVS GrundRG'!H61)</f>
        <v>0</v>
      </c>
      <c r="P26" s="31">
        <f t="shared" si="2"/>
        <v>0</v>
      </c>
      <c r="Q26" s="31">
        <f t="shared" si="3"/>
        <v>0</v>
      </c>
      <c r="R26" s="31">
        <f t="shared" si="4"/>
        <v>0</v>
      </c>
      <c r="S26" s="3" t="str">
        <f t="shared" si="5"/>
        <v>Leistungswert eintragen</v>
      </c>
      <c r="U26" s="3">
        <f t="shared" si="6"/>
        <v>12.75</v>
      </c>
      <c r="V26" s="3">
        <f t="shared" si="7"/>
        <v>3.8249999999999997</v>
      </c>
      <c r="W26" s="3">
        <f t="shared" si="8"/>
        <v>16.574999999999999</v>
      </c>
      <c r="X26" s="3" t="str">
        <f t="shared" si="9"/>
        <v/>
      </c>
    </row>
    <row r="27" spans="1:24" ht="15" customHeight="1" x14ac:dyDescent="0.2">
      <c r="A27" s="70">
        <v>6</v>
      </c>
      <c r="B27" s="84" t="s">
        <v>308</v>
      </c>
      <c r="C27" s="85" t="s">
        <v>281</v>
      </c>
      <c r="D27" s="85"/>
      <c r="E27" s="85" t="s">
        <v>303</v>
      </c>
      <c r="F27" s="85" t="s">
        <v>206</v>
      </c>
      <c r="G27" s="51">
        <v>20.2</v>
      </c>
      <c r="H27" s="51"/>
      <c r="I27" s="51"/>
      <c r="J27" s="70" t="s">
        <v>208</v>
      </c>
      <c r="K27" s="70" t="s">
        <v>142</v>
      </c>
      <c r="L27" s="31">
        <f>VLOOKUP(K27,Reinigungstage!A10:H31,8,FALSE)</f>
        <v>1</v>
      </c>
      <c r="M27" s="31">
        <f t="shared" si="0"/>
        <v>20.2</v>
      </c>
      <c r="N27" s="87">
        <f t="shared" si="1"/>
        <v>0</v>
      </c>
      <c r="O27" s="31">
        <f ca="1">IF('SVS GrundRG'!H61="",0,'SVS GrundRG'!H61)</f>
        <v>0</v>
      </c>
      <c r="P27" s="31">
        <f t="shared" si="2"/>
        <v>0</v>
      </c>
      <c r="Q27" s="31">
        <f t="shared" si="3"/>
        <v>0</v>
      </c>
      <c r="R27" s="31">
        <f t="shared" si="4"/>
        <v>0</v>
      </c>
      <c r="S27" s="3" t="str">
        <f t="shared" si="5"/>
        <v>Leistungswert eintragen</v>
      </c>
      <c r="U27" s="3">
        <f t="shared" si="6"/>
        <v>11.875</v>
      </c>
      <c r="V27" s="3">
        <f t="shared" si="7"/>
        <v>3.5625</v>
      </c>
      <c r="W27" s="3">
        <f t="shared" si="8"/>
        <v>15.4375</v>
      </c>
      <c r="X27" s="3" t="str">
        <f t="shared" si="9"/>
        <v/>
      </c>
    </row>
    <row r="28" spans="1:24" ht="15" customHeight="1" x14ac:dyDescent="0.2">
      <c r="A28" s="70">
        <v>7</v>
      </c>
      <c r="B28" s="84" t="s">
        <v>309</v>
      </c>
      <c r="C28" s="85" t="s">
        <v>281</v>
      </c>
      <c r="D28" s="85"/>
      <c r="E28" s="85" t="s">
        <v>282</v>
      </c>
      <c r="F28" s="85" t="s">
        <v>206</v>
      </c>
      <c r="G28" s="51">
        <v>13.7</v>
      </c>
      <c r="H28" s="51"/>
      <c r="I28" s="51"/>
      <c r="J28" s="70" t="s">
        <v>277</v>
      </c>
      <c r="K28" s="70" t="s">
        <v>142</v>
      </c>
      <c r="L28" s="31">
        <f>VLOOKUP(K28,Reinigungstage!A10:H31,8,FALSE)</f>
        <v>1</v>
      </c>
      <c r="M28" s="31">
        <f t="shared" si="0"/>
        <v>13.7</v>
      </c>
      <c r="N28" s="87">
        <f t="shared" si="1"/>
        <v>0</v>
      </c>
      <c r="O28" s="31">
        <f ca="1">IF('SVS GrundRG'!H61="",0,'SVS GrundRG'!H61)</f>
        <v>0</v>
      </c>
      <c r="P28" s="31">
        <f t="shared" si="2"/>
        <v>0</v>
      </c>
      <c r="Q28" s="31">
        <f t="shared" si="3"/>
        <v>0</v>
      </c>
      <c r="R28" s="31">
        <f t="shared" si="4"/>
        <v>0</v>
      </c>
      <c r="S28" s="3" t="str">
        <f t="shared" si="5"/>
        <v>Leistungswert eintragen</v>
      </c>
      <c r="U28" s="3">
        <f t="shared" si="6"/>
        <v>15.375</v>
      </c>
      <c r="V28" s="3">
        <f t="shared" si="7"/>
        <v>4.6124999999999998</v>
      </c>
      <c r="W28" s="3">
        <f t="shared" si="8"/>
        <v>19.987500000000001</v>
      </c>
      <c r="X28" s="3" t="str">
        <f t="shared" si="9"/>
        <v/>
      </c>
    </row>
    <row r="29" spans="1:24" ht="15" customHeight="1" x14ac:dyDescent="0.2">
      <c r="A29" s="70">
        <v>8</v>
      </c>
      <c r="B29" s="84" t="s">
        <v>310</v>
      </c>
      <c r="C29" s="85" t="s">
        <v>281</v>
      </c>
      <c r="D29" s="85"/>
      <c r="E29" s="85" t="s">
        <v>303</v>
      </c>
      <c r="F29" s="85" t="s">
        <v>206</v>
      </c>
      <c r="G29" s="51">
        <v>16.399999999999999</v>
      </c>
      <c r="H29" s="51"/>
      <c r="I29" s="51"/>
      <c r="J29" s="70" t="s">
        <v>208</v>
      </c>
      <c r="K29" s="70" t="s">
        <v>142</v>
      </c>
      <c r="L29" s="31">
        <f>VLOOKUP(K29,Reinigungstage!A10:H31,8,FALSE)</f>
        <v>1</v>
      </c>
      <c r="M29" s="31">
        <f t="shared" si="0"/>
        <v>16.399999999999999</v>
      </c>
      <c r="N29" s="87">
        <f t="shared" si="1"/>
        <v>0</v>
      </c>
      <c r="O29" s="31">
        <f ca="1">IF('SVS GrundRG'!H61="",0,'SVS GrundRG'!H61)</f>
        <v>0</v>
      </c>
      <c r="P29" s="31">
        <f t="shared" si="2"/>
        <v>0</v>
      </c>
      <c r="Q29" s="31">
        <f t="shared" si="3"/>
        <v>0</v>
      </c>
      <c r="R29" s="31">
        <f t="shared" si="4"/>
        <v>0</v>
      </c>
      <c r="S29" s="3" t="str">
        <f t="shared" si="5"/>
        <v>Leistungswert eintragen</v>
      </c>
      <c r="U29" s="3">
        <f t="shared" si="6"/>
        <v>11.875</v>
      </c>
      <c r="V29" s="3">
        <f t="shared" si="7"/>
        <v>3.5625</v>
      </c>
      <c r="W29" s="3">
        <f t="shared" si="8"/>
        <v>15.4375</v>
      </c>
      <c r="X29" s="3" t="str">
        <f t="shared" si="9"/>
        <v/>
      </c>
    </row>
    <row r="30" spans="1:24" ht="15" customHeight="1" x14ac:dyDescent="0.2">
      <c r="A30" s="70">
        <v>9</v>
      </c>
      <c r="B30" s="84" t="s">
        <v>311</v>
      </c>
      <c r="C30" s="85" t="s">
        <v>281</v>
      </c>
      <c r="D30" s="85"/>
      <c r="E30" s="85" t="s">
        <v>303</v>
      </c>
      <c r="F30" s="85" t="s">
        <v>206</v>
      </c>
      <c r="G30" s="51">
        <v>15.4</v>
      </c>
      <c r="H30" s="51"/>
      <c r="I30" s="51"/>
      <c r="J30" s="70" t="s">
        <v>208</v>
      </c>
      <c r="K30" s="70" t="s">
        <v>142</v>
      </c>
      <c r="L30" s="31">
        <f>VLOOKUP(K30,Reinigungstage!A10:H31,8,FALSE)</f>
        <v>1</v>
      </c>
      <c r="M30" s="31">
        <f t="shared" si="0"/>
        <v>15.4</v>
      </c>
      <c r="N30" s="87">
        <f t="shared" si="1"/>
        <v>0</v>
      </c>
      <c r="O30" s="31">
        <f ca="1">IF('SVS GrundRG'!H61="",0,'SVS GrundRG'!H61)</f>
        <v>0</v>
      </c>
      <c r="P30" s="31">
        <f t="shared" si="2"/>
        <v>0</v>
      </c>
      <c r="Q30" s="31">
        <f t="shared" si="3"/>
        <v>0</v>
      </c>
      <c r="R30" s="31">
        <f t="shared" si="4"/>
        <v>0</v>
      </c>
      <c r="S30" s="3" t="str">
        <f t="shared" si="5"/>
        <v>Leistungswert eintragen</v>
      </c>
      <c r="U30" s="3">
        <f t="shared" si="6"/>
        <v>11.875</v>
      </c>
      <c r="V30" s="3">
        <f t="shared" si="7"/>
        <v>3.5625</v>
      </c>
      <c r="W30" s="3">
        <f t="shared" si="8"/>
        <v>15.4375</v>
      </c>
      <c r="X30" s="3" t="str">
        <f t="shared" si="9"/>
        <v/>
      </c>
    </row>
    <row r="31" spans="1:24" ht="15" customHeight="1" x14ac:dyDescent="0.2">
      <c r="A31" s="70">
        <v>10</v>
      </c>
      <c r="B31" s="84" t="s">
        <v>312</v>
      </c>
      <c r="C31" s="85" t="s">
        <v>281</v>
      </c>
      <c r="D31" s="85"/>
      <c r="E31" s="85" t="s">
        <v>303</v>
      </c>
      <c r="F31" s="85" t="s">
        <v>206</v>
      </c>
      <c r="G31" s="51">
        <v>14</v>
      </c>
      <c r="H31" s="51"/>
      <c r="I31" s="51"/>
      <c r="J31" s="70" t="s">
        <v>208</v>
      </c>
      <c r="K31" s="70" t="s">
        <v>142</v>
      </c>
      <c r="L31" s="31">
        <f>VLOOKUP(K31,Reinigungstage!A10:H31,8,FALSE)</f>
        <v>1</v>
      </c>
      <c r="M31" s="31">
        <f t="shared" si="0"/>
        <v>14</v>
      </c>
      <c r="N31" s="87">
        <f t="shared" si="1"/>
        <v>0</v>
      </c>
      <c r="O31" s="31">
        <f ca="1">IF('SVS GrundRG'!H61="",0,'SVS GrundRG'!H61)</f>
        <v>0</v>
      </c>
      <c r="P31" s="31">
        <f t="shared" si="2"/>
        <v>0</v>
      </c>
      <c r="Q31" s="31">
        <f t="shared" si="3"/>
        <v>0</v>
      </c>
      <c r="R31" s="31">
        <f t="shared" si="4"/>
        <v>0</v>
      </c>
      <c r="S31" s="3" t="str">
        <f t="shared" si="5"/>
        <v>Leistungswert eintragen</v>
      </c>
      <c r="U31" s="3">
        <f t="shared" si="6"/>
        <v>11.875</v>
      </c>
      <c r="V31" s="3">
        <f t="shared" si="7"/>
        <v>3.5625</v>
      </c>
      <c r="W31" s="3">
        <f t="shared" si="8"/>
        <v>15.4375</v>
      </c>
      <c r="X31" s="3" t="str">
        <f t="shared" si="9"/>
        <v/>
      </c>
    </row>
    <row r="32" spans="1:24" ht="15" customHeight="1" x14ac:dyDescent="0.2">
      <c r="A32" s="70">
        <v>11</v>
      </c>
      <c r="B32" s="84" t="s">
        <v>313</v>
      </c>
      <c r="C32" s="85" t="s">
        <v>281</v>
      </c>
      <c r="D32" s="85"/>
      <c r="E32" s="85" t="s">
        <v>303</v>
      </c>
      <c r="F32" s="85" t="s">
        <v>206</v>
      </c>
      <c r="G32" s="51">
        <v>21.5</v>
      </c>
      <c r="H32" s="51"/>
      <c r="I32" s="51"/>
      <c r="J32" s="70" t="s">
        <v>208</v>
      </c>
      <c r="K32" s="70" t="s">
        <v>142</v>
      </c>
      <c r="L32" s="31">
        <f>VLOOKUP(K32,Reinigungstage!A10:H31,8,FALSE)</f>
        <v>1</v>
      </c>
      <c r="M32" s="31">
        <f t="shared" si="0"/>
        <v>21.5</v>
      </c>
      <c r="N32" s="87">
        <f t="shared" si="1"/>
        <v>0</v>
      </c>
      <c r="O32" s="31">
        <f ca="1">IF('SVS GrundRG'!H61="",0,'SVS GrundRG'!H61)</f>
        <v>0</v>
      </c>
      <c r="P32" s="31">
        <f t="shared" si="2"/>
        <v>0</v>
      </c>
      <c r="Q32" s="31">
        <f t="shared" si="3"/>
        <v>0</v>
      </c>
      <c r="R32" s="31">
        <f t="shared" si="4"/>
        <v>0</v>
      </c>
      <c r="S32" s="3" t="str">
        <f t="shared" si="5"/>
        <v>Leistungswert eintragen</v>
      </c>
      <c r="U32" s="3">
        <f t="shared" si="6"/>
        <v>11.875</v>
      </c>
      <c r="V32" s="3">
        <f t="shared" si="7"/>
        <v>3.5625</v>
      </c>
      <c r="W32" s="3">
        <f t="shared" si="8"/>
        <v>15.4375</v>
      </c>
      <c r="X32" s="3" t="str">
        <f t="shared" si="9"/>
        <v/>
      </c>
    </row>
    <row r="33" spans="1:24" ht="15" customHeight="1" x14ac:dyDescent="0.2">
      <c r="A33" s="70">
        <v>12</v>
      </c>
      <c r="B33" s="84" t="s">
        <v>314</v>
      </c>
      <c r="C33" s="85" t="s">
        <v>281</v>
      </c>
      <c r="D33" s="85"/>
      <c r="E33" s="85" t="s">
        <v>303</v>
      </c>
      <c r="F33" s="85" t="s">
        <v>206</v>
      </c>
      <c r="G33" s="51">
        <v>13</v>
      </c>
      <c r="H33" s="51"/>
      <c r="I33" s="51"/>
      <c r="J33" s="70" t="s">
        <v>208</v>
      </c>
      <c r="K33" s="70" t="s">
        <v>142</v>
      </c>
      <c r="L33" s="31">
        <f>VLOOKUP(K33,Reinigungstage!A10:H31,8,FALSE)</f>
        <v>1</v>
      </c>
      <c r="M33" s="31">
        <f t="shared" si="0"/>
        <v>13</v>
      </c>
      <c r="N33" s="87">
        <f t="shared" si="1"/>
        <v>0</v>
      </c>
      <c r="O33" s="31">
        <f ca="1">IF('SVS GrundRG'!H61="",0,'SVS GrundRG'!H61)</f>
        <v>0</v>
      </c>
      <c r="P33" s="31">
        <f t="shared" si="2"/>
        <v>0</v>
      </c>
      <c r="Q33" s="31">
        <f t="shared" si="3"/>
        <v>0</v>
      </c>
      <c r="R33" s="31">
        <f t="shared" si="4"/>
        <v>0</v>
      </c>
      <c r="S33" s="3" t="str">
        <f t="shared" si="5"/>
        <v>Leistungswert eintragen</v>
      </c>
      <c r="U33" s="3">
        <f t="shared" si="6"/>
        <v>11.875</v>
      </c>
      <c r="V33" s="3">
        <f t="shared" si="7"/>
        <v>3.5625</v>
      </c>
      <c r="W33" s="3">
        <f t="shared" si="8"/>
        <v>15.4375</v>
      </c>
      <c r="X33" s="3" t="str">
        <f t="shared" si="9"/>
        <v/>
      </c>
    </row>
    <row r="34" spans="1:24" ht="15" customHeight="1" x14ac:dyDescent="0.2">
      <c r="A34" s="70">
        <v>13</v>
      </c>
      <c r="B34" s="84" t="s">
        <v>315</v>
      </c>
      <c r="C34" s="85" t="s">
        <v>281</v>
      </c>
      <c r="D34" s="85"/>
      <c r="E34" s="85" t="s">
        <v>303</v>
      </c>
      <c r="F34" s="85" t="s">
        <v>206</v>
      </c>
      <c r="G34" s="51">
        <v>20.7</v>
      </c>
      <c r="H34" s="51"/>
      <c r="I34" s="51"/>
      <c r="J34" s="70" t="s">
        <v>208</v>
      </c>
      <c r="K34" s="70" t="s">
        <v>142</v>
      </c>
      <c r="L34" s="31">
        <f>VLOOKUP(K34,Reinigungstage!A10:H31,8,FALSE)</f>
        <v>1</v>
      </c>
      <c r="M34" s="31">
        <f t="shared" si="0"/>
        <v>20.7</v>
      </c>
      <c r="N34" s="87">
        <f t="shared" si="1"/>
        <v>0</v>
      </c>
      <c r="O34" s="31">
        <f ca="1">IF('SVS GrundRG'!H61="",0,'SVS GrundRG'!H61)</f>
        <v>0</v>
      </c>
      <c r="P34" s="31">
        <f t="shared" si="2"/>
        <v>0</v>
      </c>
      <c r="Q34" s="31">
        <f t="shared" si="3"/>
        <v>0</v>
      </c>
      <c r="R34" s="31">
        <f t="shared" si="4"/>
        <v>0</v>
      </c>
      <c r="S34" s="3" t="str">
        <f t="shared" si="5"/>
        <v>Leistungswert eintragen</v>
      </c>
      <c r="U34" s="3">
        <f t="shared" si="6"/>
        <v>11.875</v>
      </c>
      <c r="V34" s="3">
        <f t="shared" si="7"/>
        <v>3.5625</v>
      </c>
      <c r="W34" s="3">
        <f t="shared" si="8"/>
        <v>15.4375</v>
      </c>
      <c r="X34" s="3" t="str">
        <f t="shared" si="9"/>
        <v/>
      </c>
    </row>
    <row r="35" spans="1:24" ht="15" customHeight="1" x14ac:dyDescent="0.2">
      <c r="A35" s="70">
        <v>14</v>
      </c>
      <c r="B35" s="84"/>
      <c r="C35" s="85" t="s">
        <v>281</v>
      </c>
      <c r="D35" s="85"/>
      <c r="E35" s="85" t="s">
        <v>224</v>
      </c>
      <c r="F35" s="85" t="s">
        <v>206</v>
      </c>
      <c r="G35" s="51">
        <v>48</v>
      </c>
      <c r="H35" s="51"/>
      <c r="I35" s="51"/>
      <c r="J35" s="70" t="s">
        <v>278</v>
      </c>
      <c r="K35" s="70" t="s">
        <v>142</v>
      </c>
      <c r="L35" s="31">
        <f>VLOOKUP(K35,Reinigungstage!A10:H31,8,FALSE)</f>
        <v>1</v>
      </c>
      <c r="M35" s="31">
        <f t="shared" si="0"/>
        <v>48</v>
      </c>
      <c r="N35" s="87">
        <f t="shared" si="1"/>
        <v>0</v>
      </c>
      <c r="O35" s="31">
        <f ca="1">IF('SVS GrundRG'!H61="",0,'SVS GrundRG'!H61)</f>
        <v>0</v>
      </c>
      <c r="P35" s="31">
        <f t="shared" si="2"/>
        <v>0</v>
      </c>
      <c r="Q35" s="31">
        <f t="shared" si="3"/>
        <v>0</v>
      </c>
      <c r="R35" s="31">
        <f t="shared" si="4"/>
        <v>0</v>
      </c>
      <c r="S35" s="3" t="str">
        <f t="shared" si="5"/>
        <v>Leistungswert eintragen</v>
      </c>
      <c r="U35" s="3">
        <f t="shared" si="6"/>
        <v>16.25</v>
      </c>
      <c r="V35" s="3">
        <f t="shared" si="7"/>
        <v>4.875</v>
      </c>
      <c r="W35" s="3">
        <f t="shared" si="8"/>
        <v>21.125</v>
      </c>
      <c r="X35" s="3" t="str">
        <f t="shared" si="9"/>
        <v/>
      </c>
    </row>
    <row r="36" spans="1:24" ht="15" customHeight="1" x14ac:dyDescent="0.2">
      <c r="A36" s="70">
        <v>15</v>
      </c>
      <c r="B36" s="84"/>
      <c r="C36" s="85" t="s">
        <v>281</v>
      </c>
      <c r="D36" s="85" t="s">
        <v>316</v>
      </c>
      <c r="E36" s="85" t="s">
        <v>279</v>
      </c>
      <c r="F36" s="85" t="s">
        <v>317</v>
      </c>
      <c r="G36" s="51">
        <v>10.9</v>
      </c>
      <c r="H36" s="51"/>
      <c r="I36" s="51"/>
      <c r="J36" s="70" t="s">
        <v>279</v>
      </c>
      <c r="K36" s="70" t="s">
        <v>142</v>
      </c>
      <c r="L36" s="31">
        <f>VLOOKUP(K36,Reinigungstage!A10:H31,8,FALSE)</f>
        <v>1</v>
      </c>
      <c r="M36" s="31">
        <f t="shared" si="0"/>
        <v>10.9</v>
      </c>
      <c r="N36" s="87">
        <f t="shared" si="1"/>
        <v>0</v>
      </c>
      <c r="O36" s="31">
        <f ca="1">IF('SVS GrundRG'!H61="",0,'SVS GrundRG'!H61)</f>
        <v>0</v>
      </c>
      <c r="P36" s="31">
        <f t="shared" si="2"/>
        <v>0</v>
      </c>
      <c r="Q36" s="31">
        <f t="shared" si="3"/>
        <v>0</v>
      </c>
      <c r="R36" s="31">
        <f t="shared" si="4"/>
        <v>0</v>
      </c>
      <c r="S36" s="3" t="str">
        <f t="shared" si="5"/>
        <v>Leistungswert eintragen</v>
      </c>
      <c r="U36" s="3">
        <f t="shared" si="6"/>
        <v>15.375</v>
      </c>
      <c r="V36" s="3">
        <f t="shared" si="7"/>
        <v>4.6124999999999998</v>
      </c>
      <c r="W36" s="3">
        <f t="shared" si="8"/>
        <v>19.987500000000001</v>
      </c>
      <c r="X36" s="3" t="str">
        <f t="shared" si="9"/>
        <v/>
      </c>
    </row>
    <row r="37" spans="1:24" ht="15" customHeight="1" x14ac:dyDescent="0.2">
      <c r="A37" s="70">
        <v>16</v>
      </c>
      <c r="B37" s="84">
        <v>101</v>
      </c>
      <c r="C37" s="85" t="s">
        <v>284</v>
      </c>
      <c r="D37" s="85"/>
      <c r="E37" s="85" t="s">
        <v>303</v>
      </c>
      <c r="F37" s="85" t="s">
        <v>206</v>
      </c>
      <c r="G37" s="51">
        <v>20.2</v>
      </c>
      <c r="H37" s="51"/>
      <c r="I37" s="51"/>
      <c r="J37" s="70" t="s">
        <v>208</v>
      </c>
      <c r="K37" s="70" t="s">
        <v>142</v>
      </c>
      <c r="L37" s="31">
        <f>VLOOKUP(K37,Reinigungstage!A10:H31,8,FALSE)</f>
        <v>1</v>
      </c>
      <c r="M37" s="31">
        <f t="shared" si="0"/>
        <v>20.2</v>
      </c>
      <c r="N37" s="87">
        <f t="shared" si="1"/>
        <v>0</v>
      </c>
      <c r="O37" s="31">
        <f ca="1">IF('SVS GrundRG'!H61="",0,'SVS GrundRG'!H61)</f>
        <v>0</v>
      </c>
      <c r="P37" s="31">
        <f t="shared" si="2"/>
        <v>0</v>
      </c>
      <c r="Q37" s="31">
        <f t="shared" si="3"/>
        <v>0</v>
      </c>
      <c r="R37" s="31">
        <f t="shared" si="4"/>
        <v>0</v>
      </c>
      <c r="S37" s="3" t="str">
        <f t="shared" si="5"/>
        <v>Leistungswert eintragen</v>
      </c>
      <c r="U37" s="3">
        <f t="shared" si="6"/>
        <v>11.875</v>
      </c>
      <c r="V37" s="3">
        <f t="shared" si="7"/>
        <v>3.5625</v>
      </c>
      <c r="W37" s="3">
        <f t="shared" si="8"/>
        <v>15.4375</v>
      </c>
      <c r="X37" s="3" t="str">
        <f t="shared" si="9"/>
        <v/>
      </c>
    </row>
    <row r="38" spans="1:24" ht="15" customHeight="1" x14ac:dyDescent="0.2">
      <c r="A38" s="70">
        <v>17</v>
      </c>
      <c r="B38" s="84">
        <v>102</v>
      </c>
      <c r="C38" s="85" t="s">
        <v>284</v>
      </c>
      <c r="D38" s="85"/>
      <c r="E38" s="85" t="s">
        <v>303</v>
      </c>
      <c r="F38" s="85" t="s">
        <v>206</v>
      </c>
      <c r="G38" s="51">
        <v>16.5</v>
      </c>
      <c r="H38" s="51"/>
      <c r="I38" s="51"/>
      <c r="J38" s="70" t="s">
        <v>208</v>
      </c>
      <c r="K38" s="70" t="s">
        <v>142</v>
      </c>
      <c r="L38" s="31">
        <f>VLOOKUP(K38,Reinigungstage!A10:H31,8,FALSE)</f>
        <v>1</v>
      </c>
      <c r="M38" s="31">
        <f t="shared" si="0"/>
        <v>16.5</v>
      </c>
      <c r="N38" s="87">
        <f t="shared" si="1"/>
        <v>0</v>
      </c>
      <c r="O38" s="31">
        <f ca="1">IF('SVS GrundRG'!H61="",0,'SVS GrundRG'!H61)</f>
        <v>0</v>
      </c>
      <c r="P38" s="31">
        <f t="shared" si="2"/>
        <v>0</v>
      </c>
      <c r="Q38" s="31">
        <f t="shared" si="3"/>
        <v>0</v>
      </c>
      <c r="R38" s="31">
        <f t="shared" si="4"/>
        <v>0</v>
      </c>
      <c r="S38" s="3" t="str">
        <f t="shared" si="5"/>
        <v>Leistungswert eintragen</v>
      </c>
      <c r="U38" s="3">
        <f t="shared" si="6"/>
        <v>11.875</v>
      </c>
      <c r="V38" s="3">
        <f t="shared" si="7"/>
        <v>3.5625</v>
      </c>
      <c r="W38" s="3">
        <f t="shared" si="8"/>
        <v>15.4375</v>
      </c>
      <c r="X38" s="3" t="str">
        <f t="shared" si="9"/>
        <v/>
      </c>
    </row>
    <row r="39" spans="1:24" ht="15" customHeight="1" x14ac:dyDescent="0.2">
      <c r="A39" s="70">
        <v>18</v>
      </c>
      <c r="B39" s="84">
        <v>103</v>
      </c>
      <c r="C39" s="85" t="s">
        <v>284</v>
      </c>
      <c r="D39" s="85"/>
      <c r="E39" s="85" t="s">
        <v>303</v>
      </c>
      <c r="F39" s="85" t="s">
        <v>206</v>
      </c>
      <c r="G39" s="51">
        <v>16.5</v>
      </c>
      <c r="H39" s="51"/>
      <c r="I39" s="51"/>
      <c r="J39" s="70" t="s">
        <v>208</v>
      </c>
      <c r="K39" s="70" t="s">
        <v>142</v>
      </c>
      <c r="L39" s="31">
        <f>VLOOKUP(K39,Reinigungstage!A10:H31,8,FALSE)</f>
        <v>1</v>
      </c>
      <c r="M39" s="31">
        <f t="shared" si="0"/>
        <v>16.5</v>
      </c>
      <c r="N39" s="87">
        <f t="shared" si="1"/>
        <v>0</v>
      </c>
      <c r="O39" s="31">
        <f ca="1">IF('SVS GrundRG'!H61="",0,'SVS GrundRG'!H61)</f>
        <v>0</v>
      </c>
      <c r="P39" s="31">
        <f t="shared" si="2"/>
        <v>0</v>
      </c>
      <c r="Q39" s="31">
        <f t="shared" si="3"/>
        <v>0</v>
      </c>
      <c r="R39" s="31">
        <f t="shared" si="4"/>
        <v>0</v>
      </c>
      <c r="S39" s="3" t="str">
        <f t="shared" si="5"/>
        <v>Leistungswert eintragen</v>
      </c>
      <c r="U39" s="3">
        <f t="shared" si="6"/>
        <v>11.875</v>
      </c>
      <c r="V39" s="3">
        <f t="shared" si="7"/>
        <v>3.5625</v>
      </c>
      <c r="W39" s="3">
        <f t="shared" si="8"/>
        <v>15.4375</v>
      </c>
      <c r="X39" s="3" t="str">
        <f t="shared" si="9"/>
        <v/>
      </c>
    </row>
    <row r="40" spans="1:24" ht="15" customHeight="1" x14ac:dyDescent="0.2">
      <c r="A40" s="70">
        <v>19</v>
      </c>
      <c r="B40" s="84">
        <v>104</v>
      </c>
      <c r="C40" s="85" t="s">
        <v>284</v>
      </c>
      <c r="D40" s="85"/>
      <c r="E40" s="85" t="s">
        <v>303</v>
      </c>
      <c r="F40" s="85" t="s">
        <v>206</v>
      </c>
      <c r="G40" s="51">
        <v>20.100000000000001</v>
      </c>
      <c r="H40" s="51"/>
      <c r="I40" s="51"/>
      <c r="J40" s="70" t="s">
        <v>208</v>
      </c>
      <c r="K40" s="70" t="s">
        <v>142</v>
      </c>
      <c r="L40" s="31">
        <f>VLOOKUP(K40,Reinigungstage!A10:H31,8,FALSE)</f>
        <v>1</v>
      </c>
      <c r="M40" s="31">
        <f t="shared" si="0"/>
        <v>20.100000000000001</v>
      </c>
      <c r="N40" s="87">
        <f t="shared" si="1"/>
        <v>0</v>
      </c>
      <c r="O40" s="31">
        <f ca="1">IF('SVS GrundRG'!H61="",0,'SVS GrundRG'!H61)</f>
        <v>0</v>
      </c>
      <c r="P40" s="31">
        <f t="shared" si="2"/>
        <v>0</v>
      </c>
      <c r="Q40" s="31">
        <f t="shared" si="3"/>
        <v>0</v>
      </c>
      <c r="R40" s="31">
        <f t="shared" si="4"/>
        <v>0</v>
      </c>
      <c r="S40" s="3" t="str">
        <f t="shared" si="5"/>
        <v>Leistungswert eintragen</v>
      </c>
      <c r="U40" s="3">
        <f t="shared" si="6"/>
        <v>11.875</v>
      </c>
      <c r="V40" s="3">
        <f t="shared" si="7"/>
        <v>3.5625</v>
      </c>
      <c r="W40" s="3">
        <f t="shared" si="8"/>
        <v>15.4375</v>
      </c>
      <c r="X40" s="3" t="str">
        <f t="shared" si="9"/>
        <v/>
      </c>
    </row>
    <row r="41" spans="1:24" ht="15" customHeight="1" x14ac:dyDescent="0.2">
      <c r="A41" s="70">
        <v>20</v>
      </c>
      <c r="B41" s="84" t="s">
        <v>318</v>
      </c>
      <c r="C41" s="85" t="s">
        <v>284</v>
      </c>
      <c r="D41" s="85"/>
      <c r="E41" s="85" t="s">
        <v>303</v>
      </c>
      <c r="F41" s="85" t="s">
        <v>206</v>
      </c>
      <c r="G41" s="51">
        <v>13.1</v>
      </c>
      <c r="H41" s="51"/>
      <c r="I41" s="51"/>
      <c r="J41" s="70" t="s">
        <v>208</v>
      </c>
      <c r="K41" s="70" t="s">
        <v>142</v>
      </c>
      <c r="L41" s="31">
        <f>VLOOKUP(K41,Reinigungstage!A10:H31,8,FALSE)</f>
        <v>1</v>
      </c>
      <c r="M41" s="31">
        <f t="shared" si="0"/>
        <v>13.1</v>
      </c>
      <c r="N41" s="87">
        <f t="shared" si="1"/>
        <v>0</v>
      </c>
      <c r="O41" s="31">
        <f ca="1">IF('SVS GrundRG'!H61="",0,'SVS GrundRG'!H61)</f>
        <v>0</v>
      </c>
      <c r="P41" s="31">
        <f t="shared" si="2"/>
        <v>0</v>
      </c>
      <c r="Q41" s="31">
        <f t="shared" si="3"/>
        <v>0</v>
      </c>
      <c r="R41" s="31">
        <f t="shared" si="4"/>
        <v>0</v>
      </c>
      <c r="S41" s="3" t="str">
        <f t="shared" si="5"/>
        <v>Leistungswert eintragen</v>
      </c>
      <c r="U41" s="3">
        <f t="shared" si="6"/>
        <v>11.875</v>
      </c>
      <c r="V41" s="3">
        <f t="shared" si="7"/>
        <v>3.5625</v>
      </c>
      <c r="W41" s="3">
        <f t="shared" si="8"/>
        <v>15.4375</v>
      </c>
      <c r="X41" s="3" t="str">
        <f t="shared" si="9"/>
        <v/>
      </c>
    </row>
    <row r="42" spans="1:24" ht="15" customHeight="1" x14ac:dyDescent="0.2">
      <c r="A42" s="70">
        <v>21</v>
      </c>
      <c r="B42" s="84">
        <v>105</v>
      </c>
      <c r="C42" s="85" t="s">
        <v>284</v>
      </c>
      <c r="D42" s="85"/>
      <c r="E42" s="85" t="s">
        <v>303</v>
      </c>
      <c r="F42" s="85" t="s">
        <v>206</v>
      </c>
      <c r="G42" s="51">
        <v>16.3</v>
      </c>
      <c r="H42" s="51"/>
      <c r="I42" s="51"/>
      <c r="J42" s="70" t="s">
        <v>208</v>
      </c>
      <c r="K42" s="70" t="s">
        <v>142</v>
      </c>
      <c r="L42" s="31">
        <f>VLOOKUP(K42,Reinigungstage!A10:H31,8,FALSE)</f>
        <v>1</v>
      </c>
      <c r="M42" s="31">
        <f t="shared" si="0"/>
        <v>16.3</v>
      </c>
      <c r="N42" s="87">
        <f t="shared" si="1"/>
        <v>0</v>
      </c>
      <c r="O42" s="31">
        <f ca="1">IF('SVS GrundRG'!H61="",0,'SVS GrundRG'!H61)</f>
        <v>0</v>
      </c>
      <c r="P42" s="31">
        <f t="shared" si="2"/>
        <v>0</v>
      </c>
      <c r="Q42" s="31">
        <f t="shared" si="3"/>
        <v>0</v>
      </c>
      <c r="R42" s="31">
        <f t="shared" si="4"/>
        <v>0</v>
      </c>
      <c r="S42" s="3" t="str">
        <f t="shared" si="5"/>
        <v>Leistungswert eintragen</v>
      </c>
      <c r="U42" s="3">
        <f t="shared" si="6"/>
        <v>11.875</v>
      </c>
      <c r="V42" s="3">
        <f t="shared" si="7"/>
        <v>3.5625</v>
      </c>
      <c r="W42" s="3">
        <f t="shared" si="8"/>
        <v>15.4375</v>
      </c>
      <c r="X42" s="3" t="str">
        <f t="shared" si="9"/>
        <v/>
      </c>
    </row>
    <row r="43" spans="1:24" ht="15" customHeight="1" x14ac:dyDescent="0.2">
      <c r="A43" s="70">
        <v>22</v>
      </c>
      <c r="B43" s="84">
        <v>106</v>
      </c>
      <c r="C43" s="85" t="s">
        <v>284</v>
      </c>
      <c r="D43" s="85"/>
      <c r="E43" s="85" t="s">
        <v>303</v>
      </c>
      <c r="F43" s="85" t="s">
        <v>206</v>
      </c>
      <c r="G43" s="51">
        <v>15.5</v>
      </c>
      <c r="H43" s="51"/>
      <c r="I43" s="51"/>
      <c r="J43" s="70" t="s">
        <v>208</v>
      </c>
      <c r="K43" s="70" t="s">
        <v>142</v>
      </c>
      <c r="L43" s="31">
        <f>VLOOKUP(K43,Reinigungstage!A10:H31,8,FALSE)</f>
        <v>1</v>
      </c>
      <c r="M43" s="31">
        <f t="shared" si="0"/>
        <v>15.5</v>
      </c>
      <c r="N43" s="87">
        <f t="shared" si="1"/>
        <v>0</v>
      </c>
      <c r="O43" s="31">
        <f ca="1">IF('SVS GrundRG'!H61="",0,'SVS GrundRG'!H61)</f>
        <v>0</v>
      </c>
      <c r="P43" s="31">
        <f t="shared" si="2"/>
        <v>0</v>
      </c>
      <c r="Q43" s="31">
        <f t="shared" si="3"/>
        <v>0</v>
      </c>
      <c r="R43" s="31">
        <f t="shared" si="4"/>
        <v>0</v>
      </c>
      <c r="S43" s="3" t="str">
        <f t="shared" si="5"/>
        <v>Leistungswert eintragen</v>
      </c>
      <c r="U43" s="3">
        <f t="shared" si="6"/>
        <v>11.875</v>
      </c>
      <c r="V43" s="3">
        <f t="shared" si="7"/>
        <v>3.5625</v>
      </c>
      <c r="W43" s="3">
        <f t="shared" si="8"/>
        <v>15.4375</v>
      </c>
      <c r="X43" s="3" t="str">
        <f t="shared" si="9"/>
        <v/>
      </c>
    </row>
    <row r="44" spans="1:24" ht="15" customHeight="1" x14ac:dyDescent="0.2">
      <c r="A44" s="70">
        <v>23</v>
      </c>
      <c r="B44" s="84">
        <v>107</v>
      </c>
      <c r="C44" s="85" t="s">
        <v>284</v>
      </c>
      <c r="D44" s="85"/>
      <c r="E44" s="85" t="s">
        <v>303</v>
      </c>
      <c r="F44" s="85" t="s">
        <v>206</v>
      </c>
      <c r="G44" s="51">
        <v>13.3</v>
      </c>
      <c r="H44" s="51"/>
      <c r="I44" s="51"/>
      <c r="J44" s="70" t="s">
        <v>208</v>
      </c>
      <c r="K44" s="70" t="s">
        <v>142</v>
      </c>
      <c r="L44" s="31">
        <f>VLOOKUP(K44,Reinigungstage!A10:H31,8,FALSE)</f>
        <v>1</v>
      </c>
      <c r="M44" s="31">
        <f t="shared" si="0"/>
        <v>13.3</v>
      </c>
      <c r="N44" s="87">
        <f t="shared" si="1"/>
        <v>0</v>
      </c>
      <c r="O44" s="31">
        <f ca="1">IF('SVS GrundRG'!H61="",0,'SVS GrundRG'!H61)</f>
        <v>0</v>
      </c>
      <c r="P44" s="31">
        <f t="shared" si="2"/>
        <v>0</v>
      </c>
      <c r="Q44" s="31">
        <f t="shared" si="3"/>
        <v>0</v>
      </c>
      <c r="R44" s="31">
        <f t="shared" si="4"/>
        <v>0</v>
      </c>
      <c r="S44" s="3" t="str">
        <f t="shared" si="5"/>
        <v>Leistungswert eintragen</v>
      </c>
      <c r="U44" s="3">
        <f t="shared" si="6"/>
        <v>11.875</v>
      </c>
      <c r="V44" s="3">
        <f t="shared" si="7"/>
        <v>3.5625</v>
      </c>
      <c r="W44" s="3">
        <f t="shared" si="8"/>
        <v>15.4375</v>
      </c>
      <c r="X44" s="3" t="str">
        <f t="shared" si="9"/>
        <v/>
      </c>
    </row>
    <row r="45" spans="1:24" ht="15" customHeight="1" x14ac:dyDescent="0.2">
      <c r="A45" s="70">
        <v>24</v>
      </c>
      <c r="B45" s="84" t="s">
        <v>319</v>
      </c>
      <c r="C45" s="85" t="s">
        <v>284</v>
      </c>
      <c r="D45" s="85"/>
      <c r="E45" s="85" t="s">
        <v>320</v>
      </c>
      <c r="F45" s="85" t="s">
        <v>206</v>
      </c>
      <c r="G45" s="51">
        <v>23.7</v>
      </c>
      <c r="H45" s="51"/>
      <c r="I45" s="51"/>
      <c r="J45" s="70" t="s">
        <v>275</v>
      </c>
      <c r="K45" s="70" t="s">
        <v>142</v>
      </c>
      <c r="L45" s="31">
        <f>VLOOKUP(K45,Reinigungstage!A10:H31,8,FALSE)</f>
        <v>1</v>
      </c>
      <c r="M45" s="31">
        <f t="shared" si="0"/>
        <v>23.7</v>
      </c>
      <c r="N45" s="87">
        <f t="shared" si="1"/>
        <v>0</v>
      </c>
      <c r="O45" s="31">
        <f ca="1">IF('SVS GrundRG'!H61="",0,'SVS GrundRG'!H61)</f>
        <v>0</v>
      </c>
      <c r="P45" s="31">
        <f t="shared" si="2"/>
        <v>0</v>
      </c>
      <c r="Q45" s="31">
        <f t="shared" si="3"/>
        <v>0</v>
      </c>
      <c r="R45" s="31">
        <f t="shared" si="4"/>
        <v>0</v>
      </c>
      <c r="S45" s="3" t="str">
        <f t="shared" si="5"/>
        <v>Leistungswert eintragen</v>
      </c>
      <c r="U45" s="3">
        <f t="shared" si="6"/>
        <v>12.75</v>
      </c>
      <c r="V45" s="3">
        <f t="shared" si="7"/>
        <v>3.8249999999999997</v>
      </c>
      <c r="W45" s="3">
        <f t="shared" si="8"/>
        <v>16.574999999999999</v>
      </c>
      <c r="X45" s="3" t="str">
        <f t="shared" si="9"/>
        <v/>
      </c>
    </row>
    <row r="46" spans="1:24" ht="15" customHeight="1" x14ac:dyDescent="0.2">
      <c r="A46" s="70">
        <v>25</v>
      </c>
      <c r="B46" s="84">
        <v>108</v>
      </c>
      <c r="C46" s="85" t="s">
        <v>284</v>
      </c>
      <c r="D46" s="85"/>
      <c r="E46" s="85" t="s">
        <v>303</v>
      </c>
      <c r="F46" s="85" t="s">
        <v>206</v>
      </c>
      <c r="G46" s="51">
        <v>15.6</v>
      </c>
      <c r="H46" s="51"/>
      <c r="I46" s="51"/>
      <c r="J46" s="70" t="s">
        <v>208</v>
      </c>
      <c r="K46" s="70" t="s">
        <v>142</v>
      </c>
      <c r="L46" s="31">
        <f>VLOOKUP(K46,Reinigungstage!A10:H31,8,FALSE)</f>
        <v>1</v>
      </c>
      <c r="M46" s="31">
        <f t="shared" si="0"/>
        <v>15.6</v>
      </c>
      <c r="N46" s="87">
        <f t="shared" si="1"/>
        <v>0</v>
      </c>
      <c r="O46" s="31">
        <f ca="1">IF('SVS GrundRG'!H61="",0,'SVS GrundRG'!H61)</f>
        <v>0</v>
      </c>
      <c r="P46" s="31">
        <f t="shared" si="2"/>
        <v>0</v>
      </c>
      <c r="Q46" s="31">
        <f t="shared" si="3"/>
        <v>0</v>
      </c>
      <c r="R46" s="31">
        <f t="shared" si="4"/>
        <v>0</v>
      </c>
      <c r="S46" s="3" t="str">
        <f t="shared" si="5"/>
        <v>Leistungswert eintragen</v>
      </c>
      <c r="U46" s="3">
        <f t="shared" si="6"/>
        <v>11.875</v>
      </c>
      <c r="V46" s="3">
        <f t="shared" si="7"/>
        <v>3.5625</v>
      </c>
      <c r="W46" s="3">
        <f t="shared" si="8"/>
        <v>15.4375</v>
      </c>
      <c r="X46" s="3" t="str">
        <f t="shared" si="9"/>
        <v/>
      </c>
    </row>
    <row r="47" spans="1:24" ht="15" customHeight="1" x14ac:dyDescent="0.2">
      <c r="A47" s="70">
        <v>26</v>
      </c>
      <c r="B47" s="84">
        <v>109</v>
      </c>
      <c r="C47" s="85" t="s">
        <v>284</v>
      </c>
      <c r="D47" s="85"/>
      <c r="E47" s="85" t="s">
        <v>303</v>
      </c>
      <c r="F47" s="85" t="s">
        <v>206</v>
      </c>
      <c r="G47" s="51">
        <v>20.7</v>
      </c>
      <c r="H47" s="51"/>
      <c r="I47" s="51"/>
      <c r="J47" s="70" t="s">
        <v>208</v>
      </c>
      <c r="K47" s="70" t="s">
        <v>142</v>
      </c>
      <c r="L47" s="31">
        <f>VLOOKUP(K47,Reinigungstage!A10:H31,8,FALSE)</f>
        <v>1</v>
      </c>
      <c r="M47" s="31">
        <f t="shared" si="0"/>
        <v>20.7</v>
      </c>
      <c r="N47" s="87">
        <f t="shared" si="1"/>
        <v>0</v>
      </c>
      <c r="O47" s="31">
        <f ca="1">IF('SVS GrundRG'!H61="",0,'SVS GrundRG'!H61)</f>
        <v>0</v>
      </c>
      <c r="P47" s="31">
        <f t="shared" si="2"/>
        <v>0</v>
      </c>
      <c r="Q47" s="31">
        <f t="shared" si="3"/>
        <v>0</v>
      </c>
      <c r="R47" s="31">
        <f t="shared" si="4"/>
        <v>0</v>
      </c>
      <c r="S47" s="3" t="str">
        <f t="shared" si="5"/>
        <v>Leistungswert eintragen</v>
      </c>
      <c r="U47" s="3">
        <f t="shared" si="6"/>
        <v>11.875</v>
      </c>
      <c r="V47" s="3">
        <f t="shared" si="7"/>
        <v>3.5625</v>
      </c>
      <c r="W47" s="3">
        <f t="shared" si="8"/>
        <v>15.4375</v>
      </c>
      <c r="X47" s="3" t="str">
        <f t="shared" si="9"/>
        <v/>
      </c>
    </row>
    <row r="48" spans="1:24" ht="15" customHeight="1" x14ac:dyDescent="0.2">
      <c r="A48" s="70">
        <v>27</v>
      </c>
      <c r="B48" s="84" t="s">
        <v>321</v>
      </c>
      <c r="C48" s="85" t="s">
        <v>284</v>
      </c>
      <c r="D48" s="85"/>
      <c r="E48" s="85" t="s">
        <v>303</v>
      </c>
      <c r="F48" s="85" t="s">
        <v>206</v>
      </c>
      <c r="G48" s="51">
        <v>23.4</v>
      </c>
      <c r="H48" s="51"/>
      <c r="I48" s="51"/>
      <c r="J48" s="70" t="s">
        <v>208</v>
      </c>
      <c r="K48" s="70" t="s">
        <v>142</v>
      </c>
      <c r="L48" s="31">
        <f>VLOOKUP(K48,Reinigungstage!A10:H31,8,FALSE)</f>
        <v>1</v>
      </c>
      <c r="M48" s="31">
        <f t="shared" si="0"/>
        <v>23.4</v>
      </c>
      <c r="N48" s="87">
        <f t="shared" si="1"/>
        <v>0</v>
      </c>
      <c r="O48" s="31">
        <f ca="1">IF('SVS GrundRG'!H61="",0,'SVS GrundRG'!H61)</f>
        <v>0</v>
      </c>
      <c r="P48" s="31">
        <f t="shared" si="2"/>
        <v>0</v>
      </c>
      <c r="Q48" s="31">
        <f t="shared" si="3"/>
        <v>0</v>
      </c>
      <c r="R48" s="31">
        <f t="shared" si="4"/>
        <v>0</v>
      </c>
      <c r="S48" s="3" t="str">
        <f t="shared" si="5"/>
        <v>Leistungswert eintragen</v>
      </c>
      <c r="U48" s="3">
        <f t="shared" si="6"/>
        <v>11.875</v>
      </c>
      <c r="V48" s="3">
        <f t="shared" si="7"/>
        <v>3.5625</v>
      </c>
      <c r="W48" s="3">
        <f t="shared" si="8"/>
        <v>15.4375</v>
      </c>
      <c r="X48" s="3" t="str">
        <f t="shared" si="9"/>
        <v/>
      </c>
    </row>
    <row r="49" spans="1:24" ht="15" customHeight="1" x14ac:dyDescent="0.2">
      <c r="A49" s="70">
        <v>28</v>
      </c>
      <c r="B49" s="84" t="s">
        <v>322</v>
      </c>
      <c r="C49" s="85" t="s">
        <v>284</v>
      </c>
      <c r="D49" s="85"/>
      <c r="E49" s="85" t="s">
        <v>303</v>
      </c>
      <c r="F49" s="85" t="s">
        <v>206</v>
      </c>
      <c r="G49" s="51">
        <v>25.6</v>
      </c>
      <c r="H49" s="51"/>
      <c r="I49" s="51"/>
      <c r="J49" s="70" t="s">
        <v>208</v>
      </c>
      <c r="K49" s="70" t="s">
        <v>142</v>
      </c>
      <c r="L49" s="31">
        <f>VLOOKUP(K49,Reinigungstage!A10:H31,8,FALSE)</f>
        <v>1</v>
      </c>
      <c r="M49" s="31">
        <f t="shared" si="0"/>
        <v>25.6</v>
      </c>
      <c r="N49" s="87">
        <f t="shared" si="1"/>
        <v>0</v>
      </c>
      <c r="O49" s="31">
        <f ca="1">IF('SVS GrundRG'!H61="",0,'SVS GrundRG'!H61)</f>
        <v>0</v>
      </c>
      <c r="P49" s="31">
        <f t="shared" si="2"/>
        <v>0</v>
      </c>
      <c r="Q49" s="31">
        <f t="shared" si="3"/>
        <v>0</v>
      </c>
      <c r="R49" s="31">
        <f t="shared" si="4"/>
        <v>0</v>
      </c>
      <c r="S49" s="3" t="str">
        <f t="shared" si="5"/>
        <v>Leistungswert eintragen</v>
      </c>
      <c r="U49" s="3">
        <f t="shared" si="6"/>
        <v>11.875</v>
      </c>
      <c r="V49" s="3">
        <f t="shared" si="7"/>
        <v>3.5625</v>
      </c>
      <c r="W49" s="3">
        <f t="shared" si="8"/>
        <v>15.4375</v>
      </c>
      <c r="X49" s="3" t="str">
        <f t="shared" si="9"/>
        <v/>
      </c>
    </row>
    <row r="50" spans="1:24" ht="15" customHeight="1" x14ac:dyDescent="0.2">
      <c r="A50" s="70">
        <v>29</v>
      </c>
      <c r="B50" s="84" t="s">
        <v>323</v>
      </c>
      <c r="C50" s="85" t="s">
        <v>284</v>
      </c>
      <c r="D50" s="85"/>
      <c r="E50" s="85" t="s">
        <v>303</v>
      </c>
      <c r="F50" s="85" t="s">
        <v>206</v>
      </c>
      <c r="G50" s="51">
        <v>27.4</v>
      </c>
      <c r="H50" s="51"/>
      <c r="I50" s="51"/>
      <c r="J50" s="70" t="s">
        <v>208</v>
      </c>
      <c r="K50" s="70" t="s">
        <v>142</v>
      </c>
      <c r="L50" s="31">
        <f>VLOOKUP(K50,Reinigungstage!A10:H31,8,FALSE)</f>
        <v>1</v>
      </c>
      <c r="M50" s="31">
        <f t="shared" si="0"/>
        <v>27.4</v>
      </c>
      <c r="N50" s="87">
        <f t="shared" si="1"/>
        <v>0</v>
      </c>
      <c r="O50" s="31">
        <f ca="1">IF('SVS GrundRG'!H61="",0,'SVS GrundRG'!H61)</f>
        <v>0</v>
      </c>
      <c r="P50" s="31">
        <f t="shared" si="2"/>
        <v>0</v>
      </c>
      <c r="Q50" s="31">
        <f t="shared" si="3"/>
        <v>0</v>
      </c>
      <c r="R50" s="31">
        <f t="shared" si="4"/>
        <v>0</v>
      </c>
      <c r="S50" s="3" t="str">
        <f t="shared" si="5"/>
        <v>Leistungswert eintragen</v>
      </c>
      <c r="U50" s="3">
        <f t="shared" si="6"/>
        <v>11.875</v>
      </c>
      <c r="V50" s="3">
        <f t="shared" si="7"/>
        <v>3.5625</v>
      </c>
      <c r="W50" s="3">
        <f t="shared" si="8"/>
        <v>15.4375</v>
      </c>
      <c r="X50" s="3" t="str">
        <f t="shared" si="9"/>
        <v/>
      </c>
    </row>
    <row r="51" spans="1:24" ht="15" customHeight="1" x14ac:dyDescent="0.2">
      <c r="A51" s="70">
        <v>30</v>
      </c>
      <c r="B51" s="84" t="s">
        <v>324</v>
      </c>
      <c r="C51" s="85" t="s">
        <v>284</v>
      </c>
      <c r="D51" s="85"/>
      <c r="E51" s="85" t="s">
        <v>303</v>
      </c>
      <c r="F51" s="85" t="s">
        <v>206</v>
      </c>
      <c r="G51" s="51">
        <v>14.1</v>
      </c>
      <c r="H51" s="51"/>
      <c r="I51" s="51"/>
      <c r="J51" s="70" t="s">
        <v>208</v>
      </c>
      <c r="K51" s="70" t="s">
        <v>142</v>
      </c>
      <c r="L51" s="31">
        <f>VLOOKUP(K51,Reinigungstage!A10:H31,8,FALSE)</f>
        <v>1</v>
      </c>
      <c r="M51" s="31">
        <f t="shared" si="0"/>
        <v>14.1</v>
      </c>
      <c r="N51" s="87">
        <f t="shared" si="1"/>
        <v>0</v>
      </c>
      <c r="O51" s="31">
        <f ca="1">IF('SVS GrundRG'!H61="",0,'SVS GrundRG'!H61)</f>
        <v>0</v>
      </c>
      <c r="P51" s="31">
        <f t="shared" si="2"/>
        <v>0</v>
      </c>
      <c r="Q51" s="31">
        <f t="shared" si="3"/>
        <v>0</v>
      </c>
      <c r="R51" s="31">
        <f t="shared" si="4"/>
        <v>0</v>
      </c>
      <c r="S51" s="3" t="str">
        <f t="shared" si="5"/>
        <v>Leistungswert eintragen</v>
      </c>
      <c r="U51" s="3">
        <f t="shared" si="6"/>
        <v>11.875</v>
      </c>
      <c r="V51" s="3">
        <f t="shared" si="7"/>
        <v>3.5625</v>
      </c>
      <c r="W51" s="3">
        <f t="shared" si="8"/>
        <v>15.4375</v>
      </c>
      <c r="X51" s="3" t="str">
        <f t="shared" si="9"/>
        <v/>
      </c>
    </row>
    <row r="52" spans="1:24" ht="15" customHeight="1" x14ac:dyDescent="0.2">
      <c r="A52" s="70">
        <v>31</v>
      </c>
      <c r="B52" s="84" t="s">
        <v>326</v>
      </c>
      <c r="C52" s="85" t="s">
        <v>284</v>
      </c>
      <c r="D52" s="85"/>
      <c r="E52" s="85" t="s">
        <v>327</v>
      </c>
      <c r="F52" s="85" t="s">
        <v>206</v>
      </c>
      <c r="G52" s="51">
        <v>21</v>
      </c>
      <c r="H52" s="51"/>
      <c r="I52" s="51"/>
      <c r="J52" s="70" t="s">
        <v>277</v>
      </c>
      <c r="K52" s="70" t="s">
        <v>142</v>
      </c>
      <c r="L52" s="31">
        <f>VLOOKUP(K52,Reinigungstage!A10:H31,8,FALSE)</f>
        <v>1</v>
      </c>
      <c r="M52" s="31">
        <f t="shared" si="0"/>
        <v>21</v>
      </c>
      <c r="N52" s="87">
        <f t="shared" si="1"/>
        <v>0</v>
      </c>
      <c r="O52" s="31">
        <f ca="1">IF('SVS GrundRG'!H61="",0,'SVS GrundRG'!H61)</f>
        <v>0</v>
      </c>
      <c r="P52" s="31">
        <f t="shared" si="2"/>
        <v>0</v>
      </c>
      <c r="Q52" s="31">
        <f t="shared" si="3"/>
        <v>0</v>
      </c>
      <c r="R52" s="31">
        <f t="shared" si="4"/>
        <v>0</v>
      </c>
      <c r="S52" s="3" t="str">
        <f t="shared" si="5"/>
        <v>Leistungswert eintragen</v>
      </c>
      <c r="U52" s="3">
        <f t="shared" si="6"/>
        <v>15.375</v>
      </c>
      <c r="V52" s="3">
        <f t="shared" si="7"/>
        <v>4.6124999999999998</v>
      </c>
      <c r="W52" s="3">
        <f t="shared" si="8"/>
        <v>19.987500000000001</v>
      </c>
      <c r="X52" s="3" t="str">
        <f t="shared" si="9"/>
        <v/>
      </c>
    </row>
    <row r="53" spans="1:24" ht="15" customHeight="1" x14ac:dyDescent="0.2">
      <c r="A53" s="70">
        <v>32</v>
      </c>
      <c r="B53" s="84"/>
      <c r="C53" s="85" t="s">
        <v>284</v>
      </c>
      <c r="D53" s="85"/>
      <c r="E53" s="85" t="s">
        <v>328</v>
      </c>
      <c r="F53" s="85" t="s">
        <v>206</v>
      </c>
      <c r="G53" s="51">
        <v>128.80000000000001</v>
      </c>
      <c r="H53" s="51"/>
      <c r="I53" s="51"/>
      <c r="J53" s="70" t="s">
        <v>278</v>
      </c>
      <c r="K53" s="70" t="s">
        <v>142</v>
      </c>
      <c r="L53" s="31">
        <f>VLOOKUP(K53,Reinigungstage!A10:H31,8,FALSE)</f>
        <v>1</v>
      </c>
      <c r="M53" s="31">
        <f t="shared" si="0"/>
        <v>128.80000000000001</v>
      </c>
      <c r="N53" s="87">
        <f t="shared" si="1"/>
        <v>0</v>
      </c>
      <c r="O53" s="31">
        <f ca="1">IF('SVS GrundRG'!H61="",0,'SVS GrundRG'!H61)</f>
        <v>0</v>
      </c>
      <c r="P53" s="31">
        <f t="shared" si="2"/>
        <v>0</v>
      </c>
      <c r="Q53" s="31">
        <f t="shared" si="3"/>
        <v>0</v>
      </c>
      <c r="R53" s="31">
        <f t="shared" si="4"/>
        <v>0</v>
      </c>
      <c r="S53" s="3" t="str">
        <f t="shared" si="5"/>
        <v>Leistungswert eintragen</v>
      </c>
      <c r="U53" s="3">
        <f t="shared" si="6"/>
        <v>16.25</v>
      </c>
      <c r="V53" s="3">
        <f t="shared" si="7"/>
        <v>4.875</v>
      </c>
      <c r="W53" s="3">
        <f t="shared" si="8"/>
        <v>21.125</v>
      </c>
      <c r="X53" s="3" t="str">
        <f t="shared" si="9"/>
        <v/>
      </c>
    </row>
    <row r="54" spans="1:24" ht="15" customHeight="1" x14ac:dyDescent="0.2">
      <c r="A54" s="70">
        <v>33</v>
      </c>
      <c r="B54" s="84"/>
      <c r="C54" s="85" t="s">
        <v>284</v>
      </c>
      <c r="D54" s="85"/>
      <c r="E54" s="85" t="s">
        <v>289</v>
      </c>
      <c r="F54" s="85" t="s">
        <v>217</v>
      </c>
      <c r="G54" s="51">
        <v>7.3</v>
      </c>
      <c r="H54" s="51"/>
      <c r="I54" s="51"/>
      <c r="J54" s="70" t="s">
        <v>276</v>
      </c>
      <c r="K54" s="70" t="s">
        <v>142</v>
      </c>
      <c r="L54" s="31">
        <f>VLOOKUP(K54,Reinigungstage!A10:H31,8,FALSE)</f>
        <v>1</v>
      </c>
      <c r="M54" s="31">
        <f t="shared" si="0"/>
        <v>7.3</v>
      </c>
      <c r="N54" s="87">
        <f t="shared" si="1"/>
        <v>0</v>
      </c>
      <c r="O54" s="31">
        <f ca="1">IF('SVS GrundRG'!H61="",0,'SVS GrundRG'!H61)</f>
        <v>0</v>
      </c>
      <c r="P54" s="31">
        <f t="shared" si="2"/>
        <v>0</v>
      </c>
      <c r="Q54" s="31">
        <f t="shared" si="3"/>
        <v>0</v>
      </c>
      <c r="R54" s="31">
        <f t="shared" si="4"/>
        <v>0</v>
      </c>
      <c r="S54" s="3" t="str">
        <f t="shared" si="5"/>
        <v>Leistungswert eintragen</v>
      </c>
      <c r="U54" s="3">
        <f t="shared" si="6"/>
        <v>10.25</v>
      </c>
      <c r="V54" s="3">
        <f t="shared" si="7"/>
        <v>3.0749999999999997</v>
      </c>
      <c r="W54" s="3">
        <f t="shared" si="8"/>
        <v>13.324999999999999</v>
      </c>
      <c r="X54" s="3" t="str">
        <f t="shared" si="9"/>
        <v/>
      </c>
    </row>
    <row r="55" spans="1:24" ht="15" customHeight="1" x14ac:dyDescent="0.2">
      <c r="A55" s="70">
        <v>34</v>
      </c>
      <c r="B55" s="84"/>
      <c r="C55" s="85" t="s">
        <v>284</v>
      </c>
      <c r="D55" s="85"/>
      <c r="E55" s="85" t="s">
        <v>279</v>
      </c>
      <c r="F55" s="85" t="s">
        <v>206</v>
      </c>
      <c r="G55" s="51">
        <v>13.4</v>
      </c>
      <c r="H55" s="51"/>
      <c r="I55" s="51"/>
      <c r="J55" s="70" t="s">
        <v>279</v>
      </c>
      <c r="K55" s="70" t="s">
        <v>142</v>
      </c>
      <c r="L55" s="31">
        <f>VLOOKUP(K55,Reinigungstage!A10:H31,8,FALSE)</f>
        <v>1</v>
      </c>
      <c r="M55" s="31">
        <f t="shared" si="0"/>
        <v>13.4</v>
      </c>
      <c r="N55" s="87">
        <f t="shared" si="1"/>
        <v>0</v>
      </c>
      <c r="O55" s="31">
        <f ca="1">IF('SVS GrundRG'!H61="",0,'SVS GrundRG'!H61)</f>
        <v>0</v>
      </c>
      <c r="P55" s="31">
        <f t="shared" si="2"/>
        <v>0</v>
      </c>
      <c r="Q55" s="31">
        <f t="shared" si="3"/>
        <v>0</v>
      </c>
      <c r="R55" s="31">
        <f t="shared" si="4"/>
        <v>0</v>
      </c>
      <c r="S55" s="3" t="str">
        <f t="shared" si="5"/>
        <v>Leistungswert eintragen</v>
      </c>
      <c r="U55" s="3">
        <f t="shared" si="6"/>
        <v>15.375</v>
      </c>
      <c r="V55" s="3">
        <f t="shared" si="7"/>
        <v>4.6124999999999998</v>
      </c>
      <c r="W55" s="3">
        <f t="shared" si="8"/>
        <v>19.987500000000001</v>
      </c>
      <c r="X55" s="3" t="str">
        <f t="shared" si="9"/>
        <v/>
      </c>
    </row>
    <row r="56" spans="1:24" ht="15" customHeight="1" x14ac:dyDescent="0.2">
      <c r="A56" s="70">
        <v>35</v>
      </c>
      <c r="B56" s="84"/>
      <c r="C56" s="85" t="s">
        <v>252</v>
      </c>
      <c r="D56" s="85"/>
      <c r="E56" s="85" t="s">
        <v>303</v>
      </c>
      <c r="F56" s="85" t="s">
        <v>206</v>
      </c>
      <c r="G56" s="51">
        <v>78.3</v>
      </c>
      <c r="H56" s="51"/>
      <c r="I56" s="51"/>
      <c r="J56" s="70" t="s">
        <v>208</v>
      </c>
      <c r="K56" s="70" t="s">
        <v>142</v>
      </c>
      <c r="L56" s="31">
        <f>VLOOKUP(K56,Reinigungstage!A10:H31,8,FALSE)</f>
        <v>1</v>
      </c>
      <c r="M56" s="31">
        <f t="shared" si="0"/>
        <v>78.3</v>
      </c>
      <c r="N56" s="87">
        <f t="shared" si="1"/>
        <v>0</v>
      </c>
      <c r="O56" s="31">
        <f ca="1">IF('SVS GrundRG'!H61="",0,'SVS GrundRG'!H61)</f>
        <v>0</v>
      </c>
      <c r="P56" s="31">
        <f t="shared" si="2"/>
        <v>0</v>
      </c>
      <c r="Q56" s="31">
        <f t="shared" si="3"/>
        <v>0</v>
      </c>
      <c r="R56" s="31">
        <f t="shared" si="4"/>
        <v>0</v>
      </c>
      <c r="S56" s="3" t="str">
        <f t="shared" si="5"/>
        <v>Leistungswert eintragen</v>
      </c>
      <c r="U56" s="3">
        <f t="shared" si="6"/>
        <v>11.875</v>
      </c>
      <c r="V56" s="3">
        <f t="shared" si="7"/>
        <v>3.5625</v>
      </c>
      <c r="W56" s="3">
        <f t="shared" si="8"/>
        <v>15.4375</v>
      </c>
      <c r="X56" s="3" t="str">
        <f t="shared" si="9"/>
        <v/>
      </c>
    </row>
    <row r="57" spans="1:24" ht="15" customHeight="1" x14ac:dyDescent="0.2">
      <c r="A57" s="70">
        <v>36</v>
      </c>
      <c r="B57" s="84"/>
      <c r="C57" s="85" t="s">
        <v>252</v>
      </c>
      <c r="D57" s="85"/>
      <c r="E57" s="85" t="s">
        <v>329</v>
      </c>
      <c r="F57" s="85" t="s">
        <v>206</v>
      </c>
      <c r="G57" s="51">
        <v>162.35</v>
      </c>
      <c r="H57" s="51"/>
      <c r="I57" s="51"/>
      <c r="J57" s="70" t="s">
        <v>208</v>
      </c>
      <c r="K57" s="70" t="s">
        <v>142</v>
      </c>
      <c r="L57" s="31">
        <f>VLOOKUP(K57,Reinigungstage!A10:H31,8,FALSE)</f>
        <v>1</v>
      </c>
      <c r="M57" s="31">
        <f t="shared" si="0"/>
        <v>162.35</v>
      </c>
      <c r="N57" s="87">
        <f t="shared" si="1"/>
        <v>0</v>
      </c>
      <c r="O57" s="31">
        <f ca="1">IF('SVS GrundRG'!H61="",0,'SVS GrundRG'!H61)</f>
        <v>0</v>
      </c>
      <c r="P57" s="31">
        <f t="shared" si="2"/>
        <v>0</v>
      </c>
      <c r="Q57" s="31">
        <f t="shared" si="3"/>
        <v>0</v>
      </c>
      <c r="R57" s="31">
        <f t="shared" si="4"/>
        <v>0</v>
      </c>
      <c r="S57" s="3" t="str">
        <f t="shared" si="5"/>
        <v>Leistungswert eintragen</v>
      </c>
      <c r="U57" s="3">
        <f t="shared" si="6"/>
        <v>11.875</v>
      </c>
      <c r="V57" s="3">
        <f t="shared" si="7"/>
        <v>3.5625</v>
      </c>
      <c r="W57" s="3">
        <f t="shared" si="8"/>
        <v>15.4375</v>
      </c>
      <c r="X57" s="3" t="str">
        <f t="shared" si="9"/>
        <v/>
      </c>
    </row>
    <row r="58" spans="1:24" ht="15" customHeight="1" x14ac:dyDescent="0.2">
      <c r="A58" s="70">
        <v>37</v>
      </c>
      <c r="B58" s="84"/>
      <c r="C58" s="85" t="s">
        <v>252</v>
      </c>
      <c r="D58" s="85"/>
      <c r="E58" s="85" t="s">
        <v>330</v>
      </c>
      <c r="F58" s="85" t="s">
        <v>206</v>
      </c>
      <c r="G58" s="51">
        <v>9.6999999999999993</v>
      </c>
      <c r="H58" s="51"/>
      <c r="I58" s="51"/>
      <c r="J58" s="70" t="s">
        <v>277</v>
      </c>
      <c r="K58" s="70" t="s">
        <v>142</v>
      </c>
      <c r="L58" s="31">
        <f>VLOOKUP(K58,Reinigungstage!A10:H31,8,FALSE)</f>
        <v>1</v>
      </c>
      <c r="M58" s="31">
        <f t="shared" si="0"/>
        <v>9.6999999999999993</v>
      </c>
      <c r="N58" s="87">
        <f t="shared" si="1"/>
        <v>0</v>
      </c>
      <c r="O58" s="31">
        <f ca="1">IF('SVS GrundRG'!H61="",0,'SVS GrundRG'!H61)</f>
        <v>0</v>
      </c>
      <c r="P58" s="31">
        <f t="shared" si="2"/>
        <v>0</v>
      </c>
      <c r="Q58" s="31">
        <f t="shared" si="3"/>
        <v>0</v>
      </c>
      <c r="R58" s="31">
        <f t="shared" si="4"/>
        <v>0</v>
      </c>
      <c r="S58" s="3" t="str">
        <f t="shared" si="5"/>
        <v>Leistungswert eintragen</v>
      </c>
      <c r="U58" s="3">
        <f t="shared" si="6"/>
        <v>15.375</v>
      </c>
      <c r="V58" s="3">
        <f t="shared" si="7"/>
        <v>4.6124999999999998</v>
      </c>
      <c r="W58" s="3">
        <f t="shared" si="8"/>
        <v>19.987500000000001</v>
      </c>
      <c r="X58" s="3" t="str">
        <f t="shared" si="9"/>
        <v/>
      </c>
    </row>
    <row r="59" spans="1:24" ht="15" customHeight="1" x14ac:dyDescent="0.2">
      <c r="A59" s="70">
        <v>38</v>
      </c>
      <c r="B59" s="84"/>
      <c r="C59" s="85" t="s">
        <v>252</v>
      </c>
      <c r="D59" s="85"/>
      <c r="E59" s="85" t="s">
        <v>224</v>
      </c>
      <c r="F59" s="85" t="s">
        <v>206</v>
      </c>
      <c r="G59" s="51">
        <v>31.9</v>
      </c>
      <c r="H59" s="51"/>
      <c r="I59" s="51"/>
      <c r="J59" s="70" t="s">
        <v>278</v>
      </c>
      <c r="K59" s="70" t="s">
        <v>142</v>
      </c>
      <c r="L59" s="31">
        <f>VLOOKUP(K59,Reinigungstage!A10:H31,8,FALSE)</f>
        <v>1</v>
      </c>
      <c r="M59" s="31">
        <f t="shared" si="0"/>
        <v>31.9</v>
      </c>
      <c r="N59" s="87">
        <f t="shared" si="1"/>
        <v>0</v>
      </c>
      <c r="O59" s="31">
        <f ca="1">IF('SVS GrundRG'!H61="",0,'SVS GrundRG'!H61)</f>
        <v>0</v>
      </c>
      <c r="P59" s="31">
        <f t="shared" si="2"/>
        <v>0</v>
      </c>
      <c r="Q59" s="31">
        <f t="shared" si="3"/>
        <v>0</v>
      </c>
      <c r="R59" s="31">
        <f t="shared" si="4"/>
        <v>0</v>
      </c>
      <c r="S59" s="3" t="str">
        <f t="shared" si="5"/>
        <v>Leistungswert eintragen</v>
      </c>
      <c r="U59" s="3">
        <f t="shared" si="6"/>
        <v>16.25</v>
      </c>
      <c r="V59" s="3">
        <f t="shared" si="7"/>
        <v>4.875</v>
      </c>
      <c r="W59" s="3">
        <f t="shared" si="8"/>
        <v>21.125</v>
      </c>
      <c r="X59" s="3" t="str">
        <f t="shared" si="9"/>
        <v/>
      </c>
    </row>
    <row r="60" spans="1:24" ht="15" customHeight="1" x14ac:dyDescent="0.2">
      <c r="A60" s="70">
        <v>39</v>
      </c>
      <c r="B60" s="84"/>
      <c r="C60" s="85" t="s">
        <v>252</v>
      </c>
      <c r="D60" s="85"/>
      <c r="E60" s="85" t="s">
        <v>331</v>
      </c>
      <c r="F60" s="85" t="s">
        <v>217</v>
      </c>
      <c r="G60" s="51">
        <v>47.92</v>
      </c>
      <c r="H60" s="51"/>
      <c r="I60" s="51"/>
      <c r="J60" s="70" t="s">
        <v>278</v>
      </c>
      <c r="K60" s="70" t="s">
        <v>142</v>
      </c>
      <c r="L60" s="31">
        <f>VLOOKUP(K60,Reinigungstage!A10:H31,8,FALSE)</f>
        <v>1</v>
      </c>
      <c r="M60" s="31">
        <f t="shared" si="0"/>
        <v>47.92</v>
      </c>
      <c r="N60" s="87">
        <f t="shared" si="1"/>
        <v>0</v>
      </c>
      <c r="O60" s="31">
        <f ca="1">IF('SVS GrundRG'!H61="",0,'SVS GrundRG'!H61)</f>
        <v>0</v>
      </c>
      <c r="P60" s="31">
        <f t="shared" si="2"/>
        <v>0</v>
      </c>
      <c r="Q60" s="31">
        <f t="shared" si="3"/>
        <v>0</v>
      </c>
      <c r="R60" s="31">
        <f t="shared" si="4"/>
        <v>0</v>
      </c>
      <c r="S60" s="3" t="str">
        <f t="shared" si="5"/>
        <v>Leistungswert eintragen</v>
      </c>
      <c r="U60" s="3">
        <f t="shared" si="6"/>
        <v>16.25</v>
      </c>
      <c r="V60" s="3">
        <f t="shared" si="7"/>
        <v>4.875</v>
      </c>
      <c r="W60" s="3">
        <f t="shared" si="8"/>
        <v>21.125</v>
      </c>
      <c r="X60" s="3" t="str">
        <f t="shared" si="9"/>
        <v/>
      </c>
    </row>
    <row r="61" spans="1:24" ht="15" customHeight="1" x14ac:dyDescent="0.2">
      <c r="A61" s="70">
        <v>40</v>
      </c>
      <c r="B61" s="84"/>
      <c r="C61" s="85" t="s">
        <v>252</v>
      </c>
      <c r="D61" s="85"/>
      <c r="E61" s="85" t="s">
        <v>289</v>
      </c>
      <c r="F61" s="85" t="s">
        <v>217</v>
      </c>
      <c r="G61" s="51">
        <v>11.53</v>
      </c>
      <c r="H61" s="51"/>
      <c r="I61" s="51"/>
      <c r="J61" s="70" t="s">
        <v>276</v>
      </c>
      <c r="K61" s="70" t="s">
        <v>142</v>
      </c>
      <c r="L61" s="31">
        <f>VLOOKUP(K61,Reinigungstage!A10:H31,8,FALSE)</f>
        <v>1</v>
      </c>
      <c r="M61" s="31">
        <f t="shared" si="0"/>
        <v>11.53</v>
      </c>
      <c r="N61" s="87">
        <f t="shared" si="1"/>
        <v>0</v>
      </c>
      <c r="O61" s="31">
        <f ca="1">IF('SVS GrundRG'!H61="",0,'SVS GrundRG'!H61)</f>
        <v>0</v>
      </c>
      <c r="P61" s="31">
        <f t="shared" si="2"/>
        <v>0</v>
      </c>
      <c r="Q61" s="31">
        <f t="shared" si="3"/>
        <v>0</v>
      </c>
      <c r="R61" s="31">
        <f t="shared" si="4"/>
        <v>0</v>
      </c>
      <c r="S61" s="3" t="str">
        <f t="shared" si="5"/>
        <v>Leistungswert eintragen</v>
      </c>
      <c r="U61" s="3">
        <f t="shared" si="6"/>
        <v>10.25</v>
      </c>
      <c r="V61" s="3">
        <f t="shared" si="7"/>
        <v>3.0749999999999997</v>
      </c>
      <c r="W61" s="3">
        <f t="shared" si="8"/>
        <v>13.324999999999999</v>
      </c>
      <c r="X61" s="3" t="str">
        <f t="shared" si="9"/>
        <v/>
      </c>
    </row>
    <row r="62" spans="1:24" ht="15" customHeight="1" x14ac:dyDescent="0.2">
      <c r="A62" s="70">
        <v>41</v>
      </c>
      <c r="B62" s="84"/>
      <c r="C62" s="85" t="s">
        <v>252</v>
      </c>
      <c r="D62" s="85"/>
      <c r="E62" s="85" t="s">
        <v>332</v>
      </c>
      <c r="F62" s="85" t="s">
        <v>206</v>
      </c>
      <c r="G62" s="51">
        <v>14.07</v>
      </c>
      <c r="H62" s="51"/>
      <c r="I62" s="51"/>
      <c r="J62" s="70" t="s">
        <v>279</v>
      </c>
      <c r="K62" s="70" t="s">
        <v>142</v>
      </c>
      <c r="L62" s="31">
        <f>VLOOKUP(K62,Reinigungstage!A10:H31,8,FALSE)</f>
        <v>1</v>
      </c>
      <c r="M62" s="31">
        <f t="shared" si="0"/>
        <v>14.07</v>
      </c>
      <c r="N62" s="87">
        <f t="shared" si="1"/>
        <v>0</v>
      </c>
      <c r="O62" s="31">
        <f ca="1">IF('SVS GrundRG'!H61="",0,'SVS GrundRG'!H61)</f>
        <v>0</v>
      </c>
      <c r="P62" s="31">
        <f t="shared" si="2"/>
        <v>0</v>
      </c>
      <c r="Q62" s="31">
        <f t="shared" si="3"/>
        <v>0</v>
      </c>
      <c r="R62" s="31">
        <f t="shared" si="4"/>
        <v>0</v>
      </c>
      <c r="S62" s="3" t="str">
        <f t="shared" si="5"/>
        <v>Leistungswert eintragen</v>
      </c>
      <c r="U62" s="3">
        <f t="shared" si="6"/>
        <v>15.375</v>
      </c>
      <c r="V62" s="3">
        <f t="shared" si="7"/>
        <v>4.6124999999999998</v>
      </c>
      <c r="W62" s="3">
        <f t="shared" si="8"/>
        <v>19.987500000000001</v>
      </c>
      <c r="X62" s="3" t="str">
        <f t="shared" si="9"/>
        <v/>
      </c>
    </row>
  </sheetData>
  <sheetProtection algorithmName="SHA-512" hashValue="mRrfWv08ifKlxHh9HfmUb7h0QLuLQr7GRuBGTo7DVDoxvir1MWxl0zZ+5fqrj38MN3zBrwKdXUxpeMT3rObySA==" saltValue="3XQ0MMEx8Qe0Vzpc4nmG5g=="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4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1" priority="5" operator="containsText" text="Bitte prüfen Sie diese.">
      <formula>NOT(ISERROR(SEARCH("Bitte prüfen Sie diese.",L9)))</formula>
    </cfRule>
  </conditionalFormatting>
  <conditionalFormatting sqref="L10">
    <cfRule type="containsText" dxfId="4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39" priority="3" operator="containsText" text="lediglich Fehleingaben vermeiden wollen.">
      <formula>NOT(ISERROR(SEARCH("lediglich Fehleingaben vermeiden wollen.",L11)))</formula>
    </cfRule>
  </conditionalFormatting>
  <conditionalFormatting sqref="M11">
    <cfRule type="containsText" dxfId="3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7" priority="7" operator="containsText" text="für die Objektart prüfen.">
      <formula>NOT(ISERROR(SEARCH("für die Objektart prüfen.",M12)))</formula>
    </cfRule>
  </conditionalFormatting>
  <conditionalFormatting sqref="N13">
    <cfRule type="expression" dxfId="36" priority="2" stopIfTrue="1">
      <formula>N13=0</formula>
    </cfRule>
  </conditionalFormatting>
  <conditionalFormatting sqref="N14">
    <cfRule type="expression" dxfId="35" priority="1">
      <formula>N14=0</formula>
    </cfRule>
  </conditionalFormatting>
  <conditionalFormatting sqref="N22:N62">
    <cfRule type="expression" dxfId="34" priority="11">
      <formula>X22=0</formula>
    </cfRule>
    <cfRule type="expression" dxfId="33" priority="12" stopIfTrue="1">
      <formula>X22=1</formula>
    </cfRule>
  </conditionalFormatting>
  <conditionalFormatting sqref="O13">
    <cfRule type="containsText" dxfId="3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1" priority="9" operator="containsText" text="Wert(e) prüfen.">
      <formula>NOT(ISERROR(SEARCH("Wert(e) prüfen.",O14)))</formula>
    </cfRule>
  </conditionalFormatting>
  <conditionalFormatting sqref="S22:S62">
    <cfRule type="containsText" dxfId="30" priority="13" stopIfTrue="1" operator="containsText" text="SVS prüfen">
      <formula>NOT(ISERROR(SEARCH("SVS prüfen",S22)))</formula>
    </cfRule>
    <cfRule type="containsText" dxfId="29" priority="14" stopIfTrue="1" operator="containsText" text="Leistungswert eintragen">
      <formula>NOT(ISERROR(SEARCH("Leistungswert eintragen",S22)))</formula>
    </cfRule>
  </conditionalFormatting>
  <hyperlinks>
    <hyperlink ref="M1" location="Inhaltsverzeichnis!A1" display="Zurück zum Inhaltsverzeichnis" xr:uid="{A09F1D39-DE06-4EAA-B246-AA3BFA9E9D31}"/>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Verwaltung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264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264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264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2B40-CB1C-42F5-9F03-27590FBC8876}">
  <sheetPr codeName="Tabelle35">
    <tabColor indexed="40"/>
  </sheetPr>
  <dimension ref="A1:V7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8.7109375" style="3" customWidth="1"/>
    <col min="3" max="3" width="6.425781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8554687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9" t="s">
        <v>150</v>
      </c>
      <c r="B2" s="140"/>
      <c r="C2" s="140"/>
      <c r="D2" s="140" t="b">
        <v>0</v>
      </c>
      <c r="E2" s="141"/>
      <c r="G2" s="142" t="s">
        <v>163</v>
      </c>
      <c r="H2" s="142" t="s">
        <v>155</v>
      </c>
      <c r="I2" s="142" t="s">
        <v>156</v>
      </c>
      <c r="J2" s="142" t="s">
        <v>175</v>
      </c>
      <c r="M2" s="32"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1" customHeight="1" x14ac:dyDescent="0.2">
      <c r="A3" s="71" t="s">
        <v>151</v>
      </c>
      <c r="B3" s="72"/>
      <c r="C3" s="72"/>
      <c r="D3" s="72"/>
      <c r="E3" s="73"/>
      <c r="G3" s="143"/>
      <c r="H3" s="143" t="b">
        <v>0</v>
      </c>
      <c r="I3" s="143"/>
      <c r="J3" s="143"/>
      <c r="M3" s="32" t="b">
        <v>0</v>
      </c>
      <c r="N3" s="100"/>
      <c r="O3" s="100"/>
      <c r="P3" s="100"/>
      <c r="Q3" s="100"/>
    </row>
    <row r="4" spans="1:22" ht="15" customHeight="1" x14ac:dyDescent="0.2">
      <c r="A4" s="137" t="s">
        <v>91</v>
      </c>
      <c r="B4" s="125" t="str">
        <f>IF(Inhaltsverzeichnis!C3="","",Inhaltsverzeichnis!C3)</f>
        <v/>
      </c>
      <c r="C4" s="126"/>
      <c r="D4" s="126"/>
      <c r="E4" s="127"/>
      <c r="G4" s="70" t="s">
        <v>208</v>
      </c>
      <c r="H4" s="74"/>
      <c r="I4" s="75">
        <f ca="1">SUMIF('Kal Unter Verwaltung 2'!J22:M71,$G$4,'Kal Unter Verwaltung 2'!M22:M71)</f>
        <v>78900.750000000015</v>
      </c>
      <c r="J4" s="49">
        <f>COUNTIFS('Kal Unter Verwaltung 2'!J22:M71,$G$4)</f>
        <v>30</v>
      </c>
      <c r="M4" s="32" t="b">
        <v>0</v>
      </c>
      <c r="N4" s="100"/>
      <c r="O4" s="100"/>
      <c r="P4" s="100"/>
      <c r="Q4" s="100"/>
      <c r="U4" s="70" t="s">
        <v>208</v>
      </c>
      <c r="V4" s="3">
        <v>168.75</v>
      </c>
    </row>
    <row r="5" spans="1:22" ht="15" customHeight="1" x14ac:dyDescent="0.2">
      <c r="A5" s="138"/>
      <c r="B5" s="128"/>
      <c r="C5" s="129"/>
      <c r="D5" s="129"/>
      <c r="E5" s="130"/>
      <c r="G5" s="70" t="s">
        <v>275</v>
      </c>
      <c r="H5" s="74"/>
      <c r="I5" s="75">
        <f ca="1">SUMIF('Kal Unter Verwaltung 2'!J22:M71,$G$5,'Kal Unter Verwaltung 2'!M22:M71)</f>
        <v>8033.0499999999993</v>
      </c>
      <c r="J5" s="49">
        <f>COUNTIFS('Kal Unter Verwaltung 2'!J22:M71,$G$5)</f>
        <v>5</v>
      </c>
      <c r="M5" s="32" t="b">
        <v>0</v>
      </c>
      <c r="N5" s="100"/>
      <c r="O5" s="100"/>
      <c r="P5" s="100"/>
      <c r="Q5" s="100"/>
      <c r="U5" s="70" t="s">
        <v>275</v>
      </c>
      <c r="V5" s="3">
        <v>140</v>
      </c>
    </row>
    <row r="6" spans="1:22" ht="15" customHeight="1" x14ac:dyDescent="0.2">
      <c r="A6" s="76" t="s">
        <v>173</v>
      </c>
      <c r="B6" s="131" t="s">
        <v>190</v>
      </c>
      <c r="C6" s="132"/>
      <c r="D6" s="132"/>
      <c r="E6" s="133"/>
      <c r="G6" s="70" t="s">
        <v>276</v>
      </c>
      <c r="H6" s="74"/>
      <c r="I6" s="75">
        <f ca="1">SUMIF('Kal Unter Verwaltung 2'!J22:M71,$G$6,'Kal Unter Verwaltung 2'!M22:M71)</f>
        <v>6504.91</v>
      </c>
      <c r="J6" s="49">
        <f>COUNTIFS('Kal Unter Verwaltung 2'!J22:M71,$G$6)</f>
        <v>4</v>
      </c>
      <c r="U6" s="70" t="s">
        <v>276</v>
      </c>
      <c r="V6" s="3">
        <v>63.75</v>
      </c>
    </row>
    <row r="7" spans="1:22" ht="15" customHeight="1" x14ac:dyDescent="0.2">
      <c r="A7" s="77" t="s">
        <v>171</v>
      </c>
      <c r="B7" s="134" t="s">
        <v>200</v>
      </c>
      <c r="C7" s="132"/>
      <c r="D7" s="132"/>
      <c r="E7" s="133"/>
      <c r="G7" s="70" t="s">
        <v>280</v>
      </c>
      <c r="H7" s="74"/>
      <c r="I7" s="75">
        <f ca="1">SUMIF('Kal Unter Verwaltung 2'!J22:M71,$G$7,'Kal Unter Verwaltung 2'!M22:M71)</f>
        <v>1276.75</v>
      </c>
      <c r="J7" s="49">
        <f>COUNTIFS('Kal Unter Verwaltung 2'!J22:M71,$G$7)</f>
        <v>2</v>
      </c>
      <c r="U7" s="70" t="s">
        <v>280</v>
      </c>
      <c r="V7" s="3">
        <v>262.5</v>
      </c>
    </row>
    <row r="8" spans="1:22" ht="15" customHeight="1" x14ac:dyDescent="0.2">
      <c r="A8" s="77" t="s">
        <v>172</v>
      </c>
      <c r="B8" s="131"/>
      <c r="C8" s="132"/>
      <c r="D8" s="132"/>
      <c r="E8" s="133"/>
      <c r="G8" s="70" t="s">
        <v>279</v>
      </c>
      <c r="H8" s="74"/>
      <c r="I8" s="75">
        <f ca="1">SUMIF('Kal Unter Verwaltung 2'!J22:M71,$G$8,'Kal Unter Verwaltung 2'!M22:M71)</f>
        <v>6045.45</v>
      </c>
      <c r="J8" s="49">
        <f>COUNTIFS('Kal Unter Verwaltung 2'!J22:M71,$G$8)</f>
        <v>4</v>
      </c>
      <c r="U8" s="70" t="s">
        <v>279</v>
      </c>
      <c r="V8" s="3">
        <v>138.75</v>
      </c>
    </row>
    <row r="9" spans="1:22" ht="15" customHeight="1" x14ac:dyDescent="0.2">
      <c r="A9" s="76" t="s">
        <v>170</v>
      </c>
      <c r="B9" s="135" t="s">
        <v>199</v>
      </c>
      <c r="C9" s="132"/>
      <c r="D9" s="132"/>
      <c r="E9" s="133"/>
      <c r="G9" s="70" t="s">
        <v>278</v>
      </c>
      <c r="H9" s="74"/>
      <c r="I9" s="75">
        <f ca="1">SUMIF('Kal Unter Verwaltung 2'!J22:M71,$G$9,'Kal Unter Verwaltung 2'!M22:M71)</f>
        <v>35963.919999999998</v>
      </c>
      <c r="J9" s="49">
        <f>COUNTIFS('Kal Unter Verwaltung 2'!J22:M71,$G$9)</f>
        <v>3</v>
      </c>
      <c r="U9" s="70" t="s">
        <v>278</v>
      </c>
      <c r="V9" s="3">
        <v>300</v>
      </c>
    </row>
    <row r="10" spans="1:22" ht="15" customHeight="1" x14ac:dyDescent="0.2">
      <c r="A10" s="77" t="s">
        <v>152</v>
      </c>
      <c r="B10" s="131" t="s">
        <v>201</v>
      </c>
      <c r="C10" s="132"/>
      <c r="D10" s="132"/>
      <c r="E10" s="133"/>
      <c r="G10" s="70" t="s">
        <v>277</v>
      </c>
      <c r="H10" s="74"/>
      <c r="I10" s="75">
        <f ca="1">SUMIF('Kal Unter Verwaltung 2'!J22:M71,$G$10,'Kal Unter Verwaltung 2'!M22:M71)</f>
        <v>2336.35</v>
      </c>
      <c r="J10" s="49">
        <f>COUNTIFS('Kal Unter Verwaltung 2'!J22:M71,$G$10)</f>
        <v>2</v>
      </c>
      <c r="U10" s="70" t="s">
        <v>277</v>
      </c>
      <c r="V10" s="3">
        <v>88.75</v>
      </c>
    </row>
    <row r="11" spans="1:22" ht="15" customHeight="1" x14ac:dyDescent="0.2">
      <c r="A11" s="77" t="s">
        <v>153</v>
      </c>
      <c r="B11" s="136" t="s">
        <v>192</v>
      </c>
      <c r="C11" s="132"/>
      <c r="D11" s="132"/>
      <c r="E11" s="133"/>
      <c r="M11" s="3" t="str">
        <f>IF(N13&gt;0,"Bitte die Leistungswerte im Leistungsverzeichnis/ Tabellenblatt Leistungsrichtwerte","")</f>
        <v/>
      </c>
    </row>
    <row r="12" spans="1:22" ht="15" customHeight="1" x14ac:dyDescent="0.2">
      <c r="A12" s="77" t="s">
        <v>154</v>
      </c>
      <c r="B12" s="131" t="s">
        <v>193</v>
      </c>
      <c r="C12" s="132"/>
      <c r="D12" s="132"/>
      <c r="E12" s="133"/>
      <c r="M12" s="3" t="str">
        <f>IF(N13&gt;0,"für die Objektart prüfen.","")</f>
        <v/>
      </c>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c r="N13" s="78">
        <f>COUNTIF(V22:V$71,1)</f>
        <v>0</v>
      </c>
      <c r="O13" s="3" t="str">
        <f>IF(N13&gt;0,"Wert(e) überschritten, bitte mit dem Angebot plausibel darlegen.","")</f>
        <v/>
      </c>
    </row>
    <row r="14" spans="1:22" ht="15" customHeight="1" x14ac:dyDescent="0.2">
      <c r="N14" s="79">
        <f>COUNTIF(V22:V$71,0)</f>
        <v>50</v>
      </c>
      <c r="O14" s="3" t="str">
        <f>IF(N14&gt;0,"Wert(e) korrekt","")</f>
        <v>Wert(e) korrekt</v>
      </c>
      <c r="T14" s="80">
        <f>IF(COUNTA($T$22:$T$71)-COUNTBLANK($T$22:$T$71)=0,"",COUNTA($T$22:$T$71)-COUNTBLANK($T$22:$T$71))</f>
        <v>49</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1" t="s">
        <v>118</v>
      </c>
      <c r="B21" s="12"/>
      <c r="C21" s="12"/>
      <c r="D21" s="12"/>
      <c r="E21" s="12"/>
      <c r="F21" s="12"/>
      <c r="G21" s="82">
        <f>SUM($G$22:$G$71)</f>
        <v>1253.04</v>
      </c>
      <c r="H21" s="82">
        <f>SUM($H$22:$H$71)</f>
        <v>0</v>
      </c>
      <c r="I21" s="82">
        <f>SUM($I$22:$I$71)</f>
        <v>0</v>
      </c>
      <c r="J21" s="31"/>
      <c r="K21" s="31"/>
      <c r="L21" s="83">
        <f>MAX(L22:L71)</f>
        <v>252.5</v>
      </c>
      <c r="M21" s="82">
        <f>SUM($M$22:$M$71)</f>
        <v>139061.18</v>
      </c>
      <c r="N21" s="31"/>
      <c r="O21" s="31"/>
      <c r="P21" s="82">
        <f>SUM($P$22:$P$71)</f>
        <v>0</v>
      </c>
      <c r="Q21" s="82">
        <f ca="1">SUM($Q$22:$Q$71)</f>
        <v>0</v>
      </c>
      <c r="R21" s="82">
        <f>ROUND(IF(L21=0,0,P21/L21),2)</f>
        <v>0</v>
      </c>
      <c r="S21" s="82">
        <f ca="1">ROUND(IF(L21=0,0,Q21/L21),2)</f>
        <v>0</v>
      </c>
    </row>
    <row r="22" spans="1:22" ht="15" customHeight="1" x14ac:dyDescent="0.2">
      <c r="A22" s="70">
        <v>1</v>
      </c>
      <c r="B22" s="84" t="s">
        <v>302</v>
      </c>
      <c r="C22" s="85" t="s">
        <v>230</v>
      </c>
      <c r="D22" s="85"/>
      <c r="E22" s="85" t="s">
        <v>333</v>
      </c>
      <c r="F22" s="85" t="s">
        <v>334</v>
      </c>
      <c r="G22" s="51">
        <v>12.17</v>
      </c>
      <c r="H22" s="51"/>
      <c r="I22" s="51"/>
      <c r="J22" s="70" t="s">
        <v>280</v>
      </c>
      <c r="K22" s="51">
        <v>2</v>
      </c>
      <c r="L22" s="31">
        <f>VLOOKUP(K22,Reinigungstage!A10:E31,5,FALSE)</f>
        <v>104.91</v>
      </c>
      <c r="M22" s="31">
        <f t="shared" ref="M22:M53" si="0">ROUND(IF(L22=0,0,L22*G22),2)</f>
        <v>1276.75</v>
      </c>
      <c r="N22" s="87">
        <f t="shared" ref="N22:N53" si="1">VLOOKUP(J22,$G$4:$H$10,2,FALSE)</f>
        <v>0</v>
      </c>
      <c r="O22" s="31">
        <f ca="1">IF('SVS UnterhaltsRG'!H61="",0,'SVS UnterhaltsRG'!H61)</f>
        <v>0</v>
      </c>
      <c r="P22" s="31">
        <f t="shared" ref="P22:P53" si="2">ROUND(IF(N22=0,0,M22/N22),2)</f>
        <v>0</v>
      </c>
      <c r="Q22" s="31">
        <f t="shared" ref="Q22:Q53" ca="1" si="3">IF(M22=0,0,IF(O22="",0,ROUND(P22*O22,2)))</f>
        <v>0</v>
      </c>
      <c r="R22" s="31">
        <f t="shared" ref="R22:R53" si="4">ROUND(IF(P22=0,0,P22/L22),2)</f>
        <v>0</v>
      </c>
      <c r="S22" s="31">
        <f t="shared" ref="S22:S53" ca="1" si="5">ROUND(IF(Q22=0,0,Q22/L22),2)</f>
        <v>0</v>
      </c>
      <c r="T22" s="3" t="str">
        <f t="shared" ref="T22:T53" si="6">IF(M22=0,"",IF(N22=0,"Leistungswert eintragen",IF(O22=0,"SVS prüfen","")))</f>
        <v>Leistungswert eintragen</v>
      </c>
      <c r="U22" s="3">
        <f t="shared" ref="U22:U53" si="7">VLOOKUP(J22,$U$4:$V$10,2,FALSE)</f>
        <v>262.5</v>
      </c>
      <c r="V22" s="3">
        <f t="shared" ref="V22:V53" si="8">IF(M22=0,0,IF(U22&lt;N22,1,IF(U22&gt;=N22,0,"")))</f>
        <v>0</v>
      </c>
    </row>
    <row r="23" spans="1:22" ht="15" customHeight="1" x14ac:dyDescent="0.2">
      <c r="A23" s="70">
        <v>2</v>
      </c>
      <c r="B23" s="84" t="s">
        <v>304</v>
      </c>
      <c r="C23" s="85" t="s">
        <v>230</v>
      </c>
      <c r="D23" s="85"/>
      <c r="E23" s="85" t="s">
        <v>303</v>
      </c>
      <c r="F23" s="85" t="s">
        <v>206</v>
      </c>
      <c r="G23" s="51">
        <v>21.08</v>
      </c>
      <c r="H23" s="51"/>
      <c r="I23" s="51"/>
      <c r="J23" s="70" t="s">
        <v>208</v>
      </c>
      <c r="K23" s="51">
        <v>2</v>
      </c>
      <c r="L23" s="31">
        <f>VLOOKUP(K23,Reinigungstage!A10:E31,5,FALSE)</f>
        <v>104.91</v>
      </c>
      <c r="M23" s="31">
        <f t="shared" si="0"/>
        <v>2211.5</v>
      </c>
      <c r="N23" s="87">
        <f t="shared" si="1"/>
        <v>0</v>
      </c>
      <c r="O23" s="31">
        <f ca="1">IF('SVS UnterhaltsRG'!H61="",0,'SVS UnterhaltsRG'!H61)</f>
        <v>0</v>
      </c>
      <c r="P23" s="31">
        <f t="shared" si="2"/>
        <v>0</v>
      </c>
      <c r="Q23" s="31">
        <f t="shared" ca="1" si="3"/>
        <v>0</v>
      </c>
      <c r="R23" s="31">
        <f t="shared" si="4"/>
        <v>0</v>
      </c>
      <c r="S23" s="31">
        <f t="shared" ca="1" si="5"/>
        <v>0</v>
      </c>
      <c r="T23" s="3" t="str">
        <f t="shared" si="6"/>
        <v>Leistungswert eintragen</v>
      </c>
      <c r="U23" s="3">
        <f t="shared" si="7"/>
        <v>168.75</v>
      </c>
      <c r="V23" s="3">
        <f t="shared" si="8"/>
        <v>0</v>
      </c>
    </row>
    <row r="24" spans="1:22" ht="15" customHeight="1" x14ac:dyDescent="0.2">
      <c r="A24" s="70">
        <v>3</v>
      </c>
      <c r="B24" s="84" t="s">
        <v>305</v>
      </c>
      <c r="C24" s="85" t="s">
        <v>230</v>
      </c>
      <c r="D24" s="85"/>
      <c r="E24" s="85" t="s">
        <v>303</v>
      </c>
      <c r="F24" s="85" t="s">
        <v>206</v>
      </c>
      <c r="G24" s="51">
        <v>17.5</v>
      </c>
      <c r="H24" s="51"/>
      <c r="I24" s="51"/>
      <c r="J24" s="70" t="s">
        <v>208</v>
      </c>
      <c r="K24" s="51">
        <v>2</v>
      </c>
      <c r="L24" s="31">
        <f>VLOOKUP(K24,Reinigungstage!A10:E31,5,FALSE)</f>
        <v>104.91</v>
      </c>
      <c r="M24" s="31">
        <f t="shared" si="0"/>
        <v>1835.93</v>
      </c>
      <c r="N24" s="87">
        <f t="shared" si="1"/>
        <v>0</v>
      </c>
      <c r="O24" s="31">
        <f ca="1">IF('SVS UnterhaltsRG'!H61="",0,'SVS UnterhaltsRG'!H61)</f>
        <v>0</v>
      </c>
      <c r="P24" s="31">
        <f t="shared" si="2"/>
        <v>0</v>
      </c>
      <c r="Q24" s="31">
        <f t="shared" ca="1" si="3"/>
        <v>0</v>
      </c>
      <c r="R24" s="31">
        <f t="shared" si="4"/>
        <v>0</v>
      </c>
      <c r="S24" s="31">
        <f t="shared" ca="1" si="5"/>
        <v>0</v>
      </c>
      <c r="T24" s="3" t="str">
        <f t="shared" si="6"/>
        <v>Leistungswert eintragen</v>
      </c>
      <c r="U24" s="3">
        <f t="shared" si="7"/>
        <v>168.75</v>
      </c>
      <c r="V24" s="3">
        <f t="shared" si="8"/>
        <v>0</v>
      </c>
    </row>
    <row r="25" spans="1:22" ht="15" customHeight="1" x14ac:dyDescent="0.2">
      <c r="A25" s="70">
        <v>4</v>
      </c>
      <c r="B25" s="84" t="s">
        <v>335</v>
      </c>
      <c r="C25" s="85" t="s">
        <v>230</v>
      </c>
      <c r="D25" s="85"/>
      <c r="E25" s="85" t="s">
        <v>303</v>
      </c>
      <c r="F25" s="85" t="s">
        <v>206</v>
      </c>
      <c r="G25" s="51">
        <v>24.04</v>
      </c>
      <c r="H25" s="51"/>
      <c r="I25" s="51"/>
      <c r="J25" s="70" t="s">
        <v>208</v>
      </c>
      <c r="K25" s="51">
        <v>2</v>
      </c>
      <c r="L25" s="31">
        <f>VLOOKUP(K25,Reinigungstage!A10:E31,5,FALSE)</f>
        <v>104.91</v>
      </c>
      <c r="M25" s="31">
        <f t="shared" si="0"/>
        <v>2522.04</v>
      </c>
      <c r="N25" s="87">
        <f t="shared" si="1"/>
        <v>0</v>
      </c>
      <c r="O25" s="31">
        <f ca="1">IF('SVS UnterhaltsRG'!H61="",0,'SVS UnterhaltsRG'!H61)</f>
        <v>0</v>
      </c>
      <c r="P25" s="31">
        <f t="shared" si="2"/>
        <v>0</v>
      </c>
      <c r="Q25" s="31">
        <f t="shared" ca="1" si="3"/>
        <v>0</v>
      </c>
      <c r="R25" s="31">
        <f t="shared" si="4"/>
        <v>0</v>
      </c>
      <c r="S25" s="31">
        <f t="shared" ca="1" si="5"/>
        <v>0</v>
      </c>
      <c r="T25" s="3" t="str">
        <f t="shared" si="6"/>
        <v>Leistungswert eintragen</v>
      </c>
      <c r="U25" s="3">
        <f t="shared" si="7"/>
        <v>168.75</v>
      </c>
      <c r="V25" s="3">
        <f t="shared" si="8"/>
        <v>0</v>
      </c>
    </row>
    <row r="26" spans="1:22" ht="15" customHeight="1" x14ac:dyDescent="0.2">
      <c r="A26" s="70">
        <v>5</v>
      </c>
      <c r="B26" s="84" t="s">
        <v>336</v>
      </c>
      <c r="C26" s="85" t="s">
        <v>230</v>
      </c>
      <c r="D26" s="85"/>
      <c r="E26" s="85" t="s">
        <v>303</v>
      </c>
      <c r="F26" s="85" t="s">
        <v>206</v>
      </c>
      <c r="G26" s="51">
        <v>15.07</v>
      </c>
      <c r="H26" s="51"/>
      <c r="I26" s="51"/>
      <c r="J26" s="70" t="s">
        <v>208</v>
      </c>
      <c r="K26" s="51">
        <v>2</v>
      </c>
      <c r="L26" s="31">
        <f>VLOOKUP(K26,Reinigungstage!A10:E31,5,FALSE)</f>
        <v>104.91</v>
      </c>
      <c r="M26" s="31">
        <f t="shared" si="0"/>
        <v>1580.99</v>
      </c>
      <c r="N26" s="87">
        <f t="shared" si="1"/>
        <v>0</v>
      </c>
      <c r="O26" s="31">
        <f ca="1">IF('SVS UnterhaltsRG'!H61="",0,'SVS UnterhaltsRG'!H61)</f>
        <v>0</v>
      </c>
      <c r="P26" s="31">
        <f t="shared" si="2"/>
        <v>0</v>
      </c>
      <c r="Q26" s="31">
        <f t="shared" ca="1" si="3"/>
        <v>0</v>
      </c>
      <c r="R26" s="31">
        <f t="shared" si="4"/>
        <v>0</v>
      </c>
      <c r="S26" s="31">
        <f t="shared" ca="1" si="5"/>
        <v>0</v>
      </c>
      <c r="T26" s="3" t="str">
        <f t="shared" si="6"/>
        <v>Leistungswert eintragen</v>
      </c>
      <c r="U26" s="3">
        <f t="shared" si="7"/>
        <v>168.75</v>
      </c>
      <c r="V26" s="3">
        <f t="shared" si="8"/>
        <v>0</v>
      </c>
    </row>
    <row r="27" spans="1:22" ht="15" customHeight="1" x14ac:dyDescent="0.2">
      <c r="A27" s="70">
        <v>6</v>
      </c>
      <c r="B27" s="84" t="s">
        <v>306</v>
      </c>
      <c r="C27" s="85" t="s">
        <v>230</v>
      </c>
      <c r="D27" s="85"/>
      <c r="E27" s="85" t="s">
        <v>303</v>
      </c>
      <c r="F27" s="85" t="s">
        <v>206</v>
      </c>
      <c r="G27" s="51">
        <v>24.72</v>
      </c>
      <c r="H27" s="51"/>
      <c r="I27" s="51"/>
      <c r="J27" s="70" t="s">
        <v>208</v>
      </c>
      <c r="K27" s="51">
        <v>2</v>
      </c>
      <c r="L27" s="31">
        <f>VLOOKUP(K27,Reinigungstage!A10:E31,5,FALSE)</f>
        <v>104.91</v>
      </c>
      <c r="M27" s="31">
        <f t="shared" si="0"/>
        <v>2593.38</v>
      </c>
      <c r="N27" s="87">
        <f t="shared" si="1"/>
        <v>0</v>
      </c>
      <c r="O27" s="31">
        <f ca="1">IF('SVS UnterhaltsRG'!H61="",0,'SVS UnterhaltsRG'!H61)</f>
        <v>0</v>
      </c>
      <c r="P27" s="31">
        <f t="shared" si="2"/>
        <v>0</v>
      </c>
      <c r="Q27" s="31">
        <f t="shared" ca="1" si="3"/>
        <v>0</v>
      </c>
      <c r="R27" s="31">
        <f t="shared" si="4"/>
        <v>0</v>
      </c>
      <c r="S27" s="31">
        <f t="shared" ca="1" si="5"/>
        <v>0</v>
      </c>
      <c r="T27" s="3" t="str">
        <f t="shared" si="6"/>
        <v>Leistungswert eintragen</v>
      </c>
      <c r="U27" s="3">
        <f t="shared" si="7"/>
        <v>168.75</v>
      </c>
      <c r="V27" s="3">
        <f t="shared" si="8"/>
        <v>0</v>
      </c>
    </row>
    <row r="28" spans="1:22" ht="15" customHeight="1" x14ac:dyDescent="0.2">
      <c r="A28" s="70">
        <v>7</v>
      </c>
      <c r="B28" s="84" t="s">
        <v>337</v>
      </c>
      <c r="C28" s="85" t="s">
        <v>230</v>
      </c>
      <c r="D28" s="85"/>
      <c r="E28" s="85" t="s">
        <v>303</v>
      </c>
      <c r="F28" s="85" t="s">
        <v>206</v>
      </c>
      <c r="G28" s="51">
        <v>26</v>
      </c>
      <c r="H28" s="51"/>
      <c r="I28" s="51"/>
      <c r="J28" s="70" t="s">
        <v>208</v>
      </c>
      <c r="K28" s="51">
        <v>2</v>
      </c>
      <c r="L28" s="31">
        <f>VLOOKUP(K28,Reinigungstage!A10:E31,5,FALSE)</f>
        <v>104.91</v>
      </c>
      <c r="M28" s="31">
        <f t="shared" si="0"/>
        <v>2727.66</v>
      </c>
      <c r="N28" s="87">
        <f t="shared" si="1"/>
        <v>0</v>
      </c>
      <c r="O28" s="31">
        <f ca="1">IF('SVS UnterhaltsRG'!H61="",0,'SVS UnterhaltsRG'!H61)</f>
        <v>0</v>
      </c>
      <c r="P28" s="31">
        <f t="shared" si="2"/>
        <v>0</v>
      </c>
      <c r="Q28" s="31">
        <f t="shared" ca="1" si="3"/>
        <v>0</v>
      </c>
      <c r="R28" s="31">
        <f t="shared" si="4"/>
        <v>0</v>
      </c>
      <c r="S28" s="31">
        <f t="shared" ca="1" si="5"/>
        <v>0</v>
      </c>
      <c r="T28" s="3" t="str">
        <f t="shared" si="6"/>
        <v>Leistungswert eintragen</v>
      </c>
      <c r="U28" s="3">
        <f t="shared" si="7"/>
        <v>168.75</v>
      </c>
      <c r="V28" s="3">
        <f t="shared" si="8"/>
        <v>0</v>
      </c>
    </row>
    <row r="29" spans="1:22" ht="15" customHeight="1" x14ac:dyDescent="0.2">
      <c r="A29" s="70">
        <v>8</v>
      </c>
      <c r="B29" s="84" t="s">
        <v>338</v>
      </c>
      <c r="C29" s="85" t="s">
        <v>230</v>
      </c>
      <c r="D29" s="85"/>
      <c r="E29" s="85" t="s">
        <v>303</v>
      </c>
      <c r="F29" s="85" t="s">
        <v>206</v>
      </c>
      <c r="G29" s="51">
        <v>12.38</v>
      </c>
      <c r="H29" s="51"/>
      <c r="I29" s="51"/>
      <c r="J29" s="70" t="s">
        <v>208</v>
      </c>
      <c r="K29" s="51">
        <v>2</v>
      </c>
      <c r="L29" s="31">
        <f>VLOOKUP(K29,Reinigungstage!A10:E31,5,FALSE)</f>
        <v>104.91</v>
      </c>
      <c r="M29" s="31">
        <f t="shared" si="0"/>
        <v>1298.79</v>
      </c>
      <c r="N29" s="87">
        <f t="shared" si="1"/>
        <v>0</v>
      </c>
      <c r="O29" s="31">
        <f ca="1">IF('SVS UnterhaltsRG'!H61="",0,'SVS UnterhaltsRG'!H61)</f>
        <v>0</v>
      </c>
      <c r="P29" s="31">
        <f t="shared" si="2"/>
        <v>0</v>
      </c>
      <c r="Q29" s="31">
        <f t="shared" ca="1" si="3"/>
        <v>0</v>
      </c>
      <c r="R29" s="31">
        <f t="shared" si="4"/>
        <v>0</v>
      </c>
      <c r="S29" s="31">
        <f t="shared" ca="1" si="5"/>
        <v>0</v>
      </c>
      <c r="T29" s="3" t="str">
        <f t="shared" si="6"/>
        <v>Leistungswert eintragen</v>
      </c>
      <c r="U29" s="3">
        <f t="shared" si="7"/>
        <v>168.75</v>
      </c>
      <c r="V29" s="3">
        <f t="shared" si="8"/>
        <v>0</v>
      </c>
    </row>
    <row r="30" spans="1:22" ht="15" customHeight="1" x14ac:dyDescent="0.2">
      <c r="A30" s="70">
        <v>9</v>
      </c>
      <c r="B30" s="84" t="s">
        <v>308</v>
      </c>
      <c r="C30" s="85" t="s">
        <v>230</v>
      </c>
      <c r="D30" s="85"/>
      <c r="E30" s="85" t="s">
        <v>303</v>
      </c>
      <c r="F30" s="85" t="s">
        <v>206</v>
      </c>
      <c r="G30" s="51">
        <v>27.81</v>
      </c>
      <c r="H30" s="51"/>
      <c r="I30" s="51"/>
      <c r="J30" s="70" t="s">
        <v>208</v>
      </c>
      <c r="K30" s="51">
        <v>2</v>
      </c>
      <c r="L30" s="31">
        <f>VLOOKUP(K30,Reinigungstage!A10:E31,5,FALSE)</f>
        <v>104.91</v>
      </c>
      <c r="M30" s="31">
        <f t="shared" si="0"/>
        <v>2917.55</v>
      </c>
      <c r="N30" s="87">
        <f t="shared" si="1"/>
        <v>0</v>
      </c>
      <c r="O30" s="31">
        <f ca="1">IF('SVS UnterhaltsRG'!H61="",0,'SVS UnterhaltsRG'!H61)</f>
        <v>0</v>
      </c>
      <c r="P30" s="31">
        <f t="shared" si="2"/>
        <v>0</v>
      </c>
      <c r="Q30" s="31">
        <f t="shared" ca="1" si="3"/>
        <v>0</v>
      </c>
      <c r="R30" s="31">
        <f t="shared" si="4"/>
        <v>0</v>
      </c>
      <c r="S30" s="31">
        <f t="shared" ca="1" si="5"/>
        <v>0</v>
      </c>
      <c r="T30" s="3" t="str">
        <f t="shared" si="6"/>
        <v>Leistungswert eintragen</v>
      </c>
      <c r="U30" s="3">
        <f t="shared" si="7"/>
        <v>168.75</v>
      </c>
      <c r="V30" s="3">
        <f t="shared" si="8"/>
        <v>0</v>
      </c>
    </row>
    <row r="31" spans="1:22" ht="15" customHeight="1" x14ac:dyDescent="0.2">
      <c r="A31" s="70">
        <v>10</v>
      </c>
      <c r="B31" s="84" t="s">
        <v>310</v>
      </c>
      <c r="C31" s="85" t="s">
        <v>230</v>
      </c>
      <c r="D31" s="85"/>
      <c r="E31" s="85" t="s">
        <v>320</v>
      </c>
      <c r="F31" s="85" t="s">
        <v>334</v>
      </c>
      <c r="G31" s="51">
        <v>54.12</v>
      </c>
      <c r="H31" s="51"/>
      <c r="I31" s="51"/>
      <c r="J31" s="70" t="s">
        <v>275</v>
      </c>
      <c r="K31" s="70" t="s">
        <v>135</v>
      </c>
      <c r="L31" s="31">
        <f>VLOOKUP(K31,Reinigungstage!A10:E31,5,FALSE)</f>
        <v>24</v>
      </c>
      <c r="M31" s="31">
        <f t="shared" si="0"/>
        <v>1298.8800000000001</v>
      </c>
      <c r="N31" s="87">
        <f t="shared" si="1"/>
        <v>0</v>
      </c>
      <c r="O31" s="31">
        <f ca="1">IF('SVS UnterhaltsRG'!H61="",0,'SVS UnterhaltsRG'!H61)</f>
        <v>0</v>
      </c>
      <c r="P31" s="31">
        <f t="shared" si="2"/>
        <v>0</v>
      </c>
      <c r="Q31" s="31">
        <f t="shared" ca="1" si="3"/>
        <v>0</v>
      </c>
      <c r="R31" s="31">
        <f t="shared" si="4"/>
        <v>0</v>
      </c>
      <c r="S31" s="31">
        <f t="shared" ca="1" si="5"/>
        <v>0</v>
      </c>
      <c r="T31" s="3" t="str">
        <f t="shared" si="6"/>
        <v>Leistungswert eintragen</v>
      </c>
      <c r="U31" s="3">
        <f t="shared" si="7"/>
        <v>140</v>
      </c>
      <c r="V31" s="3">
        <f t="shared" si="8"/>
        <v>0</v>
      </c>
    </row>
    <row r="32" spans="1:22" ht="15" customHeight="1" x14ac:dyDescent="0.2">
      <c r="A32" s="70">
        <v>11</v>
      </c>
      <c r="B32" s="84" t="s">
        <v>311</v>
      </c>
      <c r="C32" s="85" t="s">
        <v>230</v>
      </c>
      <c r="D32" s="85"/>
      <c r="E32" s="85" t="s">
        <v>339</v>
      </c>
      <c r="F32" s="85" t="s">
        <v>206</v>
      </c>
      <c r="G32" s="51">
        <v>23.87</v>
      </c>
      <c r="H32" s="51"/>
      <c r="I32" s="51"/>
      <c r="J32" s="70" t="s">
        <v>208</v>
      </c>
      <c r="K32" s="51">
        <v>2</v>
      </c>
      <c r="L32" s="31">
        <f>VLOOKUP(K32,Reinigungstage!A10:E31,5,FALSE)</f>
        <v>104.91</v>
      </c>
      <c r="M32" s="31">
        <f t="shared" si="0"/>
        <v>2504.1999999999998</v>
      </c>
      <c r="N32" s="87">
        <f t="shared" si="1"/>
        <v>0</v>
      </c>
      <c r="O32" s="31">
        <f ca="1">IF('SVS UnterhaltsRG'!H61="",0,'SVS UnterhaltsRG'!H61)</f>
        <v>0</v>
      </c>
      <c r="P32" s="31">
        <f t="shared" si="2"/>
        <v>0</v>
      </c>
      <c r="Q32" s="31">
        <f t="shared" ca="1" si="3"/>
        <v>0</v>
      </c>
      <c r="R32" s="31">
        <f t="shared" si="4"/>
        <v>0</v>
      </c>
      <c r="S32" s="31">
        <f t="shared" ca="1" si="5"/>
        <v>0</v>
      </c>
      <c r="T32" s="3" t="str">
        <f t="shared" si="6"/>
        <v>Leistungswert eintragen</v>
      </c>
      <c r="U32" s="3">
        <f t="shared" si="7"/>
        <v>168.75</v>
      </c>
      <c r="V32" s="3">
        <f t="shared" si="8"/>
        <v>0</v>
      </c>
    </row>
    <row r="33" spans="1:22" ht="15" customHeight="1" x14ac:dyDescent="0.2">
      <c r="A33" s="70">
        <v>12</v>
      </c>
      <c r="B33" s="84"/>
      <c r="C33" s="85" t="s">
        <v>230</v>
      </c>
      <c r="D33" s="85"/>
      <c r="E33" s="85" t="s">
        <v>282</v>
      </c>
      <c r="F33" s="85" t="s">
        <v>206</v>
      </c>
      <c r="G33" s="51">
        <v>12.49</v>
      </c>
      <c r="H33" s="51"/>
      <c r="I33" s="51"/>
      <c r="J33" s="70" t="s">
        <v>277</v>
      </c>
      <c r="K33" s="51">
        <v>2</v>
      </c>
      <c r="L33" s="31">
        <f>VLOOKUP(K33,Reinigungstage!A10:E31,5,FALSE)</f>
        <v>104.91</v>
      </c>
      <c r="M33" s="31">
        <f t="shared" si="0"/>
        <v>1310.33</v>
      </c>
      <c r="N33" s="87">
        <f t="shared" si="1"/>
        <v>0</v>
      </c>
      <c r="O33" s="31">
        <f ca="1">IF('SVS UnterhaltsRG'!H61="",0,'SVS UnterhaltsRG'!H61)</f>
        <v>0</v>
      </c>
      <c r="P33" s="31">
        <f t="shared" si="2"/>
        <v>0</v>
      </c>
      <c r="Q33" s="31">
        <f t="shared" ca="1" si="3"/>
        <v>0</v>
      </c>
      <c r="R33" s="31">
        <f t="shared" si="4"/>
        <v>0</v>
      </c>
      <c r="S33" s="31">
        <f t="shared" ca="1" si="5"/>
        <v>0</v>
      </c>
      <c r="T33" s="3" t="str">
        <f t="shared" si="6"/>
        <v>Leistungswert eintragen</v>
      </c>
      <c r="U33" s="3">
        <f t="shared" si="7"/>
        <v>88.75</v>
      </c>
      <c r="V33" s="3">
        <f t="shared" si="8"/>
        <v>0</v>
      </c>
    </row>
    <row r="34" spans="1:22" ht="15" customHeight="1" x14ac:dyDescent="0.2">
      <c r="A34" s="70">
        <v>13</v>
      </c>
      <c r="B34" s="84" t="s">
        <v>340</v>
      </c>
      <c r="C34" s="85" t="s">
        <v>230</v>
      </c>
      <c r="D34" s="85"/>
      <c r="E34" s="85" t="s">
        <v>283</v>
      </c>
      <c r="F34" s="85" t="s">
        <v>206</v>
      </c>
      <c r="G34" s="51">
        <v>6.25</v>
      </c>
      <c r="H34" s="51"/>
      <c r="I34" s="51"/>
      <c r="J34" s="70" t="s">
        <v>275</v>
      </c>
      <c r="K34" s="51">
        <v>2</v>
      </c>
      <c r="L34" s="31">
        <f>VLOOKUP(K34,Reinigungstage!A10:E31,5,FALSE)</f>
        <v>104.91</v>
      </c>
      <c r="M34" s="31">
        <f t="shared" si="0"/>
        <v>655.69</v>
      </c>
      <c r="N34" s="87">
        <f t="shared" si="1"/>
        <v>0</v>
      </c>
      <c r="O34" s="31">
        <f ca="1">IF('SVS UnterhaltsRG'!H61="",0,'SVS UnterhaltsRG'!H61)</f>
        <v>0</v>
      </c>
      <c r="P34" s="31">
        <f t="shared" si="2"/>
        <v>0</v>
      </c>
      <c r="Q34" s="31">
        <f t="shared" ca="1" si="3"/>
        <v>0</v>
      </c>
      <c r="R34" s="31">
        <f t="shared" si="4"/>
        <v>0</v>
      </c>
      <c r="S34" s="31">
        <f t="shared" ca="1" si="5"/>
        <v>0</v>
      </c>
      <c r="T34" s="3" t="str">
        <f t="shared" si="6"/>
        <v>Leistungswert eintragen</v>
      </c>
      <c r="U34" s="3">
        <f t="shared" si="7"/>
        <v>140</v>
      </c>
      <c r="V34" s="3">
        <f t="shared" si="8"/>
        <v>0</v>
      </c>
    </row>
    <row r="35" spans="1:22" ht="15" customHeight="1" x14ac:dyDescent="0.2">
      <c r="A35" s="70">
        <v>14</v>
      </c>
      <c r="B35" s="84" t="s">
        <v>312</v>
      </c>
      <c r="C35" s="85" t="s">
        <v>230</v>
      </c>
      <c r="D35" s="85"/>
      <c r="E35" s="85" t="s">
        <v>303</v>
      </c>
      <c r="F35" s="85" t="s">
        <v>206</v>
      </c>
      <c r="G35" s="51">
        <v>23.02</v>
      </c>
      <c r="H35" s="51"/>
      <c r="I35" s="51"/>
      <c r="J35" s="70" t="s">
        <v>208</v>
      </c>
      <c r="K35" s="51">
        <v>2</v>
      </c>
      <c r="L35" s="31">
        <f>VLOOKUP(K35,Reinigungstage!A10:E31,5,FALSE)</f>
        <v>104.91</v>
      </c>
      <c r="M35" s="31">
        <f t="shared" si="0"/>
        <v>2415.0300000000002</v>
      </c>
      <c r="N35" s="87">
        <f t="shared" si="1"/>
        <v>0</v>
      </c>
      <c r="O35" s="31">
        <f ca="1">IF('SVS UnterhaltsRG'!H61="",0,'SVS UnterhaltsRG'!H61)</f>
        <v>0</v>
      </c>
      <c r="P35" s="31">
        <f t="shared" si="2"/>
        <v>0</v>
      </c>
      <c r="Q35" s="31">
        <f t="shared" ca="1" si="3"/>
        <v>0</v>
      </c>
      <c r="R35" s="31">
        <f t="shared" si="4"/>
        <v>0</v>
      </c>
      <c r="S35" s="31">
        <f t="shared" ca="1" si="5"/>
        <v>0</v>
      </c>
      <c r="T35" s="3" t="str">
        <f t="shared" si="6"/>
        <v>Leistungswert eintragen</v>
      </c>
      <c r="U35" s="3">
        <f t="shared" si="7"/>
        <v>168.75</v>
      </c>
      <c r="V35" s="3">
        <f t="shared" si="8"/>
        <v>0</v>
      </c>
    </row>
    <row r="36" spans="1:22" ht="15" customHeight="1" x14ac:dyDescent="0.2">
      <c r="A36" s="70">
        <v>15</v>
      </c>
      <c r="B36" s="84" t="s">
        <v>313</v>
      </c>
      <c r="C36" s="85" t="s">
        <v>230</v>
      </c>
      <c r="D36" s="85"/>
      <c r="E36" s="85" t="s">
        <v>303</v>
      </c>
      <c r="F36" s="85" t="s">
        <v>206</v>
      </c>
      <c r="G36" s="51">
        <v>21.89</v>
      </c>
      <c r="H36" s="51"/>
      <c r="I36" s="51"/>
      <c r="J36" s="70" t="s">
        <v>208</v>
      </c>
      <c r="K36" s="51">
        <v>2</v>
      </c>
      <c r="L36" s="31">
        <f>VLOOKUP(K36,Reinigungstage!A10:E31,5,FALSE)</f>
        <v>104.91</v>
      </c>
      <c r="M36" s="31">
        <f t="shared" si="0"/>
        <v>2296.48</v>
      </c>
      <c r="N36" s="87">
        <f t="shared" si="1"/>
        <v>0</v>
      </c>
      <c r="O36" s="31">
        <f ca="1">IF('SVS UnterhaltsRG'!H61="",0,'SVS UnterhaltsRG'!H61)</f>
        <v>0</v>
      </c>
      <c r="P36" s="31">
        <f t="shared" si="2"/>
        <v>0</v>
      </c>
      <c r="Q36" s="31">
        <f t="shared" ca="1" si="3"/>
        <v>0</v>
      </c>
      <c r="R36" s="31">
        <f t="shared" si="4"/>
        <v>0</v>
      </c>
      <c r="S36" s="31">
        <f t="shared" ca="1" si="5"/>
        <v>0</v>
      </c>
      <c r="T36" s="3" t="str">
        <f t="shared" si="6"/>
        <v>Leistungswert eintragen</v>
      </c>
      <c r="U36" s="3">
        <f t="shared" si="7"/>
        <v>168.75</v>
      </c>
      <c r="V36" s="3">
        <f t="shared" si="8"/>
        <v>0</v>
      </c>
    </row>
    <row r="37" spans="1:22" ht="15" customHeight="1" x14ac:dyDescent="0.2">
      <c r="A37" s="70">
        <v>16</v>
      </c>
      <c r="B37" s="84" t="s">
        <v>341</v>
      </c>
      <c r="C37" s="85" t="s">
        <v>230</v>
      </c>
      <c r="D37" s="85"/>
      <c r="E37" s="85" t="s">
        <v>303</v>
      </c>
      <c r="F37" s="85" t="s">
        <v>206</v>
      </c>
      <c r="G37" s="51">
        <v>12.47</v>
      </c>
      <c r="H37" s="51"/>
      <c r="I37" s="51"/>
      <c r="J37" s="70" t="s">
        <v>208</v>
      </c>
      <c r="K37" s="51">
        <v>2</v>
      </c>
      <c r="L37" s="31">
        <f>VLOOKUP(K37,Reinigungstage!A10:E31,5,FALSE)</f>
        <v>104.91</v>
      </c>
      <c r="M37" s="31">
        <f t="shared" si="0"/>
        <v>1308.23</v>
      </c>
      <c r="N37" s="87">
        <f t="shared" si="1"/>
        <v>0</v>
      </c>
      <c r="O37" s="31">
        <f ca="1">IF('SVS UnterhaltsRG'!H61="",0,'SVS UnterhaltsRG'!H61)</f>
        <v>0</v>
      </c>
      <c r="P37" s="31">
        <f t="shared" si="2"/>
        <v>0</v>
      </c>
      <c r="Q37" s="31">
        <f t="shared" ca="1" si="3"/>
        <v>0</v>
      </c>
      <c r="R37" s="31">
        <f t="shared" si="4"/>
        <v>0</v>
      </c>
      <c r="S37" s="31">
        <f t="shared" ca="1" si="5"/>
        <v>0</v>
      </c>
      <c r="T37" s="3" t="str">
        <f t="shared" si="6"/>
        <v>Leistungswert eintragen</v>
      </c>
      <c r="U37" s="3">
        <f t="shared" si="7"/>
        <v>168.75</v>
      </c>
      <c r="V37" s="3">
        <f t="shared" si="8"/>
        <v>0</v>
      </c>
    </row>
    <row r="38" spans="1:22" ht="15" customHeight="1" x14ac:dyDescent="0.2">
      <c r="A38" s="70">
        <v>17</v>
      </c>
      <c r="B38" s="84" t="s">
        <v>314</v>
      </c>
      <c r="C38" s="85" t="s">
        <v>230</v>
      </c>
      <c r="D38" s="85"/>
      <c r="E38" s="85" t="s">
        <v>303</v>
      </c>
      <c r="F38" s="85" t="s">
        <v>334</v>
      </c>
      <c r="G38" s="51">
        <v>9.86</v>
      </c>
      <c r="H38" s="51"/>
      <c r="I38" s="51"/>
      <c r="J38" s="70" t="s">
        <v>208</v>
      </c>
      <c r="K38" s="51">
        <v>2</v>
      </c>
      <c r="L38" s="31">
        <f>VLOOKUP(K38,Reinigungstage!A10:E31,5,FALSE)</f>
        <v>104.91</v>
      </c>
      <c r="M38" s="31">
        <f t="shared" si="0"/>
        <v>1034.4100000000001</v>
      </c>
      <c r="N38" s="87">
        <f t="shared" si="1"/>
        <v>0</v>
      </c>
      <c r="O38" s="31">
        <f ca="1">IF('SVS UnterhaltsRG'!H61="",0,'SVS UnterhaltsRG'!H61)</f>
        <v>0</v>
      </c>
      <c r="P38" s="31">
        <f t="shared" si="2"/>
        <v>0</v>
      </c>
      <c r="Q38" s="31">
        <f t="shared" ca="1" si="3"/>
        <v>0</v>
      </c>
      <c r="R38" s="31">
        <f t="shared" si="4"/>
        <v>0</v>
      </c>
      <c r="S38" s="31">
        <f t="shared" ca="1" si="5"/>
        <v>0</v>
      </c>
      <c r="T38" s="3" t="str">
        <f t="shared" si="6"/>
        <v>Leistungswert eintragen</v>
      </c>
      <c r="U38" s="3">
        <f t="shared" si="7"/>
        <v>168.75</v>
      </c>
      <c r="V38" s="3">
        <f t="shared" si="8"/>
        <v>0</v>
      </c>
    </row>
    <row r="39" spans="1:22" ht="15" customHeight="1" x14ac:dyDescent="0.2">
      <c r="A39" s="70">
        <v>18</v>
      </c>
      <c r="B39" s="84" t="s">
        <v>315</v>
      </c>
      <c r="C39" s="85" t="s">
        <v>230</v>
      </c>
      <c r="D39" s="85"/>
      <c r="E39" s="85" t="s">
        <v>303</v>
      </c>
      <c r="F39" s="85" t="s">
        <v>206</v>
      </c>
      <c r="G39" s="51">
        <v>21.94</v>
      </c>
      <c r="H39" s="51"/>
      <c r="I39" s="51"/>
      <c r="J39" s="70" t="s">
        <v>208</v>
      </c>
      <c r="K39" s="51">
        <v>2</v>
      </c>
      <c r="L39" s="31">
        <f>VLOOKUP(K39,Reinigungstage!A10:E31,5,FALSE)</f>
        <v>104.91</v>
      </c>
      <c r="M39" s="31">
        <f t="shared" si="0"/>
        <v>2301.73</v>
      </c>
      <c r="N39" s="87">
        <f t="shared" si="1"/>
        <v>0</v>
      </c>
      <c r="O39" s="31">
        <f ca="1">IF('SVS UnterhaltsRG'!H61="",0,'SVS UnterhaltsRG'!H61)</f>
        <v>0</v>
      </c>
      <c r="P39" s="31">
        <f t="shared" si="2"/>
        <v>0</v>
      </c>
      <c r="Q39" s="31">
        <f t="shared" ca="1" si="3"/>
        <v>0</v>
      </c>
      <c r="R39" s="31">
        <f t="shared" si="4"/>
        <v>0</v>
      </c>
      <c r="S39" s="31">
        <f t="shared" ca="1" si="5"/>
        <v>0</v>
      </c>
      <c r="T39" s="3" t="str">
        <f t="shared" si="6"/>
        <v>Leistungswert eintragen</v>
      </c>
      <c r="U39" s="3">
        <f t="shared" si="7"/>
        <v>168.75</v>
      </c>
      <c r="V39" s="3">
        <f t="shared" si="8"/>
        <v>0</v>
      </c>
    </row>
    <row r="40" spans="1:22" ht="15" customHeight="1" x14ac:dyDescent="0.2">
      <c r="A40" s="70">
        <v>19</v>
      </c>
      <c r="B40" s="84" t="s">
        <v>342</v>
      </c>
      <c r="C40" s="85" t="s">
        <v>230</v>
      </c>
      <c r="D40" s="85"/>
      <c r="E40" s="85" t="s">
        <v>303</v>
      </c>
      <c r="F40" s="85" t="s">
        <v>206</v>
      </c>
      <c r="G40" s="51">
        <v>12.5</v>
      </c>
      <c r="H40" s="51"/>
      <c r="I40" s="51"/>
      <c r="J40" s="70" t="s">
        <v>208</v>
      </c>
      <c r="K40" s="51">
        <v>2</v>
      </c>
      <c r="L40" s="31">
        <f>VLOOKUP(K40,Reinigungstage!A10:E31,5,FALSE)</f>
        <v>104.91</v>
      </c>
      <c r="M40" s="31">
        <f t="shared" si="0"/>
        <v>1311.38</v>
      </c>
      <c r="N40" s="87">
        <f t="shared" si="1"/>
        <v>0</v>
      </c>
      <c r="O40" s="31">
        <f ca="1">IF('SVS UnterhaltsRG'!H61="",0,'SVS UnterhaltsRG'!H61)</f>
        <v>0</v>
      </c>
      <c r="P40" s="31">
        <f t="shared" si="2"/>
        <v>0</v>
      </c>
      <c r="Q40" s="31">
        <f t="shared" ca="1" si="3"/>
        <v>0</v>
      </c>
      <c r="R40" s="31">
        <f t="shared" si="4"/>
        <v>0</v>
      </c>
      <c r="S40" s="31">
        <f t="shared" ca="1" si="5"/>
        <v>0</v>
      </c>
      <c r="T40" s="3" t="str">
        <f t="shared" si="6"/>
        <v>Leistungswert eintragen</v>
      </c>
      <c r="U40" s="3">
        <f t="shared" si="7"/>
        <v>168.75</v>
      </c>
      <c r="V40" s="3">
        <f t="shared" si="8"/>
        <v>0</v>
      </c>
    </row>
    <row r="41" spans="1:22" ht="15" customHeight="1" x14ac:dyDescent="0.2">
      <c r="A41" s="70">
        <v>20</v>
      </c>
      <c r="B41" s="84" t="s">
        <v>343</v>
      </c>
      <c r="C41" s="85" t="s">
        <v>230</v>
      </c>
      <c r="D41" s="85"/>
      <c r="E41" s="85" t="s">
        <v>303</v>
      </c>
      <c r="F41" s="85" t="s">
        <v>206</v>
      </c>
      <c r="G41" s="51">
        <v>13.37</v>
      </c>
      <c r="H41" s="51"/>
      <c r="I41" s="51"/>
      <c r="J41" s="70" t="s">
        <v>208</v>
      </c>
      <c r="K41" s="51">
        <v>2</v>
      </c>
      <c r="L41" s="31">
        <f>VLOOKUP(K41,Reinigungstage!A10:E31,5,FALSE)</f>
        <v>104.91</v>
      </c>
      <c r="M41" s="31">
        <f t="shared" si="0"/>
        <v>1402.65</v>
      </c>
      <c r="N41" s="87">
        <f t="shared" si="1"/>
        <v>0</v>
      </c>
      <c r="O41" s="31">
        <f ca="1">IF('SVS UnterhaltsRG'!H61="",0,'SVS UnterhaltsRG'!H61)</f>
        <v>0</v>
      </c>
      <c r="P41" s="31">
        <f t="shared" si="2"/>
        <v>0</v>
      </c>
      <c r="Q41" s="31">
        <f t="shared" ca="1" si="3"/>
        <v>0</v>
      </c>
      <c r="R41" s="31">
        <f t="shared" si="4"/>
        <v>0</v>
      </c>
      <c r="S41" s="31">
        <f t="shared" ca="1" si="5"/>
        <v>0</v>
      </c>
      <c r="T41" s="3" t="str">
        <f t="shared" si="6"/>
        <v>Leistungswert eintragen</v>
      </c>
      <c r="U41" s="3">
        <f t="shared" si="7"/>
        <v>168.75</v>
      </c>
      <c r="V41" s="3">
        <f t="shared" si="8"/>
        <v>0</v>
      </c>
    </row>
    <row r="42" spans="1:22" ht="15" customHeight="1" x14ac:dyDescent="0.2">
      <c r="A42" s="70">
        <v>21</v>
      </c>
      <c r="B42" s="84" t="s">
        <v>344</v>
      </c>
      <c r="C42" s="85" t="s">
        <v>230</v>
      </c>
      <c r="D42" s="85"/>
      <c r="E42" s="85" t="s">
        <v>345</v>
      </c>
      <c r="F42" s="85" t="s">
        <v>206</v>
      </c>
      <c r="G42" s="51">
        <v>9.4</v>
      </c>
      <c r="H42" s="51"/>
      <c r="I42" s="51"/>
      <c r="J42" s="70" t="s">
        <v>280</v>
      </c>
      <c r="K42" s="51">
        <v>0</v>
      </c>
      <c r="L42" s="31">
        <f>VLOOKUP(K42,Reinigungstage!A10:E31,5,FALSE)</f>
        <v>0</v>
      </c>
      <c r="M42" s="31">
        <f t="shared" si="0"/>
        <v>0</v>
      </c>
      <c r="N42" s="87">
        <f t="shared" si="1"/>
        <v>0</v>
      </c>
      <c r="O42" s="31">
        <f ca="1">IF('SVS UnterhaltsRG'!H61="",0,'SVS UnterhaltsRG'!H61)</f>
        <v>0</v>
      </c>
      <c r="P42" s="31">
        <f t="shared" si="2"/>
        <v>0</v>
      </c>
      <c r="Q42" s="31">
        <f t="shared" si="3"/>
        <v>0</v>
      </c>
      <c r="R42" s="31">
        <f t="shared" si="4"/>
        <v>0</v>
      </c>
      <c r="S42" s="31">
        <f t="shared" si="5"/>
        <v>0</v>
      </c>
      <c r="T42" s="3" t="str">
        <f t="shared" si="6"/>
        <v/>
      </c>
      <c r="U42" s="3">
        <f t="shared" si="7"/>
        <v>262.5</v>
      </c>
      <c r="V42" s="3">
        <f t="shared" si="8"/>
        <v>0</v>
      </c>
    </row>
    <row r="43" spans="1:22" ht="15" customHeight="1" x14ac:dyDescent="0.2">
      <c r="A43" s="70">
        <v>22</v>
      </c>
      <c r="B43" s="84" t="s">
        <v>346</v>
      </c>
      <c r="C43" s="85" t="s">
        <v>230</v>
      </c>
      <c r="D43" s="85"/>
      <c r="E43" s="85" t="s">
        <v>347</v>
      </c>
      <c r="F43" s="85" t="s">
        <v>206</v>
      </c>
      <c r="G43" s="51">
        <v>23.06</v>
      </c>
      <c r="H43" s="51"/>
      <c r="I43" s="51"/>
      <c r="J43" s="70" t="s">
        <v>275</v>
      </c>
      <c r="K43" s="51">
        <v>2</v>
      </c>
      <c r="L43" s="31">
        <f>VLOOKUP(K43,Reinigungstage!A10:E31,5,FALSE)</f>
        <v>104.91</v>
      </c>
      <c r="M43" s="31">
        <f t="shared" si="0"/>
        <v>2419.2199999999998</v>
      </c>
      <c r="N43" s="87">
        <f t="shared" si="1"/>
        <v>0</v>
      </c>
      <c r="O43" s="31">
        <f ca="1">IF('SVS UnterhaltsRG'!H61="",0,'SVS UnterhaltsRG'!H61)</f>
        <v>0</v>
      </c>
      <c r="P43" s="31">
        <f t="shared" si="2"/>
        <v>0</v>
      </c>
      <c r="Q43" s="31">
        <f t="shared" ca="1" si="3"/>
        <v>0</v>
      </c>
      <c r="R43" s="31">
        <f t="shared" si="4"/>
        <v>0</v>
      </c>
      <c r="S43" s="31">
        <f t="shared" ca="1" si="5"/>
        <v>0</v>
      </c>
      <c r="T43" s="3" t="str">
        <f t="shared" si="6"/>
        <v>Leistungswert eintragen</v>
      </c>
      <c r="U43" s="3">
        <f t="shared" si="7"/>
        <v>140</v>
      </c>
      <c r="V43" s="3">
        <f t="shared" si="8"/>
        <v>0</v>
      </c>
    </row>
    <row r="44" spans="1:22" ht="15" customHeight="1" x14ac:dyDescent="0.2">
      <c r="A44" s="70">
        <v>23</v>
      </c>
      <c r="B44" s="84" t="s">
        <v>348</v>
      </c>
      <c r="C44" s="85" t="s">
        <v>230</v>
      </c>
      <c r="D44" s="85"/>
      <c r="E44" s="85" t="s">
        <v>303</v>
      </c>
      <c r="F44" s="85" t="s">
        <v>206</v>
      </c>
      <c r="G44" s="51">
        <v>14.92</v>
      </c>
      <c r="H44" s="51"/>
      <c r="I44" s="51"/>
      <c r="J44" s="70" t="s">
        <v>208</v>
      </c>
      <c r="K44" s="51">
        <v>2</v>
      </c>
      <c r="L44" s="31">
        <f>VLOOKUP(K44,Reinigungstage!A10:E31,5,FALSE)</f>
        <v>104.91</v>
      </c>
      <c r="M44" s="31">
        <f t="shared" si="0"/>
        <v>1565.26</v>
      </c>
      <c r="N44" s="87">
        <f t="shared" si="1"/>
        <v>0</v>
      </c>
      <c r="O44" s="31">
        <f ca="1">IF('SVS UnterhaltsRG'!H61="",0,'SVS UnterhaltsRG'!H61)</f>
        <v>0</v>
      </c>
      <c r="P44" s="31">
        <f t="shared" si="2"/>
        <v>0</v>
      </c>
      <c r="Q44" s="31">
        <f t="shared" ca="1" si="3"/>
        <v>0</v>
      </c>
      <c r="R44" s="31">
        <f t="shared" si="4"/>
        <v>0</v>
      </c>
      <c r="S44" s="31">
        <f t="shared" ca="1" si="5"/>
        <v>0</v>
      </c>
      <c r="T44" s="3" t="str">
        <f t="shared" si="6"/>
        <v>Leistungswert eintragen</v>
      </c>
      <c r="U44" s="3">
        <f t="shared" si="7"/>
        <v>168.75</v>
      </c>
      <c r="V44" s="3">
        <f t="shared" si="8"/>
        <v>0</v>
      </c>
    </row>
    <row r="45" spans="1:22" ht="15" customHeight="1" x14ac:dyDescent="0.2">
      <c r="A45" s="70">
        <v>24</v>
      </c>
      <c r="B45" s="84" t="s">
        <v>349</v>
      </c>
      <c r="C45" s="85" t="s">
        <v>230</v>
      </c>
      <c r="D45" s="85"/>
      <c r="E45" s="85" t="s">
        <v>303</v>
      </c>
      <c r="F45" s="85" t="s">
        <v>206</v>
      </c>
      <c r="G45" s="51">
        <v>12.64</v>
      </c>
      <c r="H45" s="51"/>
      <c r="I45" s="51"/>
      <c r="J45" s="70" t="s">
        <v>208</v>
      </c>
      <c r="K45" s="51">
        <v>2</v>
      </c>
      <c r="L45" s="31">
        <f>VLOOKUP(K45,Reinigungstage!A10:E31,5,FALSE)</f>
        <v>104.91</v>
      </c>
      <c r="M45" s="31">
        <f t="shared" si="0"/>
        <v>1326.06</v>
      </c>
      <c r="N45" s="87">
        <f t="shared" si="1"/>
        <v>0</v>
      </c>
      <c r="O45" s="31">
        <f ca="1">IF('SVS UnterhaltsRG'!H61="",0,'SVS UnterhaltsRG'!H61)</f>
        <v>0</v>
      </c>
      <c r="P45" s="31">
        <f t="shared" si="2"/>
        <v>0</v>
      </c>
      <c r="Q45" s="31">
        <f t="shared" ca="1" si="3"/>
        <v>0</v>
      </c>
      <c r="R45" s="31">
        <f t="shared" si="4"/>
        <v>0</v>
      </c>
      <c r="S45" s="31">
        <f t="shared" ca="1" si="5"/>
        <v>0</v>
      </c>
      <c r="T45" s="3" t="str">
        <f t="shared" si="6"/>
        <v>Leistungswert eintragen</v>
      </c>
      <c r="U45" s="3">
        <f t="shared" si="7"/>
        <v>168.75</v>
      </c>
      <c r="V45" s="3">
        <f t="shared" si="8"/>
        <v>0</v>
      </c>
    </row>
    <row r="46" spans="1:22" ht="15" customHeight="1" x14ac:dyDescent="0.2">
      <c r="A46" s="70">
        <v>25</v>
      </c>
      <c r="B46" s="84">
        <v>218</v>
      </c>
      <c r="C46" s="85" t="s">
        <v>230</v>
      </c>
      <c r="D46" s="85"/>
      <c r="E46" s="85" t="s">
        <v>303</v>
      </c>
      <c r="F46" s="85" t="s">
        <v>206</v>
      </c>
      <c r="G46" s="51">
        <v>24.21</v>
      </c>
      <c r="H46" s="51"/>
      <c r="I46" s="51"/>
      <c r="J46" s="70" t="s">
        <v>208</v>
      </c>
      <c r="K46" s="51">
        <v>2</v>
      </c>
      <c r="L46" s="31">
        <f>VLOOKUP(K46,Reinigungstage!A10:E31,5,FALSE)</f>
        <v>104.91</v>
      </c>
      <c r="M46" s="31">
        <f t="shared" si="0"/>
        <v>2539.87</v>
      </c>
      <c r="N46" s="87">
        <f t="shared" si="1"/>
        <v>0</v>
      </c>
      <c r="O46" s="31">
        <f ca="1">IF('SVS UnterhaltsRG'!H61="",0,'SVS UnterhaltsRG'!H61)</f>
        <v>0</v>
      </c>
      <c r="P46" s="31">
        <f t="shared" si="2"/>
        <v>0</v>
      </c>
      <c r="Q46" s="31">
        <f t="shared" ca="1" si="3"/>
        <v>0</v>
      </c>
      <c r="R46" s="31">
        <f t="shared" si="4"/>
        <v>0</v>
      </c>
      <c r="S46" s="31">
        <f t="shared" ca="1" si="5"/>
        <v>0</v>
      </c>
      <c r="T46" s="3" t="str">
        <f t="shared" si="6"/>
        <v>Leistungswert eintragen</v>
      </c>
      <c r="U46" s="3">
        <f t="shared" si="7"/>
        <v>168.75</v>
      </c>
      <c r="V46" s="3">
        <f t="shared" si="8"/>
        <v>0</v>
      </c>
    </row>
    <row r="47" spans="1:22" ht="15" customHeight="1" x14ac:dyDescent="0.2">
      <c r="A47" s="70">
        <v>26</v>
      </c>
      <c r="B47" s="84"/>
      <c r="C47" s="85" t="s">
        <v>230</v>
      </c>
      <c r="D47" s="85"/>
      <c r="E47" s="85" t="s">
        <v>328</v>
      </c>
      <c r="F47" s="85" t="s">
        <v>334</v>
      </c>
      <c r="G47" s="51">
        <v>103.28</v>
      </c>
      <c r="H47" s="51"/>
      <c r="I47" s="51"/>
      <c r="J47" s="70" t="s">
        <v>278</v>
      </c>
      <c r="K47" s="51">
        <v>3</v>
      </c>
      <c r="L47" s="31">
        <f>VLOOKUP(K47,Reinigungstage!A10:E31,5,FALSE)</f>
        <v>151.5</v>
      </c>
      <c r="M47" s="31">
        <f t="shared" si="0"/>
        <v>15646.92</v>
      </c>
      <c r="N47" s="87">
        <f t="shared" si="1"/>
        <v>0</v>
      </c>
      <c r="O47" s="31">
        <f ca="1">IF('SVS UnterhaltsRG'!H61="",0,'SVS UnterhaltsRG'!H61)</f>
        <v>0</v>
      </c>
      <c r="P47" s="31">
        <f t="shared" si="2"/>
        <v>0</v>
      </c>
      <c r="Q47" s="31">
        <f t="shared" ca="1" si="3"/>
        <v>0</v>
      </c>
      <c r="R47" s="31">
        <f t="shared" si="4"/>
        <v>0</v>
      </c>
      <c r="S47" s="31">
        <f t="shared" ca="1" si="5"/>
        <v>0</v>
      </c>
      <c r="T47" s="3" t="str">
        <f t="shared" si="6"/>
        <v>Leistungswert eintragen</v>
      </c>
      <c r="U47" s="3">
        <f t="shared" si="7"/>
        <v>300</v>
      </c>
      <c r="V47" s="3">
        <f t="shared" si="8"/>
        <v>0</v>
      </c>
    </row>
    <row r="48" spans="1:22" ht="15" customHeight="1" x14ac:dyDescent="0.2">
      <c r="A48" s="70">
        <v>27</v>
      </c>
      <c r="B48" s="84"/>
      <c r="C48" s="85" t="s">
        <v>230</v>
      </c>
      <c r="D48" s="85"/>
      <c r="E48" s="85" t="s">
        <v>220</v>
      </c>
      <c r="F48" s="85" t="s">
        <v>217</v>
      </c>
      <c r="G48" s="51">
        <v>9.5</v>
      </c>
      <c r="H48" s="51"/>
      <c r="I48" s="51"/>
      <c r="J48" s="70" t="s">
        <v>276</v>
      </c>
      <c r="K48" s="51">
        <v>3</v>
      </c>
      <c r="L48" s="31">
        <f>VLOOKUP(K48,Reinigungstage!A10:E31,5,FALSE)</f>
        <v>151.5</v>
      </c>
      <c r="M48" s="31">
        <f t="shared" si="0"/>
        <v>1439.25</v>
      </c>
      <c r="N48" s="87">
        <f t="shared" si="1"/>
        <v>0</v>
      </c>
      <c r="O48" s="31">
        <f ca="1">IF('SVS UnterhaltsRG'!H61="",0,'SVS UnterhaltsRG'!H61)</f>
        <v>0</v>
      </c>
      <c r="P48" s="31">
        <f t="shared" si="2"/>
        <v>0</v>
      </c>
      <c r="Q48" s="31">
        <f t="shared" ca="1" si="3"/>
        <v>0</v>
      </c>
      <c r="R48" s="31">
        <f t="shared" si="4"/>
        <v>0</v>
      </c>
      <c r="S48" s="31">
        <f t="shared" ca="1" si="5"/>
        <v>0</v>
      </c>
      <c r="T48" s="3" t="str">
        <f t="shared" si="6"/>
        <v>Leistungswert eintragen</v>
      </c>
      <c r="U48" s="3">
        <f t="shared" si="7"/>
        <v>63.75</v>
      </c>
      <c r="V48" s="3">
        <f t="shared" si="8"/>
        <v>0</v>
      </c>
    </row>
    <row r="49" spans="1:22" ht="15" customHeight="1" x14ac:dyDescent="0.2">
      <c r="A49" s="70">
        <v>28</v>
      </c>
      <c r="B49" s="84"/>
      <c r="C49" s="85" t="s">
        <v>230</v>
      </c>
      <c r="D49" s="85"/>
      <c r="E49" s="85" t="s">
        <v>216</v>
      </c>
      <c r="F49" s="85" t="s">
        <v>217</v>
      </c>
      <c r="G49" s="51">
        <v>11.2</v>
      </c>
      <c r="H49" s="51"/>
      <c r="I49" s="51"/>
      <c r="J49" s="70" t="s">
        <v>276</v>
      </c>
      <c r="K49" s="51">
        <v>3</v>
      </c>
      <c r="L49" s="31">
        <f>VLOOKUP(K49,Reinigungstage!A10:E31,5,FALSE)</f>
        <v>151.5</v>
      </c>
      <c r="M49" s="31">
        <f t="shared" si="0"/>
        <v>1696.8</v>
      </c>
      <c r="N49" s="87">
        <f t="shared" si="1"/>
        <v>0</v>
      </c>
      <c r="O49" s="31">
        <f ca="1">IF('SVS UnterhaltsRG'!H61="",0,'SVS UnterhaltsRG'!H61)</f>
        <v>0</v>
      </c>
      <c r="P49" s="31">
        <f t="shared" si="2"/>
        <v>0</v>
      </c>
      <c r="Q49" s="31">
        <f t="shared" ca="1" si="3"/>
        <v>0</v>
      </c>
      <c r="R49" s="31">
        <f t="shared" si="4"/>
        <v>0</v>
      </c>
      <c r="S49" s="31">
        <f t="shared" ca="1" si="5"/>
        <v>0</v>
      </c>
      <c r="T49" s="3" t="str">
        <f t="shared" si="6"/>
        <v>Leistungswert eintragen</v>
      </c>
      <c r="U49" s="3">
        <f t="shared" si="7"/>
        <v>63.75</v>
      </c>
      <c r="V49" s="3">
        <f t="shared" si="8"/>
        <v>0</v>
      </c>
    </row>
    <row r="50" spans="1:22" ht="15" customHeight="1" x14ac:dyDescent="0.2">
      <c r="A50" s="70">
        <v>29</v>
      </c>
      <c r="B50" s="84"/>
      <c r="C50" s="85" t="s">
        <v>230</v>
      </c>
      <c r="D50" s="85" t="s">
        <v>350</v>
      </c>
      <c r="E50" s="85" t="s">
        <v>351</v>
      </c>
      <c r="F50" s="85" t="s">
        <v>317</v>
      </c>
      <c r="G50" s="51">
        <v>12.2</v>
      </c>
      <c r="H50" s="51"/>
      <c r="I50" s="51"/>
      <c r="J50" s="70" t="s">
        <v>279</v>
      </c>
      <c r="K50" s="70" t="s">
        <v>136</v>
      </c>
      <c r="L50" s="31">
        <f>VLOOKUP(K50,Reinigungstage!A10:E31,5,FALSE)</f>
        <v>12</v>
      </c>
      <c r="M50" s="31">
        <f t="shared" si="0"/>
        <v>146.4</v>
      </c>
      <c r="N50" s="87">
        <f t="shared" si="1"/>
        <v>0</v>
      </c>
      <c r="O50" s="31">
        <f ca="1">IF('SVS UnterhaltsRG'!H61="",0,'SVS UnterhaltsRG'!H61)</f>
        <v>0</v>
      </c>
      <c r="P50" s="31">
        <f t="shared" si="2"/>
        <v>0</v>
      </c>
      <c r="Q50" s="31">
        <f t="shared" ca="1" si="3"/>
        <v>0</v>
      </c>
      <c r="R50" s="31">
        <f t="shared" si="4"/>
        <v>0</v>
      </c>
      <c r="S50" s="31">
        <f t="shared" ca="1" si="5"/>
        <v>0</v>
      </c>
      <c r="T50" s="3" t="str">
        <f t="shared" si="6"/>
        <v>Leistungswert eintragen</v>
      </c>
      <c r="U50" s="3">
        <f t="shared" si="7"/>
        <v>138.75</v>
      </c>
      <c r="V50" s="3">
        <f t="shared" si="8"/>
        <v>0</v>
      </c>
    </row>
    <row r="51" spans="1:22" ht="15" customHeight="1" x14ac:dyDescent="0.2">
      <c r="A51" s="70">
        <v>30</v>
      </c>
      <c r="B51" s="84"/>
      <c r="C51" s="85" t="s">
        <v>230</v>
      </c>
      <c r="D51" s="85" t="s">
        <v>352</v>
      </c>
      <c r="E51" s="85" t="s">
        <v>351</v>
      </c>
      <c r="F51" s="85" t="s">
        <v>317</v>
      </c>
      <c r="G51" s="51">
        <v>9.06</v>
      </c>
      <c r="H51" s="51"/>
      <c r="I51" s="51"/>
      <c r="J51" s="70" t="s">
        <v>279</v>
      </c>
      <c r="K51" s="70" t="s">
        <v>136</v>
      </c>
      <c r="L51" s="31">
        <f>VLOOKUP(K51,Reinigungstage!A10:E31,5,FALSE)</f>
        <v>12</v>
      </c>
      <c r="M51" s="31">
        <f t="shared" si="0"/>
        <v>108.72</v>
      </c>
      <c r="N51" s="87">
        <f t="shared" si="1"/>
        <v>0</v>
      </c>
      <c r="O51" s="31">
        <f ca="1">IF('SVS UnterhaltsRG'!H61="",0,'SVS UnterhaltsRG'!H61)</f>
        <v>0</v>
      </c>
      <c r="P51" s="31">
        <f t="shared" si="2"/>
        <v>0</v>
      </c>
      <c r="Q51" s="31">
        <f t="shared" ca="1" si="3"/>
        <v>0</v>
      </c>
      <c r="R51" s="31">
        <f t="shared" si="4"/>
        <v>0</v>
      </c>
      <c r="S51" s="31">
        <f t="shared" ca="1" si="5"/>
        <v>0</v>
      </c>
      <c r="T51" s="3" t="str">
        <f t="shared" si="6"/>
        <v>Leistungswert eintragen</v>
      </c>
      <c r="U51" s="3">
        <f t="shared" si="7"/>
        <v>138.75</v>
      </c>
      <c r="V51" s="3">
        <f t="shared" si="8"/>
        <v>0</v>
      </c>
    </row>
    <row r="52" spans="1:22" ht="15" customHeight="1" x14ac:dyDescent="0.2">
      <c r="A52" s="70">
        <v>31</v>
      </c>
      <c r="B52" s="84" t="s">
        <v>353</v>
      </c>
      <c r="C52" s="85" t="s">
        <v>252</v>
      </c>
      <c r="D52" s="85" t="s">
        <v>354</v>
      </c>
      <c r="E52" s="85" t="s">
        <v>329</v>
      </c>
      <c r="F52" s="85" t="s">
        <v>206</v>
      </c>
      <c r="G52" s="51">
        <v>81.86</v>
      </c>
      <c r="H52" s="51"/>
      <c r="I52" s="51"/>
      <c r="J52" s="70" t="s">
        <v>208</v>
      </c>
      <c r="K52" s="51">
        <v>2</v>
      </c>
      <c r="L52" s="31">
        <f>VLOOKUP(K52,Reinigungstage!A10:E31,5,FALSE)</f>
        <v>104.91</v>
      </c>
      <c r="M52" s="31">
        <f t="shared" si="0"/>
        <v>8587.93</v>
      </c>
      <c r="N52" s="87">
        <f t="shared" si="1"/>
        <v>0</v>
      </c>
      <c r="O52" s="31">
        <f ca="1">IF('SVS UnterhaltsRG'!H61="",0,'SVS UnterhaltsRG'!H61)</f>
        <v>0</v>
      </c>
      <c r="P52" s="31">
        <f t="shared" si="2"/>
        <v>0</v>
      </c>
      <c r="Q52" s="31">
        <f t="shared" ca="1" si="3"/>
        <v>0</v>
      </c>
      <c r="R52" s="31">
        <f t="shared" si="4"/>
        <v>0</v>
      </c>
      <c r="S52" s="31">
        <f t="shared" ca="1" si="5"/>
        <v>0</v>
      </c>
      <c r="T52" s="3" t="str">
        <f t="shared" si="6"/>
        <v>Leistungswert eintragen</v>
      </c>
      <c r="U52" s="3">
        <f t="shared" si="7"/>
        <v>168.75</v>
      </c>
      <c r="V52" s="3">
        <f t="shared" si="8"/>
        <v>0</v>
      </c>
    </row>
    <row r="53" spans="1:22" ht="15" customHeight="1" x14ac:dyDescent="0.2">
      <c r="A53" s="70">
        <v>32</v>
      </c>
      <c r="B53" s="84"/>
      <c r="C53" s="85" t="s">
        <v>252</v>
      </c>
      <c r="D53" s="85" t="s">
        <v>354</v>
      </c>
      <c r="E53" s="85" t="s">
        <v>355</v>
      </c>
      <c r="F53" s="85" t="s">
        <v>206</v>
      </c>
      <c r="G53" s="51">
        <v>13.83</v>
      </c>
      <c r="H53" s="51"/>
      <c r="I53" s="51"/>
      <c r="J53" s="70" t="s">
        <v>208</v>
      </c>
      <c r="K53" s="51">
        <v>2</v>
      </c>
      <c r="L53" s="31">
        <f>VLOOKUP(K53,Reinigungstage!A10:E31,5,FALSE)</f>
        <v>104.91</v>
      </c>
      <c r="M53" s="31">
        <f t="shared" si="0"/>
        <v>1450.91</v>
      </c>
      <c r="N53" s="87">
        <f t="shared" si="1"/>
        <v>0</v>
      </c>
      <c r="O53" s="31">
        <f ca="1">IF('SVS UnterhaltsRG'!H61="",0,'SVS UnterhaltsRG'!H61)</f>
        <v>0</v>
      </c>
      <c r="P53" s="31">
        <f t="shared" si="2"/>
        <v>0</v>
      </c>
      <c r="Q53" s="31">
        <f t="shared" ca="1" si="3"/>
        <v>0</v>
      </c>
      <c r="R53" s="31">
        <f t="shared" si="4"/>
        <v>0</v>
      </c>
      <c r="S53" s="31">
        <f t="shared" ca="1" si="5"/>
        <v>0</v>
      </c>
      <c r="T53" s="3" t="str">
        <f t="shared" si="6"/>
        <v>Leistungswert eintragen</v>
      </c>
      <c r="U53" s="3">
        <f t="shared" si="7"/>
        <v>168.75</v>
      </c>
      <c r="V53" s="3">
        <f t="shared" si="8"/>
        <v>0</v>
      </c>
    </row>
    <row r="54" spans="1:22" ht="15" customHeight="1" x14ac:dyDescent="0.2">
      <c r="A54" s="70">
        <v>33</v>
      </c>
      <c r="B54" s="84">
        <v>101</v>
      </c>
      <c r="C54" s="85" t="s">
        <v>252</v>
      </c>
      <c r="D54" s="85" t="s">
        <v>354</v>
      </c>
      <c r="E54" s="85" t="s">
        <v>283</v>
      </c>
      <c r="F54" s="85" t="s">
        <v>334</v>
      </c>
      <c r="G54" s="51">
        <v>11.75</v>
      </c>
      <c r="H54" s="51"/>
      <c r="I54" s="51"/>
      <c r="J54" s="70" t="s">
        <v>275</v>
      </c>
      <c r="K54" s="51">
        <v>2</v>
      </c>
      <c r="L54" s="31">
        <f>VLOOKUP(K54,Reinigungstage!A10:E31,5,FALSE)</f>
        <v>104.91</v>
      </c>
      <c r="M54" s="31">
        <f t="shared" ref="M54:M71" si="9">ROUND(IF(L54=0,0,L54*G54),2)</f>
        <v>1232.69</v>
      </c>
      <c r="N54" s="87">
        <f t="shared" ref="N54:N71" si="10">VLOOKUP(J54,$G$4:$H$10,2,FALSE)</f>
        <v>0</v>
      </c>
      <c r="O54" s="31">
        <f ca="1">IF('SVS UnterhaltsRG'!H61="",0,'SVS UnterhaltsRG'!H61)</f>
        <v>0</v>
      </c>
      <c r="P54" s="31">
        <f t="shared" ref="P54:P71" si="11">ROUND(IF(N54=0,0,M54/N54),2)</f>
        <v>0</v>
      </c>
      <c r="Q54" s="31">
        <f t="shared" ref="Q54:Q71" ca="1" si="12">IF(M54=0,0,IF(O54="",0,ROUND(P54*O54,2)))</f>
        <v>0</v>
      </c>
      <c r="R54" s="31">
        <f t="shared" ref="R54:R71" si="13">ROUND(IF(P54=0,0,P54/L54),2)</f>
        <v>0</v>
      </c>
      <c r="S54" s="31">
        <f t="shared" ref="S54:S71" ca="1" si="14">ROUND(IF(Q54=0,0,Q54/L54),2)</f>
        <v>0</v>
      </c>
      <c r="T54" s="3" t="str">
        <f t="shared" ref="T54:T71" si="15">IF(M54=0,"",IF(N54=0,"Leistungswert eintragen",IF(O54=0,"SVS prüfen","")))</f>
        <v>Leistungswert eintragen</v>
      </c>
      <c r="U54" s="3">
        <f t="shared" ref="U54:U71" si="16">VLOOKUP(J54,$U$4:$V$10,2,FALSE)</f>
        <v>140</v>
      </c>
      <c r="V54" s="3">
        <f t="shared" ref="V54:V71" si="17">IF(M54=0,0,IF(U54&lt;N54,1,IF(U54&gt;=N54,0,"")))</f>
        <v>0</v>
      </c>
    </row>
    <row r="55" spans="1:22" ht="15" customHeight="1" x14ac:dyDescent="0.2">
      <c r="A55" s="70">
        <v>34</v>
      </c>
      <c r="B55" s="84"/>
      <c r="C55" s="85" t="s">
        <v>252</v>
      </c>
      <c r="D55" s="85" t="s">
        <v>354</v>
      </c>
      <c r="E55" s="85" t="s">
        <v>356</v>
      </c>
      <c r="F55" s="85" t="s">
        <v>206</v>
      </c>
      <c r="G55" s="51">
        <v>2</v>
      </c>
      <c r="H55" s="51"/>
      <c r="I55" s="51"/>
      <c r="J55" s="70" t="s">
        <v>208</v>
      </c>
      <c r="K55" s="51">
        <v>2</v>
      </c>
      <c r="L55" s="31">
        <f>VLOOKUP(K55,Reinigungstage!A10:E31,5,FALSE)</f>
        <v>104.91</v>
      </c>
      <c r="M55" s="31">
        <f t="shared" si="9"/>
        <v>209.82</v>
      </c>
      <c r="N55" s="87">
        <f t="shared" si="10"/>
        <v>0</v>
      </c>
      <c r="O55" s="31">
        <f ca="1">IF('SVS UnterhaltsRG'!H61="",0,'SVS UnterhaltsRG'!H61)</f>
        <v>0</v>
      </c>
      <c r="P55" s="31">
        <f t="shared" si="11"/>
        <v>0</v>
      </c>
      <c r="Q55" s="31">
        <f t="shared" ca="1" si="12"/>
        <v>0</v>
      </c>
      <c r="R55" s="31">
        <f t="shared" si="13"/>
        <v>0</v>
      </c>
      <c r="S55" s="31">
        <f t="shared" ca="1" si="14"/>
        <v>0</v>
      </c>
      <c r="T55" s="3" t="str">
        <f t="shared" si="15"/>
        <v>Leistungswert eintragen</v>
      </c>
      <c r="U55" s="3">
        <f t="shared" si="16"/>
        <v>168.75</v>
      </c>
      <c r="V55" s="3">
        <f t="shared" si="17"/>
        <v>0</v>
      </c>
    </row>
    <row r="56" spans="1:22" ht="15" customHeight="1" x14ac:dyDescent="0.2">
      <c r="A56" s="70">
        <v>35</v>
      </c>
      <c r="B56" s="84"/>
      <c r="C56" s="85" t="s">
        <v>252</v>
      </c>
      <c r="D56" s="85" t="s">
        <v>354</v>
      </c>
      <c r="E56" s="85" t="s">
        <v>224</v>
      </c>
      <c r="F56" s="85" t="s">
        <v>206</v>
      </c>
      <c r="G56" s="51">
        <v>15.2</v>
      </c>
      <c r="H56" s="51"/>
      <c r="I56" s="51"/>
      <c r="J56" s="70" t="s">
        <v>278</v>
      </c>
      <c r="K56" s="51">
        <v>2</v>
      </c>
      <c r="L56" s="31">
        <f>VLOOKUP(K56,Reinigungstage!A10:E31,5,FALSE)</f>
        <v>104.91</v>
      </c>
      <c r="M56" s="31">
        <f t="shared" si="9"/>
        <v>1594.63</v>
      </c>
      <c r="N56" s="87">
        <f t="shared" si="10"/>
        <v>0</v>
      </c>
      <c r="O56" s="31">
        <f ca="1">IF('SVS UnterhaltsRG'!H61="",0,'SVS UnterhaltsRG'!H61)</f>
        <v>0</v>
      </c>
      <c r="P56" s="31">
        <f t="shared" si="11"/>
        <v>0</v>
      </c>
      <c r="Q56" s="31">
        <f t="shared" ca="1" si="12"/>
        <v>0</v>
      </c>
      <c r="R56" s="31">
        <f t="shared" si="13"/>
        <v>0</v>
      </c>
      <c r="S56" s="31">
        <f t="shared" ca="1" si="14"/>
        <v>0</v>
      </c>
      <c r="T56" s="3" t="str">
        <f t="shared" si="15"/>
        <v>Leistungswert eintragen</v>
      </c>
      <c r="U56" s="3">
        <f t="shared" si="16"/>
        <v>300</v>
      </c>
      <c r="V56" s="3">
        <f t="shared" si="17"/>
        <v>0</v>
      </c>
    </row>
    <row r="57" spans="1:22" ht="15" customHeight="1" x14ac:dyDescent="0.2">
      <c r="A57" s="70">
        <v>36</v>
      </c>
      <c r="B57" s="84">
        <v>105</v>
      </c>
      <c r="C57" s="85" t="s">
        <v>252</v>
      </c>
      <c r="D57" s="85"/>
      <c r="E57" s="85" t="s">
        <v>282</v>
      </c>
      <c r="F57" s="85" t="s">
        <v>206</v>
      </c>
      <c r="G57" s="51">
        <v>9.7799999999999994</v>
      </c>
      <c r="H57" s="51"/>
      <c r="I57" s="51"/>
      <c r="J57" s="70" t="s">
        <v>277</v>
      </c>
      <c r="K57" s="51">
        <v>2</v>
      </c>
      <c r="L57" s="31">
        <f>VLOOKUP(K57,Reinigungstage!A10:E31,5,FALSE)</f>
        <v>104.91</v>
      </c>
      <c r="M57" s="31">
        <f t="shared" si="9"/>
        <v>1026.02</v>
      </c>
      <c r="N57" s="87">
        <f t="shared" si="10"/>
        <v>0</v>
      </c>
      <c r="O57" s="31">
        <f ca="1">IF('SVS UnterhaltsRG'!H61="",0,'SVS UnterhaltsRG'!H61)</f>
        <v>0</v>
      </c>
      <c r="P57" s="31">
        <f t="shared" si="11"/>
        <v>0</v>
      </c>
      <c r="Q57" s="31">
        <f t="shared" ca="1" si="12"/>
        <v>0</v>
      </c>
      <c r="R57" s="31">
        <f t="shared" si="13"/>
        <v>0</v>
      </c>
      <c r="S57" s="31">
        <f t="shared" ca="1" si="14"/>
        <v>0</v>
      </c>
      <c r="T57" s="3" t="str">
        <f t="shared" si="15"/>
        <v>Leistungswert eintragen</v>
      </c>
      <c r="U57" s="3">
        <f t="shared" si="16"/>
        <v>88.75</v>
      </c>
      <c r="V57" s="3">
        <f t="shared" si="17"/>
        <v>0</v>
      </c>
    </row>
    <row r="58" spans="1:22" ht="15" customHeight="1" x14ac:dyDescent="0.2">
      <c r="A58" s="70">
        <v>37</v>
      </c>
      <c r="B58" s="84"/>
      <c r="C58" s="85" t="s">
        <v>252</v>
      </c>
      <c r="D58" s="85"/>
      <c r="E58" s="85" t="s">
        <v>328</v>
      </c>
      <c r="F58" s="85" t="s">
        <v>217</v>
      </c>
      <c r="G58" s="51">
        <v>123.58</v>
      </c>
      <c r="H58" s="51"/>
      <c r="I58" s="51"/>
      <c r="J58" s="70" t="s">
        <v>278</v>
      </c>
      <c r="K58" s="51">
        <v>3</v>
      </c>
      <c r="L58" s="31">
        <f>VLOOKUP(K58,Reinigungstage!A10:E31,5,FALSE)</f>
        <v>151.5</v>
      </c>
      <c r="M58" s="31">
        <f t="shared" si="9"/>
        <v>18722.37</v>
      </c>
      <c r="N58" s="87">
        <f t="shared" si="10"/>
        <v>0</v>
      </c>
      <c r="O58" s="31">
        <f ca="1">IF('SVS UnterhaltsRG'!H61="",0,'SVS UnterhaltsRG'!H61)</f>
        <v>0</v>
      </c>
      <c r="P58" s="31">
        <f t="shared" si="11"/>
        <v>0</v>
      </c>
      <c r="Q58" s="31">
        <f t="shared" ca="1" si="12"/>
        <v>0</v>
      </c>
      <c r="R58" s="31">
        <f t="shared" si="13"/>
        <v>0</v>
      </c>
      <c r="S58" s="31">
        <f t="shared" ca="1" si="14"/>
        <v>0</v>
      </c>
      <c r="T58" s="3" t="str">
        <f t="shared" si="15"/>
        <v>Leistungswert eintragen</v>
      </c>
      <c r="U58" s="3">
        <f t="shared" si="16"/>
        <v>300</v>
      </c>
      <c r="V58" s="3">
        <f t="shared" si="17"/>
        <v>0</v>
      </c>
    </row>
    <row r="59" spans="1:22" ht="15" customHeight="1" x14ac:dyDescent="0.2">
      <c r="A59" s="70">
        <v>38</v>
      </c>
      <c r="B59" s="84"/>
      <c r="C59" s="85" t="s">
        <v>252</v>
      </c>
      <c r="D59" s="85" t="s">
        <v>350</v>
      </c>
      <c r="E59" s="85" t="s">
        <v>357</v>
      </c>
      <c r="F59" s="85" t="s">
        <v>334</v>
      </c>
      <c r="G59" s="51">
        <v>19.62</v>
      </c>
      <c r="H59" s="51"/>
      <c r="I59" s="51"/>
      <c r="J59" s="70" t="s">
        <v>279</v>
      </c>
      <c r="K59" s="51">
        <v>3</v>
      </c>
      <c r="L59" s="31">
        <f>VLOOKUP(K59,Reinigungstage!A10:E31,5,FALSE)</f>
        <v>151.5</v>
      </c>
      <c r="M59" s="31">
        <f t="shared" si="9"/>
        <v>2972.43</v>
      </c>
      <c r="N59" s="87">
        <f t="shared" si="10"/>
        <v>0</v>
      </c>
      <c r="O59" s="31">
        <f ca="1">IF('SVS UnterhaltsRG'!H61="",0,'SVS UnterhaltsRG'!H61)</f>
        <v>0</v>
      </c>
      <c r="P59" s="31">
        <f t="shared" si="11"/>
        <v>0</v>
      </c>
      <c r="Q59" s="31">
        <f t="shared" ca="1" si="12"/>
        <v>0</v>
      </c>
      <c r="R59" s="31">
        <f t="shared" si="13"/>
        <v>0</v>
      </c>
      <c r="S59" s="31">
        <f t="shared" ca="1" si="14"/>
        <v>0</v>
      </c>
      <c r="T59" s="3" t="str">
        <f t="shared" si="15"/>
        <v>Leistungswert eintragen</v>
      </c>
      <c r="U59" s="3">
        <f t="shared" si="16"/>
        <v>138.75</v>
      </c>
      <c r="V59" s="3">
        <f t="shared" si="17"/>
        <v>0</v>
      </c>
    </row>
    <row r="60" spans="1:22" ht="31.5" x14ac:dyDescent="0.2">
      <c r="A60" s="70">
        <v>39</v>
      </c>
      <c r="B60" s="84" t="s">
        <v>358</v>
      </c>
      <c r="C60" s="85" t="s">
        <v>252</v>
      </c>
      <c r="D60" s="85"/>
      <c r="E60" s="85" t="s">
        <v>359</v>
      </c>
      <c r="F60" s="85" t="s">
        <v>206</v>
      </c>
      <c r="G60" s="51">
        <v>160</v>
      </c>
      <c r="H60" s="51"/>
      <c r="I60" s="51"/>
      <c r="J60" s="70" t="s">
        <v>208</v>
      </c>
      <c r="K60" s="51">
        <v>2</v>
      </c>
      <c r="L60" s="31">
        <f>VLOOKUP(K60,Reinigungstage!A10:E31,5,FALSE)</f>
        <v>104.91</v>
      </c>
      <c r="M60" s="31">
        <f t="shared" si="9"/>
        <v>16785.599999999999</v>
      </c>
      <c r="N60" s="87">
        <f t="shared" si="10"/>
        <v>0</v>
      </c>
      <c r="O60" s="31">
        <f ca="1">IF('SVS UnterhaltsRG'!H61="",0,'SVS UnterhaltsRG'!H61)</f>
        <v>0</v>
      </c>
      <c r="P60" s="31">
        <f t="shared" si="11"/>
        <v>0</v>
      </c>
      <c r="Q60" s="31">
        <f t="shared" ca="1" si="12"/>
        <v>0</v>
      </c>
      <c r="R60" s="31">
        <f t="shared" si="13"/>
        <v>0</v>
      </c>
      <c r="S60" s="31">
        <f t="shared" ca="1" si="14"/>
        <v>0</v>
      </c>
      <c r="T60" s="3" t="str">
        <f t="shared" si="15"/>
        <v>Leistungswert eintragen</v>
      </c>
      <c r="U60" s="3">
        <f t="shared" si="16"/>
        <v>168.75</v>
      </c>
      <c r="V60" s="3">
        <f t="shared" si="17"/>
        <v>0</v>
      </c>
    </row>
    <row r="61" spans="1:22" ht="15" customHeight="1" x14ac:dyDescent="0.2">
      <c r="A61" s="70">
        <v>40</v>
      </c>
      <c r="B61" s="84">
        <v>110</v>
      </c>
      <c r="C61" s="85" t="s">
        <v>252</v>
      </c>
      <c r="D61" s="85"/>
      <c r="E61" s="85" t="s">
        <v>303</v>
      </c>
      <c r="F61" s="85" t="s">
        <v>206</v>
      </c>
      <c r="G61" s="51">
        <v>23.25</v>
      </c>
      <c r="H61" s="51"/>
      <c r="I61" s="51"/>
      <c r="J61" s="70" t="s">
        <v>208</v>
      </c>
      <c r="K61" s="51">
        <v>2</v>
      </c>
      <c r="L61" s="31">
        <f>VLOOKUP(K61,Reinigungstage!A10:E31,5,FALSE)</f>
        <v>104.91</v>
      </c>
      <c r="M61" s="31">
        <f t="shared" si="9"/>
        <v>2439.16</v>
      </c>
      <c r="N61" s="87">
        <f t="shared" si="10"/>
        <v>0</v>
      </c>
      <c r="O61" s="31">
        <f ca="1">IF('SVS UnterhaltsRG'!H61="",0,'SVS UnterhaltsRG'!H61)</f>
        <v>0</v>
      </c>
      <c r="P61" s="31">
        <f t="shared" si="11"/>
        <v>0</v>
      </c>
      <c r="Q61" s="31">
        <f t="shared" ca="1" si="12"/>
        <v>0</v>
      </c>
      <c r="R61" s="31">
        <f t="shared" si="13"/>
        <v>0</v>
      </c>
      <c r="S61" s="31">
        <f t="shared" ca="1" si="14"/>
        <v>0</v>
      </c>
      <c r="T61" s="3" t="str">
        <f t="shared" si="15"/>
        <v>Leistungswert eintragen</v>
      </c>
      <c r="U61" s="3">
        <f t="shared" si="16"/>
        <v>168.75</v>
      </c>
      <c r="V61" s="3">
        <f t="shared" si="17"/>
        <v>0</v>
      </c>
    </row>
    <row r="62" spans="1:22" ht="15" customHeight="1" x14ac:dyDescent="0.2">
      <c r="A62" s="70">
        <v>41</v>
      </c>
      <c r="B62" s="84">
        <v>111</v>
      </c>
      <c r="C62" s="85" t="s">
        <v>252</v>
      </c>
      <c r="D62" s="85"/>
      <c r="E62" s="85" t="s">
        <v>303</v>
      </c>
      <c r="F62" s="85" t="s">
        <v>206</v>
      </c>
      <c r="G62" s="51">
        <v>22</v>
      </c>
      <c r="H62" s="51"/>
      <c r="I62" s="51"/>
      <c r="J62" s="70" t="s">
        <v>208</v>
      </c>
      <c r="K62" s="51">
        <v>2</v>
      </c>
      <c r="L62" s="31">
        <f>VLOOKUP(K62,Reinigungstage!A10:E31,5,FALSE)</f>
        <v>104.91</v>
      </c>
      <c r="M62" s="31">
        <f t="shared" si="9"/>
        <v>2308.02</v>
      </c>
      <c r="N62" s="87">
        <f t="shared" si="10"/>
        <v>0</v>
      </c>
      <c r="O62" s="31">
        <f ca="1">IF('SVS UnterhaltsRG'!H61="",0,'SVS UnterhaltsRG'!H61)</f>
        <v>0</v>
      </c>
      <c r="P62" s="31">
        <f t="shared" si="11"/>
        <v>0</v>
      </c>
      <c r="Q62" s="31">
        <f t="shared" ca="1" si="12"/>
        <v>0</v>
      </c>
      <c r="R62" s="31">
        <f t="shared" si="13"/>
        <v>0</v>
      </c>
      <c r="S62" s="31">
        <f t="shared" ca="1" si="14"/>
        <v>0</v>
      </c>
      <c r="T62" s="3" t="str">
        <f t="shared" si="15"/>
        <v>Leistungswert eintragen</v>
      </c>
      <c r="U62" s="3">
        <f t="shared" si="16"/>
        <v>168.75</v>
      </c>
      <c r="V62" s="3">
        <f t="shared" si="17"/>
        <v>0</v>
      </c>
    </row>
    <row r="63" spans="1:22" ht="15" customHeight="1" x14ac:dyDescent="0.2">
      <c r="A63" s="70">
        <v>42</v>
      </c>
      <c r="B63" s="84" t="s">
        <v>360</v>
      </c>
      <c r="C63" s="85" t="s">
        <v>252</v>
      </c>
      <c r="D63" s="85"/>
      <c r="E63" s="85" t="s">
        <v>303</v>
      </c>
      <c r="F63" s="85" t="s">
        <v>206</v>
      </c>
      <c r="G63" s="51">
        <v>12.5</v>
      </c>
      <c r="H63" s="51"/>
      <c r="I63" s="51"/>
      <c r="J63" s="70" t="s">
        <v>208</v>
      </c>
      <c r="K63" s="51">
        <v>2</v>
      </c>
      <c r="L63" s="31">
        <f>VLOOKUP(K63,Reinigungstage!A10:E31,5,FALSE)</f>
        <v>104.91</v>
      </c>
      <c r="M63" s="31">
        <f t="shared" si="9"/>
        <v>1311.38</v>
      </c>
      <c r="N63" s="87">
        <f t="shared" si="10"/>
        <v>0</v>
      </c>
      <c r="O63" s="31">
        <f ca="1">IF('SVS UnterhaltsRG'!H61="",0,'SVS UnterhaltsRG'!H61)</f>
        <v>0</v>
      </c>
      <c r="P63" s="31">
        <f t="shared" si="11"/>
        <v>0</v>
      </c>
      <c r="Q63" s="31">
        <f t="shared" ca="1" si="12"/>
        <v>0</v>
      </c>
      <c r="R63" s="31">
        <f t="shared" si="13"/>
        <v>0</v>
      </c>
      <c r="S63" s="31">
        <f t="shared" ca="1" si="14"/>
        <v>0</v>
      </c>
      <c r="T63" s="3" t="str">
        <f t="shared" si="15"/>
        <v>Leistungswert eintragen</v>
      </c>
      <c r="U63" s="3">
        <f t="shared" si="16"/>
        <v>168.75</v>
      </c>
      <c r="V63" s="3">
        <f t="shared" si="17"/>
        <v>0</v>
      </c>
    </row>
    <row r="64" spans="1:22" ht="15" customHeight="1" x14ac:dyDescent="0.2">
      <c r="A64" s="70">
        <v>43</v>
      </c>
      <c r="B64" s="84">
        <v>112</v>
      </c>
      <c r="C64" s="85" t="s">
        <v>252</v>
      </c>
      <c r="D64" s="85"/>
      <c r="E64" s="85" t="s">
        <v>303</v>
      </c>
      <c r="F64" s="85" t="s">
        <v>206</v>
      </c>
      <c r="G64" s="51">
        <v>9.7799999999999994</v>
      </c>
      <c r="H64" s="51"/>
      <c r="I64" s="51"/>
      <c r="J64" s="70" t="s">
        <v>208</v>
      </c>
      <c r="K64" s="51">
        <v>2</v>
      </c>
      <c r="L64" s="31">
        <f>VLOOKUP(K64,Reinigungstage!A10:E31,5,FALSE)</f>
        <v>104.91</v>
      </c>
      <c r="M64" s="31">
        <f t="shared" si="9"/>
        <v>1026.02</v>
      </c>
      <c r="N64" s="87">
        <f t="shared" si="10"/>
        <v>0</v>
      </c>
      <c r="O64" s="31">
        <f ca="1">IF('SVS UnterhaltsRG'!H61="",0,'SVS UnterhaltsRG'!H61)</f>
        <v>0</v>
      </c>
      <c r="P64" s="31">
        <f t="shared" si="11"/>
        <v>0</v>
      </c>
      <c r="Q64" s="31">
        <f t="shared" ca="1" si="12"/>
        <v>0</v>
      </c>
      <c r="R64" s="31">
        <f t="shared" si="13"/>
        <v>0</v>
      </c>
      <c r="S64" s="31">
        <f t="shared" ca="1" si="14"/>
        <v>0</v>
      </c>
      <c r="T64" s="3" t="str">
        <f t="shared" si="15"/>
        <v>Leistungswert eintragen</v>
      </c>
      <c r="U64" s="3">
        <f t="shared" si="16"/>
        <v>168.75</v>
      </c>
      <c r="V64" s="3">
        <f t="shared" si="17"/>
        <v>0</v>
      </c>
    </row>
    <row r="65" spans="1:22" ht="15" customHeight="1" x14ac:dyDescent="0.2">
      <c r="A65" s="70">
        <v>44</v>
      </c>
      <c r="B65" s="84">
        <v>113</v>
      </c>
      <c r="C65" s="85" t="s">
        <v>252</v>
      </c>
      <c r="D65" s="85"/>
      <c r="E65" s="85" t="s">
        <v>303</v>
      </c>
      <c r="F65" s="85" t="s">
        <v>206</v>
      </c>
      <c r="G65" s="51">
        <v>22.52</v>
      </c>
      <c r="H65" s="51"/>
      <c r="I65" s="51"/>
      <c r="J65" s="70" t="s">
        <v>208</v>
      </c>
      <c r="K65" s="51">
        <v>2</v>
      </c>
      <c r="L65" s="31">
        <f>VLOOKUP(K65,Reinigungstage!A10:E31,5,FALSE)</f>
        <v>104.91</v>
      </c>
      <c r="M65" s="31">
        <f t="shared" si="9"/>
        <v>2362.5700000000002</v>
      </c>
      <c r="N65" s="87">
        <f t="shared" si="10"/>
        <v>0</v>
      </c>
      <c r="O65" s="31">
        <f ca="1">IF('SVS UnterhaltsRG'!H61="",0,'SVS UnterhaltsRG'!H61)</f>
        <v>0</v>
      </c>
      <c r="P65" s="31">
        <f t="shared" si="11"/>
        <v>0</v>
      </c>
      <c r="Q65" s="31">
        <f t="shared" ca="1" si="12"/>
        <v>0</v>
      </c>
      <c r="R65" s="31">
        <f t="shared" si="13"/>
        <v>0</v>
      </c>
      <c r="S65" s="31">
        <f t="shared" ca="1" si="14"/>
        <v>0</v>
      </c>
      <c r="T65" s="3" t="str">
        <f t="shared" si="15"/>
        <v>Leistungswert eintragen</v>
      </c>
      <c r="U65" s="3">
        <f t="shared" si="16"/>
        <v>168.75</v>
      </c>
      <c r="V65" s="3">
        <f t="shared" si="17"/>
        <v>0</v>
      </c>
    </row>
    <row r="66" spans="1:22" ht="15" customHeight="1" x14ac:dyDescent="0.2">
      <c r="A66" s="70">
        <v>45</v>
      </c>
      <c r="B66" s="84" t="s">
        <v>361</v>
      </c>
      <c r="C66" s="85" t="s">
        <v>252</v>
      </c>
      <c r="D66" s="85"/>
      <c r="E66" s="85" t="s">
        <v>303</v>
      </c>
      <c r="F66" s="85" t="s">
        <v>206</v>
      </c>
      <c r="G66" s="51">
        <v>22</v>
      </c>
      <c r="H66" s="51"/>
      <c r="I66" s="51"/>
      <c r="J66" s="70" t="s">
        <v>208</v>
      </c>
      <c r="K66" s="51">
        <v>2</v>
      </c>
      <c r="L66" s="31">
        <f>VLOOKUP(K66,Reinigungstage!A10:E31,5,FALSE)</f>
        <v>104.91</v>
      </c>
      <c r="M66" s="31">
        <f t="shared" si="9"/>
        <v>2308.02</v>
      </c>
      <c r="N66" s="87">
        <f t="shared" si="10"/>
        <v>0</v>
      </c>
      <c r="O66" s="31">
        <f ca="1">IF('SVS UnterhaltsRG'!H61="",0,'SVS UnterhaltsRG'!H61)</f>
        <v>0</v>
      </c>
      <c r="P66" s="31">
        <f t="shared" si="11"/>
        <v>0</v>
      </c>
      <c r="Q66" s="31">
        <f t="shared" ca="1" si="12"/>
        <v>0</v>
      </c>
      <c r="R66" s="31">
        <f t="shared" si="13"/>
        <v>0</v>
      </c>
      <c r="S66" s="31">
        <f t="shared" ca="1" si="14"/>
        <v>0</v>
      </c>
      <c r="T66" s="3" t="str">
        <f t="shared" si="15"/>
        <v>Leistungswert eintragen</v>
      </c>
      <c r="U66" s="3">
        <f t="shared" si="16"/>
        <v>168.75</v>
      </c>
      <c r="V66" s="3">
        <f t="shared" si="17"/>
        <v>0</v>
      </c>
    </row>
    <row r="67" spans="1:22" ht="15" customHeight="1" x14ac:dyDescent="0.2">
      <c r="A67" s="70">
        <v>46</v>
      </c>
      <c r="B67" s="84">
        <v>114</v>
      </c>
      <c r="C67" s="85" t="s">
        <v>252</v>
      </c>
      <c r="D67" s="85"/>
      <c r="E67" s="85" t="s">
        <v>303</v>
      </c>
      <c r="F67" s="85" t="s">
        <v>206</v>
      </c>
      <c r="G67" s="51">
        <v>23.05</v>
      </c>
      <c r="H67" s="51"/>
      <c r="I67" s="51"/>
      <c r="J67" s="70" t="s">
        <v>208</v>
      </c>
      <c r="K67" s="51">
        <v>2</v>
      </c>
      <c r="L67" s="31">
        <f>VLOOKUP(K67,Reinigungstage!A10:E31,5,FALSE)</f>
        <v>104.91</v>
      </c>
      <c r="M67" s="31">
        <f t="shared" si="9"/>
        <v>2418.1799999999998</v>
      </c>
      <c r="N67" s="87">
        <f t="shared" si="10"/>
        <v>0</v>
      </c>
      <c r="O67" s="31">
        <f ca="1">IF('SVS UnterhaltsRG'!H61="",0,'SVS UnterhaltsRG'!H61)</f>
        <v>0</v>
      </c>
      <c r="P67" s="31">
        <f t="shared" si="11"/>
        <v>0</v>
      </c>
      <c r="Q67" s="31">
        <f t="shared" ca="1" si="12"/>
        <v>0</v>
      </c>
      <c r="R67" s="31">
        <f t="shared" si="13"/>
        <v>0</v>
      </c>
      <c r="S67" s="31">
        <f t="shared" ca="1" si="14"/>
        <v>0</v>
      </c>
      <c r="T67" s="3" t="str">
        <f t="shared" si="15"/>
        <v>Leistungswert eintragen</v>
      </c>
      <c r="U67" s="3">
        <f t="shared" si="16"/>
        <v>168.75</v>
      </c>
      <c r="V67" s="3">
        <f t="shared" si="17"/>
        <v>0</v>
      </c>
    </row>
    <row r="68" spans="1:22" ht="15" customHeight="1" x14ac:dyDescent="0.2">
      <c r="A68" s="70">
        <v>47</v>
      </c>
      <c r="B68" s="84">
        <v>115</v>
      </c>
      <c r="C68" s="85" t="s">
        <v>252</v>
      </c>
      <c r="D68" s="85"/>
      <c r="E68" s="85" t="s">
        <v>347</v>
      </c>
      <c r="F68" s="85" t="s">
        <v>206</v>
      </c>
      <c r="G68" s="51">
        <v>23.13</v>
      </c>
      <c r="H68" s="51"/>
      <c r="I68" s="51"/>
      <c r="J68" s="70" t="s">
        <v>275</v>
      </c>
      <c r="K68" s="51">
        <v>2</v>
      </c>
      <c r="L68" s="31">
        <f>VLOOKUP(K68,Reinigungstage!A10:E31,5,FALSE)</f>
        <v>104.91</v>
      </c>
      <c r="M68" s="31">
        <f t="shared" si="9"/>
        <v>2426.5700000000002</v>
      </c>
      <c r="N68" s="87">
        <f t="shared" si="10"/>
        <v>0</v>
      </c>
      <c r="O68" s="31">
        <f ca="1">IF('SVS UnterhaltsRG'!H61="",0,'SVS UnterhaltsRG'!H61)</f>
        <v>0</v>
      </c>
      <c r="P68" s="31">
        <f t="shared" si="11"/>
        <v>0</v>
      </c>
      <c r="Q68" s="31">
        <f t="shared" ca="1" si="12"/>
        <v>0</v>
      </c>
      <c r="R68" s="31">
        <f t="shared" si="13"/>
        <v>0</v>
      </c>
      <c r="S68" s="31">
        <f t="shared" ca="1" si="14"/>
        <v>0</v>
      </c>
      <c r="T68" s="3" t="str">
        <f t="shared" si="15"/>
        <v>Leistungswert eintragen</v>
      </c>
      <c r="U68" s="3">
        <f t="shared" si="16"/>
        <v>140</v>
      </c>
      <c r="V68" s="3">
        <f t="shared" si="17"/>
        <v>0</v>
      </c>
    </row>
    <row r="69" spans="1:22" ht="15" customHeight="1" x14ac:dyDescent="0.2">
      <c r="A69" s="70">
        <v>48</v>
      </c>
      <c r="B69" s="84"/>
      <c r="C69" s="85" t="s">
        <v>252</v>
      </c>
      <c r="D69" s="85"/>
      <c r="E69" s="85" t="s">
        <v>220</v>
      </c>
      <c r="F69" s="85" t="s">
        <v>217</v>
      </c>
      <c r="G69" s="51">
        <v>8.07</v>
      </c>
      <c r="H69" s="51"/>
      <c r="I69" s="51"/>
      <c r="J69" s="70" t="s">
        <v>276</v>
      </c>
      <c r="K69" s="51">
        <v>3</v>
      </c>
      <c r="L69" s="31">
        <f>VLOOKUP(K69,Reinigungstage!A10:E31,5,FALSE)</f>
        <v>151.5</v>
      </c>
      <c r="M69" s="31">
        <f t="shared" si="9"/>
        <v>1222.6099999999999</v>
      </c>
      <c r="N69" s="87">
        <f t="shared" si="10"/>
        <v>0</v>
      </c>
      <c r="O69" s="31">
        <f ca="1">IF('SVS UnterhaltsRG'!H61="",0,'SVS UnterhaltsRG'!H61)</f>
        <v>0</v>
      </c>
      <c r="P69" s="31">
        <f t="shared" si="11"/>
        <v>0</v>
      </c>
      <c r="Q69" s="31">
        <f t="shared" ca="1" si="12"/>
        <v>0</v>
      </c>
      <c r="R69" s="31">
        <f t="shared" si="13"/>
        <v>0</v>
      </c>
      <c r="S69" s="31">
        <f t="shared" ca="1" si="14"/>
        <v>0</v>
      </c>
      <c r="T69" s="3" t="str">
        <f t="shared" si="15"/>
        <v>Leistungswert eintragen</v>
      </c>
      <c r="U69" s="3">
        <f t="shared" si="16"/>
        <v>63.75</v>
      </c>
      <c r="V69" s="3">
        <f t="shared" si="17"/>
        <v>0</v>
      </c>
    </row>
    <row r="70" spans="1:22" ht="15" customHeight="1" x14ac:dyDescent="0.2">
      <c r="A70" s="70">
        <v>49</v>
      </c>
      <c r="B70" s="84"/>
      <c r="C70" s="85" t="s">
        <v>252</v>
      </c>
      <c r="D70" s="85"/>
      <c r="E70" s="85" t="s">
        <v>260</v>
      </c>
      <c r="F70" s="85" t="s">
        <v>217</v>
      </c>
      <c r="G70" s="51">
        <v>8.5</v>
      </c>
      <c r="H70" s="51"/>
      <c r="I70" s="51"/>
      <c r="J70" s="70" t="s">
        <v>276</v>
      </c>
      <c r="K70" s="51">
        <v>5</v>
      </c>
      <c r="L70" s="31">
        <f>VLOOKUP(K70,Reinigungstage!A10:E31,5,FALSE)</f>
        <v>252.5</v>
      </c>
      <c r="M70" s="31">
        <f t="shared" si="9"/>
        <v>2146.25</v>
      </c>
      <c r="N70" s="87">
        <f t="shared" si="10"/>
        <v>0</v>
      </c>
      <c r="O70" s="31">
        <f ca="1">IF('SVS UnterhaltsRG'!H61="",0,'SVS UnterhaltsRG'!H61)</f>
        <v>0</v>
      </c>
      <c r="P70" s="31">
        <f t="shared" si="11"/>
        <v>0</v>
      </c>
      <c r="Q70" s="31">
        <f t="shared" ca="1" si="12"/>
        <v>0</v>
      </c>
      <c r="R70" s="31">
        <f t="shared" si="13"/>
        <v>0</v>
      </c>
      <c r="S70" s="31">
        <f t="shared" ca="1" si="14"/>
        <v>0</v>
      </c>
      <c r="T70" s="3" t="str">
        <f t="shared" si="15"/>
        <v>Leistungswert eintragen</v>
      </c>
      <c r="U70" s="3">
        <f t="shared" si="16"/>
        <v>63.75</v>
      </c>
      <c r="V70" s="3">
        <f t="shared" si="17"/>
        <v>0</v>
      </c>
    </row>
    <row r="71" spans="1:22" ht="15" customHeight="1" x14ac:dyDescent="0.2">
      <c r="A71" s="70">
        <v>50</v>
      </c>
      <c r="B71" s="84"/>
      <c r="C71" s="85" t="s">
        <v>252</v>
      </c>
      <c r="D71" s="85" t="s">
        <v>352</v>
      </c>
      <c r="E71" s="85" t="s">
        <v>357</v>
      </c>
      <c r="F71" s="85" t="s">
        <v>334</v>
      </c>
      <c r="G71" s="51">
        <v>18.600000000000001</v>
      </c>
      <c r="H71" s="51"/>
      <c r="I71" s="51"/>
      <c r="J71" s="70" t="s">
        <v>279</v>
      </c>
      <c r="K71" s="51">
        <v>3</v>
      </c>
      <c r="L71" s="31">
        <f>VLOOKUP(K71,Reinigungstage!A10:E31,5,FALSE)</f>
        <v>151.5</v>
      </c>
      <c r="M71" s="31">
        <f t="shared" si="9"/>
        <v>2817.9</v>
      </c>
      <c r="N71" s="87">
        <f t="shared" si="10"/>
        <v>0</v>
      </c>
      <c r="O71" s="31">
        <f ca="1">IF('SVS UnterhaltsRG'!H61="",0,'SVS UnterhaltsRG'!H61)</f>
        <v>0</v>
      </c>
      <c r="P71" s="31">
        <f t="shared" si="11"/>
        <v>0</v>
      </c>
      <c r="Q71" s="31">
        <f t="shared" ca="1" si="12"/>
        <v>0</v>
      </c>
      <c r="R71" s="31">
        <f t="shared" si="13"/>
        <v>0</v>
      </c>
      <c r="S71" s="31">
        <f t="shared" ca="1" si="14"/>
        <v>0</v>
      </c>
      <c r="T71" s="3" t="str">
        <f t="shared" si="15"/>
        <v>Leistungswert eintragen</v>
      </c>
      <c r="U71" s="3">
        <f t="shared" si="16"/>
        <v>138.75</v>
      </c>
      <c r="V71" s="3">
        <f t="shared" si="17"/>
        <v>0</v>
      </c>
    </row>
  </sheetData>
  <sheetProtection algorithmName="SHA-512" hashValue="PRw1UROl8lKiy+C6c7O8sFlP2/5JvRdFg2mrjwUWzelnm8C/arAFb/pB8x2fnTu4uQiiBeZp34bJTtWhhBNXTg==" saltValue="E8wb2GP3/MQd1nxNr8IFFw=="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2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7" priority="5" operator="containsText" text="Bitte prüfen Sie diese.">
      <formula>NOT(ISERROR(SEARCH("Bitte prüfen Sie diese.",L9)))</formula>
    </cfRule>
  </conditionalFormatting>
  <conditionalFormatting sqref="L10">
    <cfRule type="containsText" dxfId="2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5" priority="3" operator="containsText" text="lediglich Fehleingaben vermeiden wollen.">
      <formula>NOT(ISERROR(SEARCH("lediglich Fehleingaben vermeiden wollen.",L11)))</formula>
    </cfRule>
  </conditionalFormatting>
  <conditionalFormatting sqref="M11">
    <cfRule type="containsText" dxfId="2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3" priority="7" operator="containsText" text="für die Objektart prüfen.">
      <formula>NOT(ISERROR(SEARCH("für die Objektart prüfen.",M12)))</formula>
    </cfRule>
  </conditionalFormatting>
  <conditionalFormatting sqref="N13">
    <cfRule type="expression" dxfId="22" priority="2" stopIfTrue="1">
      <formula>N13=0</formula>
    </cfRule>
  </conditionalFormatting>
  <conditionalFormatting sqref="N14">
    <cfRule type="expression" dxfId="21" priority="1">
      <formula>N14=0</formula>
    </cfRule>
  </conditionalFormatting>
  <conditionalFormatting sqref="N22:N71">
    <cfRule type="expression" dxfId="20" priority="11">
      <formula>V22=0</formula>
    </cfRule>
    <cfRule type="expression" dxfId="19" priority="12" stopIfTrue="1">
      <formula>V22=1</formula>
    </cfRule>
  </conditionalFormatting>
  <conditionalFormatting sqref="O13">
    <cfRule type="containsText" dxfId="1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7" priority="9" operator="containsText" text="Wert(e) prüfen.">
      <formula>NOT(ISERROR(SEARCH("Wert(e) prüfen.",O14)))</formula>
    </cfRule>
  </conditionalFormatting>
  <conditionalFormatting sqref="T22:T71">
    <cfRule type="containsText" dxfId="16" priority="13" stopIfTrue="1" operator="containsText" text="SVS prüfen">
      <formula>NOT(ISERROR(SEARCH("SVS prüfen",T22)))</formula>
    </cfRule>
    <cfRule type="containsText" dxfId="15" priority="14" stopIfTrue="1" operator="containsText" text="Leistungswert eintragen">
      <formula>NOT(ISERROR(SEARCH("Leistungswert eintragen",T22)))</formula>
    </cfRule>
  </conditionalFormatting>
  <hyperlinks>
    <hyperlink ref="M1" location="Inhaltsverzeichnis!A1" display="Zurück zum Inhaltsverzeichnis" xr:uid="{A2BEBA67-27EB-4958-9D69-4BC89576498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Verwaltung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9EB9-04AD-4B0A-9BDC-CE6EF9A475AD}">
  <sheetPr codeName="Tabelle39">
    <tabColor indexed="40"/>
  </sheetPr>
  <dimension ref="A1:X69"/>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8.85546875" style="3" customWidth="1"/>
    <col min="3" max="3" width="6.285156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285156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9" t="s">
        <v>150</v>
      </c>
      <c r="B2" s="140"/>
      <c r="C2" s="140"/>
      <c r="D2" s="140"/>
      <c r="E2" s="141"/>
      <c r="G2" s="142" t="s">
        <v>163</v>
      </c>
      <c r="H2" s="142" t="s">
        <v>155</v>
      </c>
      <c r="I2" s="142" t="s">
        <v>156</v>
      </c>
      <c r="J2" s="142" t="s">
        <v>175</v>
      </c>
      <c r="M2" s="69"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4" customHeight="1" x14ac:dyDescent="0.2">
      <c r="A3" s="71" t="s">
        <v>158</v>
      </c>
      <c r="B3" s="72"/>
      <c r="C3" s="72"/>
      <c r="D3" s="72"/>
      <c r="E3" s="73"/>
      <c r="G3" s="143"/>
      <c r="H3" s="143"/>
      <c r="I3" s="143"/>
      <c r="J3" s="143"/>
      <c r="M3" s="69" t="b">
        <v>0</v>
      </c>
      <c r="N3" s="100"/>
      <c r="O3" s="100"/>
      <c r="P3" s="100"/>
      <c r="Q3" s="100"/>
    </row>
    <row r="4" spans="1:22" ht="18.600000000000001" customHeight="1" x14ac:dyDescent="0.2">
      <c r="A4" s="137" t="s">
        <v>91</v>
      </c>
      <c r="B4" s="125" t="str">
        <f>IF(Inhaltsverzeichnis!C3="","",Inhaltsverzeichnis!C3)</f>
        <v/>
      </c>
      <c r="C4" s="126"/>
      <c r="D4" s="126"/>
      <c r="E4" s="127"/>
      <c r="G4" s="70" t="s">
        <v>208</v>
      </c>
      <c r="H4" s="74"/>
      <c r="I4" s="75">
        <f ca="1">SUMIF('Kal Grund Verwaltung 2'!J22:M69,$G$4,'Kal Grund Verwaltung 2'!M22:M69)</f>
        <v>752.07999999999993</v>
      </c>
      <c r="J4" s="49">
        <f>COUNTIFS('Kal Grund Verwaltung 2'!J22:M69,$G$4)</f>
        <v>30</v>
      </c>
      <c r="M4" s="69" t="b">
        <v>0</v>
      </c>
      <c r="N4" s="100"/>
      <c r="O4" s="100"/>
      <c r="P4" s="100"/>
      <c r="Q4" s="100"/>
      <c r="U4" s="70" t="s">
        <v>208</v>
      </c>
      <c r="V4" s="3">
        <v>11.875</v>
      </c>
    </row>
    <row r="5" spans="1:22" ht="15" customHeight="1" x14ac:dyDescent="0.2">
      <c r="A5" s="138"/>
      <c r="B5" s="128"/>
      <c r="C5" s="129"/>
      <c r="D5" s="129"/>
      <c r="E5" s="130"/>
      <c r="G5" s="70" t="s">
        <v>275</v>
      </c>
      <c r="H5" s="74"/>
      <c r="I5" s="75">
        <f ca="1">SUMIF('Kal Grund Verwaltung 2'!J22:M69,$G$5,'Kal Grund Verwaltung 2'!M22:M69)</f>
        <v>118.30999999999999</v>
      </c>
      <c r="J5" s="49">
        <f>COUNTIFS('Kal Grund Verwaltung 2'!J22:M69,$G$5)</f>
        <v>5</v>
      </c>
      <c r="M5" s="69" t="b">
        <v>0</v>
      </c>
      <c r="N5" s="100"/>
      <c r="O5" s="100"/>
      <c r="P5" s="100"/>
      <c r="Q5" s="100"/>
      <c r="U5" s="70" t="s">
        <v>275</v>
      </c>
      <c r="V5" s="3">
        <v>12.75</v>
      </c>
    </row>
    <row r="6" spans="1:22" ht="15" customHeight="1" x14ac:dyDescent="0.2">
      <c r="A6" s="76" t="s">
        <v>173</v>
      </c>
      <c r="B6" s="131" t="s">
        <v>190</v>
      </c>
      <c r="C6" s="132"/>
      <c r="D6" s="132"/>
      <c r="E6" s="133"/>
      <c r="G6" s="70" t="s">
        <v>276</v>
      </c>
      <c r="H6" s="74"/>
      <c r="I6" s="75">
        <f ca="1">SUMIF('Kal Grund Verwaltung 2'!J22:M69,$G$6,'Kal Grund Verwaltung 2'!M22:M69)</f>
        <v>37.269999999999996</v>
      </c>
      <c r="J6" s="49">
        <f>COUNTIFS('Kal Grund Verwaltung 2'!J22:M69,$G$6)</f>
        <v>4</v>
      </c>
      <c r="U6" s="70" t="s">
        <v>276</v>
      </c>
      <c r="V6" s="3">
        <v>10.25</v>
      </c>
    </row>
    <row r="7" spans="1:22" ht="15" customHeight="1" x14ac:dyDescent="0.2">
      <c r="A7" s="77" t="s">
        <v>171</v>
      </c>
      <c r="B7" s="134" t="s">
        <v>200</v>
      </c>
      <c r="C7" s="132"/>
      <c r="D7" s="132"/>
      <c r="E7" s="133"/>
      <c r="G7" s="70" t="s">
        <v>279</v>
      </c>
      <c r="H7" s="74"/>
      <c r="I7" s="75">
        <f ca="1">SUMIF('Kal Grund Verwaltung 2'!J22:M69,$G$7,'Kal Grund Verwaltung 2'!M22:M69)</f>
        <v>59.48</v>
      </c>
      <c r="J7" s="49">
        <f>COUNTIFS('Kal Grund Verwaltung 2'!J22:M69,$G$7)</f>
        <v>4</v>
      </c>
      <c r="U7" s="70" t="s">
        <v>280</v>
      </c>
      <c r="V7" s="3">
        <v>15.875</v>
      </c>
    </row>
    <row r="8" spans="1:22" ht="15" customHeight="1" x14ac:dyDescent="0.2">
      <c r="A8" s="77" t="s">
        <v>172</v>
      </c>
      <c r="B8" s="131"/>
      <c r="C8" s="132"/>
      <c r="D8" s="132"/>
      <c r="E8" s="133"/>
      <c r="G8" s="70" t="s">
        <v>278</v>
      </c>
      <c r="H8" s="74"/>
      <c r="I8" s="75">
        <f ca="1">SUMIF('Kal Grund Verwaltung 2'!J22:M69,$G$8,'Kal Grund Verwaltung 2'!M22:M69)</f>
        <v>242.06</v>
      </c>
      <c r="J8" s="49">
        <f>COUNTIFS('Kal Grund Verwaltung 2'!J22:M69,$G$8)</f>
        <v>3</v>
      </c>
      <c r="L8" s="88" t="str">
        <f>IF(N14&gt;0,"Ihre Eintragungen der Leistungswerte liegen weit über den Erfahrungswerten aus der Preisschätzung.","")</f>
        <v/>
      </c>
      <c r="U8" s="70" t="s">
        <v>279</v>
      </c>
      <c r="V8" s="3">
        <v>15.375</v>
      </c>
    </row>
    <row r="9" spans="1:22" ht="15" customHeight="1" x14ac:dyDescent="0.2">
      <c r="A9" s="76" t="s">
        <v>170</v>
      </c>
      <c r="B9" s="135" t="s">
        <v>199</v>
      </c>
      <c r="C9" s="132"/>
      <c r="D9" s="132"/>
      <c r="E9" s="133"/>
      <c r="G9" s="70" t="s">
        <v>277</v>
      </c>
      <c r="H9" s="74"/>
      <c r="I9" s="75">
        <f ca="1">SUMIF('Kal Grund Verwaltung 2'!J22:M69,$G$9,'Kal Grund Verwaltung 2'!M22:M69)</f>
        <v>22.27</v>
      </c>
      <c r="J9" s="49">
        <f>COUNTIFS('Kal Grund Verwaltung 2'!J22:M69,$G$9)</f>
        <v>2</v>
      </c>
      <c r="L9" s="88" t="str">
        <f>IF(N14&gt;0,"Bitte prüfen Sie diese.","")</f>
        <v/>
      </c>
      <c r="U9" s="70" t="s">
        <v>278</v>
      </c>
      <c r="V9" s="3">
        <v>16.25</v>
      </c>
    </row>
    <row r="10" spans="1:22" ht="15" customHeight="1" x14ac:dyDescent="0.2">
      <c r="A10" s="77" t="s">
        <v>152</v>
      </c>
      <c r="B10" s="131" t="s">
        <v>201</v>
      </c>
      <c r="C10" s="132"/>
      <c r="D10" s="132"/>
      <c r="E10" s="133"/>
      <c r="L10" s="88" t="str">
        <f>IF(N14&gt;0,"Beachten Sie, dass Sie frei in der Kalkulation dieser Leistungswerte sind und wir durch den Hinweis","")</f>
        <v/>
      </c>
      <c r="U10" s="70" t="s">
        <v>277</v>
      </c>
      <c r="V10" s="3">
        <v>15.375</v>
      </c>
    </row>
    <row r="11" spans="1:22" ht="15" customHeight="1" x14ac:dyDescent="0.2">
      <c r="A11" s="77" t="s">
        <v>153</v>
      </c>
      <c r="B11" s="136" t="s">
        <v>192</v>
      </c>
      <c r="C11" s="132"/>
      <c r="D11" s="132"/>
      <c r="E11" s="133"/>
      <c r="L11" s="88" t="str">
        <f>IF(N14&gt;0,"lediglich Fehleingaben vermeiden wollen.","")</f>
        <v/>
      </c>
    </row>
    <row r="12" spans="1:22" ht="15" customHeight="1" x14ac:dyDescent="0.2">
      <c r="A12" s="77" t="s">
        <v>154</v>
      </c>
      <c r="B12" s="131" t="s">
        <v>193</v>
      </c>
      <c r="C12" s="132"/>
      <c r="D12" s="132"/>
      <c r="E12" s="133"/>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row>
    <row r="14" spans="1:22" ht="15" customHeight="1" x14ac:dyDescent="0.2">
      <c r="N14" s="78">
        <f>COUNTIF(X22:X$69,1)</f>
        <v>0</v>
      </c>
      <c r="O14" s="3" t="str">
        <f>IF(N14&gt;0,"Wert(e) prüfen.","")</f>
        <v/>
      </c>
      <c r="S14" s="80">
        <f>IF(COUNTA($S$22:$S$69)-COUNTBLANK($S$22:$S$69)=0,"",COUNTA($S$22:$S$69)-COUNTBLANK($S$22:$S$69))</f>
        <v>48</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81" t="s">
        <v>118</v>
      </c>
      <c r="B21" s="12"/>
      <c r="C21" s="12"/>
      <c r="D21" s="12"/>
      <c r="E21" s="12"/>
      <c r="F21" s="12"/>
      <c r="G21" s="82">
        <f>SUM($G$22:$G$69)</f>
        <v>1231.47</v>
      </c>
      <c r="H21" s="82">
        <f>SUM($H$22:$H$69)</f>
        <v>0</v>
      </c>
      <c r="I21" s="82">
        <f>SUM($I$22:$I$69)</f>
        <v>0</v>
      </c>
      <c r="J21" s="31"/>
      <c r="K21" s="31"/>
      <c r="L21" s="83">
        <f>MAX(L22:L69)</f>
        <v>1</v>
      </c>
      <c r="M21" s="82">
        <f>SUM($M$22:$M$69)</f>
        <v>1231.47</v>
      </c>
      <c r="N21" s="31"/>
      <c r="O21" s="31"/>
      <c r="P21" s="82">
        <f>SUM($P$22:$P$69)</f>
        <v>0</v>
      </c>
      <c r="Q21" s="82">
        <f>SUM($Q$22:$Q$69)</f>
        <v>0</v>
      </c>
      <c r="R21" s="82">
        <f>ROUND(IF(Q21=0,0,Q21/L21),2)</f>
        <v>0</v>
      </c>
    </row>
    <row r="22" spans="1:24" ht="15" customHeight="1" x14ac:dyDescent="0.2">
      <c r="A22" s="70">
        <v>1</v>
      </c>
      <c r="B22" s="84" t="s">
        <v>304</v>
      </c>
      <c r="C22" s="85" t="s">
        <v>230</v>
      </c>
      <c r="D22" s="85"/>
      <c r="E22" s="85" t="s">
        <v>303</v>
      </c>
      <c r="F22" s="85" t="s">
        <v>206</v>
      </c>
      <c r="G22" s="51">
        <v>21.08</v>
      </c>
      <c r="H22" s="51"/>
      <c r="I22" s="51"/>
      <c r="J22" s="70" t="s">
        <v>208</v>
      </c>
      <c r="K22" s="70" t="s">
        <v>142</v>
      </c>
      <c r="L22" s="31">
        <f>VLOOKUP(K22,Reinigungstage!A10:I31,9,FALSE)</f>
        <v>1</v>
      </c>
      <c r="M22" s="31">
        <f t="shared" ref="M22:M51" si="0">ROUND(IF(L22=0,0,L22*G22),2)</f>
        <v>21.08</v>
      </c>
      <c r="N22" s="87">
        <f t="shared" ref="N22:N69" si="1">VLOOKUP(J22,$G$4:$H$9,2,FALSE)</f>
        <v>0</v>
      </c>
      <c r="O22" s="31">
        <f ca="1">IF('SVS GrundRG'!H61="",0,'SVS GrundRG'!H61)</f>
        <v>0</v>
      </c>
      <c r="P22" s="31">
        <f t="shared" ref="P22:P51" si="2">ROUND(IF(N22=0,0,M22/N22),2)</f>
        <v>0</v>
      </c>
      <c r="Q22" s="31">
        <f t="shared" ref="Q22:Q51" si="3">ROUND(IF(P22=0,0,P22*O22),2)</f>
        <v>0</v>
      </c>
      <c r="R22" s="31">
        <f t="shared" ref="R22:R51" si="4">ROUND(IF(P22=0,0,Q22/L22),2)</f>
        <v>0</v>
      </c>
      <c r="S22" s="3" t="str">
        <f t="shared" ref="S22:S51" si="5">IF(M22=0,"",IF(N22=0,"Leistungswert eintragen",IF(O22=0,"SVS prüfen","")))</f>
        <v>Leistungswert eintragen</v>
      </c>
      <c r="U22" s="3">
        <f t="shared" ref="U22:U51" si="6">VLOOKUP(J22,$U$4:$V$10,2,FALSE)</f>
        <v>11.875</v>
      </c>
      <c r="V22" s="3">
        <f t="shared" ref="V22:V51" si="7">U22*30%</f>
        <v>3.5625</v>
      </c>
      <c r="W22" s="3">
        <f t="shared" ref="W22:W51" si="8">SUM(U22:V22)</f>
        <v>15.4375</v>
      </c>
      <c r="X22" s="3" t="str">
        <f t="shared" ref="X22:X51" si="9">IF(N22=0,"",IF(W22&lt;N22,1,IF(W22&gt;=N22,0,"")))</f>
        <v/>
      </c>
    </row>
    <row r="23" spans="1:24" ht="15" customHeight="1" x14ac:dyDescent="0.2">
      <c r="A23" s="70">
        <v>2</v>
      </c>
      <c r="B23" s="84" t="s">
        <v>305</v>
      </c>
      <c r="C23" s="85" t="s">
        <v>230</v>
      </c>
      <c r="D23" s="85"/>
      <c r="E23" s="85" t="s">
        <v>303</v>
      </c>
      <c r="F23" s="85" t="s">
        <v>206</v>
      </c>
      <c r="G23" s="51">
        <v>17.5</v>
      </c>
      <c r="H23" s="51"/>
      <c r="I23" s="51"/>
      <c r="J23" s="70" t="s">
        <v>208</v>
      </c>
      <c r="K23" s="70" t="s">
        <v>142</v>
      </c>
      <c r="L23" s="31">
        <f>VLOOKUP(K23,Reinigungstage!A10:I31,9,FALSE)</f>
        <v>1</v>
      </c>
      <c r="M23" s="31">
        <f t="shared" si="0"/>
        <v>17.5</v>
      </c>
      <c r="N23" s="87">
        <f t="shared" si="1"/>
        <v>0</v>
      </c>
      <c r="O23" s="31">
        <f ca="1">IF('SVS GrundRG'!H61="",0,'SVS GrundRG'!H61)</f>
        <v>0</v>
      </c>
      <c r="P23" s="31">
        <f t="shared" si="2"/>
        <v>0</v>
      </c>
      <c r="Q23" s="31">
        <f t="shared" si="3"/>
        <v>0</v>
      </c>
      <c r="R23" s="31">
        <f t="shared" si="4"/>
        <v>0</v>
      </c>
      <c r="S23" s="3" t="str">
        <f t="shared" si="5"/>
        <v>Leistungswert eintragen</v>
      </c>
      <c r="U23" s="3">
        <f t="shared" si="6"/>
        <v>11.875</v>
      </c>
      <c r="V23" s="3">
        <f t="shared" si="7"/>
        <v>3.5625</v>
      </c>
      <c r="W23" s="3">
        <f t="shared" si="8"/>
        <v>15.4375</v>
      </c>
      <c r="X23" s="3" t="str">
        <f t="shared" si="9"/>
        <v/>
      </c>
    </row>
    <row r="24" spans="1:24" ht="15" customHeight="1" x14ac:dyDescent="0.2">
      <c r="A24" s="70">
        <v>3</v>
      </c>
      <c r="B24" s="84" t="s">
        <v>335</v>
      </c>
      <c r="C24" s="85" t="s">
        <v>230</v>
      </c>
      <c r="D24" s="85"/>
      <c r="E24" s="85" t="s">
        <v>303</v>
      </c>
      <c r="F24" s="85" t="s">
        <v>206</v>
      </c>
      <c r="G24" s="51">
        <v>24.04</v>
      </c>
      <c r="H24" s="51"/>
      <c r="I24" s="51"/>
      <c r="J24" s="70" t="s">
        <v>208</v>
      </c>
      <c r="K24" s="70" t="s">
        <v>142</v>
      </c>
      <c r="L24" s="31">
        <f>VLOOKUP(K24,Reinigungstage!A10:I31,9,FALSE)</f>
        <v>1</v>
      </c>
      <c r="M24" s="31">
        <f t="shared" si="0"/>
        <v>24.04</v>
      </c>
      <c r="N24" s="87">
        <f t="shared" si="1"/>
        <v>0</v>
      </c>
      <c r="O24" s="31">
        <f ca="1">IF('SVS GrundRG'!H61="",0,'SVS GrundRG'!H61)</f>
        <v>0</v>
      </c>
      <c r="P24" s="31">
        <f t="shared" si="2"/>
        <v>0</v>
      </c>
      <c r="Q24" s="31">
        <f t="shared" si="3"/>
        <v>0</v>
      </c>
      <c r="R24" s="31">
        <f t="shared" si="4"/>
        <v>0</v>
      </c>
      <c r="S24" s="3" t="str">
        <f t="shared" si="5"/>
        <v>Leistungswert eintragen</v>
      </c>
      <c r="U24" s="3">
        <f t="shared" si="6"/>
        <v>11.875</v>
      </c>
      <c r="V24" s="3">
        <f t="shared" si="7"/>
        <v>3.5625</v>
      </c>
      <c r="W24" s="3">
        <f t="shared" si="8"/>
        <v>15.4375</v>
      </c>
      <c r="X24" s="3" t="str">
        <f t="shared" si="9"/>
        <v/>
      </c>
    </row>
    <row r="25" spans="1:24" ht="15" customHeight="1" x14ac:dyDescent="0.2">
      <c r="A25" s="70">
        <v>4</v>
      </c>
      <c r="B25" s="84" t="s">
        <v>336</v>
      </c>
      <c r="C25" s="85" t="s">
        <v>230</v>
      </c>
      <c r="D25" s="85"/>
      <c r="E25" s="85" t="s">
        <v>303</v>
      </c>
      <c r="F25" s="85" t="s">
        <v>206</v>
      </c>
      <c r="G25" s="51">
        <v>15.07</v>
      </c>
      <c r="H25" s="51"/>
      <c r="I25" s="51"/>
      <c r="J25" s="70" t="s">
        <v>208</v>
      </c>
      <c r="K25" s="70" t="s">
        <v>142</v>
      </c>
      <c r="L25" s="31">
        <f>VLOOKUP(K25,Reinigungstage!A10:I31,9,FALSE)</f>
        <v>1</v>
      </c>
      <c r="M25" s="31">
        <f t="shared" si="0"/>
        <v>15.07</v>
      </c>
      <c r="N25" s="87">
        <f t="shared" si="1"/>
        <v>0</v>
      </c>
      <c r="O25" s="31">
        <f ca="1">IF('SVS GrundRG'!H61="",0,'SVS GrundRG'!H61)</f>
        <v>0</v>
      </c>
      <c r="P25" s="31">
        <f t="shared" si="2"/>
        <v>0</v>
      </c>
      <c r="Q25" s="31">
        <f t="shared" si="3"/>
        <v>0</v>
      </c>
      <c r="R25" s="31">
        <f t="shared" si="4"/>
        <v>0</v>
      </c>
      <c r="S25" s="3" t="str">
        <f t="shared" si="5"/>
        <v>Leistungswert eintragen</v>
      </c>
      <c r="U25" s="3">
        <f t="shared" si="6"/>
        <v>11.875</v>
      </c>
      <c r="V25" s="3">
        <f t="shared" si="7"/>
        <v>3.5625</v>
      </c>
      <c r="W25" s="3">
        <f t="shared" si="8"/>
        <v>15.4375</v>
      </c>
      <c r="X25" s="3" t="str">
        <f t="shared" si="9"/>
        <v/>
      </c>
    </row>
    <row r="26" spans="1:24" ht="15" customHeight="1" x14ac:dyDescent="0.2">
      <c r="A26" s="70">
        <v>5</v>
      </c>
      <c r="B26" s="84" t="s">
        <v>306</v>
      </c>
      <c r="C26" s="85" t="s">
        <v>230</v>
      </c>
      <c r="D26" s="85"/>
      <c r="E26" s="85" t="s">
        <v>303</v>
      </c>
      <c r="F26" s="85" t="s">
        <v>206</v>
      </c>
      <c r="G26" s="51">
        <v>24.72</v>
      </c>
      <c r="H26" s="51"/>
      <c r="I26" s="51"/>
      <c r="J26" s="70" t="s">
        <v>208</v>
      </c>
      <c r="K26" s="70" t="s">
        <v>142</v>
      </c>
      <c r="L26" s="31">
        <f>VLOOKUP(K26,Reinigungstage!A10:I31,9,FALSE)</f>
        <v>1</v>
      </c>
      <c r="M26" s="31">
        <f t="shared" si="0"/>
        <v>24.72</v>
      </c>
      <c r="N26" s="87">
        <f t="shared" si="1"/>
        <v>0</v>
      </c>
      <c r="O26" s="31">
        <f ca="1">IF('SVS GrundRG'!H61="",0,'SVS GrundRG'!H61)</f>
        <v>0</v>
      </c>
      <c r="P26" s="31">
        <f t="shared" si="2"/>
        <v>0</v>
      </c>
      <c r="Q26" s="31">
        <f t="shared" si="3"/>
        <v>0</v>
      </c>
      <c r="R26" s="31">
        <f t="shared" si="4"/>
        <v>0</v>
      </c>
      <c r="S26" s="3" t="str">
        <f t="shared" si="5"/>
        <v>Leistungswert eintragen</v>
      </c>
      <c r="U26" s="3">
        <f t="shared" si="6"/>
        <v>11.875</v>
      </c>
      <c r="V26" s="3">
        <f t="shared" si="7"/>
        <v>3.5625</v>
      </c>
      <c r="W26" s="3">
        <f t="shared" si="8"/>
        <v>15.4375</v>
      </c>
      <c r="X26" s="3" t="str">
        <f t="shared" si="9"/>
        <v/>
      </c>
    </row>
    <row r="27" spans="1:24" ht="15" customHeight="1" x14ac:dyDescent="0.2">
      <c r="A27" s="70">
        <v>6</v>
      </c>
      <c r="B27" s="84" t="s">
        <v>337</v>
      </c>
      <c r="C27" s="85" t="s">
        <v>230</v>
      </c>
      <c r="D27" s="85"/>
      <c r="E27" s="85" t="s">
        <v>303</v>
      </c>
      <c r="F27" s="85" t="s">
        <v>206</v>
      </c>
      <c r="G27" s="51">
        <v>26</v>
      </c>
      <c r="H27" s="51"/>
      <c r="I27" s="51"/>
      <c r="J27" s="70" t="s">
        <v>208</v>
      </c>
      <c r="K27" s="70" t="s">
        <v>142</v>
      </c>
      <c r="L27" s="31">
        <f>VLOOKUP(K27,Reinigungstage!A10:I31,9,FALSE)</f>
        <v>1</v>
      </c>
      <c r="M27" s="31">
        <f t="shared" si="0"/>
        <v>26</v>
      </c>
      <c r="N27" s="87">
        <f t="shared" si="1"/>
        <v>0</v>
      </c>
      <c r="O27" s="31">
        <f ca="1">IF('SVS GrundRG'!H61="",0,'SVS GrundRG'!H61)</f>
        <v>0</v>
      </c>
      <c r="P27" s="31">
        <f t="shared" si="2"/>
        <v>0</v>
      </c>
      <c r="Q27" s="31">
        <f t="shared" si="3"/>
        <v>0</v>
      </c>
      <c r="R27" s="31">
        <f t="shared" si="4"/>
        <v>0</v>
      </c>
      <c r="S27" s="3" t="str">
        <f t="shared" si="5"/>
        <v>Leistungswert eintragen</v>
      </c>
      <c r="U27" s="3">
        <f t="shared" si="6"/>
        <v>11.875</v>
      </c>
      <c r="V27" s="3">
        <f t="shared" si="7"/>
        <v>3.5625</v>
      </c>
      <c r="W27" s="3">
        <f t="shared" si="8"/>
        <v>15.4375</v>
      </c>
      <c r="X27" s="3" t="str">
        <f t="shared" si="9"/>
        <v/>
      </c>
    </row>
    <row r="28" spans="1:24" ht="15" customHeight="1" x14ac:dyDescent="0.2">
      <c r="A28" s="70">
        <v>7</v>
      </c>
      <c r="B28" s="84" t="s">
        <v>338</v>
      </c>
      <c r="C28" s="85" t="s">
        <v>230</v>
      </c>
      <c r="D28" s="85"/>
      <c r="E28" s="85" t="s">
        <v>303</v>
      </c>
      <c r="F28" s="85" t="s">
        <v>206</v>
      </c>
      <c r="G28" s="51">
        <v>12.38</v>
      </c>
      <c r="H28" s="51"/>
      <c r="I28" s="51"/>
      <c r="J28" s="70" t="s">
        <v>208</v>
      </c>
      <c r="K28" s="70" t="s">
        <v>142</v>
      </c>
      <c r="L28" s="31">
        <f>VLOOKUP(K28,Reinigungstage!A10:I31,9,FALSE)</f>
        <v>1</v>
      </c>
      <c r="M28" s="31">
        <f t="shared" si="0"/>
        <v>12.38</v>
      </c>
      <c r="N28" s="87">
        <f t="shared" si="1"/>
        <v>0</v>
      </c>
      <c r="O28" s="31">
        <f ca="1">IF('SVS GrundRG'!H61="",0,'SVS GrundRG'!H61)</f>
        <v>0</v>
      </c>
      <c r="P28" s="31">
        <f t="shared" si="2"/>
        <v>0</v>
      </c>
      <c r="Q28" s="31">
        <f t="shared" si="3"/>
        <v>0</v>
      </c>
      <c r="R28" s="31">
        <f t="shared" si="4"/>
        <v>0</v>
      </c>
      <c r="S28" s="3" t="str">
        <f t="shared" si="5"/>
        <v>Leistungswert eintragen</v>
      </c>
      <c r="U28" s="3">
        <f t="shared" si="6"/>
        <v>11.875</v>
      </c>
      <c r="V28" s="3">
        <f t="shared" si="7"/>
        <v>3.5625</v>
      </c>
      <c r="W28" s="3">
        <f t="shared" si="8"/>
        <v>15.4375</v>
      </c>
      <c r="X28" s="3" t="str">
        <f t="shared" si="9"/>
        <v/>
      </c>
    </row>
    <row r="29" spans="1:24" ht="15" customHeight="1" x14ac:dyDescent="0.2">
      <c r="A29" s="70">
        <v>8</v>
      </c>
      <c r="B29" s="84" t="s">
        <v>308</v>
      </c>
      <c r="C29" s="85" t="s">
        <v>230</v>
      </c>
      <c r="D29" s="85"/>
      <c r="E29" s="85" t="s">
        <v>303</v>
      </c>
      <c r="F29" s="85" t="s">
        <v>206</v>
      </c>
      <c r="G29" s="51">
        <v>27.81</v>
      </c>
      <c r="H29" s="51"/>
      <c r="I29" s="51"/>
      <c r="J29" s="70" t="s">
        <v>208</v>
      </c>
      <c r="K29" s="70" t="s">
        <v>142</v>
      </c>
      <c r="L29" s="31">
        <f>VLOOKUP(K29,Reinigungstage!A10:I31,9,FALSE)</f>
        <v>1</v>
      </c>
      <c r="M29" s="31">
        <f t="shared" si="0"/>
        <v>27.81</v>
      </c>
      <c r="N29" s="87">
        <f t="shared" si="1"/>
        <v>0</v>
      </c>
      <c r="O29" s="31">
        <f ca="1">IF('SVS GrundRG'!H61="",0,'SVS GrundRG'!H61)</f>
        <v>0</v>
      </c>
      <c r="P29" s="31">
        <f t="shared" si="2"/>
        <v>0</v>
      </c>
      <c r="Q29" s="31">
        <f t="shared" si="3"/>
        <v>0</v>
      </c>
      <c r="R29" s="31">
        <f t="shared" si="4"/>
        <v>0</v>
      </c>
      <c r="S29" s="3" t="str">
        <f t="shared" si="5"/>
        <v>Leistungswert eintragen</v>
      </c>
      <c r="U29" s="3">
        <f t="shared" si="6"/>
        <v>11.875</v>
      </c>
      <c r="V29" s="3">
        <f t="shared" si="7"/>
        <v>3.5625</v>
      </c>
      <c r="W29" s="3">
        <f t="shared" si="8"/>
        <v>15.4375</v>
      </c>
      <c r="X29" s="3" t="str">
        <f t="shared" si="9"/>
        <v/>
      </c>
    </row>
    <row r="30" spans="1:24" ht="15" customHeight="1" x14ac:dyDescent="0.2">
      <c r="A30" s="70">
        <v>9</v>
      </c>
      <c r="B30" s="84" t="s">
        <v>310</v>
      </c>
      <c r="C30" s="85" t="s">
        <v>230</v>
      </c>
      <c r="D30" s="85"/>
      <c r="E30" s="85" t="s">
        <v>320</v>
      </c>
      <c r="F30" s="85" t="s">
        <v>334</v>
      </c>
      <c r="G30" s="51">
        <v>54.12</v>
      </c>
      <c r="H30" s="51"/>
      <c r="I30" s="51"/>
      <c r="J30" s="70" t="s">
        <v>275</v>
      </c>
      <c r="K30" s="70" t="s">
        <v>142</v>
      </c>
      <c r="L30" s="31">
        <f>VLOOKUP(K30,Reinigungstage!A10:I31,9,FALSE)</f>
        <v>1</v>
      </c>
      <c r="M30" s="31">
        <f t="shared" si="0"/>
        <v>54.12</v>
      </c>
      <c r="N30" s="87">
        <f t="shared" si="1"/>
        <v>0</v>
      </c>
      <c r="O30" s="31">
        <f ca="1">IF('SVS GrundRG'!H61="",0,'SVS GrundRG'!H61)</f>
        <v>0</v>
      </c>
      <c r="P30" s="31">
        <f t="shared" si="2"/>
        <v>0</v>
      </c>
      <c r="Q30" s="31">
        <f t="shared" si="3"/>
        <v>0</v>
      </c>
      <c r="R30" s="31">
        <f t="shared" si="4"/>
        <v>0</v>
      </c>
      <c r="S30" s="3" t="str">
        <f t="shared" si="5"/>
        <v>Leistungswert eintragen</v>
      </c>
      <c r="U30" s="3">
        <f t="shared" si="6"/>
        <v>12.75</v>
      </c>
      <c r="V30" s="3">
        <f t="shared" si="7"/>
        <v>3.8249999999999997</v>
      </c>
      <c r="W30" s="3">
        <f t="shared" si="8"/>
        <v>16.574999999999999</v>
      </c>
      <c r="X30" s="3" t="str">
        <f t="shared" si="9"/>
        <v/>
      </c>
    </row>
    <row r="31" spans="1:24" ht="15" customHeight="1" x14ac:dyDescent="0.2">
      <c r="A31" s="70">
        <v>10</v>
      </c>
      <c r="B31" s="84" t="s">
        <v>311</v>
      </c>
      <c r="C31" s="85" t="s">
        <v>230</v>
      </c>
      <c r="D31" s="85"/>
      <c r="E31" s="85" t="s">
        <v>339</v>
      </c>
      <c r="F31" s="85" t="s">
        <v>206</v>
      </c>
      <c r="G31" s="51">
        <v>23.87</v>
      </c>
      <c r="H31" s="51"/>
      <c r="I31" s="51"/>
      <c r="J31" s="70" t="s">
        <v>208</v>
      </c>
      <c r="K31" s="70" t="s">
        <v>142</v>
      </c>
      <c r="L31" s="31">
        <f>VLOOKUP(K31,Reinigungstage!A10:I31,9,FALSE)</f>
        <v>1</v>
      </c>
      <c r="M31" s="31">
        <f t="shared" si="0"/>
        <v>23.87</v>
      </c>
      <c r="N31" s="87">
        <f t="shared" si="1"/>
        <v>0</v>
      </c>
      <c r="O31" s="31">
        <f ca="1">IF('SVS GrundRG'!H61="",0,'SVS GrundRG'!H61)</f>
        <v>0</v>
      </c>
      <c r="P31" s="31">
        <f t="shared" si="2"/>
        <v>0</v>
      </c>
      <c r="Q31" s="31">
        <f t="shared" si="3"/>
        <v>0</v>
      </c>
      <c r="R31" s="31">
        <f t="shared" si="4"/>
        <v>0</v>
      </c>
      <c r="S31" s="3" t="str">
        <f t="shared" si="5"/>
        <v>Leistungswert eintragen</v>
      </c>
      <c r="U31" s="3">
        <f t="shared" si="6"/>
        <v>11.875</v>
      </c>
      <c r="V31" s="3">
        <f t="shared" si="7"/>
        <v>3.5625</v>
      </c>
      <c r="W31" s="3">
        <f t="shared" si="8"/>
        <v>15.4375</v>
      </c>
      <c r="X31" s="3" t="str">
        <f t="shared" si="9"/>
        <v/>
      </c>
    </row>
    <row r="32" spans="1:24" ht="15" customHeight="1" x14ac:dyDescent="0.2">
      <c r="A32" s="70">
        <v>11</v>
      </c>
      <c r="B32" s="84"/>
      <c r="C32" s="85" t="s">
        <v>230</v>
      </c>
      <c r="D32" s="85"/>
      <c r="E32" s="85" t="s">
        <v>282</v>
      </c>
      <c r="F32" s="85" t="s">
        <v>206</v>
      </c>
      <c r="G32" s="51">
        <v>12.49</v>
      </c>
      <c r="H32" s="51"/>
      <c r="I32" s="51"/>
      <c r="J32" s="70" t="s">
        <v>277</v>
      </c>
      <c r="K32" s="70" t="s">
        <v>142</v>
      </c>
      <c r="L32" s="31">
        <f>VLOOKUP(K32,Reinigungstage!A10:I31,9,FALSE)</f>
        <v>1</v>
      </c>
      <c r="M32" s="31">
        <f t="shared" si="0"/>
        <v>12.49</v>
      </c>
      <c r="N32" s="87">
        <f t="shared" si="1"/>
        <v>0</v>
      </c>
      <c r="O32" s="31">
        <f ca="1">IF('SVS GrundRG'!H61="",0,'SVS GrundRG'!H61)</f>
        <v>0</v>
      </c>
      <c r="P32" s="31">
        <f t="shared" si="2"/>
        <v>0</v>
      </c>
      <c r="Q32" s="31">
        <f t="shared" si="3"/>
        <v>0</v>
      </c>
      <c r="R32" s="31">
        <f t="shared" si="4"/>
        <v>0</v>
      </c>
      <c r="S32" s="3" t="str">
        <f t="shared" si="5"/>
        <v>Leistungswert eintragen</v>
      </c>
      <c r="U32" s="3">
        <f t="shared" si="6"/>
        <v>15.375</v>
      </c>
      <c r="V32" s="3">
        <f t="shared" si="7"/>
        <v>4.6124999999999998</v>
      </c>
      <c r="W32" s="3">
        <f t="shared" si="8"/>
        <v>19.987500000000001</v>
      </c>
      <c r="X32" s="3" t="str">
        <f t="shared" si="9"/>
        <v/>
      </c>
    </row>
    <row r="33" spans="1:24" ht="15" customHeight="1" x14ac:dyDescent="0.2">
      <c r="A33" s="70">
        <v>12</v>
      </c>
      <c r="B33" s="84" t="s">
        <v>340</v>
      </c>
      <c r="C33" s="85" t="s">
        <v>230</v>
      </c>
      <c r="D33" s="85"/>
      <c r="E33" s="85" t="s">
        <v>283</v>
      </c>
      <c r="F33" s="85" t="s">
        <v>206</v>
      </c>
      <c r="G33" s="51">
        <v>6.25</v>
      </c>
      <c r="H33" s="51"/>
      <c r="I33" s="51"/>
      <c r="J33" s="70" t="s">
        <v>275</v>
      </c>
      <c r="K33" s="70" t="s">
        <v>142</v>
      </c>
      <c r="L33" s="31">
        <f>VLOOKUP(K33,Reinigungstage!A10:I31,9,FALSE)</f>
        <v>1</v>
      </c>
      <c r="M33" s="31">
        <f t="shared" si="0"/>
        <v>6.25</v>
      </c>
      <c r="N33" s="87">
        <f t="shared" si="1"/>
        <v>0</v>
      </c>
      <c r="O33" s="31">
        <f ca="1">IF('SVS GrundRG'!H61="",0,'SVS GrundRG'!H61)</f>
        <v>0</v>
      </c>
      <c r="P33" s="31">
        <f t="shared" si="2"/>
        <v>0</v>
      </c>
      <c r="Q33" s="31">
        <f t="shared" si="3"/>
        <v>0</v>
      </c>
      <c r="R33" s="31">
        <f t="shared" si="4"/>
        <v>0</v>
      </c>
      <c r="S33" s="3" t="str">
        <f t="shared" si="5"/>
        <v>Leistungswert eintragen</v>
      </c>
      <c r="U33" s="3">
        <f t="shared" si="6"/>
        <v>12.75</v>
      </c>
      <c r="V33" s="3">
        <f t="shared" si="7"/>
        <v>3.8249999999999997</v>
      </c>
      <c r="W33" s="3">
        <f t="shared" si="8"/>
        <v>16.574999999999999</v>
      </c>
      <c r="X33" s="3" t="str">
        <f t="shared" si="9"/>
        <v/>
      </c>
    </row>
    <row r="34" spans="1:24" ht="15" customHeight="1" x14ac:dyDescent="0.2">
      <c r="A34" s="70">
        <v>13</v>
      </c>
      <c r="B34" s="84" t="s">
        <v>312</v>
      </c>
      <c r="C34" s="85" t="s">
        <v>230</v>
      </c>
      <c r="D34" s="85"/>
      <c r="E34" s="85" t="s">
        <v>303</v>
      </c>
      <c r="F34" s="85" t="s">
        <v>206</v>
      </c>
      <c r="G34" s="51">
        <v>23.02</v>
      </c>
      <c r="H34" s="51"/>
      <c r="I34" s="51"/>
      <c r="J34" s="70" t="s">
        <v>208</v>
      </c>
      <c r="K34" s="70" t="s">
        <v>142</v>
      </c>
      <c r="L34" s="31">
        <f>VLOOKUP(K34,Reinigungstage!A10:I31,9,FALSE)</f>
        <v>1</v>
      </c>
      <c r="M34" s="31">
        <f t="shared" si="0"/>
        <v>23.02</v>
      </c>
      <c r="N34" s="87">
        <f t="shared" si="1"/>
        <v>0</v>
      </c>
      <c r="O34" s="31">
        <f ca="1">IF('SVS GrundRG'!H61="",0,'SVS GrundRG'!H61)</f>
        <v>0</v>
      </c>
      <c r="P34" s="31">
        <f t="shared" si="2"/>
        <v>0</v>
      </c>
      <c r="Q34" s="31">
        <f t="shared" si="3"/>
        <v>0</v>
      </c>
      <c r="R34" s="31">
        <f t="shared" si="4"/>
        <v>0</v>
      </c>
      <c r="S34" s="3" t="str">
        <f t="shared" si="5"/>
        <v>Leistungswert eintragen</v>
      </c>
      <c r="U34" s="3">
        <f t="shared" si="6"/>
        <v>11.875</v>
      </c>
      <c r="V34" s="3">
        <f t="shared" si="7"/>
        <v>3.5625</v>
      </c>
      <c r="W34" s="3">
        <f t="shared" si="8"/>
        <v>15.4375</v>
      </c>
      <c r="X34" s="3" t="str">
        <f t="shared" si="9"/>
        <v/>
      </c>
    </row>
    <row r="35" spans="1:24" ht="15" customHeight="1" x14ac:dyDescent="0.2">
      <c r="A35" s="70">
        <v>14</v>
      </c>
      <c r="B35" s="84" t="s">
        <v>313</v>
      </c>
      <c r="C35" s="85" t="s">
        <v>230</v>
      </c>
      <c r="D35" s="85"/>
      <c r="E35" s="85" t="s">
        <v>303</v>
      </c>
      <c r="F35" s="85" t="s">
        <v>206</v>
      </c>
      <c r="G35" s="51">
        <v>21.89</v>
      </c>
      <c r="H35" s="51"/>
      <c r="I35" s="51"/>
      <c r="J35" s="70" t="s">
        <v>208</v>
      </c>
      <c r="K35" s="70" t="s">
        <v>142</v>
      </c>
      <c r="L35" s="31">
        <f>VLOOKUP(K35,Reinigungstage!A10:I31,9,FALSE)</f>
        <v>1</v>
      </c>
      <c r="M35" s="31">
        <f t="shared" si="0"/>
        <v>21.89</v>
      </c>
      <c r="N35" s="87">
        <f t="shared" si="1"/>
        <v>0</v>
      </c>
      <c r="O35" s="31">
        <f ca="1">IF('SVS GrundRG'!H61="",0,'SVS GrundRG'!H61)</f>
        <v>0</v>
      </c>
      <c r="P35" s="31">
        <f t="shared" si="2"/>
        <v>0</v>
      </c>
      <c r="Q35" s="31">
        <f t="shared" si="3"/>
        <v>0</v>
      </c>
      <c r="R35" s="31">
        <f t="shared" si="4"/>
        <v>0</v>
      </c>
      <c r="S35" s="3" t="str">
        <f t="shared" si="5"/>
        <v>Leistungswert eintragen</v>
      </c>
      <c r="U35" s="3">
        <f t="shared" si="6"/>
        <v>11.875</v>
      </c>
      <c r="V35" s="3">
        <f t="shared" si="7"/>
        <v>3.5625</v>
      </c>
      <c r="W35" s="3">
        <f t="shared" si="8"/>
        <v>15.4375</v>
      </c>
      <c r="X35" s="3" t="str">
        <f t="shared" si="9"/>
        <v/>
      </c>
    </row>
    <row r="36" spans="1:24" ht="15" customHeight="1" x14ac:dyDescent="0.2">
      <c r="A36" s="70">
        <v>15</v>
      </c>
      <c r="B36" s="84" t="s">
        <v>341</v>
      </c>
      <c r="C36" s="85" t="s">
        <v>230</v>
      </c>
      <c r="D36" s="85"/>
      <c r="E36" s="85" t="s">
        <v>303</v>
      </c>
      <c r="F36" s="85" t="s">
        <v>206</v>
      </c>
      <c r="G36" s="51">
        <v>12.47</v>
      </c>
      <c r="H36" s="51"/>
      <c r="I36" s="51"/>
      <c r="J36" s="70" t="s">
        <v>208</v>
      </c>
      <c r="K36" s="70" t="s">
        <v>142</v>
      </c>
      <c r="L36" s="31">
        <f>VLOOKUP(K36,Reinigungstage!A10:I31,9,FALSE)</f>
        <v>1</v>
      </c>
      <c r="M36" s="31">
        <f t="shared" si="0"/>
        <v>12.47</v>
      </c>
      <c r="N36" s="87">
        <f t="shared" si="1"/>
        <v>0</v>
      </c>
      <c r="O36" s="31">
        <f ca="1">IF('SVS GrundRG'!H61="",0,'SVS GrundRG'!H61)</f>
        <v>0</v>
      </c>
      <c r="P36" s="31">
        <f t="shared" si="2"/>
        <v>0</v>
      </c>
      <c r="Q36" s="31">
        <f t="shared" si="3"/>
        <v>0</v>
      </c>
      <c r="R36" s="31">
        <f t="shared" si="4"/>
        <v>0</v>
      </c>
      <c r="S36" s="3" t="str">
        <f t="shared" si="5"/>
        <v>Leistungswert eintragen</v>
      </c>
      <c r="U36" s="3">
        <f t="shared" si="6"/>
        <v>11.875</v>
      </c>
      <c r="V36" s="3">
        <f t="shared" si="7"/>
        <v>3.5625</v>
      </c>
      <c r="W36" s="3">
        <f t="shared" si="8"/>
        <v>15.4375</v>
      </c>
      <c r="X36" s="3" t="str">
        <f t="shared" si="9"/>
        <v/>
      </c>
    </row>
    <row r="37" spans="1:24" ht="15" customHeight="1" x14ac:dyDescent="0.2">
      <c r="A37" s="70">
        <v>16</v>
      </c>
      <c r="B37" s="84" t="s">
        <v>314</v>
      </c>
      <c r="C37" s="85" t="s">
        <v>230</v>
      </c>
      <c r="D37" s="85"/>
      <c r="E37" s="85" t="s">
        <v>303</v>
      </c>
      <c r="F37" s="85" t="s">
        <v>334</v>
      </c>
      <c r="G37" s="51">
        <v>9.86</v>
      </c>
      <c r="H37" s="51"/>
      <c r="I37" s="51"/>
      <c r="J37" s="70" t="s">
        <v>208</v>
      </c>
      <c r="K37" s="70" t="s">
        <v>142</v>
      </c>
      <c r="L37" s="31">
        <f>VLOOKUP(K37,Reinigungstage!A10:I31,9,FALSE)</f>
        <v>1</v>
      </c>
      <c r="M37" s="31">
        <f t="shared" si="0"/>
        <v>9.86</v>
      </c>
      <c r="N37" s="87">
        <f t="shared" si="1"/>
        <v>0</v>
      </c>
      <c r="O37" s="31">
        <f ca="1">IF('SVS GrundRG'!H61="",0,'SVS GrundRG'!H61)</f>
        <v>0</v>
      </c>
      <c r="P37" s="31">
        <f t="shared" si="2"/>
        <v>0</v>
      </c>
      <c r="Q37" s="31">
        <f t="shared" si="3"/>
        <v>0</v>
      </c>
      <c r="R37" s="31">
        <f t="shared" si="4"/>
        <v>0</v>
      </c>
      <c r="S37" s="3" t="str">
        <f t="shared" si="5"/>
        <v>Leistungswert eintragen</v>
      </c>
      <c r="U37" s="3">
        <f t="shared" si="6"/>
        <v>11.875</v>
      </c>
      <c r="V37" s="3">
        <f t="shared" si="7"/>
        <v>3.5625</v>
      </c>
      <c r="W37" s="3">
        <f t="shared" si="8"/>
        <v>15.4375</v>
      </c>
      <c r="X37" s="3" t="str">
        <f t="shared" si="9"/>
        <v/>
      </c>
    </row>
    <row r="38" spans="1:24" ht="15" customHeight="1" x14ac:dyDescent="0.2">
      <c r="A38" s="70">
        <v>17</v>
      </c>
      <c r="B38" s="84" t="s">
        <v>315</v>
      </c>
      <c r="C38" s="85" t="s">
        <v>230</v>
      </c>
      <c r="D38" s="85"/>
      <c r="E38" s="85" t="s">
        <v>303</v>
      </c>
      <c r="F38" s="85" t="s">
        <v>206</v>
      </c>
      <c r="G38" s="51">
        <v>21.94</v>
      </c>
      <c r="H38" s="51"/>
      <c r="I38" s="51"/>
      <c r="J38" s="70" t="s">
        <v>208</v>
      </c>
      <c r="K38" s="70" t="s">
        <v>142</v>
      </c>
      <c r="L38" s="31">
        <f>VLOOKUP(K38,Reinigungstage!A10:I31,9,FALSE)</f>
        <v>1</v>
      </c>
      <c r="M38" s="31">
        <f t="shared" si="0"/>
        <v>21.94</v>
      </c>
      <c r="N38" s="87">
        <f t="shared" si="1"/>
        <v>0</v>
      </c>
      <c r="O38" s="31">
        <f ca="1">IF('SVS GrundRG'!H61="",0,'SVS GrundRG'!H61)</f>
        <v>0</v>
      </c>
      <c r="P38" s="31">
        <f t="shared" si="2"/>
        <v>0</v>
      </c>
      <c r="Q38" s="31">
        <f t="shared" si="3"/>
        <v>0</v>
      </c>
      <c r="R38" s="31">
        <f t="shared" si="4"/>
        <v>0</v>
      </c>
      <c r="S38" s="3" t="str">
        <f t="shared" si="5"/>
        <v>Leistungswert eintragen</v>
      </c>
      <c r="U38" s="3">
        <f t="shared" si="6"/>
        <v>11.875</v>
      </c>
      <c r="V38" s="3">
        <f t="shared" si="7"/>
        <v>3.5625</v>
      </c>
      <c r="W38" s="3">
        <f t="shared" si="8"/>
        <v>15.4375</v>
      </c>
      <c r="X38" s="3" t="str">
        <f t="shared" si="9"/>
        <v/>
      </c>
    </row>
    <row r="39" spans="1:24" ht="15" customHeight="1" x14ac:dyDescent="0.2">
      <c r="A39" s="70">
        <v>18</v>
      </c>
      <c r="B39" s="84" t="s">
        <v>342</v>
      </c>
      <c r="C39" s="85" t="s">
        <v>230</v>
      </c>
      <c r="D39" s="85"/>
      <c r="E39" s="85" t="s">
        <v>303</v>
      </c>
      <c r="F39" s="85" t="s">
        <v>206</v>
      </c>
      <c r="G39" s="51">
        <v>12.5</v>
      </c>
      <c r="H39" s="51"/>
      <c r="I39" s="51"/>
      <c r="J39" s="70" t="s">
        <v>208</v>
      </c>
      <c r="K39" s="70" t="s">
        <v>142</v>
      </c>
      <c r="L39" s="31">
        <f>VLOOKUP(K39,Reinigungstage!A10:I31,9,FALSE)</f>
        <v>1</v>
      </c>
      <c r="M39" s="31">
        <f t="shared" si="0"/>
        <v>12.5</v>
      </c>
      <c r="N39" s="87">
        <f t="shared" si="1"/>
        <v>0</v>
      </c>
      <c r="O39" s="31">
        <f ca="1">IF('SVS GrundRG'!H61="",0,'SVS GrundRG'!H61)</f>
        <v>0</v>
      </c>
      <c r="P39" s="31">
        <f t="shared" si="2"/>
        <v>0</v>
      </c>
      <c r="Q39" s="31">
        <f t="shared" si="3"/>
        <v>0</v>
      </c>
      <c r="R39" s="31">
        <f t="shared" si="4"/>
        <v>0</v>
      </c>
      <c r="S39" s="3" t="str">
        <f t="shared" si="5"/>
        <v>Leistungswert eintragen</v>
      </c>
      <c r="U39" s="3">
        <f t="shared" si="6"/>
        <v>11.875</v>
      </c>
      <c r="V39" s="3">
        <f t="shared" si="7"/>
        <v>3.5625</v>
      </c>
      <c r="W39" s="3">
        <f t="shared" si="8"/>
        <v>15.4375</v>
      </c>
      <c r="X39" s="3" t="str">
        <f t="shared" si="9"/>
        <v/>
      </c>
    </row>
    <row r="40" spans="1:24" ht="15" customHeight="1" x14ac:dyDescent="0.2">
      <c r="A40" s="70">
        <v>19</v>
      </c>
      <c r="B40" s="84" t="s">
        <v>343</v>
      </c>
      <c r="C40" s="85" t="s">
        <v>230</v>
      </c>
      <c r="D40" s="85"/>
      <c r="E40" s="85" t="s">
        <v>303</v>
      </c>
      <c r="F40" s="85" t="s">
        <v>206</v>
      </c>
      <c r="G40" s="51">
        <v>13.37</v>
      </c>
      <c r="H40" s="51"/>
      <c r="I40" s="51"/>
      <c r="J40" s="70" t="s">
        <v>208</v>
      </c>
      <c r="K40" s="70" t="s">
        <v>142</v>
      </c>
      <c r="L40" s="31">
        <f>VLOOKUP(K40,Reinigungstage!A10:I31,9,FALSE)</f>
        <v>1</v>
      </c>
      <c r="M40" s="31">
        <f t="shared" si="0"/>
        <v>13.37</v>
      </c>
      <c r="N40" s="87">
        <f t="shared" si="1"/>
        <v>0</v>
      </c>
      <c r="O40" s="31">
        <f ca="1">IF('SVS GrundRG'!H61="",0,'SVS GrundRG'!H61)</f>
        <v>0</v>
      </c>
      <c r="P40" s="31">
        <f t="shared" si="2"/>
        <v>0</v>
      </c>
      <c r="Q40" s="31">
        <f t="shared" si="3"/>
        <v>0</v>
      </c>
      <c r="R40" s="31">
        <f t="shared" si="4"/>
        <v>0</v>
      </c>
      <c r="S40" s="3" t="str">
        <f t="shared" si="5"/>
        <v>Leistungswert eintragen</v>
      </c>
      <c r="U40" s="3">
        <f t="shared" si="6"/>
        <v>11.875</v>
      </c>
      <c r="V40" s="3">
        <f t="shared" si="7"/>
        <v>3.5625</v>
      </c>
      <c r="W40" s="3">
        <f t="shared" si="8"/>
        <v>15.4375</v>
      </c>
      <c r="X40" s="3" t="str">
        <f t="shared" si="9"/>
        <v/>
      </c>
    </row>
    <row r="41" spans="1:24" ht="15" customHeight="1" x14ac:dyDescent="0.2">
      <c r="A41" s="70">
        <v>20</v>
      </c>
      <c r="B41" s="84" t="s">
        <v>346</v>
      </c>
      <c r="C41" s="85" t="s">
        <v>230</v>
      </c>
      <c r="D41" s="85"/>
      <c r="E41" s="85" t="s">
        <v>347</v>
      </c>
      <c r="F41" s="85" t="s">
        <v>206</v>
      </c>
      <c r="G41" s="51">
        <v>23.06</v>
      </c>
      <c r="H41" s="51"/>
      <c r="I41" s="51"/>
      <c r="J41" s="70" t="s">
        <v>275</v>
      </c>
      <c r="K41" s="70" t="s">
        <v>142</v>
      </c>
      <c r="L41" s="31">
        <f>VLOOKUP(K41,Reinigungstage!A10:I31,9,FALSE)</f>
        <v>1</v>
      </c>
      <c r="M41" s="31">
        <f t="shared" si="0"/>
        <v>23.06</v>
      </c>
      <c r="N41" s="87">
        <f t="shared" si="1"/>
        <v>0</v>
      </c>
      <c r="O41" s="31">
        <f ca="1">IF('SVS GrundRG'!H61="",0,'SVS GrundRG'!H61)</f>
        <v>0</v>
      </c>
      <c r="P41" s="31">
        <f t="shared" si="2"/>
        <v>0</v>
      </c>
      <c r="Q41" s="31">
        <f t="shared" si="3"/>
        <v>0</v>
      </c>
      <c r="R41" s="31">
        <f t="shared" si="4"/>
        <v>0</v>
      </c>
      <c r="S41" s="3" t="str">
        <f t="shared" si="5"/>
        <v>Leistungswert eintragen</v>
      </c>
      <c r="U41" s="3">
        <f t="shared" si="6"/>
        <v>12.75</v>
      </c>
      <c r="V41" s="3">
        <f t="shared" si="7"/>
        <v>3.8249999999999997</v>
      </c>
      <c r="W41" s="3">
        <f t="shared" si="8"/>
        <v>16.574999999999999</v>
      </c>
      <c r="X41" s="3" t="str">
        <f t="shared" si="9"/>
        <v/>
      </c>
    </row>
    <row r="42" spans="1:24" ht="15" customHeight="1" x14ac:dyDescent="0.2">
      <c r="A42" s="70">
        <v>21</v>
      </c>
      <c r="B42" s="84" t="s">
        <v>348</v>
      </c>
      <c r="C42" s="85" t="s">
        <v>230</v>
      </c>
      <c r="D42" s="85"/>
      <c r="E42" s="85" t="s">
        <v>303</v>
      </c>
      <c r="F42" s="85" t="s">
        <v>206</v>
      </c>
      <c r="G42" s="51">
        <v>14.92</v>
      </c>
      <c r="H42" s="51"/>
      <c r="I42" s="51"/>
      <c r="J42" s="70" t="s">
        <v>208</v>
      </c>
      <c r="K42" s="70" t="s">
        <v>142</v>
      </c>
      <c r="L42" s="31">
        <f>VLOOKUP(K42,Reinigungstage!A10:I31,9,FALSE)</f>
        <v>1</v>
      </c>
      <c r="M42" s="31">
        <f t="shared" si="0"/>
        <v>14.92</v>
      </c>
      <c r="N42" s="87">
        <f t="shared" si="1"/>
        <v>0</v>
      </c>
      <c r="O42" s="31">
        <f ca="1">IF('SVS GrundRG'!H61="",0,'SVS GrundRG'!H61)</f>
        <v>0</v>
      </c>
      <c r="P42" s="31">
        <f t="shared" si="2"/>
        <v>0</v>
      </c>
      <c r="Q42" s="31">
        <f t="shared" si="3"/>
        <v>0</v>
      </c>
      <c r="R42" s="31">
        <f t="shared" si="4"/>
        <v>0</v>
      </c>
      <c r="S42" s="3" t="str">
        <f t="shared" si="5"/>
        <v>Leistungswert eintragen</v>
      </c>
      <c r="U42" s="3">
        <f t="shared" si="6"/>
        <v>11.875</v>
      </c>
      <c r="V42" s="3">
        <f t="shared" si="7"/>
        <v>3.5625</v>
      </c>
      <c r="W42" s="3">
        <f t="shared" si="8"/>
        <v>15.4375</v>
      </c>
      <c r="X42" s="3" t="str">
        <f t="shared" si="9"/>
        <v/>
      </c>
    </row>
    <row r="43" spans="1:24" ht="15" customHeight="1" x14ac:dyDescent="0.2">
      <c r="A43" s="70">
        <v>22</v>
      </c>
      <c r="B43" s="84" t="s">
        <v>349</v>
      </c>
      <c r="C43" s="85" t="s">
        <v>230</v>
      </c>
      <c r="D43" s="85"/>
      <c r="E43" s="85" t="s">
        <v>303</v>
      </c>
      <c r="F43" s="85" t="s">
        <v>206</v>
      </c>
      <c r="G43" s="51">
        <v>12.64</v>
      </c>
      <c r="H43" s="51"/>
      <c r="I43" s="51"/>
      <c r="J43" s="70" t="s">
        <v>208</v>
      </c>
      <c r="K43" s="70" t="s">
        <v>142</v>
      </c>
      <c r="L43" s="31">
        <f>VLOOKUP(K43,Reinigungstage!A10:I31,9,FALSE)</f>
        <v>1</v>
      </c>
      <c r="M43" s="31">
        <f t="shared" si="0"/>
        <v>12.64</v>
      </c>
      <c r="N43" s="87">
        <f t="shared" si="1"/>
        <v>0</v>
      </c>
      <c r="O43" s="31">
        <f ca="1">IF('SVS GrundRG'!H61="",0,'SVS GrundRG'!H61)</f>
        <v>0</v>
      </c>
      <c r="P43" s="31">
        <f t="shared" si="2"/>
        <v>0</v>
      </c>
      <c r="Q43" s="31">
        <f t="shared" si="3"/>
        <v>0</v>
      </c>
      <c r="R43" s="31">
        <f t="shared" si="4"/>
        <v>0</v>
      </c>
      <c r="S43" s="3" t="str">
        <f t="shared" si="5"/>
        <v>Leistungswert eintragen</v>
      </c>
      <c r="U43" s="3">
        <f t="shared" si="6"/>
        <v>11.875</v>
      </c>
      <c r="V43" s="3">
        <f t="shared" si="7"/>
        <v>3.5625</v>
      </c>
      <c r="W43" s="3">
        <f t="shared" si="8"/>
        <v>15.4375</v>
      </c>
      <c r="X43" s="3" t="str">
        <f t="shared" si="9"/>
        <v/>
      </c>
    </row>
    <row r="44" spans="1:24" ht="15" customHeight="1" x14ac:dyDescent="0.2">
      <c r="A44" s="70">
        <v>23</v>
      </c>
      <c r="B44" s="84">
        <v>218</v>
      </c>
      <c r="C44" s="85" t="s">
        <v>230</v>
      </c>
      <c r="D44" s="85"/>
      <c r="E44" s="85" t="s">
        <v>303</v>
      </c>
      <c r="F44" s="85" t="s">
        <v>206</v>
      </c>
      <c r="G44" s="51">
        <v>24.21</v>
      </c>
      <c r="H44" s="51"/>
      <c r="I44" s="51"/>
      <c r="J44" s="70" t="s">
        <v>208</v>
      </c>
      <c r="K44" s="70" t="s">
        <v>142</v>
      </c>
      <c r="L44" s="31">
        <f>VLOOKUP(K44,Reinigungstage!A10:I31,9,FALSE)</f>
        <v>1</v>
      </c>
      <c r="M44" s="31">
        <f t="shared" si="0"/>
        <v>24.21</v>
      </c>
      <c r="N44" s="87">
        <f t="shared" si="1"/>
        <v>0</v>
      </c>
      <c r="O44" s="31">
        <f ca="1">IF('SVS GrundRG'!H61="",0,'SVS GrundRG'!H61)</f>
        <v>0</v>
      </c>
      <c r="P44" s="31">
        <f t="shared" si="2"/>
        <v>0</v>
      </c>
      <c r="Q44" s="31">
        <f t="shared" si="3"/>
        <v>0</v>
      </c>
      <c r="R44" s="31">
        <f t="shared" si="4"/>
        <v>0</v>
      </c>
      <c r="S44" s="3" t="str">
        <f t="shared" si="5"/>
        <v>Leistungswert eintragen</v>
      </c>
      <c r="U44" s="3">
        <f t="shared" si="6"/>
        <v>11.875</v>
      </c>
      <c r="V44" s="3">
        <f t="shared" si="7"/>
        <v>3.5625</v>
      </c>
      <c r="W44" s="3">
        <f t="shared" si="8"/>
        <v>15.4375</v>
      </c>
      <c r="X44" s="3" t="str">
        <f t="shared" si="9"/>
        <v/>
      </c>
    </row>
    <row r="45" spans="1:24" ht="15" customHeight="1" x14ac:dyDescent="0.2">
      <c r="A45" s="70">
        <v>24</v>
      </c>
      <c r="B45" s="84"/>
      <c r="C45" s="85" t="s">
        <v>230</v>
      </c>
      <c r="D45" s="85"/>
      <c r="E45" s="85" t="s">
        <v>328</v>
      </c>
      <c r="F45" s="85" t="s">
        <v>334</v>
      </c>
      <c r="G45" s="51">
        <v>103.28</v>
      </c>
      <c r="H45" s="51"/>
      <c r="I45" s="51"/>
      <c r="J45" s="70" t="s">
        <v>278</v>
      </c>
      <c r="K45" s="70" t="s">
        <v>142</v>
      </c>
      <c r="L45" s="31">
        <f>VLOOKUP(K45,Reinigungstage!A10:I31,9,FALSE)</f>
        <v>1</v>
      </c>
      <c r="M45" s="31">
        <f t="shared" si="0"/>
        <v>103.28</v>
      </c>
      <c r="N45" s="87">
        <f t="shared" si="1"/>
        <v>0</v>
      </c>
      <c r="O45" s="31">
        <f ca="1">IF('SVS GrundRG'!H61="",0,'SVS GrundRG'!H61)</f>
        <v>0</v>
      </c>
      <c r="P45" s="31">
        <f t="shared" si="2"/>
        <v>0</v>
      </c>
      <c r="Q45" s="31">
        <f t="shared" si="3"/>
        <v>0</v>
      </c>
      <c r="R45" s="31">
        <f t="shared" si="4"/>
        <v>0</v>
      </c>
      <c r="S45" s="3" t="str">
        <f t="shared" si="5"/>
        <v>Leistungswert eintragen</v>
      </c>
      <c r="U45" s="3">
        <f t="shared" si="6"/>
        <v>16.25</v>
      </c>
      <c r="V45" s="3">
        <f t="shared" si="7"/>
        <v>4.875</v>
      </c>
      <c r="W45" s="3">
        <f t="shared" si="8"/>
        <v>21.125</v>
      </c>
      <c r="X45" s="3" t="str">
        <f t="shared" si="9"/>
        <v/>
      </c>
    </row>
    <row r="46" spans="1:24" ht="15" customHeight="1" x14ac:dyDescent="0.2">
      <c r="A46" s="70">
        <v>25</v>
      </c>
      <c r="B46" s="84"/>
      <c r="C46" s="85" t="s">
        <v>230</v>
      </c>
      <c r="D46" s="85"/>
      <c r="E46" s="85" t="s">
        <v>220</v>
      </c>
      <c r="F46" s="85" t="s">
        <v>217</v>
      </c>
      <c r="G46" s="51">
        <v>9.5</v>
      </c>
      <c r="H46" s="51"/>
      <c r="I46" s="51"/>
      <c r="J46" s="70" t="s">
        <v>276</v>
      </c>
      <c r="K46" s="70" t="s">
        <v>142</v>
      </c>
      <c r="L46" s="31">
        <f>VLOOKUP(K46,Reinigungstage!A10:I31,9,FALSE)</f>
        <v>1</v>
      </c>
      <c r="M46" s="31">
        <f t="shared" si="0"/>
        <v>9.5</v>
      </c>
      <c r="N46" s="87">
        <f t="shared" si="1"/>
        <v>0</v>
      </c>
      <c r="O46" s="31">
        <f ca="1">IF('SVS GrundRG'!H61="",0,'SVS GrundRG'!H61)</f>
        <v>0</v>
      </c>
      <c r="P46" s="31">
        <f t="shared" si="2"/>
        <v>0</v>
      </c>
      <c r="Q46" s="31">
        <f t="shared" si="3"/>
        <v>0</v>
      </c>
      <c r="R46" s="31">
        <f t="shared" si="4"/>
        <v>0</v>
      </c>
      <c r="S46" s="3" t="str">
        <f t="shared" si="5"/>
        <v>Leistungswert eintragen</v>
      </c>
      <c r="U46" s="3">
        <f t="shared" si="6"/>
        <v>10.25</v>
      </c>
      <c r="V46" s="3">
        <f t="shared" si="7"/>
        <v>3.0749999999999997</v>
      </c>
      <c r="W46" s="3">
        <f t="shared" si="8"/>
        <v>13.324999999999999</v>
      </c>
      <c r="X46" s="3" t="str">
        <f t="shared" si="9"/>
        <v/>
      </c>
    </row>
    <row r="47" spans="1:24" ht="15" customHeight="1" x14ac:dyDescent="0.2">
      <c r="A47" s="70">
        <v>26</v>
      </c>
      <c r="B47" s="84"/>
      <c r="C47" s="85" t="s">
        <v>230</v>
      </c>
      <c r="D47" s="85"/>
      <c r="E47" s="85" t="s">
        <v>216</v>
      </c>
      <c r="F47" s="85" t="s">
        <v>217</v>
      </c>
      <c r="G47" s="51">
        <v>11.2</v>
      </c>
      <c r="H47" s="51"/>
      <c r="I47" s="51"/>
      <c r="J47" s="70" t="s">
        <v>276</v>
      </c>
      <c r="K47" s="70" t="s">
        <v>142</v>
      </c>
      <c r="L47" s="31">
        <f>VLOOKUP(K47,Reinigungstage!A10:I31,9,FALSE)</f>
        <v>1</v>
      </c>
      <c r="M47" s="31">
        <f t="shared" si="0"/>
        <v>11.2</v>
      </c>
      <c r="N47" s="87">
        <f t="shared" si="1"/>
        <v>0</v>
      </c>
      <c r="O47" s="31">
        <f ca="1">IF('SVS GrundRG'!H61="",0,'SVS GrundRG'!H61)</f>
        <v>0</v>
      </c>
      <c r="P47" s="31">
        <f t="shared" si="2"/>
        <v>0</v>
      </c>
      <c r="Q47" s="31">
        <f t="shared" si="3"/>
        <v>0</v>
      </c>
      <c r="R47" s="31">
        <f t="shared" si="4"/>
        <v>0</v>
      </c>
      <c r="S47" s="3" t="str">
        <f t="shared" si="5"/>
        <v>Leistungswert eintragen</v>
      </c>
      <c r="U47" s="3">
        <f t="shared" si="6"/>
        <v>10.25</v>
      </c>
      <c r="V47" s="3">
        <f t="shared" si="7"/>
        <v>3.0749999999999997</v>
      </c>
      <c r="W47" s="3">
        <f t="shared" si="8"/>
        <v>13.324999999999999</v>
      </c>
      <c r="X47" s="3" t="str">
        <f t="shared" si="9"/>
        <v/>
      </c>
    </row>
    <row r="48" spans="1:24" ht="15" customHeight="1" x14ac:dyDescent="0.2">
      <c r="A48" s="70">
        <v>27</v>
      </c>
      <c r="B48" s="84"/>
      <c r="C48" s="85" t="s">
        <v>230</v>
      </c>
      <c r="D48" s="85" t="s">
        <v>350</v>
      </c>
      <c r="E48" s="85" t="s">
        <v>351</v>
      </c>
      <c r="F48" s="85" t="s">
        <v>317</v>
      </c>
      <c r="G48" s="51">
        <v>12.2</v>
      </c>
      <c r="H48" s="51"/>
      <c r="I48" s="51"/>
      <c r="J48" s="70" t="s">
        <v>279</v>
      </c>
      <c r="K48" s="70" t="s">
        <v>142</v>
      </c>
      <c r="L48" s="31">
        <f>VLOOKUP(K48,Reinigungstage!A10:I31,9,FALSE)</f>
        <v>1</v>
      </c>
      <c r="M48" s="31">
        <f t="shared" si="0"/>
        <v>12.2</v>
      </c>
      <c r="N48" s="87">
        <f t="shared" si="1"/>
        <v>0</v>
      </c>
      <c r="O48" s="31">
        <f ca="1">IF('SVS GrundRG'!H61="",0,'SVS GrundRG'!H61)</f>
        <v>0</v>
      </c>
      <c r="P48" s="31">
        <f t="shared" si="2"/>
        <v>0</v>
      </c>
      <c r="Q48" s="31">
        <f t="shared" si="3"/>
        <v>0</v>
      </c>
      <c r="R48" s="31">
        <f t="shared" si="4"/>
        <v>0</v>
      </c>
      <c r="S48" s="3" t="str">
        <f t="shared" si="5"/>
        <v>Leistungswert eintragen</v>
      </c>
      <c r="U48" s="3">
        <f t="shared" si="6"/>
        <v>15.375</v>
      </c>
      <c r="V48" s="3">
        <f t="shared" si="7"/>
        <v>4.6124999999999998</v>
      </c>
      <c r="W48" s="3">
        <f t="shared" si="8"/>
        <v>19.987500000000001</v>
      </c>
      <c r="X48" s="3" t="str">
        <f t="shared" si="9"/>
        <v/>
      </c>
    </row>
    <row r="49" spans="1:24" ht="15" customHeight="1" x14ac:dyDescent="0.2">
      <c r="A49" s="70">
        <v>28</v>
      </c>
      <c r="B49" s="84"/>
      <c r="C49" s="85" t="s">
        <v>230</v>
      </c>
      <c r="D49" s="85" t="s">
        <v>352</v>
      </c>
      <c r="E49" s="85" t="s">
        <v>351</v>
      </c>
      <c r="F49" s="85" t="s">
        <v>317</v>
      </c>
      <c r="G49" s="51">
        <v>9.06</v>
      </c>
      <c r="H49" s="51"/>
      <c r="I49" s="51"/>
      <c r="J49" s="70" t="s">
        <v>279</v>
      </c>
      <c r="K49" s="70" t="s">
        <v>142</v>
      </c>
      <c r="L49" s="31">
        <f>VLOOKUP(K49,Reinigungstage!A10:I31,9,FALSE)</f>
        <v>1</v>
      </c>
      <c r="M49" s="31">
        <f t="shared" si="0"/>
        <v>9.06</v>
      </c>
      <c r="N49" s="87">
        <f t="shared" si="1"/>
        <v>0</v>
      </c>
      <c r="O49" s="31">
        <f ca="1">IF('SVS GrundRG'!H61="",0,'SVS GrundRG'!H61)</f>
        <v>0</v>
      </c>
      <c r="P49" s="31">
        <f t="shared" si="2"/>
        <v>0</v>
      </c>
      <c r="Q49" s="31">
        <f t="shared" si="3"/>
        <v>0</v>
      </c>
      <c r="R49" s="31">
        <f t="shared" si="4"/>
        <v>0</v>
      </c>
      <c r="S49" s="3" t="str">
        <f t="shared" si="5"/>
        <v>Leistungswert eintragen</v>
      </c>
      <c r="U49" s="3">
        <f t="shared" si="6"/>
        <v>15.375</v>
      </c>
      <c r="V49" s="3">
        <f t="shared" si="7"/>
        <v>4.6124999999999998</v>
      </c>
      <c r="W49" s="3">
        <f t="shared" si="8"/>
        <v>19.987500000000001</v>
      </c>
      <c r="X49" s="3" t="str">
        <f t="shared" si="9"/>
        <v/>
      </c>
    </row>
    <row r="50" spans="1:24" ht="15" customHeight="1" x14ac:dyDescent="0.2">
      <c r="A50" s="70">
        <v>29</v>
      </c>
      <c r="B50" s="84" t="s">
        <v>353</v>
      </c>
      <c r="C50" s="85" t="s">
        <v>252</v>
      </c>
      <c r="D50" s="85" t="s">
        <v>354</v>
      </c>
      <c r="E50" s="85" t="s">
        <v>329</v>
      </c>
      <c r="F50" s="85" t="s">
        <v>206</v>
      </c>
      <c r="G50" s="51">
        <v>81.86</v>
      </c>
      <c r="H50" s="51"/>
      <c r="I50" s="51"/>
      <c r="J50" s="70" t="s">
        <v>208</v>
      </c>
      <c r="K50" s="70" t="s">
        <v>142</v>
      </c>
      <c r="L50" s="31">
        <f>VLOOKUP(K50,Reinigungstage!A10:I31,9,FALSE)</f>
        <v>1</v>
      </c>
      <c r="M50" s="31">
        <f t="shared" si="0"/>
        <v>81.86</v>
      </c>
      <c r="N50" s="87">
        <f t="shared" si="1"/>
        <v>0</v>
      </c>
      <c r="O50" s="31">
        <f ca="1">IF('SVS GrundRG'!H61="",0,'SVS GrundRG'!H61)</f>
        <v>0</v>
      </c>
      <c r="P50" s="31">
        <f t="shared" si="2"/>
        <v>0</v>
      </c>
      <c r="Q50" s="31">
        <f t="shared" si="3"/>
        <v>0</v>
      </c>
      <c r="R50" s="31">
        <f t="shared" si="4"/>
        <v>0</v>
      </c>
      <c r="S50" s="3" t="str">
        <f t="shared" si="5"/>
        <v>Leistungswert eintragen</v>
      </c>
      <c r="U50" s="3">
        <f t="shared" si="6"/>
        <v>11.875</v>
      </c>
      <c r="V50" s="3">
        <f t="shared" si="7"/>
        <v>3.5625</v>
      </c>
      <c r="W50" s="3">
        <f t="shared" si="8"/>
        <v>15.4375</v>
      </c>
      <c r="X50" s="3" t="str">
        <f t="shared" si="9"/>
        <v/>
      </c>
    </row>
    <row r="51" spans="1:24" ht="15" customHeight="1" x14ac:dyDescent="0.2">
      <c r="A51" s="70">
        <v>30</v>
      </c>
      <c r="B51" s="84"/>
      <c r="C51" s="85" t="s">
        <v>252</v>
      </c>
      <c r="D51" s="85" t="s">
        <v>354</v>
      </c>
      <c r="E51" s="85" t="s">
        <v>355</v>
      </c>
      <c r="F51" s="85" t="s">
        <v>206</v>
      </c>
      <c r="G51" s="51">
        <v>13.83</v>
      </c>
      <c r="H51" s="51"/>
      <c r="I51" s="51"/>
      <c r="J51" s="70" t="s">
        <v>208</v>
      </c>
      <c r="K51" s="70" t="s">
        <v>142</v>
      </c>
      <c r="L51" s="31">
        <f>VLOOKUP(K51,Reinigungstage!A10:I31,9,FALSE)</f>
        <v>1</v>
      </c>
      <c r="M51" s="31">
        <f t="shared" si="0"/>
        <v>13.83</v>
      </c>
      <c r="N51" s="87">
        <f t="shared" si="1"/>
        <v>0</v>
      </c>
      <c r="O51" s="31">
        <f ca="1">IF('SVS GrundRG'!H61="",0,'SVS GrundRG'!H61)</f>
        <v>0</v>
      </c>
      <c r="P51" s="31">
        <f t="shared" si="2"/>
        <v>0</v>
      </c>
      <c r="Q51" s="31">
        <f t="shared" si="3"/>
        <v>0</v>
      </c>
      <c r="R51" s="31">
        <f t="shared" si="4"/>
        <v>0</v>
      </c>
      <c r="S51" s="3" t="str">
        <f t="shared" si="5"/>
        <v>Leistungswert eintragen</v>
      </c>
      <c r="U51" s="3">
        <f t="shared" si="6"/>
        <v>11.875</v>
      </c>
      <c r="V51" s="3">
        <f t="shared" si="7"/>
        <v>3.5625</v>
      </c>
      <c r="W51" s="3">
        <f t="shared" si="8"/>
        <v>15.4375</v>
      </c>
      <c r="X51" s="3" t="str">
        <f t="shared" si="9"/>
        <v/>
      </c>
    </row>
    <row r="52" spans="1:24" ht="15" customHeight="1" x14ac:dyDescent="0.2">
      <c r="A52" s="70">
        <v>31</v>
      </c>
      <c r="B52" s="84">
        <v>101</v>
      </c>
      <c r="C52" s="85" t="s">
        <v>252</v>
      </c>
      <c r="D52" s="85" t="s">
        <v>354</v>
      </c>
      <c r="E52" s="85" t="s">
        <v>283</v>
      </c>
      <c r="F52" s="85" t="s">
        <v>334</v>
      </c>
      <c r="G52" s="51">
        <v>11.75</v>
      </c>
      <c r="H52" s="51"/>
      <c r="I52" s="51"/>
      <c r="J52" s="70" t="s">
        <v>275</v>
      </c>
      <c r="K52" s="70" t="s">
        <v>142</v>
      </c>
      <c r="L52" s="31">
        <f>VLOOKUP(K52,Reinigungstage!A10:I31,9,FALSE)</f>
        <v>1</v>
      </c>
      <c r="M52" s="31">
        <f t="shared" ref="M52:M69" si="10">ROUND(IF(L52=0,0,L52*G52),2)</f>
        <v>11.75</v>
      </c>
      <c r="N52" s="87">
        <f t="shared" si="1"/>
        <v>0</v>
      </c>
      <c r="O52" s="31">
        <f ca="1">IF('SVS GrundRG'!H61="",0,'SVS GrundRG'!H61)</f>
        <v>0</v>
      </c>
      <c r="P52" s="31">
        <f t="shared" ref="P52:P69" si="11">ROUND(IF(N52=0,0,M52/N52),2)</f>
        <v>0</v>
      </c>
      <c r="Q52" s="31">
        <f t="shared" ref="Q52:Q69" si="12">ROUND(IF(P52=0,0,P52*O52),2)</f>
        <v>0</v>
      </c>
      <c r="R52" s="31">
        <f t="shared" ref="R52:R69" si="13">ROUND(IF(P52=0,0,Q52/L52),2)</f>
        <v>0</v>
      </c>
      <c r="S52" s="3" t="str">
        <f t="shared" ref="S52:S69" si="14">IF(M52=0,"",IF(N52=0,"Leistungswert eintragen",IF(O52=0,"SVS prüfen","")))</f>
        <v>Leistungswert eintragen</v>
      </c>
      <c r="U52" s="3">
        <f t="shared" ref="U52:U69" si="15">VLOOKUP(J52,$U$4:$V$10,2,FALSE)</f>
        <v>12.75</v>
      </c>
      <c r="V52" s="3">
        <f t="shared" ref="V52:V69" si="16">U52*30%</f>
        <v>3.8249999999999997</v>
      </c>
      <c r="W52" s="3">
        <f t="shared" ref="W52:W69" si="17">SUM(U52:V52)</f>
        <v>16.574999999999999</v>
      </c>
      <c r="X52" s="3" t="str">
        <f t="shared" ref="X52:X69" si="18">IF(N52=0,"",IF(W52&lt;N52,1,IF(W52&gt;=N52,0,"")))</f>
        <v/>
      </c>
    </row>
    <row r="53" spans="1:24" ht="15" customHeight="1" x14ac:dyDescent="0.2">
      <c r="A53" s="70">
        <v>32</v>
      </c>
      <c r="B53" s="84"/>
      <c r="C53" s="85" t="s">
        <v>252</v>
      </c>
      <c r="D53" s="85" t="s">
        <v>354</v>
      </c>
      <c r="E53" s="85" t="s">
        <v>356</v>
      </c>
      <c r="F53" s="85" t="s">
        <v>206</v>
      </c>
      <c r="G53" s="51">
        <v>2</v>
      </c>
      <c r="H53" s="51"/>
      <c r="I53" s="51"/>
      <c r="J53" s="70" t="s">
        <v>208</v>
      </c>
      <c r="K53" s="70" t="s">
        <v>142</v>
      </c>
      <c r="L53" s="31">
        <f>VLOOKUP(K53,Reinigungstage!A10:I31,9,FALSE)</f>
        <v>1</v>
      </c>
      <c r="M53" s="31">
        <f t="shared" si="10"/>
        <v>2</v>
      </c>
      <c r="N53" s="87">
        <f t="shared" si="1"/>
        <v>0</v>
      </c>
      <c r="O53" s="31">
        <f ca="1">IF('SVS GrundRG'!H61="",0,'SVS GrundRG'!H61)</f>
        <v>0</v>
      </c>
      <c r="P53" s="31">
        <f t="shared" si="11"/>
        <v>0</v>
      </c>
      <c r="Q53" s="31">
        <f t="shared" si="12"/>
        <v>0</v>
      </c>
      <c r="R53" s="31">
        <f t="shared" si="13"/>
        <v>0</v>
      </c>
      <c r="S53" s="3" t="str">
        <f t="shared" si="14"/>
        <v>Leistungswert eintragen</v>
      </c>
      <c r="U53" s="3">
        <f t="shared" si="15"/>
        <v>11.875</v>
      </c>
      <c r="V53" s="3">
        <f t="shared" si="16"/>
        <v>3.5625</v>
      </c>
      <c r="W53" s="3">
        <f t="shared" si="17"/>
        <v>15.4375</v>
      </c>
      <c r="X53" s="3" t="str">
        <f t="shared" si="18"/>
        <v/>
      </c>
    </row>
    <row r="54" spans="1:24" ht="15" customHeight="1" x14ac:dyDescent="0.2">
      <c r="A54" s="70">
        <v>33</v>
      </c>
      <c r="B54" s="84"/>
      <c r="C54" s="85" t="s">
        <v>252</v>
      </c>
      <c r="D54" s="85" t="s">
        <v>354</v>
      </c>
      <c r="E54" s="85" t="s">
        <v>224</v>
      </c>
      <c r="F54" s="85" t="s">
        <v>206</v>
      </c>
      <c r="G54" s="51">
        <v>15.2</v>
      </c>
      <c r="H54" s="51"/>
      <c r="I54" s="51"/>
      <c r="J54" s="70" t="s">
        <v>278</v>
      </c>
      <c r="K54" s="70" t="s">
        <v>142</v>
      </c>
      <c r="L54" s="31">
        <f>VLOOKUP(K54,Reinigungstage!A10:I31,9,FALSE)</f>
        <v>1</v>
      </c>
      <c r="M54" s="31">
        <f t="shared" si="10"/>
        <v>15.2</v>
      </c>
      <c r="N54" s="87">
        <f t="shared" si="1"/>
        <v>0</v>
      </c>
      <c r="O54" s="31">
        <f ca="1">IF('SVS GrundRG'!H61="",0,'SVS GrundRG'!H61)</f>
        <v>0</v>
      </c>
      <c r="P54" s="31">
        <f t="shared" si="11"/>
        <v>0</v>
      </c>
      <c r="Q54" s="31">
        <f t="shared" si="12"/>
        <v>0</v>
      </c>
      <c r="R54" s="31">
        <f t="shared" si="13"/>
        <v>0</v>
      </c>
      <c r="S54" s="3" t="str">
        <f t="shared" si="14"/>
        <v>Leistungswert eintragen</v>
      </c>
      <c r="U54" s="3">
        <f t="shared" si="15"/>
        <v>16.25</v>
      </c>
      <c r="V54" s="3">
        <f t="shared" si="16"/>
        <v>4.875</v>
      </c>
      <c r="W54" s="3">
        <f t="shared" si="17"/>
        <v>21.125</v>
      </c>
      <c r="X54" s="3" t="str">
        <f t="shared" si="18"/>
        <v/>
      </c>
    </row>
    <row r="55" spans="1:24" ht="15" customHeight="1" x14ac:dyDescent="0.2">
      <c r="A55" s="70">
        <v>34</v>
      </c>
      <c r="B55" s="84">
        <v>105</v>
      </c>
      <c r="C55" s="85" t="s">
        <v>252</v>
      </c>
      <c r="D55" s="85"/>
      <c r="E55" s="85" t="s">
        <v>282</v>
      </c>
      <c r="F55" s="85" t="s">
        <v>206</v>
      </c>
      <c r="G55" s="51">
        <v>9.7799999999999994</v>
      </c>
      <c r="H55" s="51"/>
      <c r="I55" s="51"/>
      <c r="J55" s="70" t="s">
        <v>277</v>
      </c>
      <c r="K55" s="70" t="s">
        <v>142</v>
      </c>
      <c r="L55" s="31">
        <f>VLOOKUP(K55,Reinigungstage!A10:I31,9,FALSE)</f>
        <v>1</v>
      </c>
      <c r="M55" s="31">
        <f t="shared" si="10"/>
        <v>9.7799999999999994</v>
      </c>
      <c r="N55" s="87">
        <f t="shared" si="1"/>
        <v>0</v>
      </c>
      <c r="O55" s="31">
        <f ca="1">IF('SVS GrundRG'!H61="",0,'SVS GrundRG'!H61)</f>
        <v>0</v>
      </c>
      <c r="P55" s="31">
        <f t="shared" si="11"/>
        <v>0</v>
      </c>
      <c r="Q55" s="31">
        <f t="shared" si="12"/>
        <v>0</v>
      </c>
      <c r="R55" s="31">
        <f t="shared" si="13"/>
        <v>0</v>
      </c>
      <c r="S55" s="3" t="str">
        <f t="shared" si="14"/>
        <v>Leistungswert eintragen</v>
      </c>
      <c r="U55" s="3">
        <f t="shared" si="15"/>
        <v>15.375</v>
      </c>
      <c r="V55" s="3">
        <f t="shared" si="16"/>
        <v>4.6124999999999998</v>
      </c>
      <c r="W55" s="3">
        <f t="shared" si="17"/>
        <v>19.987500000000001</v>
      </c>
      <c r="X55" s="3" t="str">
        <f t="shared" si="18"/>
        <v/>
      </c>
    </row>
    <row r="56" spans="1:24" ht="15" customHeight="1" x14ac:dyDescent="0.2">
      <c r="A56" s="70">
        <v>35</v>
      </c>
      <c r="B56" s="84"/>
      <c r="C56" s="85" t="s">
        <v>252</v>
      </c>
      <c r="D56" s="85"/>
      <c r="E56" s="85" t="s">
        <v>328</v>
      </c>
      <c r="F56" s="85" t="s">
        <v>217</v>
      </c>
      <c r="G56" s="51">
        <v>123.58</v>
      </c>
      <c r="H56" s="51"/>
      <c r="I56" s="51"/>
      <c r="J56" s="70" t="s">
        <v>278</v>
      </c>
      <c r="K56" s="70" t="s">
        <v>142</v>
      </c>
      <c r="L56" s="31">
        <f>VLOOKUP(K56,Reinigungstage!A10:I31,9,FALSE)</f>
        <v>1</v>
      </c>
      <c r="M56" s="31">
        <f t="shared" si="10"/>
        <v>123.58</v>
      </c>
      <c r="N56" s="87">
        <f t="shared" si="1"/>
        <v>0</v>
      </c>
      <c r="O56" s="31">
        <f ca="1">IF('SVS GrundRG'!H61="",0,'SVS GrundRG'!H61)</f>
        <v>0</v>
      </c>
      <c r="P56" s="31">
        <f t="shared" si="11"/>
        <v>0</v>
      </c>
      <c r="Q56" s="31">
        <f t="shared" si="12"/>
        <v>0</v>
      </c>
      <c r="R56" s="31">
        <f t="shared" si="13"/>
        <v>0</v>
      </c>
      <c r="S56" s="3" t="str">
        <f t="shared" si="14"/>
        <v>Leistungswert eintragen</v>
      </c>
      <c r="U56" s="3">
        <f t="shared" si="15"/>
        <v>16.25</v>
      </c>
      <c r="V56" s="3">
        <f t="shared" si="16"/>
        <v>4.875</v>
      </c>
      <c r="W56" s="3">
        <f t="shared" si="17"/>
        <v>21.125</v>
      </c>
      <c r="X56" s="3" t="str">
        <f t="shared" si="18"/>
        <v/>
      </c>
    </row>
    <row r="57" spans="1:24" ht="15" customHeight="1" x14ac:dyDescent="0.2">
      <c r="A57" s="70">
        <v>36</v>
      </c>
      <c r="B57" s="84"/>
      <c r="C57" s="85" t="s">
        <v>252</v>
      </c>
      <c r="D57" s="85" t="s">
        <v>350</v>
      </c>
      <c r="E57" s="85" t="s">
        <v>357</v>
      </c>
      <c r="F57" s="85" t="s">
        <v>334</v>
      </c>
      <c r="G57" s="51">
        <v>19.62</v>
      </c>
      <c r="H57" s="51"/>
      <c r="I57" s="51"/>
      <c r="J57" s="70" t="s">
        <v>279</v>
      </c>
      <c r="K57" s="70" t="s">
        <v>142</v>
      </c>
      <c r="L57" s="31">
        <f>VLOOKUP(K57,Reinigungstage!A10:I31,9,FALSE)</f>
        <v>1</v>
      </c>
      <c r="M57" s="31">
        <f t="shared" si="10"/>
        <v>19.62</v>
      </c>
      <c r="N57" s="87">
        <f t="shared" si="1"/>
        <v>0</v>
      </c>
      <c r="O57" s="31">
        <f ca="1">IF('SVS GrundRG'!H61="",0,'SVS GrundRG'!H61)</f>
        <v>0</v>
      </c>
      <c r="P57" s="31">
        <f t="shared" si="11"/>
        <v>0</v>
      </c>
      <c r="Q57" s="31">
        <f t="shared" si="12"/>
        <v>0</v>
      </c>
      <c r="R57" s="31">
        <f t="shared" si="13"/>
        <v>0</v>
      </c>
      <c r="S57" s="3" t="str">
        <f t="shared" si="14"/>
        <v>Leistungswert eintragen</v>
      </c>
      <c r="U57" s="3">
        <f t="shared" si="15"/>
        <v>15.375</v>
      </c>
      <c r="V57" s="3">
        <f t="shared" si="16"/>
        <v>4.6124999999999998</v>
      </c>
      <c r="W57" s="3">
        <f t="shared" si="17"/>
        <v>19.987500000000001</v>
      </c>
      <c r="X57" s="3" t="str">
        <f t="shared" si="18"/>
        <v/>
      </c>
    </row>
    <row r="58" spans="1:24" ht="31.5" x14ac:dyDescent="0.2">
      <c r="A58" s="70">
        <v>37</v>
      </c>
      <c r="B58" s="84" t="s">
        <v>358</v>
      </c>
      <c r="C58" s="85" t="s">
        <v>252</v>
      </c>
      <c r="D58" s="85"/>
      <c r="E58" s="85" t="s">
        <v>359</v>
      </c>
      <c r="F58" s="85" t="s">
        <v>206</v>
      </c>
      <c r="G58" s="51">
        <v>160</v>
      </c>
      <c r="H58" s="51"/>
      <c r="I58" s="51"/>
      <c r="J58" s="70" t="s">
        <v>208</v>
      </c>
      <c r="K58" s="70" t="s">
        <v>142</v>
      </c>
      <c r="L58" s="31">
        <f>VLOOKUP(K58,Reinigungstage!A10:I31,9,FALSE)</f>
        <v>1</v>
      </c>
      <c r="M58" s="31">
        <f t="shared" si="10"/>
        <v>160</v>
      </c>
      <c r="N58" s="87">
        <f t="shared" si="1"/>
        <v>0</v>
      </c>
      <c r="O58" s="31">
        <f ca="1">IF('SVS GrundRG'!H61="",0,'SVS GrundRG'!H61)</f>
        <v>0</v>
      </c>
      <c r="P58" s="31">
        <f t="shared" si="11"/>
        <v>0</v>
      </c>
      <c r="Q58" s="31">
        <f t="shared" si="12"/>
        <v>0</v>
      </c>
      <c r="R58" s="31">
        <f t="shared" si="13"/>
        <v>0</v>
      </c>
      <c r="S58" s="3" t="str">
        <f t="shared" si="14"/>
        <v>Leistungswert eintragen</v>
      </c>
      <c r="U58" s="3">
        <f t="shared" si="15"/>
        <v>11.875</v>
      </c>
      <c r="V58" s="3">
        <f t="shared" si="16"/>
        <v>3.5625</v>
      </c>
      <c r="W58" s="3">
        <f t="shared" si="17"/>
        <v>15.4375</v>
      </c>
      <c r="X58" s="3" t="str">
        <f t="shared" si="18"/>
        <v/>
      </c>
    </row>
    <row r="59" spans="1:24" ht="15" customHeight="1" x14ac:dyDescent="0.2">
      <c r="A59" s="70">
        <v>38</v>
      </c>
      <c r="B59" s="84">
        <v>110</v>
      </c>
      <c r="C59" s="85" t="s">
        <v>252</v>
      </c>
      <c r="D59" s="85"/>
      <c r="E59" s="85" t="s">
        <v>303</v>
      </c>
      <c r="F59" s="85" t="s">
        <v>206</v>
      </c>
      <c r="G59" s="51">
        <v>23.25</v>
      </c>
      <c r="H59" s="51"/>
      <c r="I59" s="51"/>
      <c r="J59" s="70" t="s">
        <v>208</v>
      </c>
      <c r="K59" s="70" t="s">
        <v>142</v>
      </c>
      <c r="L59" s="31">
        <f>VLOOKUP(K59,Reinigungstage!A10:I31,9,FALSE)</f>
        <v>1</v>
      </c>
      <c r="M59" s="31">
        <f t="shared" si="10"/>
        <v>23.25</v>
      </c>
      <c r="N59" s="87">
        <f t="shared" si="1"/>
        <v>0</v>
      </c>
      <c r="O59" s="31">
        <f ca="1">IF('SVS GrundRG'!H61="",0,'SVS GrundRG'!H61)</f>
        <v>0</v>
      </c>
      <c r="P59" s="31">
        <f t="shared" si="11"/>
        <v>0</v>
      </c>
      <c r="Q59" s="31">
        <f t="shared" si="12"/>
        <v>0</v>
      </c>
      <c r="R59" s="31">
        <f t="shared" si="13"/>
        <v>0</v>
      </c>
      <c r="S59" s="3" t="str">
        <f t="shared" si="14"/>
        <v>Leistungswert eintragen</v>
      </c>
      <c r="U59" s="3">
        <f t="shared" si="15"/>
        <v>11.875</v>
      </c>
      <c r="V59" s="3">
        <f t="shared" si="16"/>
        <v>3.5625</v>
      </c>
      <c r="W59" s="3">
        <f t="shared" si="17"/>
        <v>15.4375</v>
      </c>
      <c r="X59" s="3" t="str">
        <f t="shared" si="18"/>
        <v/>
      </c>
    </row>
    <row r="60" spans="1:24" ht="15" customHeight="1" x14ac:dyDescent="0.2">
      <c r="A60" s="70">
        <v>39</v>
      </c>
      <c r="B60" s="84">
        <v>111</v>
      </c>
      <c r="C60" s="85" t="s">
        <v>252</v>
      </c>
      <c r="D60" s="85"/>
      <c r="E60" s="85" t="s">
        <v>303</v>
      </c>
      <c r="F60" s="85" t="s">
        <v>206</v>
      </c>
      <c r="G60" s="51">
        <v>22</v>
      </c>
      <c r="H60" s="51"/>
      <c r="I60" s="51"/>
      <c r="J60" s="70" t="s">
        <v>208</v>
      </c>
      <c r="K60" s="70" t="s">
        <v>142</v>
      </c>
      <c r="L60" s="31">
        <f>VLOOKUP(K60,Reinigungstage!A10:I31,9,FALSE)</f>
        <v>1</v>
      </c>
      <c r="M60" s="31">
        <f t="shared" si="10"/>
        <v>22</v>
      </c>
      <c r="N60" s="87">
        <f t="shared" si="1"/>
        <v>0</v>
      </c>
      <c r="O60" s="31">
        <f ca="1">IF('SVS GrundRG'!H61="",0,'SVS GrundRG'!H61)</f>
        <v>0</v>
      </c>
      <c r="P60" s="31">
        <f t="shared" si="11"/>
        <v>0</v>
      </c>
      <c r="Q60" s="31">
        <f t="shared" si="12"/>
        <v>0</v>
      </c>
      <c r="R60" s="31">
        <f t="shared" si="13"/>
        <v>0</v>
      </c>
      <c r="S60" s="3" t="str">
        <f t="shared" si="14"/>
        <v>Leistungswert eintragen</v>
      </c>
      <c r="U60" s="3">
        <f t="shared" si="15"/>
        <v>11.875</v>
      </c>
      <c r="V60" s="3">
        <f t="shared" si="16"/>
        <v>3.5625</v>
      </c>
      <c r="W60" s="3">
        <f t="shared" si="17"/>
        <v>15.4375</v>
      </c>
      <c r="X60" s="3" t="str">
        <f t="shared" si="18"/>
        <v/>
      </c>
    </row>
    <row r="61" spans="1:24" ht="15" customHeight="1" x14ac:dyDescent="0.2">
      <c r="A61" s="70">
        <v>40</v>
      </c>
      <c r="B61" s="84" t="s">
        <v>360</v>
      </c>
      <c r="C61" s="85" t="s">
        <v>252</v>
      </c>
      <c r="D61" s="85"/>
      <c r="E61" s="85" t="s">
        <v>303</v>
      </c>
      <c r="F61" s="85" t="s">
        <v>206</v>
      </c>
      <c r="G61" s="51">
        <v>12.5</v>
      </c>
      <c r="H61" s="51"/>
      <c r="I61" s="51"/>
      <c r="J61" s="70" t="s">
        <v>208</v>
      </c>
      <c r="K61" s="70" t="s">
        <v>142</v>
      </c>
      <c r="L61" s="31">
        <f>VLOOKUP(K61,Reinigungstage!A10:I31,9,FALSE)</f>
        <v>1</v>
      </c>
      <c r="M61" s="31">
        <f t="shared" si="10"/>
        <v>12.5</v>
      </c>
      <c r="N61" s="87">
        <f t="shared" si="1"/>
        <v>0</v>
      </c>
      <c r="O61" s="31">
        <f ca="1">IF('SVS GrundRG'!H61="",0,'SVS GrundRG'!H61)</f>
        <v>0</v>
      </c>
      <c r="P61" s="31">
        <f t="shared" si="11"/>
        <v>0</v>
      </c>
      <c r="Q61" s="31">
        <f t="shared" si="12"/>
        <v>0</v>
      </c>
      <c r="R61" s="31">
        <f t="shared" si="13"/>
        <v>0</v>
      </c>
      <c r="S61" s="3" t="str">
        <f t="shared" si="14"/>
        <v>Leistungswert eintragen</v>
      </c>
      <c r="U61" s="3">
        <f t="shared" si="15"/>
        <v>11.875</v>
      </c>
      <c r="V61" s="3">
        <f t="shared" si="16"/>
        <v>3.5625</v>
      </c>
      <c r="W61" s="3">
        <f t="shared" si="17"/>
        <v>15.4375</v>
      </c>
      <c r="X61" s="3" t="str">
        <f t="shared" si="18"/>
        <v/>
      </c>
    </row>
    <row r="62" spans="1:24" ht="15" customHeight="1" x14ac:dyDescent="0.2">
      <c r="A62" s="70">
        <v>41</v>
      </c>
      <c r="B62" s="84">
        <v>112</v>
      </c>
      <c r="C62" s="85" t="s">
        <v>252</v>
      </c>
      <c r="D62" s="85"/>
      <c r="E62" s="85" t="s">
        <v>303</v>
      </c>
      <c r="F62" s="85" t="s">
        <v>206</v>
      </c>
      <c r="G62" s="51">
        <v>9.7799999999999994</v>
      </c>
      <c r="H62" s="51"/>
      <c r="I62" s="51"/>
      <c r="J62" s="70" t="s">
        <v>208</v>
      </c>
      <c r="K62" s="70" t="s">
        <v>142</v>
      </c>
      <c r="L62" s="31">
        <f>VLOOKUP(K62,Reinigungstage!A10:I31,9,FALSE)</f>
        <v>1</v>
      </c>
      <c r="M62" s="31">
        <f t="shared" si="10"/>
        <v>9.7799999999999994</v>
      </c>
      <c r="N62" s="87">
        <f t="shared" si="1"/>
        <v>0</v>
      </c>
      <c r="O62" s="31">
        <f ca="1">IF('SVS GrundRG'!H61="",0,'SVS GrundRG'!H61)</f>
        <v>0</v>
      </c>
      <c r="P62" s="31">
        <f t="shared" si="11"/>
        <v>0</v>
      </c>
      <c r="Q62" s="31">
        <f t="shared" si="12"/>
        <v>0</v>
      </c>
      <c r="R62" s="31">
        <f t="shared" si="13"/>
        <v>0</v>
      </c>
      <c r="S62" s="3" t="str">
        <f t="shared" si="14"/>
        <v>Leistungswert eintragen</v>
      </c>
      <c r="U62" s="3">
        <f t="shared" si="15"/>
        <v>11.875</v>
      </c>
      <c r="V62" s="3">
        <f t="shared" si="16"/>
        <v>3.5625</v>
      </c>
      <c r="W62" s="3">
        <f t="shared" si="17"/>
        <v>15.4375</v>
      </c>
      <c r="X62" s="3" t="str">
        <f t="shared" si="18"/>
        <v/>
      </c>
    </row>
    <row r="63" spans="1:24" ht="15" customHeight="1" x14ac:dyDescent="0.2">
      <c r="A63" s="70">
        <v>42</v>
      </c>
      <c r="B63" s="84">
        <v>113</v>
      </c>
      <c r="C63" s="85" t="s">
        <v>252</v>
      </c>
      <c r="D63" s="85"/>
      <c r="E63" s="85" t="s">
        <v>303</v>
      </c>
      <c r="F63" s="85" t="s">
        <v>206</v>
      </c>
      <c r="G63" s="51">
        <v>22.52</v>
      </c>
      <c r="H63" s="51"/>
      <c r="I63" s="51"/>
      <c r="J63" s="70" t="s">
        <v>208</v>
      </c>
      <c r="K63" s="70" t="s">
        <v>142</v>
      </c>
      <c r="L63" s="31">
        <f>VLOOKUP(K63,Reinigungstage!A10:I31,9,FALSE)</f>
        <v>1</v>
      </c>
      <c r="M63" s="31">
        <f t="shared" si="10"/>
        <v>22.52</v>
      </c>
      <c r="N63" s="87">
        <f t="shared" si="1"/>
        <v>0</v>
      </c>
      <c r="O63" s="31">
        <f ca="1">IF('SVS GrundRG'!H61="",0,'SVS GrundRG'!H61)</f>
        <v>0</v>
      </c>
      <c r="P63" s="31">
        <f t="shared" si="11"/>
        <v>0</v>
      </c>
      <c r="Q63" s="31">
        <f t="shared" si="12"/>
        <v>0</v>
      </c>
      <c r="R63" s="31">
        <f t="shared" si="13"/>
        <v>0</v>
      </c>
      <c r="S63" s="3" t="str">
        <f t="shared" si="14"/>
        <v>Leistungswert eintragen</v>
      </c>
      <c r="U63" s="3">
        <f t="shared" si="15"/>
        <v>11.875</v>
      </c>
      <c r="V63" s="3">
        <f t="shared" si="16"/>
        <v>3.5625</v>
      </c>
      <c r="W63" s="3">
        <f t="shared" si="17"/>
        <v>15.4375</v>
      </c>
      <c r="X63" s="3" t="str">
        <f t="shared" si="18"/>
        <v/>
      </c>
    </row>
    <row r="64" spans="1:24" ht="15" customHeight="1" x14ac:dyDescent="0.2">
      <c r="A64" s="70">
        <v>43</v>
      </c>
      <c r="B64" s="84" t="s">
        <v>361</v>
      </c>
      <c r="C64" s="85" t="s">
        <v>252</v>
      </c>
      <c r="D64" s="85"/>
      <c r="E64" s="85" t="s">
        <v>303</v>
      </c>
      <c r="F64" s="85" t="s">
        <v>206</v>
      </c>
      <c r="G64" s="51">
        <v>22</v>
      </c>
      <c r="H64" s="51"/>
      <c r="I64" s="51"/>
      <c r="J64" s="70" t="s">
        <v>208</v>
      </c>
      <c r="K64" s="70" t="s">
        <v>142</v>
      </c>
      <c r="L64" s="31">
        <f>VLOOKUP(K64,Reinigungstage!A10:I31,9,FALSE)</f>
        <v>1</v>
      </c>
      <c r="M64" s="31">
        <f t="shared" si="10"/>
        <v>22</v>
      </c>
      <c r="N64" s="87">
        <f t="shared" si="1"/>
        <v>0</v>
      </c>
      <c r="O64" s="31">
        <f ca="1">IF('SVS GrundRG'!H61="",0,'SVS GrundRG'!H61)</f>
        <v>0</v>
      </c>
      <c r="P64" s="31">
        <f t="shared" si="11"/>
        <v>0</v>
      </c>
      <c r="Q64" s="31">
        <f t="shared" si="12"/>
        <v>0</v>
      </c>
      <c r="R64" s="31">
        <f t="shared" si="13"/>
        <v>0</v>
      </c>
      <c r="S64" s="3" t="str">
        <f t="shared" si="14"/>
        <v>Leistungswert eintragen</v>
      </c>
      <c r="U64" s="3">
        <f t="shared" si="15"/>
        <v>11.875</v>
      </c>
      <c r="V64" s="3">
        <f t="shared" si="16"/>
        <v>3.5625</v>
      </c>
      <c r="W64" s="3">
        <f t="shared" si="17"/>
        <v>15.4375</v>
      </c>
      <c r="X64" s="3" t="str">
        <f t="shared" si="18"/>
        <v/>
      </c>
    </row>
    <row r="65" spans="1:24" ht="15" customHeight="1" x14ac:dyDescent="0.2">
      <c r="A65" s="70">
        <v>44</v>
      </c>
      <c r="B65" s="84">
        <v>114</v>
      </c>
      <c r="C65" s="85" t="s">
        <v>252</v>
      </c>
      <c r="D65" s="85"/>
      <c r="E65" s="85" t="s">
        <v>303</v>
      </c>
      <c r="F65" s="85" t="s">
        <v>206</v>
      </c>
      <c r="G65" s="51">
        <v>23.05</v>
      </c>
      <c r="H65" s="51"/>
      <c r="I65" s="51"/>
      <c r="J65" s="70" t="s">
        <v>208</v>
      </c>
      <c r="K65" s="70" t="s">
        <v>142</v>
      </c>
      <c r="L65" s="31">
        <f>VLOOKUP(K65,Reinigungstage!A10:I31,9,FALSE)</f>
        <v>1</v>
      </c>
      <c r="M65" s="31">
        <f t="shared" si="10"/>
        <v>23.05</v>
      </c>
      <c r="N65" s="87">
        <f t="shared" si="1"/>
        <v>0</v>
      </c>
      <c r="O65" s="31">
        <f ca="1">IF('SVS GrundRG'!H61="",0,'SVS GrundRG'!H61)</f>
        <v>0</v>
      </c>
      <c r="P65" s="31">
        <f t="shared" si="11"/>
        <v>0</v>
      </c>
      <c r="Q65" s="31">
        <f t="shared" si="12"/>
        <v>0</v>
      </c>
      <c r="R65" s="31">
        <f t="shared" si="13"/>
        <v>0</v>
      </c>
      <c r="S65" s="3" t="str">
        <f t="shared" si="14"/>
        <v>Leistungswert eintragen</v>
      </c>
      <c r="U65" s="3">
        <f t="shared" si="15"/>
        <v>11.875</v>
      </c>
      <c r="V65" s="3">
        <f t="shared" si="16"/>
        <v>3.5625</v>
      </c>
      <c r="W65" s="3">
        <f t="shared" si="17"/>
        <v>15.4375</v>
      </c>
      <c r="X65" s="3" t="str">
        <f t="shared" si="18"/>
        <v/>
      </c>
    </row>
    <row r="66" spans="1:24" ht="15" customHeight="1" x14ac:dyDescent="0.2">
      <c r="A66" s="70">
        <v>45</v>
      </c>
      <c r="B66" s="84">
        <v>115</v>
      </c>
      <c r="C66" s="85" t="s">
        <v>252</v>
      </c>
      <c r="D66" s="85"/>
      <c r="E66" s="85" t="s">
        <v>347</v>
      </c>
      <c r="F66" s="85" t="s">
        <v>206</v>
      </c>
      <c r="G66" s="51">
        <v>23.13</v>
      </c>
      <c r="H66" s="51"/>
      <c r="I66" s="51"/>
      <c r="J66" s="70" t="s">
        <v>275</v>
      </c>
      <c r="K66" s="70" t="s">
        <v>142</v>
      </c>
      <c r="L66" s="31">
        <f>VLOOKUP(K66,Reinigungstage!A10:I31,9,FALSE)</f>
        <v>1</v>
      </c>
      <c r="M66" s="31">
        <f t="shared" si="10"/>
        <v>23.13</v>
      </c>
      <c r="N66" s="87">
        <f t="shared" si="1"/>
        <v>0</v>
      </c>
      <c r="O66" s="31">
        <f ca="1">IF('SVS GrundRG'!H61="",0,'SVS GrundRG'!H61)</f>
        <v>0</v>
      </c>
      <c r="P66" s="31">
        <f t="shared" si="11"/>
        <v>0</v>
      </c>
      <c r="Q66" s="31">
        <f t="shared" si="12"/>
        <v>0</v>
      </c>
      <c r="R66" s="31">
        <f t="shared" si="13"/>
        <v>0</v>
      </c>
      <c r="S66" s="3" t="str">
        <f t="shared" si="14"/>
        <v>Leistungswert eintragen</v>
      </c>
      <c r="U66" s="3">
        <f t="shared" si="15"/>
        <v>12.75</v>
      </c>
      <c r="V66" s="3">
        <f t="shared" si="16"/>
        <v>3.8249999999999997</v>
      </c>
      <c r="W66" s="3">
        <f t="shared" si="17"/>
        <v>16.574999999999999</v>
      </c>
      <c r="X66" s="3" t="str">
        <f t="shared" si="18"/>
        <v/>
      </c>
    </row>
    <row r="67" spans="1:24" ht="15" customHeight="1" x14ac:dyDescent="0.2">
      <c r="A67" s="70">
        <v>46</v>
      </c>
      <c r="B67" s="84"/>
      <c r="C67" s="85" t="s">
        <v>252</v>
      </c>
      <c r="D67" s="85"/>
      <c r="E67" s="85" t="s">
        <v>220</v>
      </c>
      <c r="F67" s="85" t="s">
        <v>217</v>
      </c>
      <c r="G67" s="51">
        <v>8.07</v>
      </c>
      <c r="H67" s="51"/>
      <c r="I67" s="51"/>
      <c r="J67" s="70" t="s">
        <v>276</v>
      </c>
      <c r="K67" s="70" t="s">
        <v>142</v>
      </c>
      <c r="L67" s="31">
        <f>VLOOKUP(K67,Reinigungstage!A10:I31,9,FALSE)</f>
        <v>1</v>
      </c>
      <c r="M67" s="31">
        <f t="shared" si="10"/>
        <v>8.07</v>
      </c>
      <c r="N67" s="87">
        <f t="shared" si="1"/>
        <v>0</v>
      </c>
      <c r="O67" s="31">
        <f ca="1">IF('SVS GrundRG'!H61="",0,'SVS GrundRG'!H61)</f>
        <v>0</v>
      </c>
      <c r="P67" s="31">
        <f t="shared" si="11"/>
        <v>0</v>
      </c>
      <c r="Q67" s="31">
        <f t="shared" si="12"/>
        <v>0</v>
      </c>
      <c r="R67" s="31">
        <f t="shared" si="13"/>
        <v>0</v>
      </c>
      <c r="S67" s="3" t="str">
        <f t="shared" si="14"/>
        <v>Leistungswert eintragen</v>
      </c>
      <c r="U67" s="3">
        <f t="shared" si="15"/>
        <v>10.25</v>
      </c>
      <c r="V67" s="3">
        <f t="shared" si="16"/>
        <v>3.0749999999999997</v>
      </c>
      <c r="W67" s="3">
        <f t="shared" si="17"/>
        <v>13.324999999999999</v>
      </c>
      <c r="X67" s="3" t="str">
        <f t="shared" si="18"/>
        <v/>
      </c>
    </row>
    <row r="68" spans="1:24" ht="15" customHeight="1" x14ac:dyDescent="0.2">
      <c r="A68" s="70">
        <v>47</v>
      </c>
      <c r="B68" s="84"/>
      <c r="C68" s="85" t="s">
        <v>252</v>
      </c>
      <c r="D68" s="85"/>
      <c r="E68" s="85" t="s">
        <v>260</v>
      </c>
      <c r="F68" s="85" t="s">
        <v>217</v>
      </c>
      <c r="G68" s="51">
        <v>8.5</v>
      </c>
      <c r="H68" s="51"/>
      <c r="I68" s="51"/>
      <c r="J68" s="70" t="s">
        <v>276</v>
      </c>
      <c r="K68" s="70" t="s">
        <v>142</v>
      </c>
      <c r="L68" s="31">
        <f>VLOOKUP(K68,Reinigungstage!A10:I31,9,FALSE)</f>
        <v>1</v>
      </c>
      <c r="M68" s="31">
        <f t="shared" si="10"/>
        <v>8.5</v>
      </c>
      <c r="N68" s="87">
        <f t="shared" si="1"/>
        <v>0</v>
      </c>
      <c r="O68" s="31">
        <f ca="1">IF('SVS GrundRG'!H61="",0,'SVS GrundRG'!H61)</f>
        <v>0</v>
      </c>
      <c r="P68" s="31">
        <f t="shared" si="11"/>
        <v>0</v>
      </c>
      <c r="Q68" s="31">
        <f t="shared" si="12"/>
        <v>0</v>
      </c>
      <c r="R68" s="31">
        <f t="shared" si="13"/>
        <v>0</v>
      </c>
      <c r="S68" s="3" t="str">
        <f t="shared" si="14"/>
        <v>Leistungswert eintragen</v>
      </c>
      <c r="U68" s="3">
        <f t="shared" si="15"/>
        <v>10.25</v>
      </c>
      <c r="V68" s="3">
        <f t="shared" si="16"/>
        <v>3.0749999999999997</v>
      </c>
      <c r="W68" s="3">
        <f t="shared" si="17"/>
        <v>13.324999999999999</v>
      </c>
      <c r="X68" s="3" t="str">
        <f t="shared" si="18"/>
        <v/>
      </c>
    </row>
    <row r="69" spans="1:24" ht="15" customHeight="1" x14ac:dyDescent="0.2">
      <c r="A69" s="70">
        <v>48</v>
      </c>
      <c r="B69" s="84"/>
      <c r="C69" s="85" t="s">
        <v>252</v>
      </c>
      <c r="D69" s="85" t="s">
        <v>352</v>
      </c>
      <c r="E69" s="85" t="s">
        <v>357</v>
      </c>
      <c r="F69" s="85" t="s">
        <v>334</v>
      </c>
      <c r="G69" s="51">
        <v>18.600000000000001</v>
      </c>
      <c r="H69" s="51"/>
      <c r="I69" s="51"/>
      <c r="J69" s="70" t="s">
        <v>279</v>
      </c>
      <c r="K69" s="70" t="s">
        <v>142</v>
      </c>
      <c r="L69" s="31">
        <f>VLOOKUP(K69,Reinigungstage!A10:I31,9,FALSE)</f>
        <v>1</v>
      </c>
      <c r="M69" s="31">
        <f t="shared" si="10"/>
        <v>18.600000000000001</v>
      </c>
      <c r="N69" s="87">
        <f t="shared" si="1"/>
        <v>0</v>
      </c>
      <c r="O69" s="31">
        <f ca="1">IF('SVS GrundRG'!H61="",0,'SVS GrundRG'!H61)</f>
        <v>0</v>
      </c>
      <c r="P69" s="31">
        <f t="shared" si="11"/>
        <v>0</v>
      </c>
      <c r="Q69" s="31">
        <f t="shared" si="12"/>
        <v>0</v>
      </c>
      <c r="R69" s="31">
        <f t="shared" si="13"/>
        <v>0</v>
      </c>
      <c r="S69" s="3" t="str">
        <f t="shared" si="14"/>
        <v>Leistungswert eintragen</v>
      </c>
      <c r="U69" s="3">
        <f t="shared" si="15"/>
        <v>15.375</v>
      </c>
      <c r="V69" s="3">
        <f t="shared" si="16"/>
        <v>4.6124999999999998</v>
      </c>
      <c r="W69" s="3">
        <f t="shared" si="17"/>
        <v>19.987500000000001</v>
      </c>
      <c r="X69" s="3" t="str">
        <f t="shared" si="18"/>
        <v/>
      </c>
    </row>
  </sheetData>
  <sheetProtection algorithmName="SHA-512" hashValue="VbdC8w596SswRsOyZGkS3FYtOti6uvNDkPQFxUSTn37a2SDdsRlEHLCmrcEejgYEzE8+OCLIlEJCXvae0ipW4w==" saltValue="2VCmfLUW0eFIUP4I/6cEfQ=="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1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3" priority="5" operator="containsText" text="Bitte prüfen Sie diese.">
      <formula>NOT(ISERROR(SEARCH("Bitte prüfen Sie diese.",L9)))</formula>
    </cfRule>
  </conditionalFormatting>
  <conditionalFormatting sqref="L10">
    <cfRule type="containsText" dxfId="1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 priority="3" operator="containsText" text="lediglich Fehleingaben vermeiden wollen.">
      <formula>NOT(ISERROR(SEARCH("lediglich Fehleingaben vermeiden wollen.",L11)))</formula>
    </cfRule>
  </conditionalFormatting>
  <conditionalFormatting sqref="M11">
    <cfRule type="containsText" dxfId="1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 priority="7" operator="containsText" text="für die Objektart prüfen.">
      <formula>NOT(ISERROR(SEARCH("für die Objektart prüfen.",M12)))</formula>
    </cfRule>
  </conditionalFormatting>
  <conditionalFormatting sqref="N13">
    <cfRule type="expression" dxfId="8" priority="2" stopIfTrue="1">
      <formula>N13=0</formula>
    </cfRule>
  </conditionalFormatting>
  <conditionalFormatting sqref="N14">
    <cfRule type="expression" dxfId="7" priority="1">
      <formula>N14=0</formula>
    </cfRule>
  </conditionalFormatting>
  <conditionalFormatting sqref="N22:N69">
    <cfRule type="expression" dxfId="6" priority="11">
      <formula>X22=0</formula>
    </cfRule>
    <cfRule type="expression" dxfId="5" priority="12" stopIfTrue="1">
      <formula>X22=1</formula>
    </cfRule>
  </conditionalFormatting>
  <conditionalFormatting sqref="O13">
    <cfRule type="containsText" dxfId="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 priority="9" operator="containsText" text="Wert(e) prüfen.">
      <formula>NOT(ISERROR(SEARCH("Wert(e) prüfen.",O14)))</formula>
    </cfRule>
  </conditionalFormatting>
  <conditionalFormatting sqref="S22:S69">
    <cfRule type="containsText" dxfId="2" priority="13" stopIfTrue="1" operator="containsText" text="SVS prüfen">
      <formula>NOT(ISERROR(SEARCH("SVS prüfen",S22)))</formula>
    </cfRule>
    <cfRule type="containsText" dxfId="1" priority="14" stopIfTrue="1" operator="containsText" text="Leistungswert eintragen">
      <formula>NOT(ISERROR(SEARCH("Leistungswert eintragen",S22)))</formula>
    </cfRule>
  </conditionalFormatting>
  <hyperlinks>
    <hyperlink ref="M1" location="Inhaltsverzeichnis!A1" display="Zurück zum Inhaltsverzeichnis" xr:uid="{34D9ECD0-902B-4465-9795-F66DDCD7043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Verwaltung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3666"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3667"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3668"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3"/>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202</v>
      </c>
      <c r="D1" s="21"/>
      <c r="F1" s="22" t="s">
        <v>100</v>
      </c>
    </row>
    <row r="2" spans="1:8" s="13" customFormat="1" ht="25.9" customHeight="1" x14ac:dyDescent="0.2">
      <c r="A2" s="13" t="s">
        <v>103</v>
      </c>
      <c r="B2" s="35" t="str">
        <f>IF(Inhaltsverzeichnis!$C$3="", "",Inhaltsverzeichnis!$C$3)</f>
        <v/>
      </c>
      <c r="C2" s="23" t="b">
        <v>0</v>
      </c>
      <c r="D2" s="144" t="str">
        <f>IF(C2=TRUE,"Hier ist lediglich der Preis pro Einheit (€) auszufüllen.
Die rot markierten Informationen verschwinden, wenn die gelben Zellen ausgefüllt sind.  Wenn keine rote Schrift mehr angezeigt wird, ist alles ausgefüllt.","")</f>
        <v/>
      </c>
      <c r="E2" s="144"/>
      <c r="F2" s="144"/>
      <c r="G2" s="144"/>
    </row>
    <row r="3" spans="1:8" s="13" customFormat="1" ht="15" customHeight="1" x14ac:dyDescent="0.2">
      <c r="D3" s="145"/>
      <c r="E3" s="145"/>
      <c r="F3" s="145"/>
      <c r="G3" s="145"/>
      <c r="H3" s="24">
        <f>IF(COUNTA($H$5:$H$13)-COUNTBLANK($H$5:$H$13)=0,"",COUNTA($H$5:$H$13)-COUNTBLANK($H$5:$H$13))</f>
        <v>9</v>
      </c>
    </row>
    <row r="4" spans="1:8" ht="45" customHeight="1" x14ac:dyDescent="0.15">
      <c r="A4" s="27" t="s">
        <v>92</v>
      </c>
      <c r="B4" s="27" t="s">
        <v>113</v>
      </c>
      <c r="C4" s="28" t="s">
        <v>116</v>
      </c>
      <c r="D4" s="26" t="s">
        <v>146</v>
      </c>
      <c r="E4" s="26" t="s">
        <v>179</v>
      </c>
      <c r="F4" s="26" t="s">
        <v>180</v>
      </c>
      <c r="G4" s="26" t="s">
        <v>181</v>
      </c>
    </row>
    <row r="5" spans="1:8" ht="52.5" x14ac:dyDescent="0.15">
      <c r="A5" s="36">
        <v>1</v>
      </c>
      <c r="B5" s="37" t="s">
        <v>194</v>
      </c>
      <c r="C5" s="37" t="s">
        <v>362</v>
      </c>
      <c r="D5" s="38" t="s">
        <v>363</v>
      </c>
      <c r="E5" s="38">
        <v>5</v>
      </c>
      <c r="F5" s="99"/>
      <c r="G5" s="39">
        <f t="shared" ref="G5:G13" si="0">ROUND(IF(F5=0,0,F5*E5),2)</f>
        <v>0</v>
      </c>
      <c r="H5" s="13" t="str">
        <f t="shared" ref="H5:H13" si="1">IF(F5=0,"Preis eintragen","")</f>
        <v>Preis eintragen</v>
      </c>
    </row>
    <row r="6" spans="1:8" ht="63" x14ac:dyDescent="0.15">
      <c r="A6" s="36">
        <v>2</v>
      </c>
      <c r="B6" s="37" t="s">
        <v>194</v>
      </c>
      <c r="C6" s="37" t="s">
        <v>364</v>
      </c>
      <c r="D6" s="38" t="s">
        <v>365</v>
      </c>
      <c r="E6" s="38">
        <v>3</v>
      </c>
      <c r="F6" s="99"/>
      <c r="G6" s="39">
        <f t="shared" si="0"/>
        <v>0</v>
      </c>
      <c r="H6" s="13" t="str">
        <f t="shared" si="1"/>
        <v>Preis eintragen</v>
      </c>
    </row>
    <row r="7" spans="1:8" ht="52.5" x14ac:dyDescent="0.15">
      <c r="A7" s="36">
        <v>3</v>
      </c>
      <c r="B7" s="37" t="s">
        <v>194</v>
      </c>
      <c r="C7" s="37" t="s">
        <v>366</v>
      </c>
      <c r="D7" s="38" t="s">
        <v>367</v>
      </c>
      <c r="E7" s="38">
        <v>1</v>
      </c>
      <c r="F7" s="99"/>
      <c r="G7" s="39">
        <f t="shared" si="0"/>
        <v>0</v>
      </c>
      <c r="H7" s="13" t="str">
        <f t="shared" si="1"/>
        <v>Preis eintragen</v>
      </c>
    </row>
    <row r="8" spans="1:8" ht="52.5" x14ac:dyDescent="0.15">
      <c r="A8" s="36">
        <v>4</v>
      </c>
      <c r="B8" s="37" t="s">
        <v>196</v>
      </c>
      <c r="C8" s="37" t="s">
        <v>362</v>
      </c>
      <c r="D8" s="38" t="s">
        <v>363</v>
      </c>
      <c r="E8" s="38">
        <v>7</v>
      </c>
      <c r="F8" s="99"/>
      <c r="G8" s="39">
        <f t="shared" si="0"/>
        <v>0</v>
      </c>
      <c r="H8" s="13" t="str">
        <f t="shared" si="1"/>
        <v>Preis eintragen</v>
      </c>
    </row>
    <row r="9" spans="1:8" ht="63" x14ac:dyDescent="0.15">
      <c r="A9" s="36">
        <v>5</v>
      </c>
      <c r="B9" s="37" t="s">
        <v>196</v>
      </c>
      <c r="C9" s="37" t="s">
        <v>364</v>
      </c>
      <c r="D9" s="38" t="s">
        <v>365</v>
      </c>
      <c r="E9" s="38">
        <v>5</v>
      </c>
      <c r="F9" s="99"/>
      <c r="G9" s="39">
        <f t="shared" si="0"/>
        <v>0</v>
      </c>
      <c r="H9" s="13" t="str">
        <f t="shared" si="1"/>
        <v>Preis eintragen</v>
      </c>
    </row>
    <row r="10" spans="1:8" ht="52.5" x14ac:dyDescent="0.15">
      <c r="A10" s="36">
        <v>6</v>
      </c>
      <c r="B10" s="37" t="s">
        <v>196</v>
      </c>
      <c r="C10" s="37" t="s">
        <v>366</v>
      </c>
      <c r="D10" s="38" t="s">
        <v>367</v>
      </c>
      <c r="E10" s="38">
        <v>2</v>
      </c>
      <c r="F10" s="99"/>
      <c r="G10" s="39">
        <f t="shared" si="0"/>
        <v>0</v>
      </c>
      <c r="H10" s="13" t="str">
        <f t="shared" si="1"/>
        <v>Preis eintragen</v>
      </c>
    </row>
    <row r="11" spans="1:8" ht="52.5" x14ac:dyDescent="0.15">
      <c r="A11" s="36">
        <v>7</v>
      </c>
      <c r="B11" s="37" t="s">
        <v>199</v>
      </c>
      <c r="C11" s="37" t="s">
        <v>362</v>
      </c>
      <c r="D11" s="38" t="s">
        <v>363</v>
      </c>
      <c r="E11" s="38">
        <v>7</v>
      </c>
      <c r="F11" s="99"/>
      <c r="G11" s="39">
        <f t="shared" si="0"/>
        <v>0</v>
      </c>
      <c r="H11" s="13" t="str">
        <f t="shared" si="1"/>
        <v>Preis eintragen</v>
      </c>
    </row>
    <row r="12" spans="1:8" ht="63" x14ac:dyDescent="0.15">
      <c r="A12" s="36">
        <v>8</v>
      </c>
      <c r="B12" s="37" t="s">
        <v>199</v>
      </c>
      <c r="C12" s="37" t="s">
        <v>364</v>
      </c>
      <c r="D12" s="38" t="s">
        <v>365</v>
      </c>
      <c r="E12" s="38">
        <v>5</v>
      </c>
      <c r="F12" s="99"/>
      <c r="G12" s="39">
        <f t="shared" si="0"/>
        <v>0</v>
      </c>
      <c r="H12" s="13" t="str">
        <f t="shared" si="1"/>
        <v>Preis eintragen</v>
      </c>
    </row>
    <row r="13" spans="1:8" ht="52.5" x14ac:dyDescent="0.15">
      <c r="A13" s="36">
        <v>9</v>
      </c>
      <c r="B13" s="37" t="s">
        <v>199</v>
      </c>
      <c r="C13" s="37" t="s">
        <v>366</v>
      </c>
      <c r="D13" s="38" t="s">
        <v>367</v>
      </c>
      <c r="E13" s="38">
        <v>2</v>
      </c>
      <c r="F13" s="99"/>
      <c r="G13" s="39">
        <f t="shared" si="0"/>
        <v>0</v>
      </c>
      <c r="H13" s="13" t="str">
        <f t="shared" si="1"/>
        <v>Preis eintragen</v>
      </c>
    </row>
    <row r="14" spans="1:8" ht="10.5" x14ac:dyDescent="0.15">
      <c r="A14" s="13"/>
      <c r="B14" s="13"/>
      <c r="C14" s="13"/>
      <c r="D14" s="13"/>
      <c r="E14" s="13"/>
      <c r="F14" s="13"/>
      <c r="G14" s="13"/>
      <c r="H14" s="13"/>
    </row>
    <row r="15" spans="1:8" ht="15" customHeight="1" x14ac:dyDescent="0.15">
      <c r="A15" s="13"/>
      <c r="B15" s="13" t="s">
        <v>384</v>
      </c>
      <c r="C15" s="13"/>
      <c r="D15" s="13"/>
      <c r="E15" s="13"/>
      <c r="F15" s="13"/>
      <c r="G15" s="13"/>
      <c r="H15" s="13"/>
    </row>
    <row r="16" spans="1:8" ht="15" customHeight="1" x14ac:dyDescent="0.15">
      <c r="A16" s="13"/>
      <c r="B16" s="13" t="s">
        <v>385</v>
      </c>
      <c r="C16" s="13"/>
      <c r="D16" s="13"/>
      <c r="E16" s="13"/>
      <c r="F16" s="13"/>
      <c r="G16" s="13"/>
      <c r="H16" s="13"/>
    </row>
    <row r="17" spans="1:8" ht="15" customHeight="1" x14ac:dyDescent="0.15">
      <c r="A17" s="13"/>
      <c r="B17" s="13" t="s">
        <v>386</v>
      </c>
      <c r="C17" s="13"/>
      <c r="D17" s="13"/>
      <c r="E17" s="13"/>
      <c r="F17" s="13"/>
      <c r="G17" s="13"/>
      <c r="H17" s="13"/>
    </row>
    <row r="18" spans="1:8" ht="10.5" x14ac:dyDescent="0.15">
      <c r="A18" s="13"/>
      <c r="B18" s="13"/>
      <c r="C18" s="13"/>
      <c r="D18" s="13"/>
      <c r="E18" s="13"/>
      <c r="F18" s="13"/>
      <c r="G18" s="13"/>
      <c r="H18" s="13"/>
    </row>
    <row r="19" spans="1:8" ht="15" customHeight="1" x14ac:dyDescent="0.15">
      <c r="A19" s="13"/>
      <c r="B19" s="13" t="s">
        <v>387</v>
      </c>
      <c r="C19" s="13"/>
      <c r="D19" s="13"/>
      <c r="E19" s="13"/>
      <c r="F19" s="13"/>
      <c r="G19" s="13"/>
      <c r="H19" s="13"/>
    </row>
    <row r="20" spans="1:8" ht="15" customHeight="1" x14ac:dyDescent="0.15">
      <c r="A20" s="13"/>
      <c r="B20" s="13" t="s">
        <v>388</v>
      </c>
      <c r="C20" s="13"/>
      <c r="D20" s="13"/>
      <c r="E20" s="13"/>
      <c r="F20" s="13"/>
      <c r="G20" s="13"/>
      <c r="H20" s="13"/>
    </row>
    <row r="21" spans="1:8" ht="15" customHeight="1" x14ac:dyDescent="0.15">
      <c r="A21" s="13"/>
      <c r="B21" s="13" t="s">
        <v>389</v>
      </c>
      <c r="C21" s="13"/>
      <c r="D21" s="13"/>
      <c r="E21" s="13"/>
      <c r="F21" s="13"/>
      <c r="G21" s="13"/>
      <c r="H21" s="13"/>
    </row>
    <row r="22" spans="1:8" ht="10.5" x14ac:dyDescent="0.15">
      <c r="A22" s="13"/>
      <c r="C22" s="13"/>
      <c r="D22" s="13"/>
      <c r="E22" s="13"/>
      <c r="F22" s="13"/>
      <c r="G22" s="13"/>
      <c r="H22" s="13"/>
    </row>
    <row r="23" spans="1:8" ht="15" customHeight="1" x14ac:dyDescent="0.15">
      <c r="A23" s="13"/>
      <c r="B23" s="13" t="s">
        <v>390</v>
      </c>
      <c r="C23" s="13"/>
      <c r="D23" s="13"/>
      <c r="E23" s="13"/>
      <c r="F23" s="13"/>
      <c r="G23" s="13"/>
      <c r="H23" s="13"/>
    </row>
    <row r="24" spans="1:8" ht="10.5" x14ac:dyDescent="0.15">
      <c r="A24" s="13"/>
      <c r="B24" s="13"/>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sheetData>
  <sheetProtection algorithmName="SHA-512" hashValue="sUMkQEk0yBY8bkVlCy1ZpkRj+FDJUhhASopY1R9M9nWG7e8Yzx4XW7GFxI/OWYAjjZOV8oTt0UOKwnekY9KT+A==" saltValue="yIha4v5sIdUgulPOSjc31Q==" spinCount="100000" sheet="1" objects="1" scenarios="1"/>
  <mergeCells count="1">
    <mergeCell ref="D2:G3"/>
  </mergeCells>
  <phoneticPr fontId="3" type="noConversion"/>
  <conditionalFormatting sqref="H5:H13">
    <cfRule type="containsText" dxfId="0"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9" width="13.7109375" style="16" customWidth="1"/>
    <col min="10" max="52" width="13.7109375" style="6" customWidth="1"/>
    <col min="53" max="16384" width="6.42578125" style="6"/>
  </cols>
  <sheetData>
    <row r="1" spans="1:9" s="3" customFormat="1" ht="35.450000000000003" customHeight="1" x14ac:dyDescent="0.2">
      <c r="A1" s="3" t="s">
        <v>177</v>
      </c>
      <c r="B1" s="16"/>
      <c r="C1" s="16"/>
      <c r="D1" s="98" t="b">
        <v>0</v>
      </c>
      <c r="E1" s="100" t="str">
        <f>IF(D1=TRUE,"Hier muss nichts ausgefüllt werden. Sie sehen hier die Reinigungsarten mit den maximalen Reinigungstagen. Mehrere Tabellen greifen hierauf zu.","")</f>
        <v/>
      </c>
      <c r="F1" s="100"/>
      <c r="G1" s="100"/>
      <c r="H1" s="100"/>
      <c r="I1" s="29" t="s">
        <v>100</v>
      </c>
    </row>
    <row r="2" spans="1:9" s="3" customFormat="1" ht="26.45" customHeight="1" x14ac:dyDescent="0.2">
      <c r="A2" s="3" t="s">
        <v>103</v>
      </c>
      <c r="B2" s="4" t="str">
        <f>IF(Inhaltsverzeichnis!$C$3="","",Inhaltsverzeichnis!$C$3)</f>
        <v/>
      </c>
      <c r="C2" s="16"/>
      <c r="D2" s="16"/>
      <c r="E2" s="100"/>
      <c r="F2" s="100"/>
      <c r="G2" s="100"/>
      <c r="H2" s="100"/>
      <c r="I2" s="16"/>
    </row>
    <row r="3" spans="1:9" s="3" customFormat="1" ht="15" customHeight="1" x14ac:dyDescent="0.2">
      <c r="B3" s="16"/>
      <c r="C3" s="16"/>
      <c r="D3" s="16"/>
      <c r="E3" s="41"/>
      <c r="F3" s="41"/>
      <c r="G3" s="16"/>
      <c r="H3" s="16"/>
      <c r="I3" s="16"/>
    </row>
    <row r="4" spans="1:9" ht="25.5" customHeight="1" x14ac:dyDescent="0.15">
      <c r="A4" s="89" t="s">
        <v>113</v>
      </c>
      <c r="B4" s="89" t="s">
        <v>189</v>
      </c>
      <c r="C4" s="89" t="s">
        <v>194</v>
      </c>
      <c r="D4" s="89" t="s">
        <v>196</v>
      </c>
      <c r="E4" s="89" t="s">
        <v>199</v>
      </c>
      <c r="F4" s="89" t="s">
        <v>189</v>
      </c>
      <c r="G4" s="89" t="s">
        <v>194</v>
      </c>
      <c r="H4" s="89" t="s">
        <v>196</v>
      </c>
      <c r="I4" s="89" t="s">
        <v>199</v>
      </c>
    </row>
    <row r="5" spans="1:9" ht="25.5" customHeight="1" x14ac:dyDescent="0.15">
      <c r="A5" s="89" t="s">
        <v>144</v>
      </c>
      <c r="B5" s="89" t="s">
        <v>368</v>
      </c>
      <c r="C5" s="89" t="s">
        <v>368</v>
      </c>
      <c r="D5" s="89" t="s">
        <v>368</v>
      </c>
      <c r="E5" s="89" t="s">
        <v>368</v>
      </c>
      <c r="F5" s="89" t="s">
        <v>368</v>
      </c>
      <c r="G5" s="89" t="s">
        <v>368</v>
      </c>
      <c r="H5" s="89" t="s">
        <v>368</v>
      </c>
      <c r="I5" s="89" t="s">
        <v>368</v>
      </c>
    </row>
    <row r="6" spans="1:9" ht="25.5" customHeight="1" x14ac:dyDescent="0.15">
      <c r="A6" s="89" t="s">
        <v>115</v>
      </c>
      <c r="B6" s="1" t="s">
        <v>369</v>
      </c>
      <c r="C6" s="1" t="s">
        <v>369</v>
      </c>
      <c r="D6" s="1" t="s">
        <v>369</v>
      </c>
      <c r="E6" s="1" t="s">
        <v>369</v>
      </c>
      <c r="F6" s="1" t="s">
        <v>371</v>
      </c>
      <c r="G6" s="1" t="s">
        <v>371</v>
      </c>
      <c r="H6" s="1" t="s">
        <v>371</v>
      </c>
      <c r="I6" s="1" t="s">
        <v>371</v>
      </c>
    </row>
    <row r="7" spans="1:9" ht="35.1" customHeight="1" x14ac:dyDescent="0.15">
      <c r="A7" s="1" t="s">
        <v>182</v>
      </c>
      <c r="B7" s="90">
        <v>252.5</v>
      </c>
      <c r="C7" s="90">
        <v>252.5</v>
      </c>
      <c r="D7" s="90">
        <v>252.5</v>
      </c>
      <c r="E7" s="90">
        <v>252.5</v>
      </c>
      <c r="F7" s="90">
        <v>1</v>
      </c>
      <c r="G7" s="90">
        <v>1</v>
      </c>
      <c r="H7" s="90">
        <v>1</v>
      </c>
      <c r="I7" s="90">
        <v>1</v>
      </c>
    </row>
    <row r="8" spans="1:9" ht="6" customHeight="1" x14ac:dyDescent="0.15">
      <c r="A8" s="91"/>
      <c r="B8" s="42"/>
      <c r="C8" s="42"/>
      <c r="D8" s="42"/>
      <c r="E8" s="42"/>
      <c r="F8" s="42"/>
      <c r="G8" s="42"/>
      <c r="H8" s="42"/>
      <c r="I8" s="42"/>
    </row>
    <row r="9" spans="1:9" ht="25.5" customHeight="1" x14ac:dyDescent="0.15">
      <c r="A9" s="89" t="s">
        <v>183</v>
      </c>
      <c r="B9" s="1" t="s">
        <v>370</v>
      </c>
      <c r="C9" s="1" t="s">
        <v>370</v>
      </c>
      <c r="D9" s="1" t="s">
        <v>370</v>
      </c>
      <c r="E9" s="1" t="s">
        <v>370</v>
      </c>
      <c r="F9" s="1" t="s">
        <v>370</v>
      </c>
      <c r="G9" s="1" t="s">
        <v>370</v>
      </c>
      <c r="H9" s="1" t="s">
        <v>370</v>
      </c>
      <c r="I9" s="1" t="s">
        <v>370</v>
      </c>
    </row>
    <row r="10" spans="1:9" ht="15" customHeight="1" x14ac:dyDescent="0.15">
      <c r="A10" s="92">
        <v>12</v>
      </c>
      <c r="B10" s="93">
        <f t="shared" ref="B10:B17" si="0">ROUND($B$7/5*A10,2)</f>
        <v>606</v>
      </c>
      <c r="C10" s="93">
        <f t="shared" ref="C10:C17" si="1">ROUND($C$7/5*A10,2)</f>
        <v>606</v>
      </c>
      <c r="D10" s="93">
        <f t="shared" ref="D10:D17" si="2">ROUND($D$7/5*A10,2)</f>
        <v>606</v>
      </c>
      <c r="E10" s="93">
        <f t="shared" ref="E10:E17" si="3">ROUND($E$7/5*A10,2)</f>
        <v>606</v>
      </c>
      <c r="F10" s="94"/>
      <c r="G10" s="94"/>
      <c r="H10" s="94"/>
      <c r="I10" s="94"/>
    </row>
    <row r="11" spans="1:9" ht="15" customHeight="1" x14ac:dyDescent="0.15">
      <c r="A11" s="92">
        <v>10</v>
      </c>
      <c r="B11" s="93">
        <f t="shared" si="0"/>
        <v>505</v>
      </c>
      <c r="C11" s="93">
        <f t="shared" si="1"/>
        <v>505</v>
      </c>
      <c r="D11" s="93">
        <f t="shared" si="2"/>
        <v>505</v>
      </c>
      <c r="E11" s="93">
        <f t="shared" si="3"/>
        <v>505</v>
      </c>
      <c r="F11" s="94"/>
      <c r="G11" s="94"/>
      <c r="H11" s="94"/>
      <c r="I11" s="94"/>
    </row>
    <row r="12" spans="1:9" ht="15" customHeight="1" x14ac:dyDescent="0.15">
      <c r="A12" s="92">
        <v>7</v>
      </c>
      <c r="B12" s="93">
        <f t="shared" si="0"/>
        <v>353.5</v>
      </c>
      <c r="C12" s="93">
        <f t="shared" si="1"/>
        <v>353.5</v>
      </c>
      <c r="D12" s="93">
        <f t="shared" si="2"/>
        <v>353.5</v>
      </c>
      <c r="E12" s="93">
        <f t="shared" si="3"/>
        <v>353.5</v>
      </c>
      <c r="F12" s="94"/>
      <c r="G12" s="94"/>
      <c r="H12" s="94"/>
      <c r="I12" s="94"/>
    </row>
    <row r="13" spans="1:9" ht="15" customHeight="1" x14ac:dyDescent="0.15">
      <c r="A13" s="92">
        <v>6</v>
      </c>
      <c r="B13" s="93">
        <f t="shared" si="0"/>
        <v>303</v>
      </c>
      <c r="C13" s="93">
        <f t="shared" si="1"/>
        <v>303</v>
      </c>
      <c r="D13" s="93">
        <f t="shared" si="2"/>
        <v>303</v>
      </c>
      <c r="E13" s="93">
        <f t="shared" si="3"/>
        <v>303</v>
      </c>
      <c r="F13" s="94"/>
      <c r="G13" s="94"/>
      <c r="H13" s="94"/>
      <c r="I13" s="94"/>
    </row>
    <row r="14" spans="1:9" ht="15" customHeight="1" x14ac:dyDescent="0.15">
      <c r="A14" s="92">
        <v>5</v>
      </c>
      <c r="B14" s="90">
        <f t="shared" si="0"/>
        <v>252.5</v>
      </c>
      <c r="C14" s="93">
        <f t="shared" si="1"/>
        <v>252.5</v>
      </c>
      <c r="D14" s="93">
        <f t="shared" si="2"/>
        <v>252.5</v>
      </c>
      <c r="E14" s="90">
        <f t="shared" si="3"/>
        <v>252.5</v>
      </c>
      <c r="F14" s="94"/>
      <c r="G14" s="94"/>
      <c r="H14" s="94"/>
      <c r="I14" s="94"/>
    </row>
    <row r="15" spans="1:9" ht="15" customHeight="1" x14ac:dyDescent="0.15">
      <c r="A15" s="92">
        <v>4</v>
      </c>
      <c r="B15" s="93">
        <f t="shared" si="0"/>
        <v>202</v>
      </c>
      <c r="C15" s="93">
        <f t="shared" si="1"/>
        <v>202</v>
      </c>
      <c r="D15" s="93">
        <f t="shared" si="2"/>
        <v>202</v>
      </c>
      <c r="E15" s="93">
        <f t="shared" si="3"/>
        <v>202</v>
      </c>
      <c r="F15" s="94"/>
      <c r="G15" s="94"/>
      <c r="H15" s="94"/>
      <c r="I15" s="94"/>
    </row>
    <row r="16" spans="1:9" ht="15" customHeight="1" x14ac:dyDescent="0.15">
      <c r="A16" s="92">
        <v>3</v>
      </c>
      <c r="B16" s="90">
        <f t="shared" si="0"/>
        <v>151.5</v>
      </c>
      <c r="C16" s="90">
        <f t="shared" si="1"/>
        <v>151.5</v>
      </c>
      <c r="D16" s="90">
        <f t="shared" si="2"/>
        <v>151.5</v>
      </c>
      <c r="E16" s="90">
        <f t="shared" si="3"/>
        <v>151.5</v>
      </c>
      <c r="F16" s="94"/>
      <c r="G16" s="94"/>
      <c r="H16" s="94"/>
      <c r="I16" s="94"/>
    </row>
    <row r="17" spans="1:9" ht="15" customHeight="1" x14ac:dyDescent="0.15">
      <c r="A17" s="92">
        <v>2.5</v>
      </c>
      <c r="B17" s="93">
        <f t="shared" si="0"/>
        <v>126.25</v>
      </c>
      <c r="C17" s="93">
        <f t="shared" si="1"/>
        <v>126.25</v>
      </c>
      <c r="D17" s="93">
        <f t="shared" si="2"/>
        <v>126.25</v>
      </c>
      <c r="E17" s="93">
        <f t="shared" si="3"/>
        <v>126.25</v>
      </c>
      <c r="F17" s="94"/>
      <c r="G17" s="94"/>
      <c r="H17" s="94"/>
      <c r="I17" s="94"/>
    </row>
    <row r="18" spans="1:9" ht="15" customHeight="1" x14ac:dyDescent="0.15">
      <c r="A18" s="92">
        <v>2</v>
      </c>
      <c r="B18" s="90">
        <f>ROUND(B7*104.29/251,2)</f>
        <v>104.91</v>
      </c>
      <c r="C18" s="90">
        <f>ROUND(C7*104.29/251,2)</f>
        <v>104.91</v>
      </c>
      <c r="D18" s="90">
        <f>ROUND(D7*104.29/251,2)</f>
        <v>104.91</v>
      </c>
      <c r="E18" s="90">
        <f>ROUND(E7*104.29/251,2)</f>
        <v>104.91</v>
      </c>
      <c r="F18" s="94"/>
      <c r="G18" s="94"/>
      <c r="H18" s="94"/>
      <c r="I18" s="94"/>
    </row>
    <row r="19" spans="1:9" ht="15" customHeight="1" x14ac:dyDescent="0.15">
      <c r="A19" s="92">
        <v>1</v>
      </c>
      <c r="B19" s="90">
        <f>ROUND(B7*52.14/251,2)</f>
        <v>52.45</v>
      </c>
      <c r="C19" s="90">
        <f>ROUND(C7*52.14/251,2)</f>
        <v>52.45</v>
      </c>
      <c r="D19" s="93">
        <f>ROUND(D7*52.14/251,2)</f>
        <v>52.45</v>
      </c>
      <c r="E19" s="93">
        <f>ROUND(E7*52.14/251,2)</f>
        <v>52.45</v>
      </c>
      <c r="F19" s="94"/>
      <c r="G19" s="94"/>
      <c r="H19" s="94"/>
      <c r="I19" s="94"/>
    </row>
    <row r="20" spans="1:9" ht="15" customHeight="1" x14ac:dyDescent="0.15">
      <c r="A20" s="92">
        <v>0.5</v>
      </c>
      <c r="B20" s="93">
        <f>ROUND(B7*26.07/251,2)</f>
        <v>26.23</v>
      </c>
      <c r="C20" s="93">
        <f>ROUND(C7*26.07/251,2)</f>
        <v>26.23</v>
      </c>
      <c r="D20" s="93">
        <f>ROUND(D7*26.07/251,2)</f>
        <v>26.23</v>
      </c>
      <c r="E20" s="93">
        <f>ROUND(E7*26.07/251,2)</f>
        <v>26.23</v>
      </c>
      <c r="F20" s="94"/>
      <c r="G20" s="94"/>
      <c r="H20" s="94"/>
      <c r="I20" s="94"/>
    </row>
    <row r="21" spans="1:9" ht="15" customHeight="1" x14ac:dyDescent="0.15">
      <c r="A21" s="92" t="s">
        <v>135</v>
      </c>
      <c r="B21" s="95">
        <f t="shared" ref="B21:I21" si="4">ROUND(12*2,2)</f>
        <v>24</v>
      </c>
      <c r="C21" s="96">
        <f t="shared" si="4"/>
        <v>24</v>
      </c>
      <c r="D21" s="96">
        <f t="shared" si="4"/>
        <v>24</v>
      </c>
      <c r="E21" s="95">
        <f t="shared" si="4"/>
        <v>24</v>
      </c>
      <c r="F21" s="96">
        <f t="shared" si="4"/>
        <v>24</v>
      </c>
      <c r="G21" s="96">
        <f t="shared" si="4"/>
        <v>24</v>
      </c>
      <c r="H21" s="96">
        <f t="shared" si="4"/>
        <v>24</v>
      </c>
      <c r="I21" s="96">
        <f t="shared" si="4"/>
        <v>24</v>
      </c>
    </row>
    <row r="22" spans="1:9" ht="15" customHeight="1" x14ac:dyDescent="0.15">
      <c r="A22" s="92" t="s">
        <v>136</v>
      </c>
      <c r="B22" s="96">
        <f t="shared" ref="B22:I22" si="5">ROUND(12*1,2)</f>
        <v>12</v>
      </c>
      <c r="C22" s="96">
        <f t="shared" si="5"/>
        <v>12</v>
      </c>
      <c r="D22" s="95">
        <f t="shared" si="5"/>
        <v>12</v>
      </c>
      <c r="E22" s="95">
        <f t="shared" si="5"/>
        <v>12</v>
      </c>
      <c r="F22" s="96">
        <f t="shared" si="5"/>
        <v>12</v>
      </c>
      <c r="G22" s="96">
        <f t="shared" si="5"/>
        <v>12</v>
      </c>
      <c r="H22" s="96">
        <f t="shared" si="5"/>
        <v>12</v>
      </c>
      <c r="I22" s="96">
        <f t="shared" si="5"/>
        <v>12</v>
      </c>
    </row>
    <row r="23" spans="1:9" ht="15" customHeight="1" x14ac:dyDescent="0.15">
      <c r="A23" s="92" t="s">
        <v>137</v>
      </c>
      <c r="B23" s="93">
        <v>6</v>
      </c>
      <c r="C23" s="93">
        <v>6</v>
      </c>
      <c r="D23" s="93">
        <v>6</v>
      </c>
      <c r="E23" s="93">
        <v>6</v>
      </c>
      <c r="F23" s="93">
        <v>6</v>
      </c>
      <c r="G23" s="93">
        <v>6</v>
      </c>
      <c r="H23" s="93">
        <v>6</v>
      </c>
      <c r="I23" s="93">
        <v>6</v>
      </c>
    </row>
    <row r="24" spans="1:9" ht="15" customHeight="1" x14ac:dyDescent="0.15">
      <c r="A24" s="92" t="s">
        <v>138</v>
      </c>
      <c r="B24" s="93">
        <v>5</v>
      </c>
      <c r="C24" s="93">
        <v>5</v>
      </c>
      <c r="D24" s="93">
        <v>5</v>
      </c>
      <c r="E24" s="93">
        <v>5</v>
      </c>
      <c r="F24" s="93">
        <v>5</v>
      </c>
      <c r="G24" s="93">
        <v>5</v>
      </c>
      <c r="H24" s="93">
        <v>5</v>
      </c>
      <c r="I24" s="93">
        <v>5</v>
      </c>
    </row>
    <row r="25" spans="1:9" ht="15" customHeight="1" x14ac:dyDescent="0.15">
      <c r="A25" s="92" t="s">
        <v>139</v>
      </c>
      <c r="B25" s="93">
        <v>4</v>
      </c>
      <c r="C25" s="93">
        <v>4</v>
      </c>
      <c r="D25" s="90">
        <v>4</v>
      </c>
      <c r="E25" s="93">
        <v>4</v>
      </c>
      <c r="F25" s="93">
        <v>4</v>
      </c>
      <c r="G25" s="93">
        <v>4</v>
      </c>
      <c r="H25" s="93">
        <v>4</v>
      </c>
      <c r="I25" s="93">
        <v>4</v>
      </c>
    </row>
    <row r="26" spans="1:9" ht="15" customHeight="1" x14ac:dyDescent="0.15">
      <c r="A26" s="92" t="s">
        <v>140</v>
      </c>
      <c r="B26" s="93">
        <v>3</v>
      </c>
      <c r="C26" s="93">
        <v>3</v>
      </c>
      <c r="D26" s="93">
        <v>3</v>
      </c>
      <c r="E26" s="93">
        <v>3</v>
      </c>
      <c r="F26" s="93">
        <v>3</v>
      </c>
      <c r="G26" s="93">
        <v>3</v>
      </c>
      <c r="H26" s="93">
        <v>3</v>
      </c>
      <c r="I26" s="93">
        <v>3</v>
      </c>
    </row>
    <row r="27" spans="1:9" ht="15" customHeight="1" x14ac:dyDescent="0.15">
      <c r="A27" s="92" t="s">
        <v>141</v>
      </c>
      <c r="B27" s="93">
        <v>2</v>
      </c>
      <c r="C27" s="93">
        <v>2</v>
      </c>
      <c r="D27" s="93">
        <v>2</v>
      </c>
      <c r="E27" s="93">
        <v>2</v>
      </c>
      <c r="F27" s="93">
        <v>2</v>
      </c>
      <c r="G27" s="93">
        <v>2</v>
      </c>
      <c r="H27" s="93">
        <v>2</v>
      </c>
      <c r="I27" s="93">
        <v>2</v>
      </c>
    </row>
    <row r="28" spans="1:9" ht="15" customHeight="1" x14ac:dyDescent="0.15">
      <c r="A28" s="92" t="s">
        <v>142</v>
      </c>
      <c r="B28" s="93">
        <v>1</v>
      </c>
      <c r="C28" s="93">
        <v>1</v>
      </c>
      <c r="D28" s="93">
        <v>1</v>
      </c>
      <c r="E28" s="93">
        <v>1</v>
      </c>
      <c r="F28" s="90">
        <v>1</v>
      </c>
      <c r="G28" s="90">
        <v>1</v>
      </c>
      <c r="H28" s="90">
        <v>1</v>
      </c>
      <c r="I28" s="90">
        <v>1</v>
      </c>
    </row>
    <row r="29" spans="1:9" ht="15" customHeight="1" x14ac:dyDescent="0.15">
      <c r="A29" s="90" t="s">
        <v>143</v>
      </c>
      <c r="B29" s="93">
        <v>0.5</v>
      </c>
      <c r="C29" s="93">
        <v>0.5</v>
      </c>
      <c r="D29" s="93">
        <v>0.5</v>
      </c>
      <c r="E29" s="93">
        <v>0.5</v>
      </c>
      <c r="F29" s="93">
        <v>0.5</v>
      </c>
      <c r="G29" s="93">
        <v>0.5</v>
      </c>
      <c r="H29" s="93">
        <v>0.5</v>
      </c>
      <c r="I29" s="93">
        <v>0.5</v>
      </c>
    </row>
    <row r="30" spans="1:9" ht="15" customHeight="1" x14ac:dyDescent="0.15">
      <c r="A30" s="90">
        <v>0</v>
      </c>
      <c r="B30" s="90">
        <v>0</v>
      </c>
      <c r="C30" s="90">
        <v>0</v>
      </c>
      <c r="D30" s="93">
        <v>0</v>
      </c>
      <c r="E30" s="90">
        <v>0</v>
      </c>
      <c r="F30" s="97"/>
      <c r="G30" s="97"/>
      <c r="H30" s="97"/>
      <c r="I30" s="97"/>
    </row>
    <row r="31" spans="1:9" ht="15" customHeight="1" x14ac:dyDescent="0.15">
      <c r="A31" s="90" t="s">
        <v>145</v>
      </c>
      <c r="B31" s="94"/>
      <c r="C31" s="94"/>
      <c r="D31" s="94"/>
      <c r="E31" s="94"/>
      <c r="F31" s="94"/>
      <c r="G31" s="94"/>
      <c r="H31" s="94"/>
      <c r="I31" s="94"/>
    </row>
  </sheetData>
  <sheetProtection algorithmName="SHA-512" hashValue="el2j+V7apWED9gg9GRwGomkNZCk3KmV4gOHkiMxlMi3+RYXuPky0Ff/tnBwF4uho9rkBb22risAuoIMhqV0+mA==" saltValue="ElATTrIs0K9XhrieKdMmRA=="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H10"/>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5" width="14.28515625" style="3" customWidth="1"/>
    <col min="6" max="8" width="16.7109375" style="3" customWidth="1"/>
    <col min="9" max="16384" width="11.42578125" style="3"/>
  </cols>
  <sheetData>
    <row r="1" spans="1:8" ht="29.1" customHeight="1" x14ac:dyDescent="0.2">
      <c r="A1" s="3" t="s">
        <v>178</v>
      </c>
      <c r="D1" s="17"/>
      <c r="G1" s="5" t="s">
        <v>100</v>
      </c>
    </row>
    <row r="2" spans="1:8" ht="24" customHeight="1" x14ac:dyDescent="0.2">
      <c r="B2" s="32" t="b">
        <v>0</v>
      </c>
      <c r="C2" s="106" t="str">
        <f>IF(B2=TRUE,"Hier muss nichts ausgefüllt werden. Füllen Sie zunächst in den folgenden Tabellen die gelben Zellen aus. Kehren Sie dann zu dieser Tabelle zurück.","")</f>
        <v/>
      </c>
      <c r="D2" s="106"/>
      <c r="E2" s="106"/>
      <c r="F2" s="106"/>
      <c r="G2" s="106"/>
    </row>
    <row r="3" spans="1:8" ht="24" customHeight="1" x14ac:dyDescent="0.2">
      <c r="A3" s="19" t="s">
        <v>103</v>
      </c>
      <c r="B3" s="20" t="str">
        <f>IF(Inhaltsverzeichnis!$C$3="", "",Inhaltsverzeichnis!$C$3)</f>
        <v/>
      </c>
      <c r="C3" s="4"/>
      <c r="D3" s="4"/>
    </row>
    <row r="4" spans="1:8" s="16" customFormat="1" ht="29.1" customHeight="1" x14ac:dyDescent="0.2">
      <c r="A4" s="107" t="s">
        <v>373</v>
      </c>
      <c r="B4" s="108"/>
      <c r="C4" s="1" t="s">
        <v>369</v>
      </c>
      <c r="D4" s="1" t="s">
        <v>371</v>
      </c>
      <c r="E4" s="1" t="s">
        <v>372</v>
      </c>
      <c r="F4" s="102" t="s">
        <v>374</v>
      </c>
      <c r="G4" s="102"/>
      <c r="H4" s="102"/>
    </row>
    <row r="5" spans="1:8" s="16" customFormat="1" ht="29.1" customHeight="1" x14ac:dyDescent="0.2">
      <c r="A5" s="1" t="s">
        <v>96</v>
      </c>
      <c r="B5" s="1" t="s">
        <v>173</v>
      </c>
      <c r="C5" s="1" t="s">
        <v>148</v>
      </c>
      <c r="D5" s="1" t="s">
        <v>148</v>
      </c>
      <c r="E5" s="1" t="s">
        <v>148</v>
      </c>
      <c r="F5" s="1" t="s">
        <v>148</v>
      </c>
      <c r="G5" s="1" t="s">
        <v>375</v>
      </c>
      <c r="H5" s="1" t="s">
        <v>149</v>
      </c>
    </row>
    <row r="6" spans="1:8" ht="15" customHeight="1" x14ac:dyDescent="0.2">
      <c r="A6" s="12" t="s">
        <v>189</v>
      </c>
      <c r="B6" s="33">
        <v>4</v>
      </c>
      <c r="C6" s="31">
        <f ca="1">'Kal Unter Haus am See'!Q21</f>
        <v>0</v>
      </c>
      <c r="D6" s="31">
        <f>'Kal Grund Haus am See'!Q21</f>
        <v>0</v>
      </c>
      <c r="E6" s="34"/>
      <c r="F6" s="31">
        <f ca="1">SUM(C6:E6)</f>
        <v>0</v>
      </c>
      <c r="G6" s="31">
        <f ca="1">H6-F6</f>
        <v>0</v>
      </c>
      <c r="H6" s="31">
        <f ca="1">ROUND(F6*1.19,2)</f>
        <v>0</v>
      </c>
    </row>
    <row r="7" spans="1:8" ht="15" customHeight="1" x14ac:dyDescent="0.2">
      <c r="A7" s="12" t="s">
        <v>194</v>
      </c>
      <c r="B7" s="33">
        <v>4</v>
      </c>
      <c r="C7" s="31">
        <f ca="1">'Kal Unter Rathaus'!Q21</f>
        <v>0</v>
      </c>
      <c r="D7" s="31">
        <f>'Kal Grund Rathaus'!Q21</f>
        <v>0</v>
      </c>
      <c r="E7" s="31">
        <f>SUMIF('Kal Verbrauch Gesamt'!$B$5:$B$13,A7,'Kal Verbrauch Gesamt'!$G$5:$G$13)</f>
        <v>0</v>
      </c>
      <c r="F7" s="31">
        <f ca="1">SUM(C7:E7)</f>
        <v>0</v>
      </c>
      <c r="G7" s="31">
        <f ca="1">H7-F7</f>
        <v>0</v>
      </c>
      <c r="H7" s="31">
        <f ca="1">ROUND(F7*1.19,2)</f>
        <v>0</v>
      </c>
    </row>
    <row r="8" spans="1:8" ht="15" customHeight="1" x14ac:dyDescent="0.2">
      <c r="A8" s="12" t="s">
        <v>196</v>
      </c>
      <c r="B8" s="33">
        <v>4</v>
      </c>
      <c r="C8" s="31">
        <f ca="1">'Kal Unter Verwaltung 1'!Q21</f>
        <v>0</v>
      </c>
      <c r="D8" s="31">
        <f>'Kal Grund Verwaltung 1'!Q21</f>
        <v>0</v>
      </c>
      <c r="E8" s="31">
        <f>SUMIF('Kal Verbrauch Gesamt'!$B$5:$B$13,A8,'Kal Verbrauch Gesamt'!$G$5:$G$13)</f>
        <v>0</v>
      </c>
      <c r="F8" s="31">
        <f ca="1">SUM(C8:E8)</f>
        <v>0</v>
      </c>
      <c r="G8" s="31">
        <f ca="1">H8-F8</f>
        <v>0</v>
      </c>
      <c r="H8" s="31">
        <f ca="1">ROUND(F8*1.19,2)</f>
        <v>0</v>
      </c>
    </row>
    <row r="9" spans="1:8" ht="15" customHeight="1" x14ac:dyDescent="0.2">
      <c r="A9" s="12" t="s">
        <v>199</v>
      </c>
      <c r="B9" s="33">
        <v>4</v>
      </c>
      <c r="C9" s="31">
        <f ca="1">'Kal Unter Verwaltung 2'!Q21</f>
        <v>0</v>
      </c>
      <c r="D9" s="31">
        <f>'Kal Grund Verwaltung 2'!Q21</f>
        <v>0</v>
      </c>
      <c r="E9" s="31">
        <f>SUMIF('Kal Verbrauch Gesamt'!$B$5:$B$13,A9,'Kal Verbrauch Gesamt'!$G$5:$G$13)</f>
        <v>0</v>
      </c>
      <c r="F9" s="31">
        <f ca="1">SUM(C9:E9)</f>
        <v>0</v>
      </c>
      <c r="G9" s="31">
        <f ca="1">H9-F9</f>
        <v>0</v>
      </c>
      <c r="H9" s="31">
        <f ca="1">ROUND(F9*1.19,2)</f>
        <v>0</v>
      </c>
    </row>
    <row r="10" spans="1:8" ht="15" customHeight="1" x14ac:dyDescent="0.2">
      <c r="A10" s="103" t="s">
        <v>376</v>
      </c>
      <c r="B10" s="104"/>
      <c r="C10" s="105"/>
      <c r="D10" s="105"/>
      <c r="E10" s="105"/>
      <c r="F10" s="31">
        <f ca="1">ROUND(SUM(F6:F9),2)</f>
        <v>0</v>
      </c>
      <c r="G10" s="31">
        <f ca="1">ROUND(SUM(G6:G9),2)</f>
        <v>0</v>
      </c>
      <c r="H10" s="31">
        <f ca="1">ROUND(SUM(H6:H9),2)</f>
        <v>0</v>
      </c>
    </row>
  </sheetData>
  <sheetProtection algorithmName="SHA-512" hashValue="BTYLi35DR4w2XTkrEr2N4yxN+BVgTYAUPGrAWeccAIPyKgY2r2VwMO4rZWiKtqu4sAvH/7XXOM04jXPelVDFpA==" saltValue="hHrTEZO7dKehbpA7He3aZQ==" spinCount="100000" sheet="1" objects="1" scenarios="1"/>
  <mergeCells count="4">
    <mergeCell ref="F4:H4"/>
    <mergeCell ref="A10:E10"/>
    <mergeCell ref="C2:G2"/>
    <mergeCell ref="A4:B4"/>
  </mergeCells>
  <phoneticPr fontId="3" type="noConversion"/>
  <hyperlinks>
    <hyperlink ref="G1" location="Inhaltsverzeichnis!A1" display="Zurück zum Inhaltsverzeichnis" xr:uid="{EF7F4EB6-2449-4F23-ADE9-1F74FC5E03AA}"/>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53" t="str">
        <f ca="1">IF(H61&lt;&gt;"","","Bitte alle gelben Zellen ausfüllen.")</f>
        <v>Bitte alle gelben Zellen ausfüllen.</v>
      </c>
      <c r="D1" s="69" t="b">
        <v>0</v>
      </c>
      <c r="E1" s="10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00"/>
      <c r="G1" s="100"/>
      <c r="H1" s="100"/>
      <c r="I1" s="100"/>
      <c r="K1" s="5" t="s">
        <v>100</v>
      </c>
    </row>
    <row r="2" spans="1:11" ht="33" customHeight="1" x14ac:dyDescent="0.2">
      <c r="A2" s="3" t="s">
        <v>103</v>
      </c>
      <c r="C2" s="3" t="str">
        <f>IF(Inhaltsverzeichnis!$C$3="", "",Inhaltsverzeichnis!$C$3)</f>
        <v/>
      </c>
      <c r="D2" s="32" t="b">
        <v>0</v>
      </c>
      <c r="E2" s="100"/>
      <c r="F2" s="100"/>
      <c r="G2" s="100"/>
      <c r="H2" s="100"/>
      <c r="I2" s="100"/>
    </row>
    <row r="3" spans="1:11" s="2" customFormat="1" ht="12.75" x14ac:dyDescent="0.2">
      <c r="A3" s="117" t="s">
        <v>102</v>
      </c>
      <c r="B3" s="117"/>
      <c r="C3" s="117"/>
      <c r="D3" s="117"/>
      <c r="E3" s="117"/>
      <c r="F3" s="117"/>
      <c r="G3" s="117"/>
      <c r="H3" s="117"/>
      <c r="I3" s="117"/>
    </row>
    <row r="4" spans="1:11" x14ac:dyDescent="0.2">
      <c r="A4" s="54"/>
      <c r="B4" s="54"/>
      <c r="C4" s="54"/>
      <c r="D4" s="54"/>
      <c r="E4" s="54"/>
      <c r="F4" s="54"/>
      <c r="G4" s="54"/>
      <c r="H4" s="54"/>
      <c r="I4" s="54"/>
    </row>
    <row r="5" spans="1:11" ht="15" customHeight="1" x14ac:dyDescent="0.2">
      <c r="A5" s="55" t="s">
        <v>1</v>
      </c>
      <c r="B5" s="55" t="s">
        <v>2</v>
      </c>
      <c r="C5" s="55"/>
      <c r="D5" s="55"/>
      <c r="E5" s="55"/>
      <c r="F5" s="56">
        <v>100</v>
      </c>
      <c r="G5" s="55" t="s">
        <v>3</v>
      </c>
      <c r="H5" s="7">
        <v>15</v>
      </c>
      <c r="I5" s="55" t="s">
        <v>4</v>
      </c>
      <c r="K5" s="57"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54"/>
      <c r="B6" s="54"/>
      <c r="C6" s="54"/>
      <c r="D6" s="54"/>
      <c r="E6" s="54"/>
      <c r="F6" s="58"/>
      <c r="G6" s="54"/>
      <c r="H6" s="58"/>
      <c r="I6" s="54"/>
    </row>
    <row r="7" spans="1:11" x14ac:dyDescent="0.2">
      <c r="A7" s="55" t="s">
        <v>5</v>
      </c>
      <c r="B7" s="55" t="s">
        <v>6</v>
      </c>
      <c r="C7" s="55"/>
      <c r="D7" s="55"/>
      <c r="E7" s="55"/>
      <c r="F7" s="59"/>
      <c r="G7" s="55"/>
      <c r="H7" s="59"/>
      <c r="I7" s="55"/>
    </row>
    <row r="8" spans="1:11" ht="14.25" x14ac:dyDescent="0.2">
      <c r="A8" s="54" t="s">
        <v>7</v>
      </c>
      <c r="B8" s="54" t="s">
        <v>8</v>
      </c>
      <c r="C8" s="54"/>
      <c r="D8" s="54"/>
      <c r="E8" s="54"/>
      <c r="F8" s="59"/>
      <c r="G8" s="59"/>
      <c r="H8" s="59"/>
      <c r="I8" s="59"/>
      <c r="K8" s="60"/>
    </row>
    <row r="9" spans="1:11" x14ac:dyDescent="0.2">
      <c r="A9" s="54" t="s">
        <v>9</v>
      </c>
      <c r="B9" s="54"/>
      <c r="C9" s="54" t="s">
        <v>10</v>
      </c>
      <c r="D9" s="54"/>
      <c r="E9" s="54"/>
      <c r="F9" s="8"/>
      <c r="G9" s="54" t="s">
        <v>3</v>
      </c>
      <c r="H9" s="61" t="str">
        <f>IF(F9="","",ROUND(F9/100*$H$5,2))</f>
        <v/>
      </c>
      <c r="I9" s="54" t="s">
        <v>4</v>
      </c>
      <c r="K9" s="57" t="str">
        <f>IF(F9="","Bitte ausfüllen!","")</f>
        <v>Bitte ausfüllen!</v>
      </c>
    </row>
    <row r="10" spans="1:11" x14ac:dyDescent="0.2">
      <c r="A10" s="54" t="s">
        <v>11</v>
      </c>
      <c r="B10" s="54"/>
      <c r="C10" s="54" t="s">
        <v>12</v>
      </c>
      <c r="D10" s="54"/>
      <c r="E10" s="54"/>
      <c r="F10" s="8"/>
      <c r="G10" s="54" t="s">
        <v>3</v>
      </c>
      <c r="H10" s="61" t="str">
        <f>IF(F10="","",ROUND(F10/100*$H$5,2))</f>
        <v/>
      </c>
      <c r="I10" s="54" t="s">
        <v>4</v>
      </c>
      <c r="K10" s="57" t="str">
        <f>IF(F10="","Bitte ausfüllen!","")</f>
        <v>Bitte ausfüllen!</v>
      </c>
    </row>
    <row r="11" spans="1:11" x14ac:dyDescent="0.2">
      <c r="A11" s="54" t="s">
        <v>13</v>
      </c>
      <c r="B11" s="54"/>
      <c r="C11" s="54" t="s">
        <v>14</v>
      </c>
      <c r="D11" s="54"/>
      <c r="E11" s="54"/>
      <c r="F11" s="8"/>
      <c r="G11" s="54" t="s">
        <v>3</v>
      </c>
      <c r="H11" s="61" t="str">
        <f>IF(F11="","",ROUND(F11/100*$H$5,2))</f>
        <v/>
      </c>
      <c r="I11" s="54" t="s">
        <v>4</v>
      </c>
      <c r="K11" s="57" t="str">
        <f>IF(F11="","Bitte ausfüllen!","")</f>
        <v>Bitte ausfüllen!</v>
      </c>
    </row>
    <row r="12" spans="1:11" x14ac:dyDescent="0.2">
      <c r="A12" s="54" t="s">
        <v>15</v>
      </c>
      <c r="B12" s="54"/>
      <c r="C12" s="54" t="s">
        <v>16</v>
      </c>
      <c r="D12" s="54"/>
      <c r="E12" s="54"/>
      <c r="F12" s="8"/>
      <c r="G12" s="54" t="s">
        <v>3</v>
      </c>
      <c r="H12" s="61" t="str">
        <f>IF(F12="","",ROUND(F12/100*$H$5,2))</f>
        <v/>
      </c>
      <c r="I12" s="54" t="s">
        <v>4</v>
      </c>
      <c r="K12" s="57" t="str">
        <f>IF(F12="","Bitte ausfüllen!","")</f>
        <v>Bitte ausfüllen!</v>
      </c>
    </row>
    <row r="13" spans="1:11" x14ac:dyDescent="0.2">
      <c r="A13" s="54" t="s">
        <v>17</v>
      </c>
      <c r="B13" s="54"/>
      <c r="C13" s="54" t="s">
        <v>18</v>
      </c>
      <c r="D13" s="54"/>
      <c r="E13" s="54"/>
      <c r="F13" s="8"/>
      <c r="G13" s="54" t="s">
        <v>3</v>
      </c>
      <c r="H13" s="61" t="str">
        <f>IF(F13="","",ROUND(F13/100*$H$5,2))</f>
        <v/>
      </c>
      <c r="I13" s="54" t="s">
        <v>4</v>
      </c>
      <c r="K13" s="57" t="str">
        <f>IF(F13="","Bitte ausfüllen!","")</f>
        <v>Bitte ausfüllen!</v>
      </c>
    </row>
    <row r="14" spans="1:11" x14ac:dyDescent="0.2">
      <c r="A14" s="55"/>
      <c r="B14" s="55" t="s">
        <v>19</v>
      </c>
      <c r="C14" s="55"/>
      <c r="D14" s="55"/>
      <c r="E14" s="55"/>
      <c r="F14" s="62">
        <f>IF(SUM(F9:F13)=0,0,SUM(F9:F13))</f>
        <v>0</v>
      </c>
      <c r="G14" s="55" t="s">
        <v>3</v>
      </c>
      <c r="H14" s="63" t="str">
        <f>IF(COUNTIF(F9:F13,"")&gt;0,"",SUM(H8:H13))</f>
        <v/>
      </c>
      <c r="I14" s="55" t="s">
        <v>4</v>
      </c>
      <c r="K14" s="57" t="str">
        <f>IF(H14="","Angaben offen!","")</f>
        <v>Angaben offen!</v>
      </c>
    </row>
    <row r="15" spans="1:11" x14ac:dyDescent="0.2">
      <c r="A15" s="54"/>
      <c r="B15" s="54"/>
      <c r="C15" s="54"/>
      <c r="D15" s="54"/>
      <c r="E15" s="54"/>
      <c r="F15" s="58"/>
      <c r="G15" s="54"/>
      <c r="H15" s="58"/>
      <c r="I15" s="54"/>
    </row>
    <row r="16" spans="1:11" x14ac:dyDescent="0.2">
      <c r="A16" s="55" t="s">
        <v>20</v>
      </c>
      <c r="B16" s="55" t="s">
        <v>21</v>
      </c>
      <c r="C16" s="55"/>
      <c r="D16" s="55"/>
      <c r="E16" s="55"/>
      <c r="F16" s="59"/>
      <c r="G16" s="55"/>
      <c r="H16" s="59"/>
      <c r="I16" s="55"/>
    </row>
    <row r="17" spans="1:11" ht="11.25" customHeight="1" x14ac:dyDescent="0.2">
      <c r="A17" s="54" t="s">
        <v>22</v>
      </c>
      <c r="B17" s="54" t="s">
        <v>120</v>
      </c>
      <c r="C17" s="54"/>
      <c r="D17" s="8">
        <f>D73+D77</f>
        <v>8.75</v>
      </c>
      <c r="E17" s="54" t="s">
        <v>3</v>
      </c>
      <c r="F17" s="58"/>
      <c r="G17" s="54"/>
      <c r="H17" s="58"/>
      <c r="I17" s="54"/>
      <c r="K17" s="57" t="str">
        <f ca="1">IF(D17&lt;(D73+D77),"Wert prüfen!",IF(H61="","Inhalt der gelben Zellen kann angepasst werden.",""))</f>
        <v>Inhalt der gelben Zellen kann angepasst werden.</v>
      </c>
    </row>
    <row r="18" spans="1:11" x14ac:dyDescent="0.2">
      <c r="A18" s="54"/>
      <c r="B18" s="54" t="s">
        <v>23</v>
      </c>
      <c r="C18" s="54"/>
      <c r="D18" s="64">
        <f>(D17/100)*$F$14</f>
        <v>0</v>
      </c>
      <c r="E18" s="54" t="s">
        <v>3</v>
      </c>
      <c r="F18" s="65">
        <f>IF(D18="","",D17+D18)</f>
        <v>8.75</v>
      </c>
      <c r="G18" s="54" t="s">
        <v>3</v>
      </c>
      <c r="H18" s="61">
        <f>IF(D18="","",ROUND(F18/100*$H$5,2))</f>
        <v>1.31</v>
      </c>
      <c r="I18" s="54" t="s">
        <v>4</v>
      </c>
      <c r="K18" s="57"/>
    </row>
    <row r="19" spans="1:11" ht="11.25" x14ac:dyDescent="0.2">
      <c r="A19" s="54" t="s">
        <v>24</v>
      </c>
      <c r="B19" s="54" t="s">
        <v>121</v>
      </c>
      <c r="C19" s="54"/>
      <c r="D19" s="8">
        <f>D74</f>
        <v>9.3000000000000007</v>
      </c>
      <c r="E19" s="54" t="s">
        <v>3</v>
      </c>
      <c r="F19" s="66"/>
      <c r="G19" s="54"/>
      <c r="H19" s="58"/>
      <c r="I19" s="54"/>
      <c r="K19" s="57" t="str">
        <f ca="1">IF(D19&lt;&gt;D74,"Wert prüfen!",IF(H61="","Inhalt der gelben Zellen kann angepasst werden.",""))</f>
        <v>Inhalt der gelben Zellen kann angepasst werden.</v>
      </c>
    </row>
    <row r="20" spans="1:11" ht="11.25" customHeight="1" x14ac:dyDescent="0.2">
      <c r="A20" s="54"/>
      <c r="B20" s="54" t="s">
        <v>25</v>
      </c>
      <c r="C20" s="54"/>
      <c r="D20" s="64">
        <f>(D19/100)*$F$14</f>
        <v>0</v>
      </c>
      <c r="E20" s="54" t="s">
        <v>3</v>
      </c>
      <c r="F20" s="65">
        <f>IF(D20="","",D19+D20)</f>
        <v>9.3000000000000007</v>
      </c>
      <c r="G20" s="54" t="s">
        <v>3</v>
      </c>
      <c r="H20" s="61">
        <f>IF(D20="","",ROUND(F20/100*$H$5,2))</f>
        <v>1.4</v>
      </c>
      <c r="I20" s="54" t="s">
        <v>4</v>
      </c>
      <c r="K20" s="57"/>
    </row>
    <row r="21" spans="1:11" ht="11.25" x14ac:dyDescent="0.2">
      <c r="A21" s="54" t="s">
        <v>26</v>
      </c>
      <c r="B21" s="54" t="s">
        <v>122</v>
      </c>
      <c r="C21" s="54"/>
      <c r="D21" s="8">
        <f>D75</f>
        <v>1.3</v>
      </c>
      <c r="E21" s="54" t="s">
        <v>3</v>
      </c>
      <c r="F21" s="66"/>
      <c r="G21" s="54"/>
      <c r="H21" s="58"/>
      <c r="I21" s="54"/>
      <c r="K21" s="57" t="str">
        <f ca="1">IF(D21&lt;&gt;D75,"Wert prüfen!",IF(H61="","Inhalt der gelben Zellen kann angepasst werden.",""))</f>
        <v>Inhalt der gelben Zellen kann angepasst werden.</v>
      </c>
    </row>
    <row r="22" spans="1:11" x14ac:dyDescent="0.2">
      <c r="A22" s="54"/>
      <c r="B22" s="54" t="s">
        <v>27</v>
      </c>
      <c r="C22" s="54"/>
      <c r="D22" s="64">
        <f>(D21/100)*$F$14</f>
        <v>0</v>
      </c>
      <c r="E22" s="54" t="s">
        <v>3</v>
      </c>
      <c r="F22" s="65">
        <f>IF(D22="","",D21+D22)</f>
        <v>1.3</v>
      </c>
      <c r="G22" s="54" t="s">
        <v>3</v>
      </c>
      <c r="H22" s="61">
        <f>IF(D22="","",ROUND(F22/100*$H$5,2))</f>
        <v>0.2</v>
      </c>
      <c r="I22" s="54" t="s">
        <v>4</v>
      </c>
      <c r="K22" s="57"/>
    </row>
    <row r="23" spans="1:11" ht="11.25" x14ac:dyDescent="0.2">
      <c r="A23" s="54" t="s">
        <v>28</v>
      </c>
      <c r="B23" s="54" t="s">
        <v>123</v>
      </c>
      <c r="C23" s="54"/>
      <c r="D23" s="8">
        <f>D76</f>
        <v>1.8</v>
      </c>
      <c r="E23" s="54" t="s">
        <v>3</v>
      </c>
      <c r="F23" s="66"/>
      <c r="G23" s="54"/>
      <c r="H23" s="58"/>
      <c r="I23" s="54"/>
      <c r="K23" s="57" t="str">
        <f ca="1">IF(D23&lt;&gt;D76,"Wert prüfen!",IF(H61="","Inhalt der gelben Zellen kann angepasst werden.",""))</f>
        <v>Inhalt der gelben Zellen kann angepasst werden.</v>
      </c>
    </row>
    <row r="24" spans="1:11" x14ac:dyDescent="0.2">
      <c r="A24" s="54"/>
      <c r="B24" s="54" t="s">
        <v>29</v>
      </c>
      <c r="C24" s="54"/>
      <c r="D24" s="64">
        <f>(D23/100)*$F$14</f>
        <v>0</v>
      </c>
      <c r="E24" s="54" t="s">
        <v>3</v>
      </c>
      <c r="F24" s="65">
        <f>IF(D24="","",D23+D24)</f>
        <v>1.8</v>
      </c>
      <c r="G24" s="54" t="s">
        <v>3</v>
      </c>
      <c r="H24" s="61">
        <f>IF(D24="","",ROUND(F24/100*$H$5,2))</f>
        <v>0.27</v>
      </c>
      <c r="I24" s="54" t="s">
        <v>4</v>
      </c>
      <c r="K24" s="57"/>
    </row>
    <row r="25" spans="1:11" ht="11.25" x14ac:dyDescent="0.2">
      <c r="A25" s="54" t="s">
        <v>30</v>
      </c>
      <c r="B25" s="54" t="s">
        <v>124</v>
      </c>
      <c r="C25" s="54"/>
      <c r="D25" s="8"/>
      <c r="E25" s="54" t="s">
        <v>3</v>
      </c>
      <c r="F25" s="66"/>
      <c r="G25" s="54"/>
      <c r="H25" s="58"/>
      <c r="I25" s="54"/>
      <c r="K25" s="57" t="str">
        <f>IF(D25="","Bitte ausfüllen!","")</f>
        <v>Bitte ausfüllen!</v>
      </c>
    </row>
    <row r="26" spans="1:11" x14ac:dyDescent="0.2">
      <c r="A26" s="54"/>
      <c r="B26" s="54" t="s">
        <v>31</v>
      </c>
      <c r="C26" s="54"/>
      <c r="D26" s="64">
        <f>(D25/100)*$F$14</f>
        <v>0</v>
      </c>
      <c r="E26" s="54" t="s">
        <v>3</v>
      </c>
      <c r="F26" s="65">
        <f>IF(D26="","",D25+D26)</f>
        <v>0</v>
      </c>
      <c r="G26" s="54" t="s">
        <v>3</v>
      </c>
      <c r="H26" s="61">
        <f>IF(D26="","",ROUND(F26/100*$H$5,2))</f>
        <v>0</v>
      </c>
      <c r="I26" s="54" t="s">
        <v>4</v>
      </c>
      <c r="K26" s="57"/>
    </row>
    <row r="27" spans="1:11" ht="11.25" x14ac:dyDescent="0.2">
      <c r="A27" s="54" t="s">
        <v>32</v>
      </c>
      <c r="B27" s="54" t="s">
        <v>125</v>
      </c>
      <c r="C27" s="54"/>
      <c r="D27" s="54"/>
      <c r="E27" s="54"/>
      <c r="F27" s="8"/>
      <c r="G27" s="54" t="s">
        <v>3</v>
      </c>
      <c r="H27" s="61" t="str">
        <f>IF(F27="","",ROUND(F27/100*$H$5,2))</f>
        <v/>
      </c>
      <c r="I27" s="54" t="s">
        <v>4</v>
      </c>
      <c r="K27" s="57" t="str">
        <f>IF(F27="","Bitte ausfüllen!","")</f>
        <v>Bitte ausfüllen!</v>
      </c>
    </row>
    <row r="28" spans="1:11" ht="11.25" x14ac:dyDescent="0.2">
      <c r="A28" s="54" t="s">
        <v>33</v>
      </c>
      <c r="B28" s="54" t="s">
        <v>126</v>
      </c>
      <c r="C28" s="54"/>
      <c r="D28" s="54"/>
      <c r="E28" s="54"/>
      <c r="F28" s="8">
        <f>D79</f>
        <v>0.15</v>
      </c>
      <c r="G28" s="54" t="s">
        <v>3</v>
      </c>
      <c r="H28" s="61">
        <f>IF(F28="","",ROUND(F28/100*$H$5,2))</f>
        <v>0.02</v>
      </c>
      <c r="I28" s="54" t="s">
        <v>4</v>
      </c>
      <c r="K28" s="57" t="str">
        <f ca="1">IF(F28&lt;&gt;D79,"Wert prüfen!",IF(H61="","Inhalt der gelben Zellen kann angepasst werden.",""))</f>
        <v>Inhalt der gelben Zellen kann angepasst werden.</v>
      </c>
    </row>
    <row r="29" spans="1:11" ht="23.45" customHeight="1" x14ac:dyDescent="0.2">
      <c r="A29" s="55"/>
      <c r="B29" s="119" t="s">
        <v>34</v>
      </c>
      <c r="C29" s="119"/>
      <c r="D29" s="55"/>
      <c r="E29" s="55"/>
      <c r="F29" s="62">
        <f>IF(SUM(F17:F28)=0,0,SUM(F17:F28)+F14)</f>
        <v>21.3</v>
      </c>
      <c r="G29" s="55" t="s">
        <v>3</v>
      </c>
      <c r="H29" s="63" t="str">
        <f>IF(OR(COUNTIF(D17:D26,"")&gt;0,COUNTIF(F27:F28,"")&gt;0),"",SUM(H17:H28)+H14)</f>
        <v/>
      </c>
      <c r="I29" s="55" t="s">
        <v>4</v>
      </c>
      <c r="K29" s="57" t="str">
        <f>IF(H29="","Angaben offen!","")</f>
        <v>Angaben offen!</v>
      </c>
    </row>
    <row r="30" spans="1:11" ht="5.45" customHeight="1" x14ac:dyDescent="0.2">
      <c r="A30" s="54"/>
      <c r="B30" s="54"/>
      <c r="C30" s="54"/>
      <c r="D30" s="54"/>
      <c r="E30" s="54"/>
      <c r="F30" s="58"/>
      <c r="G30" s="54"/>
      <c r="H30" s="58"/>
      <c r="I30" s="54"/>
    </row>
    <row r="31" spans="1:11" x14ac:dyDescent="0.2">
      <c r="A31" s="54"/>
      <c r="B31" s="55" t="s">
        <v>35</v>
      </c>
      <c r="C31" s="54"/>
      <c r="D31" s="54"/>
      <c r="E31" s="54"/>
      <c r="F31" s="58"/>
      <c r="G31" s="54"/>
      <c r="H31" s="58"/>
      <c r="I31" s="54"/>
    </row>
    <row r="32" spans="1:11" x14ac:dyDescent="0.2">
      <c r="A32" s="54" t="s">
        <v>36</v>
      </c>
      <c r="B32" s="54" t="s">
        <v>37</v>
      </c>
      <c r="C32" s="54"/>
      <c r="D32" s="54"/>
      <c r="E32" s="54"/>
      <c r="F32" s="8"/>
      <c r="G32" s="54" t="s">
        <v>3</v>
      </c>
      <c r="H32" s="61" t="str">
        <f>IF(F32="","",ROUND(F32/100*$H$5,2))</f>
        <v/>
      </c>
      <c r="I32" s="54" t="s">
        <v>4</v>
      </c>
      <c r="K32" s="57" t="str">
        <f>IF(F32="","Bitte ausfüllen!","")</f>
        <v>Bitte ausfüllen!</v>
      </c>
    </row>
    <row r="33" spans="1:11" x14ac:dyDescent="0.2">
      <c r="A33" s="54" t="s">
        <v>38</v>
      </c>
      <c r="B33" s="54" t="s">
        <v>39</v>
      </c>
      <c r="C33" s="54"/>
      <c r="D33" s="54"/>
      <c r="E33" s="54"/>
      <c r="F33" s="8"/>
      <c r="G33" s="54" t="s">
        <v>3</v>
      </c>
      <c r="H33" s="61" t="str">
        <f>IF(F33="","",ROUND(F33/100*$H$5,2))</f>
        <v/>
      </c>
      <c r="I33" s="54" t="s">
        <v>4</v>
      </c>
      <c r="K33" s="57" t="str">
        <f>IF(F33="","Bitte ausfüllen!","")</f>
        <v>Bitte ausfüllen!</v>
      </c>
    </row>
    <row r="34" spans="1:11" ht="22.15" customHeight="1" x14ac:dyDescent="0.2">
      <c r="A34" s="55"/>
      <c r="B34" s="119" t="s">
        <v>40</v>
      </c>
      <c r="C34" s="119"/>
      <c r="D34" s="55"/>
      <c r="E34" s="55"/>
      <c r="F34" s="62">
        <f>IF(SUM(F32:F33)=0,0,SUM(F32:F33)+F29)</f>
        <v>0</v>
      </c>
      <c r="G34" s="55" t="s">
        <v>3</v>
      </c>
      <c r="H34" s="63" t="str">
        <f>IF(COUNTIF(H32:H33,"")&gt;0,"",SUM(H32:H33)+H29)</f>
        <v/>
      </c>
      <c r="I34" s="55" t="s">
        <v>4</v>
      </c>
      <c r="K34" s="57" t="str">
        <f>IF(H34="","Angaben offen!","")</f>
        <v>Angaben offen!</v>
      </c>
    </row>
    <row r="35" spans="1:11" ht="5.45" customHeight="1" x14ac:dyDescent="0.2">
      <c r="A35" s="54"/>
      <c r="B35" s="54"/>
      <c r="C35" s="54"/>
      <c r="D35" s="54"/>
      <c r="E35" s="54"/>
      <c r="F35" s="58"/>
      <c r="G35" s="54"/>
      <c r="H35" s="58"/>
      <c r="I35" s="54"/>
    </row>
    <row r="36" spans="1:11" x14ac:dyDescent="0.2">
      <c r="A36" s="55" t="s">
        <v>41</v>
      </c>
      <c r="B36" s="55" t="s">
        <v>42</v>
      </c>
      <c r="C36" s="55"/>
      <c r="D36" s="55"/>
      <c r="E36" s="55"/>
      <c r="F36" s="59"/>
      <c r="G36" s="55"/>
      <c r="H36" s="59"/>
      <c r="I36" s="55"/>
    </row>
    <row r="37" spans="1:11" x14ac:dyDescent="0.2">
      <c r="A37" s="54" t="s">
        <v>43</v>
      </c>
      <c r="B37" s="54" t="s">
        <v>44</v>
      </c>
      <c r="C37" s="54"/>
      <c r="D37" s="54"/>
      <c r="E37" s="54"/>
      <c r="F37" s="58"/>
      <c r="G37" s="54"/>
      <c r="H37" s="58"/>
      <c r="I37" s="54"/>
    </row>
    <row r="38" spans="1:11" x14ac:dyDescent="0.2">
      <c r="A38" s="54"/>
      <c r="B38" s="54" t="s">
        <v>45</v>
      </c>
      <c r="C38" s="54"/>
      <c r="D38" s="54"/>
      <c r="E38" s="54"/>
      <c r="F38" s="8"/>
      <c r="G38" s="54" t="s">
        <v>3</v>
      </c>
      <c r="H38" s="61" t="str">
        <f>IF(F38="","",ROUND(F38/100*$H$5,2))</f>
        <v/>
      </c>
      <c r="I38" s="54" t="s">
        <v>4</v>
      </c>
      <c r="K38" s="57" t="str">
        <f>IF(F38="","Bitte ausfüllen!","")</f>
        <v>Bitte ausfüllen!</v>
      </c>
    </row>
    <row r="39" spans="1:11" x14ac:dyDescent="0.2">
      <c r="A39" s="54" t="s">
        <v>46</v>
      </c>
      <c r="B39" s="54" t="s">
        <v>47</v>
      </c>
      <c r="C39" s="54"/>
      <c r="D39" s="54"/>
      <c r="E39" s="54"/>
      <c r="F39" s="8"/>
      <c r="G39" s="54" t="s">
        <v>3</v>
      </c>
      <c r="H39" s="61" t="str">
        <f>IF(F39="","",ROUND(F39/100*$H$5,2))</f>
        <v/>
      </c>
      <c r="I39" s="54" t="s">
        <v>4</v>
      </c>
      <c r="K39" s="57" t="str">
        <f>IF(F39="","Bitte ausfüllen!","")</f>
        <v>Bitte ausfüllen!</v>
      </c>
    </row>
    <row r="40" spans="1:11" x14ac:dyDescent="0.2">
      <c r="A40" s="54" t="s">
        <v>48</v>
      </c>
      <c r="B40" s="54" t="s">
        <v>49</v>
      </c>
      <c r="C40" s="54"/>
      <c r="D40" s="54"/>
      <c r="E40" s="54"/>
      <c r="F40" s="8"/>
      <c r="G40" s="54" t="s">
        <v>3</v>
      </c>
      <c r="H40" s="61" t="str">
        <f>IF(F40="","",ROUND(F40/100*$H$5,2))</f>
        <v/>
      </c>
      <c r="I40" s="54" t="s">
        <v>4</v>
      </c>
      <c r="K40" s="57" t="str">
        <f>IF(F40="","Bitte ausfüllen!","")</f>
        <v>Bitte ausfüllen!</v>
      </c>
    </row>
    <row r="41" spans="1:11" x14ac:dyDescent="0.2">
      <c r="A41" s="54" t="s">
        <v>50</v>
      </c>
      <c r="B41" s="54" t="s">
        <v>51</v>
      </c>
      <c r="C41" s="54"/>
      <c r="D41" s="54"/>
      <c r="E41" s="54"/>
      <c r="F41" s="8"/>
      <c r="G41" s="54" t="s">
        <v>3</v>
      </c>
      <c r="H41" s="61" t="str">
        <f>IF(F41="","",ROUND(F41/100*$H$5,2))</f>
        <v/>
      </c>
      <c r="I41" s="54" t="s">
        <v>4</v>
      </c>
      <c r="K41" s="57" t="str">
        <f>IF(F41="","Bitte ausfüllen!","")</f>
        <v>Bitte ausfüllen!</v>
      </c>
    </row>
    <row r="42" spans="1:11" ht="23.45" customHeight="1" x14ac:dyDescent="0.2">
      <c r="A42" s="55"/>
      <c r="B42" s="119" t="s">
        <v>52</v>
      </c>
      <c r="C42" s="119"/>
      <c r="D42" s="55"/>
      <c r="E42" s="55"/>
      <c r="F42" s="62">
        <f>IF(SUM(F38:F41)=0,0,SUM(F38:F41))</f>
        <v>0</v>
      </c>
      <c r="G42" s="55" t="s">
        <v>3</v>
      </c>
      <c r="H42" s="63" t="str">
        <f>IF(COUNTIF(H38:H41,"")&gt;0,"",SUM(H38:H41))</f>
        <v/>
      </c>
      <c r="I42" s="55" t="s">
        <v>4</v>
      </c>
      <c r="K42" s="57" t="str">
        <f>IF(H42="","Angaben offen!","")</f>
        <v>Angaben offen!</v>
      </c>
    </row>
    <row r="43" spans="1:11" ht="5.45" customHeight="1" x14ac:dyDescent="0.2">
      <c r="A43" s="54"/>
      <c r="B43" s="54"/>
      <c r="C43" s="54"/>
      <c r="D43" s="54"/>
      <c r="E43" s="54"/>
      <c r="F43" s="58"/>
      <c r="G43" s="54"/>
      <c r="H43" s="58"/>
      <c r="I43" s="54"/>
    </row>
    <row r="44" spans="1:11" x14ac:dyDescent="0.2">
      <c r="A44" s="55" t="s">
        <v>53</v>
      </c>
      <c r="B44" s="55" t="s">
        <v>54</v>
      </c>
      <c r="C44" s="55"/>
      <c r="D44" s="55"/>
      <c r="E44" s="55"/>
      <c r="F44" s="55"/>
      <c r="G44" s="55"/>
      <c r="H44" s="55"/>
      <c r="I44" s="55"/>
    </row>
    <row r="45" spans="1:11" x14ac:dyDescent="0.2">
      <c r="A45" s="54" t="s">
        <v>55</v>
      </c>
      <c r="B45" s="54" t="s">
        <v>56</v>
      </c>
      <c r="C45" s="54"/>
      <c r="D45" s="54"/>
      <c r="E45" s="54"/>
      <c r="F45" s="54"/>
      <c r="G45" s="54"/>
      <c r="H45" s="54"/>
      <c r="I45" s="54"/>
    </row>
    <row r="46" spans="1:11" x14ac:dyDescent="0.2">
      <c r="A46" s="54" t="s">
        <v>57</v>
      </c>
      <c r="B46" s="54"/>
      <c r="C46" s="54" t="s">
        <v>58</v>
      </c>
      <c r="D46" s="54"/>
      <c r="E46" s="54"/>
      <c r="F46" s="8"/>
      <c r="G46" s="54" t="s">
        <v>3</v>
      </c>
      <c r="H46" s="61" t="str">
        <f>IF(F46="","",ROUND(F46/100*$H$5,2))</f>
        <v/>
      </c>
      <c r="I46" s="54" t="s">
        <v>4</v>
      </c>
      <c r="K46" s="57" t="str">
        <f>IF(F46="","Bitte ausfüllen!","")</f>
        <v>Bitte ausfüllen!</v>
      </c>
    </row>
    <row r="47" spans="1:11" x14ac:dyDescent="0.2">
      <c r="A47" s="54" t="s">
        <v>59</v>
      </c>
      <c r="B47" s="54"/>
      <c r="C47" s="54" t="s">
        <v>119</v>
      </c>
      <c r="D47" s="54"/>
      <c r="E47" s="54"/>
      <c r="F47" s="8"/>
      <c r="G47" s="54" t="s">
        <v>3</v>
      </c>
      <c r="H47" s="61" t="str">
        <f>IF(F47="","",ROUND(F47/100*$H$5,2))</f>
        <v/>
      </c>
      <c r="I47" s="54" t="s">
        <v>4</v>
      </c>
      <c r="K47" s="57" t="str">
        <f>IF(F47="","Bitte ausfüllen!","")</f>
        <v>Bitte ausfüllen!</v>
      </c>
    </row>
    <row r="48" spans="1:11" x14ac:dyDescent="0.2">
      <c r="A48" s="54" t="s">
        <v>60</v>
      </c>
      <c r="B48" s="54" t="s">
        <v>61</v>
      </c>
      <c r="C48" s="54"/>
      <c r="D48" s="54"/>
      <c r="E48" s="54"/>
      <c r="F48" s="8"/>
      <c r="G48" s="54" t="s">
        <v>3</v>
      </c>
      <c r="H48" s="61" t="str">
        <f>IF(F48="","",ROUND(F48/100*$H$5,2))</f>
        <v/>
      </c>
      <c r="I48" s="54" t="s">
        <v>4</v>
      </c>
      <c r="K48" s="57" t="str">
        <f>IF(F48="","Bitte ausfüllen!","")</f>
        <v>Bitte ausfüllen!</v>
      </c>
    </row>
    <row r="49" spans="1:11" x14ac:dyDescent="0.2">
      <c r="A49" s="54" t="s">
        <v>62</v>
      </c>
      <c r="B49" s="54" t="s">
        <v>63</v>
      </c>
      <c r="C49" s="54"/>
      <c r="D49" s="54"/>
      <c r="E49" s="54"/>
      <c r="F49" s="54"/>
      <c r="G49" s="54"/>
      <c r="H49" s="54"/>
      <c r="I49" s="54"/>
    </row>
    <row r="50" spans="1:11" x14ac:dyDescent="0.2">
      <c r="A50" s="54" t="s">
        <v>64</v>
      </c>
      <c r="B50" s="54"/>
      <c r="C50" s="54" t="s">
        <v>65</v>
      </c>
      <c r="D50" s="54"/>
      <c r="E50" s="54"/>
      <c r="F50" s="8"/>
      <c r="G50" s="54" t="s">
        <v>3</v>
      </c>
      <c r="H50" s="61" t="str">
        <f t="shared" ref="H50:H56" si="0">IF(F50="","",ROUND(F50/100*$H$5,2))</f>
        <v/>
      </c>
      <c r="I50" s="54" t="s">
        <v>4</v>
      </c>
      <c r="K50" s="57" t="str">
        <f t="shared" ref="K50:K56" si="1">IF(F50="","Bitte ausfüllen!","")</f>
        <v>Bitte ausfüllen!</v>
      </c>
    </row>
    <row r="51" spans="1:11" x14ac:dyDescent="0.2">
      <c r="A51" s="54" t="s">
        <v>66</v>
      </c>
      <c r="B51" s="54"/>
      <c r="C51" s="54" t="s">
        <v>67</v>
      </c>
      <c r="D51" s="54"/>
      <c r="E51" s="54"/>
      <c r="F51" s="8"/>
      <c r="G51" s="54" t="s">
        <v>3</v>
      </c>
      <c r="H51" s="61" t="str">
        <f t="shared" si="0"/>
        <v/>
      </c>
      <c r="I51" s="54" t="s">
        <v>4</v>
      </c>
      <c r="K51" s="57" t="str">
        <f t="shared" si="1"/>
        <v>Bitte ausfüllen!</v>
      </c>
    </row>
    <row r="52" spans="1:11" x14ac:dyDescent="0.2">
      <c r="A52" s="54" t="s">
        <v>68</v>
      </c>
      <c r="B52" s="54" t="s">
        <v>69</v>
      </c>
      <c r="C52" s="54"/>
      <c r="D52" s="54"/>
      <c r="E52" s="54"/>
      <c r="F52" s="8"/>
      <c r="G52" s="54" t="s">
        <v>3</v>
      </c>
      <c r="H52" s="61" t="str">
        <f t="shared" si="0"/>
        <v/>
      </c>
      <c r="I52" s="54" t="s">
        <v>4</v>
      </c>
      <c r="K52" s="57" t="str">
        <f t="shared" si="1"/>
        <v>Bitte ausfüllen!</v>
      </c>
    </row>
    <row r="53" spans="1:11" x14ac:dyDescent="0.2">
      <c r="A53" s="54" t="s">
        <v>70</v>
      </c>
      <c r="B53" s="54" t="s">
        <v>71</v>
      </c>
      <c r="C53" s="54"/>
      <c r="D53" s="54"/>
      <c r="E53" s="54"/>
      <c r="F53" s="8"/>
      <c r="G53" s="54" t="s">
        <v>3</v>
      </c>
      <c r="H53" s="61" t="str">
        <f t="shared" si="0"/>
        <v/>
      </c>
      <c r="I53" s="54" t="s">
        <v>4</v>
      </c>
      <c r="K53" s="57" t="str">
        <f t="shared" si="1"/>
        <v>Bitte ausfüllen!</v>
      </c>
    </row>
    <row r="54" spans="1:11" x14ac:dyDescent="0.2">
      <c r="A54" s="54" t="s">
        <v>72</v>
      </c>
      <c r="B54" s="54" t="s">
        <v>73</v>
      </c>
      <c r="C54" s="54"/>
      <c r="D54" s="54"/>
      <c r="E54" s="54"/>
      <c r="F54" s="8"/>
      <c r="G54" s="54" t="s">
        <v>3</v>
      </c>
      <c r="H54" s="61" t="str">
        <f t="shared" si="0"/>
        <v/>
      </c>
      <c r="I54" s="54" t="s">
        <v>4</v>
      </c>
      <c r="K54" s="57" t="str">
        <f t="shared" si="1"/>
        <v>Bitte ausfüllen!</v>
      </c>
    </row>
    <row r="55" spans="1:11" x14ac:dyDescent="0.2">
      <c r="A55" s="54" t="s">
        <v>74</v>
      </c>
      <c r="B55" s="54" t="s">
        <v>75</v>
      </c>
      <c r="C55" s="54"/>
      <c r="D55" s="54"/>
      <c r="E55" s="54"/>
      <c r="F55" s="8"/>
      <c r="G55" s="54" t="s">
        <v>3</v>
      </c>
      <c r="H55" s="61" t="str">
        <f t="shared" si="0"/>
        <v/>
      </c>
      <c r="I55" s="54" t="s">
        <v>4</v>
      </c>
      <c r="K55" s="57" t="str">
        <f t="shared" si="1"/>
        <v>Bitte ausfüllen!</v>
      </c>
    </row>
    <row r="56" spans="1:11" x14ac:dyDescent="0.2">
      <c r="A56" s="54" t="s">
        <v>76</v>
      </c>
      <c r="B56" s="54" t="s">
        <v>77</v>
      </c>
      <c r="C56" s="54"/>
      <c r="D56" s="54"/>
      <c r="E56" s="54"/>
      <c r="F56" s="8"/>
      <c r="G56" s="54" t="s">
        <v>3</v>
      </c>
      <c r="H56" s="61" t="str">
        <f t="shared" si="0"/>
        <v/>
      </c>
      <c r="I56" s="54" t="s">
        <v>4</v>
      </c>
      <c r="K56" s="57" t="str">
        <f t="shared" si="1"/>
        <v>Bitte ausfüllen!</v>
      </c>
    </row>
    <row r="57" spans="1:11" ht="23.45" customHeight="1" x14ac:dyDescent="0.2">
      <c r="A57" s="55"/>
      <c r="B57" s="119" t="s">
        <v>78</v>
      </c>
      <c r="C57" s="119"/>
      <c r="D57" s="55"/>
      <c r="E57" s="55"/>
      <c r="F57" s="62">
        <f>IF(SUM(F45:F56)=0,0,SUM(F45:F56))</f>
        <v>0</v>
      </c>
      <c r="G57" s="55" t="s">
        <v>3</v>
      </c>
      <c r="H57" s="63" t="str">
        <f>IF(COUNTIF(H46:H56,"")&gt;1,"",SUM(H46:H56))</f>
        <v/>
      </c>
      <c r="I57" s="55" t="s">
        <v>4</v>
      </c>
      <c r="K57" s="57" t="str">
        <f>IF(H57="","Angaben offen!","")</f>
        <v>Angaben offen!</v>
      </c>
    </row>
    <row r="58" spans="1:11" ht="6.6" customHeight="1" x14ac:dyDescent="0.2">
      <c r="A58" s="54"/>
      <c r="B58" s="54"/>
      <c r="C58" s="54"/>
      <c r="D58" s="54"/>
      <c r="E58" s="54"/>
      <c r="F58" s="58"/>
      <c r="G58" s="54"/>
      <c r="H58" s="58"/>
      <c r="I58" s="54"/>
    </row>
    <row r="59" spans="1:11" x14ac:dyDescent="0.2">
      <c r="A59" s="55" t="s">
        <v>79</v>
      </c>
      <c r="B59" s="118" t="s">
        <v>80</v>
      </c>
      <c r="C59" s="118"/>
      <c r="D59" s="55"/>
      <c r="E59" s="55"/>
      <c r="F59" s="67">
        <f>IF(AND(F34=""),0,F34+F42+F57+F5)</f>
        <v>100</v>
      </c>
      <c r="G59" s="55" t="s">
        <v>3</v>
      </c>
      <c r="H59" s="59" t="str">
        <f>IF(H57="","",H34+H42+H57+H5)</f>
        <v/>
      </c>
      <c r="I59" s="55" t="s">
        <v>4</v>
      </c>
    </row>
    <row r="60" spans="1:11" x14ac:dyDescent="0.2">
      <c r="A60" s="55" t="s">
        <v>81</v>
      </c>
      <c r="B60" s="55" t="s">
        <v>82</v>
      </c>
      <c r="C60" s="55"/>
      <c r="D60" s="55"/>
      <c r="E60" s="55"/>
      <c r="F60" s="8"/>
      <c r="G60" s="55" t="s">
        <v>3</v>
      </c>
      <c r="H60" s="63" t="str">
        <f>IF(F60="","",ROUND(F60/100*H59,2))</f>
        <v/>
      </c>
      <c r="I60" s="55" t="s">
        <v>4</v>
      </c>
      <c r="K60" s="57" t="str">
        <f>IF(F60="","Bitte ausfüllen!","")</f>
        <v>Bitte ausfüllen!</v>
      </c>
    </row>
    <row r="61" spans="1:11" x14ac:dyDescent="0.2">
      <c r="A61" s="55"/>
      <c r="B61" s="55" t="s">
        <v>83</v>
      </c>
      <c r="C61" s="55"/>
      <c r="D61" s="55"/>
      <c r="E61" s="55"/>
      <c r="F61" s="62">
        <f ca="1">IF(H61="",0,H61/H5*100)</f>
        <v>0</v>
      </c>
      <c r="G61" s="55" t="s">
        <v>3</v>
      </c>
      <c r="H61" s="63" t="str">
        <f ca="1">IF(SUM(COUNTIF(INDIRECT({"H5","F9:F13","D17:D26","F27:F28","F32:F33","F38:F41","F46:F48","F50:F56","F60","H65:H68"}),""))&gt;0,"",H59+H60)</f>
        <v/>
      </c>
      <c r="I61" s="55" t="s">
        <v>4</v>
      </c>
      <c r="K61" s="57" t="str">
        <f ca="1">IF(SUM(COUNTIF(INDIRECT({"H5","F9:F13","D17:D26","F27:F28","F32:F33","F38:F41","F46:F48","F50:F56","F60","H65:H68"}),""))&gt;0,SUM(COUNTIF(INDIRECT({"H5","F9:F13","D17:D26","F27:F28","F32:F33","F38:F41","F46:F48","F50:F56","F60","H65:H68"}),"")) &amp;" Zelle(n) ohne Wert!","")</f>
        <v>28 Zelle(n) ohne Wert!</v>
      </c>
    </row>
    <row r="62" spans="1:11" x14ac:dyDescent="0.2">
      <c r="A62" s="54"/>
      <c r="B62" s="54" t="s">
        <v>84</v>
      </c>
      <c r="C62" s="54"/>
      <c r="D62" s="54"/>
      <c r="E62" s="54"/>
      <c r="F62" s="62">
        <f ca="1">IF(F61=0,0,F61-F5)</f>
        <v>0</v>
      </c>
      <c r="G62" s="54" t="s">
        <v>3</v>
      </c>
      <c r="H62" s="54"/>
      <c r="I62" s="54"/>
      <c r="K62" s="57" t="str">
        <f ca="1">IF(F62&lt;70,"Bitte prüfen gemäß Aufforderung!","")</f>
        <v>Bitte prüfen gemäß Aufforderung!</v>
      </c>
    </row>
    <row r="63" spans="1:11" ht="5.45" customHeight="1" x14ac:dyDescent="0.2">
      <c r="A63" s="54"/>
      <c r="B63" s="55"/>
      <c r="C63" s="54"/>
      <c r="D63" s="54"/>
      <c r="E63" s="54"/>
      <c r="F63" s="67"/>
      <c r="G63" s="54"/>
      <c r="H63" s="59"/>
    </row>
    <row r="64" spans="1:11" x14ac:dyDescent="0.2">
      <c r="B64" s="55" t="s">
        <v>85</v>
      </c>
      <c r="D64" s="55"/>
      <c r="E64" s="55"/>
      <c r="G64" s="55"/>
      <c r="H64" s="59" t="s">
        <v>86</v>
      </c>
      <c r="I64" s="55"/>
    </row>
    <row r="65" spans="1:15" x14ac:dyDescent="0.2">
      <c r="B65" s="54" t="s">
        <v>87</v>
      </c>
      <c r="D65" s="54"/>
      <c r="E65" s="54"/>
      <c r="G65" s="68"/>
      <c r="H65" s="9"/>
      <c r="I65" s="68"/>
      <c r="K65" s="57" t="str">
        <f>IF(H65="","Bitte ausfüllen!","")</f>
        <v>Bitte ausfüllen!</v>
      </c>
    </row>
    <row r="66" spans="1:15" x14ac:dyDescent="0.2">
      <c r="B66" s="54" t="s">
        <v>88</v>
      </c>
      <c r="D66" s="54"/>
      <c r="E66" s="54"/>
      <c r="G66" s="68"/>
      <c r="H66" s="10"/>
      <c r="I66" s="68"/>
      <c r="K66" s="57" t="str">
        <f>IF(H66="","Bitte ausfüllen!","")</f>
        <v>Bitte ausfüllen!</v>
      </c>
    </row>
    <row r="67" spans="1:15" x14ac:dyDescent="0.2">
      <c r="B67" s="54" t="s">
        <v>89</v>
      </c>
      <c r="D67" s="54"/>
      <c r="E67" s="54"/>
      <c r="G67" s="68"/>
      <c r="H67" s="11"/>
      <c r="I67" s="68"/>
      <c r="K67" s="57" t="str">
        <f>IF(H67="","Bitte ausfüllen!","")</f>
        <v>Bitte ausfüllen!</v>
      </c>
    </row>
    <row r="68" spans="1:15" x14ac:dyDescent="0.2">
      <c r="B68" s="54" t="s">
        <v>90</v>
      </c>
      <c r="D68" s="54"/>
      <c r="E68" s="54"/>
      <c r="G68" s="68"/>
      <c r="H68" s="10"/>
      <c r="I68" s="68"/>
      <c r="K68" s="57" t="str">
        <f>IF(H68="","Bitte ausfüllen!","")</f>
        <v>Bitte ausfüllen!</v>
      </c>
    </row>
    <row r="69" spans="1:15" ht="5.45" customHeight="1" x14ac:dyDescent="0.2"/>
    <row r="70" spans="1:15" ht="5.45" customHeight="1" x14ac:dyDescent="0.2">
      <c r="C70" s="40"/>
      <c r="D70" s="4"/>
    </row>
    <row r="71" spans="1:15" ht="15.95" customHeight="1" x14ac:dyDescent="0.2">
      <c r="A71" s="109" t="s">
        <v>186</v>
      </c>
      <c r="B71" s="109"/>
      <c r="C71" s="109"/>
      <c r="D71" s="109" t="s">
        <v>187</v>
      </c>
      <c r="F71" s="111" t="s">
        <v>132</v>
      </c>
      <c r="G71" s="112"/>
      <c r="H71" s="113"/>
      <c r="L71" s="25"/>
      <c r="M71" s="25"/>
      <c r="N71" s="25"/>
      <c r="O71" s="25"/>
    </row>
    <row r="72" spans="1:15" ht="15.95" customHeight="1" x14ac:dyDescent="0.2">
      <c r="A72" s="110"/>
      <c r="B72" s="110"/>
      <c r="C72" s="110"/>
      <c r="D72" s="110"/>
      <c r="F72" s="114"/>
      <c r="G72" s="115"/>
      <c r="H72" s="116"/>
      <c r="I72" s="55"/>
      <c r="J72" s="55"/>
      <c r="K72" s="55"/>
      <c r="L72" s="25"/>
      <c r="M72" s="25"/>
      <c r="N72" s="25"/>
      <c r="O72" s="25"/>
    </row>
    <row r="73" spans="1:15" ht="19.899999999999999" customHeight="1" x14ac:dyDescent="0.2">
      <c r="A73" s="120">
        <v>1</v>
      </c>
      <c r="B73" s="120"/>
      <c r="C73" s="12" t="s">
        <v>127</v>
      </c>
      <c r="D73" s="43">
        <v>7.3</v>
      </c>
      <c r="F73" s="121" t="s">
        <v>382</v>
      </c>
      <c r="G73" s="121"/>
      <c r="H73" s="121"/>
    </row>
    <row r="74" spans="1:15" ht="19.899999999999999" customHeight="1" x14ac:dyDescent="0.2">
      <c r="A74" s="120">
        <v>2</v>
      </c>
      <c r="B74" s="120"/>
      <c r="C74" s="12" t="s">
        <v>128</v>
      </c>
      <c r="D74" s="43">
        <v>9.3000000000000007</v>
      </c>
    </row>
    <row r="75" spans="1:15" ht="25.5" customHeight="1" x14ac:dyDescent="0.2">
      <c r="A75" s="120">
        <v>3</v>
      </c>
      <c r="B75" s="120"/>
      <c r="C75" s="12" t="s">
        <v>129</v>
      </c>
      <c r="D75" s="43">
        <v>1.3</v>
      </c>
    </row>
    <row r="76" spans="1:15" ht="25.5" customHeight="1" x14ac:dyDescent="0.2">
      <c r="A76" s="120">
        <v>4</v>
      </c>
      <c r="B76" s="120"/>
      <c r="C76" s="12" t="s">
        <v>130</v>
      </c>
      <c r="D76" s="43">
        <f>IF( F73="Sachsen",1.3,1.8)</f>
        <v>1.8</v>
      </c>
    </row>
    <row r="77" spans="1:15" ht="31.5" x14ac:dyDescent="0.2">
      <c r="A77" s="120">
        <v>5</v>
      </c>
      <c r="B77" s="120"/>
      <c r="C77" s="12" t="s">
        <v>188</v>
      </c>
      <c r="D77" s="43">
        <v>1.45</v>
      </c>
    </row>
    <row r="78" spans="1:15" ht="25.5" customHeight="1" x14ac:dyDescent="0.2">
      <c r="A78" s="120">
        <v>6</v>
      </c>
      <c r="B78" s="120"/>
      <c r="C78" s="12" t="s">
        <v>117</v>
      </c>
      <c r="D78" s="43"/>
    </row>
    <row r="79" spans="1:15" ht="25.5" customHeight="1" x14ac:dyDescent="0.2">
      <c r="A79" s="120">
        <v>7</v>
      </c>
      <c r="B79" s="120"/>
      <c r="C79" s="12" t="s">
        <v>131</v>
      </c>
      <c r="D79" s="43">
        <v>0.15</v>
      </c>
    </row>
  </sheetData>
  <sheetProtection algorithmName="SHA-512" hashValue="WegBBNomhEU4GFEwuS45GkNLuuSy3fyr99bIz+C4XnAizOudDp8CnnNkRjH6mWW6byK6F8pIlGQIU7dp8Hsn+A==" saltValue="EPbSrpJC5M8coTBsr8csqg=="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53" t="str">
        <f ca="1">IF(H61&lt;&gt;"","","Bitte alle gelben Zellen ausfüllen.")</f>
        <v>Bitte alle gelben Zellen ausfüllen.</v>
      </c>
      <c r="D1" s="32" t="b">
        <v>0</v>
      </c>
      <c r="E1" s="10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00"/>
      <c r="G1" s="100"/>
      <c r="H1" s="100"/>
      <c r="I1" s="100"/>
      <c r="K1" s="5" t="s">
        <v>100</v>
      </c>
    </row>
    <row r="2" spans="1:11" ht="34.5" customHeight="1" x14ac:dyDescent="0.2">
      <c r="A2" s="3" t="s">
        <v>103</v>
      </c>
      <c r="C2" s="4" t="str">
        <f>IF(Inhaltsverzeichnis!$C$3="", "",Inhaltsverzeichnis!$C$3)</f>
        <v/>
      </c>
      <c r="D2" s="32" t="b">
        <v>0</v>
      </c>
      <c r="E2" s="100"/>
      <c r="F2" s="100"/>
      <c r="G2" s="100"/>
      <c r="H2" s="100"/>
      <c r="I2" s="100"/>
    </row>
    <row r="3" spans="1:11" s="2" customFormat="1" ht="12.75" x14ac:dyDescent="0.2">
      <c r="A3" s="117" t="s">
        <v>101</v>
      </c>
      <c r="B3" s="117"/>
      <c r="C3" s="117"/>
      <c r="D3" s="117"/>
      <c r="E3" s="117"/>
      <c r="F3" s="117"/>
      <c r="G3" s="117"/>
      <c r="H3" s="117"/>
      <c r="I3" s="117"/>
    </row>
    <row r="4" spans="1:11" x14ac:dyDescent="0.2">
      <c r="A4" s="54"/>
      <c r="B4" s="54"/>
      <c r="C4" s="54"/>
      <c r="D4" s="54"/>
      <c r="E4" s="54"/>
      <c r="F4" s="54"/>
      <c r="G4" s="54"/>
      <c r="H4" s="54"/>
      <c r="I4" s="54"/>
    </row>
    <row r="5" spans="1:11" ht="15" customHeight="1" x14ac:dyDescent="0.2">
      <c r="A5" s="55" t="s">
        <v>1</v>
      </c>
      <c r="B5" s="55" t="s">
        <v>2</v>
      </c>
      <c r="C5" s="55"/>
      <c r="D5" s="55"/>
      <c r="E5" s="55"/>
      <c r="F5" s="56">
        <v>100</v>
      </c>
      <c r="G5" s="55" t="s">
        <v>3</v>
      </c>
      <c r="H5" s="7">
        <v>15</v>
      </c>
      <c r="I5" s="55" t="s">
        <v>4</v>
      </c>
      <c r="K5" s="57"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54"/>
      <c r="B6" s="54"/>
      <c r="C6" s="54"/>
      <c r="D6" s="54"/>
      <c r="E6" s="54"/>
      <c r="F6" s="58"/>
      <c r="G6" s="54"/>
      <c r="H6" s="58"/>
      <c r="I6" s="54"/>
    </row>
    <row r="7" spans="1:11" x14ac:dyDescent="0.2">
      <c r="A7" s="55" t="s">
        <v>5</v>
      </c>
      <c r="B7" s="55" t="s">
        <v>6</v>
      </c>
      <c r="C7" s="55"/>
      <c r="D7" s="55"/>
      <c r="E7" s="55"/>
      <c r="F7" s="59"/>
      <c r="G7" s="55"/>
      <c r="H7" s="59"/>
      <c r="I7" s="55"/>
    </row>
    <row r="8" spans="1:11" ht="14.25" x14ac:dyDescent="0.2">
      <c r="A8" s="54" t="s">
        <v>7</v>
      </c>
      <c r="B8" s="54" t="s">
        <v>8</v>
      </c>
      <c r="C8" s="54"/>
      <c r="D8" s="54"/>
      <c r="E8" s="54"/>
      <c r="F8" s="59"/>
      <c r="G8" s="59"/>
      <c r="H8" s="59"/>
      <c r="I8" s="59"/>
      <c r="K8" s="60"/>
    </row>
    <row r="9" spans="1:11" x14ac:dyDescent="0.2">
      <c r="A9" s="54" t="s">
        <v>9</v>
      </c>
      <c r="B9" s="54"/>
      <c r="C9" s="54" t="s">
        <v>10</v>
      </c>
      <c r="D9" s="54"/>
      <c r="E9" s="54"/>
      <c r="F9" s="8"/>
      <c r="G9" s="54" t="s">
        <v>3</v>
      </c>
      <c r="H9" s="61" t="str">
        <f>IF(F9="","",ROUND(F9/100*$H$5,2))</f>
        <v/>
      </c>
      <c r="I9" s="54" t="s">
        <v>4</v>
      </c>
      <c r="K9" s="57" t="str">
        <f>IF(F9="","Bitte ausfüllen!","")</f>
        <v>Bitte ausfüllen!</v>
      </c>
    </row>
    <row r="10" spans="1:11" x14ac:dyDescent="0.2">
      <c r="A10" s="54" t="s">
        <v>11</v>
      </c>
      <c r="B10" s="54"/>
      <c r="C10" s="54" t="s">
        <v>12</v>
      </c>
      <c r="D10" s="54"/>
      <c r="E10" s="54"/>
      <c r="F10" s="8"/>
      <c r="G10" s="54" t="s">
        <v>3</v>
      </c>
      <c r="H10" s="61" t="str">
        <f>IF(F10="","",ROUND(F10/100*$H$5,2))</f>
        <v/>
      </c>
      <c r="I10" s="54" t="s">
        <v>4</v>
      </c>
      <c r="K10" s="57" t="str">
        <f>IF(F10="","Bitte ausfüllen!","")</f>
        <v>Bitte ausfüllen!</v>
      </c>
    </row>
    <row r="11" spans="1:11" x14ac:dyDescent="0.2">
      <c r="A11" s="54" t="s">
        <v>13</v>
      </c>
      <c r="B11" s="54"/>
      <c r="C11" s="54" t="s">
        <v>14</v>
      </c>
      <c r="D11" s="54"/>
      <c r="E11" s="54"/>
      <c r="F11" s="8"/>
      <c r="G11" s="54" t="s">
        <v>3</v>
      </c>
      <c r="H11" s="61" t="str">
        <f>IF(F11="","",ROUND(F11/100*$H$5,2))</f>
        <v/>
      </c>
      <c r="I11" s="54" t="s">
        <v>4</v>
      </c>
      <c r="K11" s="57" t="str">
        <f>IF(F11="","Bitte ausfüllen!","")</f>
        <v>Bitte ausfüllen!</v>
      </c>
    </row>
    <row r="12" spans="1:11" x14ac:dyDescent="0.2">
      <c r="A12" s="54" t="s">
        <v>15</v>
      </c>
      <c r="B12" s="54"/>
      <c r="C12" s="54" t="s">
        <v>16</v>
      </c>
      <c r="D12" s="54"/>
      <c r="E12" s="54"/>
      <c r="F12" s="8"/>
      <c r="G12" s="54" t="s">
        <v>3</v>
      </c>
      <c r="H12" s="61" t="str">
        <f>IF(F12="","",ROUND(F12/100*$H$5,2))</f>
        <v/>
      </c>
      <c r="I12" s="54" t="s">
        <v>4</v>
      </c>
      <c r="K12" s="57" t="str">
        <f>IF(F12="","Bitte ausfüllen!","")</f>
        <v>Bitte ausfüllen!</v>
      </c>
    </row>
    <row r="13" spans="1:11" x14ac:dyDescent="0.2">
      <c r="A13" s="54" t="s">
        <v>17</v>
      </c>
      <c r="B13" s="54"/>
      <c r="C13" s="54" t="s">
        <v>18</v>
      </c>
      <c r="D13" s="54"/>
      <c r="E13" s="54"/>
      <c r="F13" s="8"/>
      <c r="G13" s="54" t="s">
        <v>3</v>
      </c>
      <c r="H13" s="61" t="str">
        <f>IF(F13="","",ROUND(F13/100*$H$5,2))</f>
        <v/>
      </c>
      <c r="I13" s="54" t="s">
        <v>4</v>
      </c>
      <c r="K13" s="57" t="str">
        <f>IF(F13="","Bitte ausfüllen!","")</f>
        <v>Bitte ausfüllen!</v>
      </c>
    </row>
    <row r="14" spans="1:11" x14ac:dyDescent="0.2">
      <c r="A14" s="55"/>
      <c r="B14" s="55" t="s">
        <v>19</v>
      </c>
      <c r="C14" s="55"/>
      <c r="D14" s="55"/>
      <c r="E14" s="55"/>
      <c r="F14" s="62">
        <f>IF(SUM(F9:F13)=0,0,SUM(F9:F13))</f>
        <v>0</v>
      </c>
      <c r="G14" s="55" t="s">
        <v>3</v>
      </c>
      <c r="H14" s="63" t="str">
        <f>IF(COUNTIF(F9:F13,"")&gt;0,"",SUM(H8:H13))</f>
        <v/>
      </c>
      <c r="I14" s="55" t="s">
        <v>4</v>
      </c>
      <c r="K14" s="57" t="str">
        <f>IF(H14="","Angaben offen!","")</f>
        <v>Angaben offen!</v>
      </c>
    </row>
    <row r="15" spans="1:11" x14ac:dyDescent="0.2">
      <c r="A15" s="54"/>
      <c r="B15" s="54"/>
      <c r="C15" s="54"/>
      <c r="D15" s="54"/>
      <c r="E15" s="54"/>
      <c r="F15" s="58"/>
      <c r="G15" s="54"/>
      <c r="H15" s="58"/>
      <c r="I15" s="54"/>
    </row>
    <row r="16" spans="1:11" x14ac:dyDescent="0.2">
      <c r="A16" s="55" t="s">
        <v>20</v>
      </c>
      <c r="B16" s="55" t="s">
        <v>21</v>
      </c>
      <c r="C16" s="55"/>
      <c r="D16" s="55"/>
      <c r="E16" s="55"/>
      <c r="F16" s="59"/>
      <c r="G16" s="55"/>
      <c r="H16" s="59"/>
      <c r="I16" s="55"/>
    </row>
    <row r="17" spans="1:14" ht="11.25" x14ac:dyDescent="0.2">
      <c r="A17" s="54" t="s">
        <v>22</v>
      </c>
      <c r="B17" s="54" t="s">
        <v>120</v>
      </c>
      <c r="C17" s="54"/>
      <c r="D17" s="8">
        <f>D73+D77</f>
        <v>8.75</v>
      </c>
      <c r="E17" s="54" t="s">
        <v>3</v>
      </c>
      <c r="F17" s="58"/>
      <c r="G17" s="54"/>
      <c r="H17" s="58"/>
      <c r="I17" s="54"/>
      <c r="K17" s="57" t="str">
        <f ca="1">IF(D17&lt;(D73+D77),"Wert prüfen!",IF(H61="","Inhalt der gelben Zellen kann angepasst werden.",""))</f>
        <v>Inhalt der gelben Zellen kann angepasst werden.</v>
      </c>
    </row>
    <row r="18" spans="1:14" x14ac:dyDescent="0.2">
      <c r="A18" s="54"/>
      <c r="B18" s="54" t="s">
        <v>23</v>
      </c>
      <c r="C18" s="54"/>
      <c r="D18" s="64">
        <f>(D17/100)*$F$14</f>
        <v>0</v>
      </c>
      <c r="E18" s="54" t="s">
        <v>3</v>
      </c>
      <c r="F18" s="65">
        <f>IF(D18="","",D17+D18)</f>
        <v>8.75</v>
      </c>
      <c r="G18" s="54" t="s">
        <v>3</v>
      </c>
      <c r="H18" s="61">
        <f>IF(D18="","",ROUND(F18/100*$H$5,2))</f>
        <v>1.31</v>
      </c>
      <c r="I18" s="54" t="s">
        <v>4</v>
      </c>
      <c r="K18" s="57"/>
    </row>
    <row r="19" spans="1:14" ht="11.25" x14ac:dyDescent="0.2">
      <c r="A19" s="54" t="s">
        <v>24</v>
      </c>
      <c r="B19" s="54" t="s">
        <v>121</v>
      </c>
      <c r="C19" s="54"/>
      <c r="D19" s="8">
        <f>D74</f>
        <v>9.3000000000000007</v>
      </c>
      <c r="E19" s="54" t="s">
        <v>3</v>
      </c>
      <c r="F19" s="66"/>
      <c r="G19" s="54"/>
      <c r="H19" s="58"/>
      <c r="I19" s="54"/>
      <c r="K19" s="57" t="str">
        <f ca="1">IF(D19&lt;&gt;D74,"Wert prüfen!",IF(H61="","Inhalt der gelben Zellen kann angepasst werden.",""))</f>
        <v>Inhalt der gelben Zellen kann angepasst werden.</v>
      </c>
    </row>
    <row r="20" spans="1:14" x14ac:dyDescent="0.2">
      <c r="A20" s="54"/>
      <c r="B20" s="54" t="s">
        <v>25</v>
      </c>
      <c r="C20" s="54"/>
      <c r="D20" s="64">
        <f>(D19/100)*$F$14</f>
        <v>0</v>
      </c>
      <c r="E20" s="54" t="s">
        <v>3</v>
      </c>
      <c r="F20" s="65">
        <f>IF(D20="","",D19+D20)</f>
        <v>9.3000000000000007</v>
      </c>
      <c r="G20" s="54" t="s">
        <v>3</v>
      </c>
      <c r="H20" s="61">
        <f>IF(D20="","",ROUND(F20/100*$H$5,2))</f>
        <v>1.4</v>
      </c>
      <c r="I20" s="54" t="s">
        <v>4</v>
      </c>
      <c r="K20" s="57"/>
    </row>
    <row r="21" spans="1:14" ht="11.25" x14ac:dyDescent="0.2">
      <c r="A21" s="54" t="s">
        <v>26</v>
      </c>
      <c r="B21" s="54" t="s">
        <v>122</v>
      </c>
      <c r="C21" s="54"/>
      <c r="D21" s="8">
        <f>D75</f>
        <v>1.3</v>
      </c>
      <c r="E21" s="54" t="s">
        <v>3</v>
      </c>
      <c r="F21" s="66"/>
      <c r="G21" s="54"/>
      <c r="H21" s="58"/>
      <c r="I21" s="54"/>
      <c r="K21" s="57" t="str">
        <f ca="1">IF(D21&lt;&gt;D75,"Wert prüfen!",IF(H61="","Inhalt der gelben Zellen kann angepasst werden.",""))</f>
        <v>Inhalt der gelben Zellen kann angepasst werden.</v>
      </c>
    </row>
    <row r="22" spans="1:14" x14ac:dyDescent="0.2">
      <c r="A22" s="54"/>
      <c r="B22" s="54" t="s">
        <v>27</v>
      </c>
      <c r="C22" s="54"/>
      <c r="D22" s="64">
        <f>(D21/100)*$F$14</f>
        <v>0</v>
      </c>
      <c r="E22" s="54" t="s">
        <v>3</v>
      </c>
      <c r="F22" s="65">
        <f>IF(D22="","",D21+D22)</f>
        <v>1.3</v>
      </c>
      <c r="G22" s="54" t="s">
        <v>3</v>
      </c>
      <c r="H22" s="61">
        <f>IF(D22="","",ROUND(F22/100*$H$5,2))</f>
        <v>0.2</v>
      </c>
      <c r="I22" s="54" t="s">
        <v>4</v>
      </c>
      <c r="K22" s="57"/>
    </row>
    <row r="23" spans="1:14" ht="11.25" x14ac:dyDescent="0.2">
      <c r="A23" s="54" t="s">
        <v>28</v>
      </c>
      <c r="B23" s="54" t="s">
        <v>123</v>
      </c>
      <c r="C23" s="54"/>
      <c r="D23" s="8">
        <f>D76</f>
        <v>1.8</v>
      </c>
      <c r="E23" s="54" t="s">
        <v>3</v>
      </c>
      <c r="F23" s="66"/>
      <c r="G23" s="54"/>
      <c r="H23" s="58"/>
      <c r="I23" s="54"/>
      <c r="K23" s="57" t="str">
        <f ca="1">IF(D23&lt;&gt;D76,"Wert prüfen!",IF(H61="","Inhalt der gelben Zellen kann angepasst werden.",""))</f>
        <v>Inhalt der gelben Zellen kann angepasst werden.</v>
      </c>
      <c r="L23" s="18"/>
      <c r="M23" s="18"/>
      <c r="N23" s="18"/>
    </row>
    <row r="24" spans="1:14" x14ac:dyDescent="0.2">
      <c r="A24" s="54"/>
      <c r="B24" s="54" t="s">
        <v>29</v>
      </c>
      <c r="C24" s="54"/>
      <c r="D24" s="64">
        <f>(D23/100)*$F$14</f>
        <v>0</v>
      </c>
      <c r="E24" s="54" t="s">
        <v>3</v>
      </c>
      <c r="F24" s="65">
        <f>IF(D24="","",D23+D24)</f>
        <v>1.8</v>
      </c>
      <c r="G24" s="54" t="s">
        <v>3</v>
      </c>
      <c r="H24" s="61">
        <f>IF(D24="","",ROUND(F24/100*$H$5,2))</f>
        <v>0.27</v>
      </c>
      <c r="I24" s="54" t="s">
        <v>4</v>
      </c>
      <c r="K24" s="57"/>
    </row>
    <row r="25" spans="1:14" ht="11.25" x14ac:dyDescent="0.2">
      <c r="A25" s="54" t="s">
        <v>30</v>
      </c>
      <c r="B25" s="54" t="s">
        <v>124</v>
      </c>
      <c r="C25" s="54"/>
      <c r="D25" s="8"/>
      <c r="E25" s="54" t="s">
        <v>3</v>
      </c>
      <c r="F25" s="66"/>
      <c r="G25" s="54"/>
      <c r="H25" s="58"/>
      <c r="I25" s="54"/>
      <c r="K25" s="57" t="str">
        <f>IF(D25="","Bitte ausfüllen!","")</f>
        <v>Bitte ausfüllen!</v>
      </c>
    </row>
    <row r="26" spans="1:14" x14ac:dyDescent="0.2">
      <c r="A26" s="54"/>
      <c r="B26" s="54" t="s">
        <v>31</v>
      </c>
      <c r="C26" s="54"/>
      <c r="D26" s="64">
        <f>(D25/100)*$F$14</f>
        <v>0</v>
      </c>
      <c r="E26" s="54" t="s">
        <v>3</v>
      </c>
      <c r="F26" s="65">
        <f>IF(D26="","",D25+D26)</f>
        <v>0</v>
      </c>
      <c r="G26" s="54" t="s">
        <v>3</v>
      </c>
      <c r="H26" s="61">
        <f>IF(D26="","",ROUND(F26/100*$H$5,2))</f>
        <v>0</v>
      </c>
      <c r="I26" s="54" t="s">
        <v>4</v>
      </c>
      <c r="K26" s="57"/>
    </row>
    <row r="27" spans="1:14" ht="11.25" x14ac:dyDescent="0.2">
      <c r="A27" s="54" t="s">
        <v>32</v>
      </c>
      <c r="B27" s="54" t="s">
        <v>125</v>
      </c>
      <c r="C27" s="54"/>
      <c r="D27" s="54"/>
      <c r="E27" s="54"/>
      <c r="F27" s="8"/>
      <c r="G27" s="54" t="s">
        <v>3</v>
      </c>
      <c r="H27" s="61" t="str">
        <f>IF(F27="","",ROUND(F27/100*$H$5,2))</f>
        <v/>
      </c>
      <c r="I27" s="54" t="s">
        <v>4</v>
      </c>
      <c r="K27" s="57" t="str">
        <f>IF(F27="","Bitte ausfüllen!","")</f>
        <v>Bitte ausfüllen!</v>
      </c>
    </row>
    <row r="28" spans="1:14" ht="11.25" x14ac:dyDescent="0.2">
      <c r="A28" s="54" t="s">
        <v>33</v>
      </c>
      <c r="B28" s="54" t="s">
        <v>126</v>
      </c>
      <c r="C28" s="54"/>
      <c r="D28" s="54"/>
      <c r="E28" s="54"/>
      <c r="F28" s="8">
        <f>D79</f>
        <v>0.15</v>
      </c>
      <c r="G28" s="54" t="s">
        <v>3</v>
      </c>
      <c r="H28" s="61">
        <f>IF(F28="","",ROUND(F28/100*$H$5,2))</f>
        <v>0.02</v>
      </c>
      <c r="I28" s="54" t="s">
        <v>4</v>
      </c>
      <c r="K28" s="57" t="str">
        <f ca="1">IF(F28&lt;&gt;D79,"Wert prüfen!",IF(H61="","Inhalt der gelben Zellen kann angepasst werden.",""))</f>
        <v>Inhalt der gelben Zellen kann angepasst werden.</v>
      </c>
    </row>
    <row r="29" spans="1:14" ht="25.5" customHeight="1" x14ac:dyDescent="0.2">
      <c r="A29" s="55"/>
      <c r="B29" s="119" t="s">
        <v>34</v>
      </c>
      <c r="C29" s="119"/>
      <c r="D29" s="55"/>
      <c r="E29" s="55"/>
      <c r="F29" s="62">
        <f>IF(SUM(F17:F28)=0,0,SUM(F17:F28)+F14)</f>
        <v>21.3</v>
      </c>
      <c r="G29" s="55" t="s">
        <v>3</v>
      </c>
      <c r="H29" s="63" t="str">
        <f>IF(OR(COUNTIF(D17:D26,"")&gt;0,COUNTIF(F27:F28,"")&gt;0),"",SUM(H17:H28)+H14)</f>
        <v/>
      </c>
      <c r="I29" s="55" t="s">
        <v>4</v>
      </c>
      <c r="K29" s="57" t="str">
        <f>IF(H29="","Angaben offen!","")</f>
        <v>Angaben offen!</v>
      </c>
    </row>
    <row r="30" spans="1:14" x14ac:dyDescent="0.2">
      <c r="A30" s="54"/>
      <c r="B30" s="54"/>
      <c r="C30" s="54"/>
      <c r="D30" s="54"/>
      <c r="E30" s="54"/>
      <c r="F30" s="58"/>
      <c r="G30" s="54"/>
      <c r="H30" s="58"/>
      <c r="I30" s="54"/>
    </row>
    <row r="31" spans="1:14" x14ac:dyDescent="0.2">
      <c r="A31" s="54"/>
      <c r="B31" s="55" t="s">
        <v>35</v>
      </c>
      <c r="C31" s="54"/>
      <c r="D31" s="54"/>
      <c r="E31" s="54"/>
      <c r="F31" s="58"/>
      <c r="G31" s="54"/>
      <c r="H31" s="58"/>
      <c r="I31" s="54"/>
    </row>
    <row r="32" spans="1:14" x14ac:dyDescent="0.2">
      <c r="A32" s="54" t="s">
        <v>36</v>
      </c>
      <c r="B32" s="54" t="s">
        <v>37</v>
      </c>
      <c r="C32" s="54"/>
      <c r="D32" s="54"/>
      <c r="E32" s="54"/>
      <c r="F32" s="8"/>
      <c r="G32" s="54" t="s">
        <v>3</v>
      </c>
      <c r="H32" s="61" t="str">
        <f>IF(F32="","",ROUND(F32/100*$H$5,2))</f>
        <v/>
      </c>
      <c r="I32" s="54" t="s">
        <v>4</v>
      </c>
      <c r="K32" s="57" t="str">
        <f>IF(F32="","Bitte ausfüllen!","")</f>
        <v>Bitte ausfüllen!</v>
      </c>
    </row>
    <row r="33" spans="1:11" x14ac:dyDescent="0.2">
      <c r="A33" s="54" t="s">
        <v>38</v>
      </c>
      <c r="B33" s="54" t="s">
        <v>39</v>
      </c>
      <c r="C33" s="54"/>
      <c r="D33" s="54"/>
      <c r="E33" s="54"/>
      <c r="F33" s="8"/>
      <c r="G33" s="54" t="s">
        <v>3</v>
      </c>
      <c r="H33" s="61" t="str">
        <f>IF(F33="","",ROUND(F33/100*$H$5,2))</f>
        <v/>
      </c>
      <c r="I33" s="54" t="s">
        <v>4</v>
      </c>
      <c r="K33" s="57" t="str">
        <f>IF(F33="","Bitte ausfüllen!","")</f>
        <v>Bitte ausfüllen!</v>
      </c>
    </row>
    <row r="34" spans="1:11" ht="25.5" customHeight="1" x14ac:dyDescent="0.2">
      <c r="A34" s="55"/>
      <c r="B34" s="119" t="s">
        <v>40</v>
      </c>
      <c r="C34" s="119"/>
      <c r="D34" s="55"/>
      <c r="E34" s="55"/>
      <c r="F34" s="62">
        <f>IF(SUM(F32:F33)=0,0,SUM(F32:F33)+F29)</f>
        <v>0</v>
      </c>
      <c r="G34" s="55" t="s">
        <v>3</v>
      </c>
      <c r="H34" s="63" t="str">
        <f>IF(COUNTIF(H32:H33,"")&gt;0,"",SUM(H32:H33)+H29)</f>
        <v/>
      </c>
      <c r="I34" s="55" t="s">
        <v>4</v>
      </c>
      <c r="K34" s="57" t="str">
        <f>IF(H34="","Angaben offen!","")</f>
        <v>Angaben offen!</v>
      </c>
    </row>
    <row r="35" spans="1:11" x14ac:dyDescent="0.2">
      <c r="A35" s="54"/>
      <c r="B35" s="54"/>
      <c r="C35" s="54"/>
      <c r="D35" s="54"/>
      <c r="E35" s="54"/>
      <c r="F35" s="58"/>
      <c r="G35" s="54"/>
      <c r="H35" s="58"/>
      <c r="I35" s="54"/>
    </row>
    <row r="36" spans="1:11" x14ac:dyDescent="0.2">
      <c r="A36" s="55" t="s">
        <v>41</v>
      </c>
      <c r="B36" s="55" t="s">
        <v>42</v>
      </c>
      <c r="C36" s="55"/>
      <c r="D36" s="55"/>
      <c r="E36" s="55"/>
      <c r="F36" s="59"/>
      <c r="G36" s="55"/>
      <c r="H36" s="59"/>
      <c r="I36" s="55"/>
    </row>
    <row r="37" spans="1:11" x14ac:dyDescent="0.2">
      <c r="A37" s="54" t="s">
        <v>43</v>
      </c>
      <c r="B37" s="54" t="s">
        <v>44</v>
      </c>
      <c r="C37" s="54"/>
      <c r="D37" s="54"/>
      <c r="E37" s="54"/>
      <c r="F37" s="58"/>
      <c r="G37" s="54"/>
      <c r="H37" s="58"/>
      <c r="I37" s="54"/>
    </row>
    <row r="38" spans="1:11" x14ac:dyDescent="0.2">
      <c r="A38" s="54"/>
      <c r="B38" s="54" t="s">
        <v>45</v>
      </c>
      <c r="C38" s="54"/>
      <c r="D38" s="54"/>
      <c r="E38" s="54"/>
      <c r="F38" s="8"/>
      <c r="G38" s="54" t="s">
        <v>3</v>
      </c>
      <c r="H38" s="61" t="str">
        <f>IF(F38="","",ROUND(F38/100*$H$5,2))</f>
        <v/>
      </c>
      <c r="I38" s="54" t="s">
        <v>4</v>
      </c>
      <c r="K38" s="57" t="str">
        <f>IF(F38="","Bitte ausfüllen!","")</f>
        <v>Bitte ausfüllen!</v>
      </c>
    </row>
    <row r="39" spans="1:11" x14ac:dyDescent="0.2">
      <c r="A39" s="54" t="s">
        <v>46</v>
      </c>
      <c r="B39" s="54" t="s">
        <v>47</v>
      </c>
      <c r="C39" s="54"/>
      <c r="D39" s="54"/>
      <c r="E39" s="54"/>
      <c r="F39" s="8"/>
      <c r="G39" s="54" t="s">
        <v>3</v>
      </c>
      <c r="H39" s="61" t="str">
        <f>IF(F39="","",ROUND(F39/100*$H$5,2))</f>
        <v/>
      </c>
      <c r="I39" s="54" t="s">
        <v>4</v>
      </c>
      <c r="K39" s="57" t="str">
        <f>IF(F39="","Bitte ausfüllen!","")</f>
        <v>Bitte ausfüllen!</v>
      </c>
    </row>
    <row r="40" spans="1:11" x14ac:dyDescent="0.2">
      <c r="A40" s="54" t="s">
        <v>48</v>
      </c>
      <c r="B40" s="54" t="s">
        <v>49</v>
      </c>
      <c r="C40" s="54"/>
      <c r="D40" s="54"/>
      <c r="E40" s="54"/>
      <c r="F40" s="8"/>
      <c r="G40" s="54" t="s">
        <v>3</v>
      </c>
      <c r="H40" s="61" t="str">
        <f>IF(F40="","",ROUND(F40/100*$H$5,2))</f>
        <v/>
      </c>
      <c r="I40" s="54" t="s">
        <v>4</v>
      </c>
      <c r="K40" s="57" t="str">
        <f>IF(F40="","Bitte ausfüllen!","")</f>
        <v>Bitte ausfüllen!</v>
      </c>
    </row>
    <row r="41" spans="1:11" x14ac:dyDescent="0.2">
      <c r="A41" s="54" t="s">
        <v>50</v>
      </c>
      <c r="B41" s="54" t="s">
        <v>51</v>
      </c>
      <c r="C41" s="54"/>
      <c r="D41" s="54"/>
      <c r="E41" s="54"/>
      <c r="F41" s="8"/>
      <c r="G41" s="54" t="s">
        <v>3</v>
      </c>
      <c r="H41" s="61" t="str">
        <f>IF(F41="","",ROUND(F41/100*$H$5,2))</f>
        <v/>
      </c>
      <c r="I41" s="54" t="s">
        <v>4</v>
      </c>
      <c r="K41" s="57" t="str">
        <f>IF(F41="","Bitte ausfüllen!","")</f>
        <v>Bitte ausfüllen!</v>
      </c>
    </row>
    <row r="42" spans="1:11" ht="25.5" customHeight="1" x14ac:dyDescent="0.2">
      <c r="A42" s="55"/>
      <c r="B42" s="119" t="s">
        <v>52</v>
      </c>
      <c r="C42" s="119"/>
      <c r="D42" s="55"/>
      <c r="E42" s="55"/>
      <c r="F42" s="62">
        <f>IF(SUM(F38:F41)=0,0,SUM(F38:F41))</f>
        <v>0</v>
      </c>
      <c r="G42" s="55" t="s">
        <v>3</v>
      </c>
      <c r="H42" s="63" t="str">
        <f>IF(COUNTIF(H38:H41,"")&gt;0,"",SUM(H38:H41))</f>
        <v/>
      </c>
      <c r="I42" s="55" t="s">
        <v>4</v>
      </c>
      <c r="K42" s="57" t="str">
        <f>IF(H42="","Angaben offen!","")</f>
        <v>Angaben offen!</v>
      </c>
    </row>
    <row r="43" spans="1:11" x14ac:dyDescent="0.2">
      <c r="A43" s="54"/>
      <c r="B43" s="54"/>
      <c r="C43" s="54"/>
      <c r="D43" s="54"/>
      <c r="E43" s="54"/>
      <c r="F43" s="58"/>
      <c r="G43" s="54"/>
      <c r="H43" s="58"/>
      <c r="I43" s="54"/>
    </row>
    <row r="44" spans="1:11" x14ac:dyDescent="0.2">
      <c r="A44" s="55" t="s">
        <v>53</v>
      </c>
      <c r="B44" s="55" t="s">
        <v>54</v>
      </c>
      <c r="C44" s="55"/>
      <c r="D44" s="55"/>
      <c r="E44" s="55"/>
      <c r="F44" s="55"/>
      <c r="G44" s="55"/>
      <c r="H44" s="55"/>
      <c r="I44" s="55"/>
    </row>
    <row r="45" spans="1:11" x14ac:dyDescent="0.2">
      <c r="A45" s="54" t="s">
        <v>55</v>
      </c>
      <c r="B45" s="54" t="s">
        <v>56</v>
      </c>
      <c r="C45" s="54"/>
      <c r="D45" s="54"/>
      <c r="E45" s="54"/>
      <c r="F45" s="54"/>
      <c r="G45" s="54"/>
      <c r="H45" s="54"/>
      <c r="I45" s="54"/>
    </row>
    <row r="46" spans="1:11" x14ac:dyDescent="0.2">
      <c r="A46" s="54" t="s">
        <v>57</v>
      </c>
      <c r="B46" s="54"/>
      <c r="C46" s="54" t="s">
        <v>58</v>
      </c>
      <c r="D46" s="54"/>
      <c r="E46" s="54"/>
      <c r="F46" s="8"/>
      <c r="G46" s="54" t="s">
        <v>3</v>
      </c>
      <c r="H46" s="61" t="str">
        <f>IF(F46="","",ROUND(F46/100*$H$5,2))</f>
        <v/>
      </c>
      <c r="I46" s="54" t="s">
        <v>4</v>
      </c>
      <c r="K46" s="57" t="str">
        <f>IF(F46="","Bitte ausfüllen!","")</f>
        <v>Bitte ausfüllen!</v>
      </c>
    </row>
    <row r="47" spans="1:11" x14ac:dyDescent="0.2">
      <c r="A47" s="54" t="s">
        <v>59</v>
      </c>
      <c r="B47" s="54"/>
      <c r="C47" s="54" t="s">
        <v>119</v>
      </c>
      <c r="D47" s="54"/>
      <c r="E47" s="54"/>
      <c r="F47" s="8"/>
      <c r="G47" s="54" t="s">
        <v>3</v>
      </c>
      <c r="H47" s="61" t="str">
        <f>IF(F47="","",ROUND(F47/100*$H$5,2))</f>
        <v/>
      </c>
      <c r="I47" s="54" t="s">
        <v>4</v>
      </c>
      <c r="K47" s="57" t="str">
        <f>IF(F47="","Bitte ausfüllen!","")</f>
        <v>Bitte ausfüllen!</v>
      </c>
    </row>
    <row r="48" spans="1:11" x14ac:dyDescent="0.2">
      <c r="A48" s="54" t="s">
        <v>60</v>
      </c>
      <c r="B48" s="54" t="s">
        <v>61</v>
      </c>
      <c r="C48" s="54"/>
      <c r="D48" s="54"/>
      <c r="E48" s="54"/>
      <c r="F48" s="8"/>
      <c r="G48" s="54" t="s">
        <v>3</v>
      </c>
      <c r="H48" s="61" t="str">
        <f>IF(F48="","",ROUND(F48/100*$H$5,2))</f>
        <v/>
      </c>
      <c r="I48" s="54" t="s">
        <v>4</v>
      </c>
      <c r="K48" s="57" t="str">
        <f>IF(F48="","Bitte ausfüllen!","")</f>
        <v>Bitte ausfüllen!</v>
      </c>
    </row>
    <row r="49" spans="1:11" x14ac:dyDescent="0.2">
      <c r="A49" s="54" t="s">
        <v>62</v>
      </c>
      <c r="B49" s="54" t="s">
        <v>63</v>
      </c>
      <c r="C49" s="54"/>
      <c r="D49" s="54"/>
      <c r="E49" s="54"/>
      <c r="F49" s="54"/>
      <c r="G49" s="54"/>
      <c r="H49" s="54"/>
      <c r="I49" s="54"/>
    </row>
    <row r="50" spans="1:11" x14ac:dyDescent="0.2">
      <c r="A50" s="54" t="s">
        <v>64</v>
      </c>
      <c r="B50" s="54"/>
      <c r="C50" s="54" t="s">
        <v>65</v>
      </c>
      <c r="D50" s="54"/>
      <c r="E50" s="54"/>
      <c r="F50" s="8"/>
      <c r="G50" s="54" t="s">
        <v>3</v>
      </c>
      <c r="H50" s="61" t="str">
        <f t="shared" ref="H50:H56" si="0">IF(F50="","",ROUND(F50/100*$H$5,2))</f>
        <v/>
      </c>
      <c r="I50" s="54" t="s">
        <v>4</v>
      </c>
      <c r="K50" s="57" t="str">
        <f t="shared" ref="K50:K56" si="1">IF(F50="","Bitte ausfüllen!","")</f>
        <v>Bitte ausfüllen!</v>
      </c>
    </row>
    <row r="51" spans="1:11" x14ac:dyDescent="0.2">
      <c r="A51" s="54" t="s">
        <v>66</v>
      </c>
      <c r="B51" s="54"/>
      <c r="C51" s="54" t="s">
        <v>67</v>
      </c>
      <c r="D51" s="54"/>
      <c r="E51" s="54"/>
      <c r="F51" s="8"/>
      <c r="G51" s="54" t="s">
        <v>3</v>
      </c>
      <c r="H51" s="61" t="str">
        <f t="shared" si="0"/>
        <v/>
      </c>
      <c r="I51" s="54" t="s">
        <v>4</v>
      </c>
      <c r="K51" s="57" t="str">
        <f t="shared" si="1"/>
        <v>Bitte ausfüllen!</v>
      </c>
    </row>
    <row r="52" spans="1:11" x14ac:dyDescent="0.2">
      <c r="A52" s="54" t="s">
        <v>68</v>
      </c>
      <c r="B52" s="54" t="s">
        <v>69</v>
      </c>
      <c r="C52" s="54"/>
      <c r="D52" s="54"/>
      <c r="E52" s="54"/>
      <c r="F52" s="8"/>
      <c r="G52" s="54" t="s">
        <v>3</v>
      </c>
      <c r="H52" s="61" t="str">
        <f t="shared" si="0"/>
        <v/>
      </c>
      <c r="I52" s="54" t="s">
        <v>4</v>
      </c>
      <c r="K52" s="57" t="str">
        <f t="shared" si="1"/>
        <v>Bitte ausfüllen!</v>
      </c>
    </row>
    <row r="53" spans="1:11" x14ac:dyDescent="0.2">
      <c r="A53" s="54" t="s">
        <v>70</v>
      </c>
      <c r="B53" s="54" t="s">
        <v>71</v>
      </c>
      <c r="C53" s="54"/>
      <c r="D53" s="54"/>
      <c r="E53" s="54"/>
      <c r="F53" s="8"/>
      <c r="G53" s="54" t="s">
        <v>3</v>
      </c>
      <c r="H53" s="61" t="str">
        <f t="shared" si="0"/>
        <v/>
      </c>
      <c r="I53" s="54" t="s">
        <v>4</v>
      </c>
      <c r="K53" s="57" t="str">
        <f t="shared" si="1"/>
        <v>Bitte ausfüllen!</v>
      </c>
    </row>
    <row r="54" spans="1:11" x14ac:dyDescent="0.2">
      <c r="A54" s="54" t="s">
        <v>72</v>
      </c>
      <c r="B54" s="54" t="s">
        <v>73</v>
      </c>
      <c r="C54" s="54"/>
      <c r="D54" s="54"/>
      <c r="E54" s="54"/>
      <c r="F54" s="8"/>
      <c r="G54" s="54" t="s">
        <v>3</v>
      </c>
      <c r="H54" s="61" t="str">
        <f t="shared" si="0"/>
        <v/>
      </c>
      <c r="I54" s="54" t="s">
        <v>4</v>
      </c>
      <c r="K54" s="57" t="str">
        <f t="shared" si="1"/>
        <v>Bitte ausfüllen!</v>
      </c>
    </row>
    <row r="55" spans="1:11" x14ac:dyDescent="0.2">
      <c r="A55" s="54" t="s">
        <v>74</v>
      </c>
      <c r="B55" s="54" t="s">
        <v>75</v>
      </c>
      <c r="C55" s="54"/>
      <c r="D55" s="54"/>
      <c r="E55" s="54"/>
      <c r="F55" s="8"/>
      <c r="G55" s="54" t="s">
        <v>3</v>
      </c>
      <c r="H55" s="61" t="str">
        <f t="shared" si="0"/>
        <v/>
      </c>
      <c r="I55" s="54" t="s">
        <v>4</v>
      </c>
      <c r="K55" s="57" t="str">
        <f t="shared" si="1"/>
        <v>Bitte ausfüllen!</v>
      </c>
    </row>
    <row r="56" spans="1:11" x14ac:dyDescent="0.2">
      <c r="A56" s="54" t="s">
        <v>76</v>
      </c>
      <c r="B56" s="54" t="s">
        <v>77</v>
      </c>
      <c r="C56" s="54"/>
      <c r="D56" s="54"/>
      <c r="E56" s="54"/>
      <c r="F56" s="8"/>
      <c r="G56" s="54" t="s">
        <v>3</v>
      </c>
      <c r="H56" s="61" t="str">
        <f t="shared" si="0"/>
        <v/>
      </c>
      <c r="I56" s="54" t="s">
        <v>4</v>
      </c>
      <c r="K56" s="57" t="str">
        <f t="shared" si="1"/>
        <v>Bitte ausfüllen!</v>
      </c>
    </row>
    <row r="57" spans="1:11" ht="25.5" customHeight="1" x14ac:dyDescent="0.2">
      <c r="A57" s="55"/>
      <c r="B57" s="119" t="s">
        <v>78</v>
      </c>
      <c r="C57" s="119"/>
      <c r="D57" s="55"/>
      <c r="E57" s="55"/>
      <c r="F57" s="62">
        <f>IF(SUM(F45:F56)=0,0,SUM(F45:F56))</f>
        <v>0</v>
      </c>
      <c r="G57" s="55" t="s">
        <v>3</v>
      </c>
      <c r="H57" s="63" t="str">
        <f>IF(COUNTIF(H46:H56,"")&gt;1,"",SUM(H46:H56))</f>
        <v/>
      </c>
      <c r="I57" s="55" t="s">
        <v>4</v>
      </c>
      <c r="K57" s="57" t="str">
        <f>IF(H57="","Angaben offen!","")</f>
        <v>Angaben offen!</v>
      </c>
    </row>
    <row r="58" spans="1:11" x14ac:dyDescent="0.2">
      <c r="A58" s="54"/>
      <c r="B58" s="54"/>
      <c r="C58" s="54"/>
      <c r="D58" s="54"/>
      <c r="E58" s="54"/>
      <c r="F58" s="58"/>
      <c r="G58" s="54"/>
      <c r="H58" s="58"/>
      <c r="I58" s="54"/>
    </row>
    <row r="59" spans="1:11" x14ac:dyDescent="0.2">
      <c r="A59" s="55" t="s">
        <v>79</v>
      </c>
      <c r="B59" s="118" t="s">
        <v>80</v>
      </c>
      <c r="C59" s="118"/>
      <c r="D59" s="55"/>
      <c r="E59" s="55"/>
      <c r="F59" s="67">
        <f>IF(AND(F34=""),0,F34+F42+F57+F5)</f>
        <v>100</v>
      </c>
      <c r="G59" s="55" t="s">
        <v>3</v>
      </c>
      <c r="H59" s="59" t="str">
        <f>IF(H57="","",H34+H42+H57+H5)</f>
        <v/>
      </c>
      <c r="I59" s="55" t="s">
        <v>4</v>
      </c>
    </row>
    <row r="60" spans="1:11" x14ac:dyDescent="0.2">
      <c r="A60" s="55" t="s">
        <v>81</v>
      </c>
      <c r="B60" s="55" t="s">
        <v>82</v>
      </c>
      <c r="C60" s="55"/>
      <c r="D60" s="55"/>
      <c r="E60" s="55"/>
      <c r="F60" s="8"/>
      <c r="G60" s="55" t="s">
        <v>3</v>
      </c>
      <c r="H60" s="63" t="str">
        <f>IF(F60="","",ROUND(F60/100*H59,2))</f>
        <v/>
      </c>
      <c r="I60" s="55" t="s">
        <v>4</v>
      </c>
      <c r="K60" s="57" t="str">
        <f>IF(F60="","Bitte ausfüllen!","")</f>
        <v>Bitte ausfüllen!</v>
      </c>
    </row>
    <row r="61" spans="1:11" x14ac:dyDescent="0.2">
      <c r="A61" s="55"/>
      <c r="B61" s="55" t="s">
        <v>83</v>
      </c>
      <c r="C61" s="55"/>
      <c r="D61" s="55"/>
      <c r="E61" s="55"/>
      <c r="F61" s="62">
        <f ca="1">IF(H61="",0,H61/H5*100)</f>
        <v>0</v>
      </c>
      <c r="G61" s="55" t="s">
        <v>3</v>
      </c>
      <c r="H61" s="63" t="str">
        <f ca="1">IF(SUM(COUNTIF(INDIRECT({"H5","F9:F13","D17:D26","F27:F28","F32:F33","F38:F41","F46:F48","F50:F56","F60","H65:H68"}),""))&gt;0,"",H59+H60)</f>
        <v/>
      </c>
      <c r="I61" s="55" t="s">
        <v>4</v>
      </c>
      <c r="K61" s="57" t="str">
        <f ca="1">IF(SUM(COUNTIF(INDIRECT({"H5","F9:F13","D17:D26","F27:F28","F32:F33","F38:F41","F46:F48","F50:F56","F60","H65:H68"}),""))&gt;0,SUM(COUNTIF(INDIRECT({"H5","F9:F13","D17:D26","F27:F28","F32:F33","F38:F41","F46:F48","F50:F56","F60","H65:H68"}),"")) &amp;" Zelle(n) ohne Wert!","")</f>
        <v>28 Zelle(n) ohne Wert!</v>
      </c>
    </row>
    <row r="62" spans="1:11" x14ac:dyDescent="0.2">
      <c r="A62" s="54"/>
      <c r="B62" s="54" t="s">
        <v>84</v>
      </c>
      <c r="C62" s="54"/>
      <c r="D62" s="54"/>
      <c r="E62" s="54"/>
      <c r="F62" s="62">
        <f ca="1">IF(F61=0,0,F61-F5)</f>
        <v>0</v>
      </c>
      <c r="G62" s="54" t="s">
        <v>3</v>
      </c>
      <c r="H62" s="54"/>
      <c r="I62" s="54"/>
      <c r="K62" s="57" t="str">
        <f ca="1">IF(F62&lt;70,"Bitte prüfen gemäß Aufforderung!","")</f>
        <v>Bitte prüfen gemäß Aufforderung!</v>
      </c>
    </row>
    <row r="63" spans="1:11" x14ac:dyDescent="0.2">
      <c r="A63" s="54"/>
      <c r="B63" s="54"/>
      <c r="C63" s="54"/>
      <c r="D63" s="54"/>
      <c r="E63" s="54"/>
      <c r="F63" s="54"/>
      <c r="G63" s="54"/>
      <c r="H63" s="54"/>
      <c r="I63" s="54"/>
    </row>
    <row r="64" spans="1:11" x14ac:dyDescent="0.2">
      <c r="B64" s="55" t="s">
        <v>85</v>
      </c>
      <c r="D64" s="55"/>
      <c r="E64" s="55"/>
      <c r="G64" s="55"/>
      <c r="H64" s="59" t="s">
        <v>86</v>
      </c>
    </row>
    <row r="65" spans="1:11" x14ac:dyDescent="0.2">
      <c r="B65" s="54" t="s">
        <v>87</v>
      </c>
      <c r="D65" s="54"/>
      <c r="E65" s="54"/>
      <c r="G65" s="68"/>
      <c r="H65" s="9"/>
      <c r="K65" s="57" t="str">
        <f>IF(H65="","Bitte ausfüllen!","")</f>
        <v>Bitte ausfüllen!</v>
      </c>
    </row>
    <row r="66" spans="1:11" x14ac:dyDescent="0.2">
      <c r="B66" s="54" t="s">
        <v>88</v>
      </c>
      <c r="D66" s="54"/>
      <c r="E66" s="54"/>
      <c r="G66" s="68"/>
      <c r="H66" s="10"/>
      <c r="K66" s="57" t="str">
        <f>IF(H66="","Bitte ausfüllen!","")</f>
        <v>Bitte ausfüllen!</v>
      </c>
    </row>
    <row r="67" spans="1:11" x14ac:dyDescent="0.2">
      <c r="B67" s="54" t="s">
        <v>89</v>
      </c>
      <c r="D67" s="54"/>
      <c r="E67" s="54"/>
      <c r="G67" s="68"/>
      <c r="H67" s="11"/>
      <c r="K67" s="57" t="str">
        <f>IF(H67="","Bitte ausfüllen!","")</f>
        <v>Bitte ausfüllen!</v>
      </c>
    </row>
    <row r="68" spans="1:11" x14ac:dyDescent="0.2">
      <c r="B68" s="54" t="s">
        <v>90</v>
      </c>
      <c r="D68" s="54"/>
      <c r="E68" s="54"/>
      <c r="G68" s="68"/>
      <c r="H68" s="10"/>
      <c r="K68" s="57" t="str">
        <f>IF(H68="","Bitte ausfüllen!","")</f>
        <v>Bitte ausfüllen!</v>
      </c>
    </row>
    <row r="70" spans="1:11" x14ac:dyDescent="0.2">
      <c r="C70" s="40"/>
      <c r="D70" s="4"/>
    </row>
    <row r="71" spans="1:11" ht="15.95" customHeight="1" x14ac:dyDescent="0.2">
      <c r="A71" s="109" t="s">
        <v>186</v>
      </c>
      <c r="B71" s="109"/>
      <c r="C71" s="109"/>
      <c r="D71" s="109" t="s">
        <v>187</v>
      </c>
      <c r="F71" s="111" t="s">
        <v>132</v>
      </c>
      <c r="G71" s="112"/>
      <c r="H71" s="113"/>
    </row>
    <row r="72" spans="1:11" ht="15.95" customHeight="1" x14ac:dyDescent="0.2">
      <c r="A72" s="110"/>
      <c r="B72" s="110"/>
      <c r="C72" s="110"/>
      <c r="D72" s="110"/>
      <c r="F72" s="114"/>
      <c r="G72" s="115"/>
      <c r="H72" s="116"/>
      <c r="I72" s="55"/>
      <c r="J72" s="55"/>
      <c r="K72" s="55"/>
    </row>
    <row r="73" spans="1:11" ht="19.899999999999999" customHeight="1" x14ac:dyDescent="0.2">
      <c r="A73" s="120">
        <v>1</v>
      </c>
      <c r="B73" s="120"/>
      <c r="C73" s="12" t="s">
        <v>127</v>
      </c>
      <c r="D73" s="43">
        <v>7.3</v>
      </c>
      <c r="F73" s="121" t="s">
        <v>382</v>
      </c>
      <c r="G73" s="121"/>
      <c r="H73" s="121"/>
    </row>
    <row r="74" spans="1:11" ht="19.899999999999999" customHeight="1" x14ac:dyDescent="0.2">
      <c r="A74" s="120">
        <v>2</v>
      </c>
      <c r="B74" s="120"/>
      <c r="C74" s="12" t="s">
        <v>128</v>
      </c>
      <c r="D74" s="43">
        <v>9.3000000000000007</v>
      </c>
    </row>
    <row r="75" spans="1:11" ht="24" customHeight="1" x14ac:dyDescent="0.2">
      <c r="A75" s="120">
        <v>3</v>
      </c>
      <c r="B75" s="120"/>
      <c r="C75" s="12" t="s">
        <v>129</v>
      </c>
      <c r="D75" s="43">
        <v>1.3</v>
      </c>
    </row>
    <row r="76" spans="1:11" ht="24" customHeight="1" x14ac:dyDescent="0.2">
      <c r="A76" s="120">
        <v>4</v>
      </c>
      <c r="B76" s="120"/>
      <c r="C76" s="12" t="s">
        <v>130</v>
      </c>
      <c r="D76" s="43">
        <f>IF( F73="Sachsen",1.3,1.8)</f>
        <v>1.8</v>
      </c>
    </row>
    <row r="77" spans="1:11" ht="31.5" x14ac:dyDescent="0.2">
      <c r="A77" s="120">
        <v>5</v>
      </c>
      <c r="B77" s="120"/>
      <c r="C77" s="12" t="s">
        <v>188</v>
      </c>
      <c r="D77" s="43">
        <v>1.45</v>
      </c>
    </row>
    <row r="78" spans="1:11" ht="24" customHeight="1" x14ac:dyDescent="0.2">
      <c r="A78" s="120">
        <v>6</v>
      </c>
      <c r="B78" s="120"/>
      <c r="C78" s="12" t="s">
        <v>117</v>
      </c>
      <c r="D78" s="43"/>
    </row>
    <row r="79" spans="1:11" ht="24" customHeight="1" x14ac:dyDescent="0.2">
      <c r="A79" s="120">
        <v>7</v>
      </c>
      <c r="B79" s="120"/>
      <c r="C79" s="12" t="s">
        <v>131</v>
      </c>
      <c r="D79" s="43">
        <v>0.15</v>
      </c>
    </row>
  </sheetData>
  <sheetProtection algorithmName="SHA-512" hashValue="KTGxmhXxV8UIYFzBWUCYnbFY44T/vOS0rFVe6vl5G6FhpHVurWKxEWnTa0Jc3GTCV2AIXBeyzUfsp9DThSC5tg==" saltValue="J6iwY3lupQYEYVXHZyTWuQ=="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6EA1-44B3-47B8-8DA3-2520E0973DCA}">
  <sheetPr codeName="Tabelle20">
    <tabColor indexed="40"/>
  </sheetPr>
  <dimension ref="A1:V6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8.28515625" style="3" customWidth="1"/>
    <col min="3" max="3" width="6.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8554687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9" t="s">
        <v>150</v>
      </c>
      <c r="B2" s="140"/>
      <c r="C2" s="140"/>
      <c r="D2" s="140" t="b">
        <v>0</v>
      </c>
      <c r="E2" s="141"/>
      <c r="G2" s="142" t="s">
        <v>163</v>
      </c>
      <c r="H2" s="142" t="s">
        <v>155</v>
      </c>
      <c r="I2" s="142" t="s">
        <v>156</v>
      </c>
      <c r="J2" s="142" t="s">
        <v>175</v>
      </c>
      <c r="M2" s="32"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1" customHeight="1" x14ac:dyDescent="0.2">
      <c r="A3" s="71" t="s">
        <v>151</v>
      </c>
      <c r="B3" s="72"/>
      <c r="C3" s="72"/>
      <c r="D3" s="72"/>
      <c r="E3" s="73"/>
      <c r="G3" s="143"/>
      <c r="H3" s="143" t="b">
        <v>0</v>
      </c>
      <c r="I3" s="143"/>
      <c r="J3" s="143"/>
      <c r="M3" s="32" t="b">
        <v>0</v>
      </c>
      <c r="N3" s="100"/>
      <c r="O3" s="100"/>
      <c r="P3" s="100"/>
      <c r="Q3" s="100"/>
    </row>
    <row r="4" spans="1:22" ht="15" customHeight="1" x14ac:dyDescent="0.2">
      <c r="A4" s="137" t="s">
        <v>91</v>
      </c>
      <c r="B4" s="125" t="str">
        <f>IF(Inhaltsverzeichnis!C3="","",Inhaltsverzeichnis!C3)</f>
        <v/>
      </c>
      <c r="C4" s="126"/>
      <c r="D4" s="126"/>
      <c r="E4" s="127"/>
      <c r="G4" s="70" t="s">
        <v>208</v>
      </c>
      <c r="H4" s="74"/>
      <c r="I4" s="75">
        <f ca="1">SUMIF('Kal Unter Haus am See'!J22:M65,$G$4,'Kal Unter Haus am See'!M22:M65)</f>
        <v>8982.39</v>
      </c>
      <c r="J4" s="49">
        <f>COUNTIFS('Kal Unter Haus am See'!J22:M65,$G$4)</f>
        <v>5</v>
      </c>
      <c r="M4" s="32" t="b">
        <v>0</v>
      </c>
      <c r="N4" s="100"/>
      <c r="O4" s="100"/>
      <c r="P4" s="100"/>
      <c r="Q4" s="100"/>
      <c r="U4" s="70" t="s">
        <v>208</v>
      </c>
      <c r="V4" s="3">
        <v>168.75</v>
      </c>
    </row>
    <row r="5" spans="1:22" ht="15" customHeight="1" x14ac:dyDescent="0.2">
      <c r="A5" s="138"/>
      <c r="B5" s="128"/>
      <c r="C5" s="129"/>
      <c r="D5" s="129"/>
      <c r="E5" s="130"/>
      <c r="G5" s="70" t="s">
        <v>275</v>
      </c>
      <c r="H5" s="74"/>
      <c r="I5" s="75">
        <f ca="1">SUMIF('Kal Unter Haus am See'!J22:M65,$G$5,'Kal Unter Haus am See'!M22:M65)</f>
        <v>46715.22</v>
      </c>
      <c r="J5" s="49">
        <f>COUNTIFS('Kal Unter Haus am See'!J22:M65,$G$5)</f>
        <v>6</v>
      </c>
      <c r="M5" s="32" t="b">
        <v>0</v>
      </c>
      <c r="N5" s="100"/>
      <c r="O5" s="100"/>
      <c r="P5" s="100"/>
      <c r="Q5" s="100"/>
      <c r="U5" s="70" t="s">
        <v>275</v>
      </c>
      <c r="V5" s="3">
        <v>140</v>
      </c>
    </row>
    <row r="6" spans="1:22" ht="15" customHeight="1" x14ac:dyDescent="0.2">
      <c r="A6" s="76" t="s">
        <v>173</v>
      </c>
      <c r="B6" s="131" t="s">
        <v>190</v>
      </c>
      <c r="C6" s="132"/>
      <c r="D6" s="132"/>
      <c r="E6" s="133"/>
      <c r="G6" s="70" t="s">
        <v>276</v>
      </c>
      <c r="H6" s="74"/>
      <c r="I6" s="75">
        <f ca="1">SUMIF('Kal Unter Haus am See'!J22:M65,$G$6,'Kal Unter Haus am See'!M22:M65)</f>
        <v>10429.780000000001</v>
      </c>
      <c r="J6" s="49">
        <f>COUNTIFS('Kal Unter Haus am See'!J22:M65,$G$6)</f>
        <v>13</v>
      </c>
      <c r="U6" s="70" t="s">
        <v>276</v>
      </c>
      <c r="V6" s="3">
        <v>63.75</v>
      </c>
    </row>
    <row r="7" spans="1:22" ht="15" customHeight="1" x14ac:dyDescent="0.2">
      <c r="A7" s="77" t="s">
        <v>171</v>
      </c>
      <c r="B7" s="134" t="s">
        <v>189</v>
      </c>
      <c r="C7" s="132"/>
      <c r="D7" s="132"/>
      <c r="E7" s="133"/>
      <c r="G7" s="70" t="s">
        <v>280</v>
      </c>
      <c r="H7" s="74"/>
      <c r="I7" s="75">
        <f ca="1">SUMIF('Kal Unter Haus am See'!J22:M65,$G$7,'Kal Unter Haus am See'!M22:M65)</f>
        <v>4182.88</v>
      </c>
      <c r="J7" s="49">
        <f>COUNTIFS('Kal Unter Haus am See'!J22:M65,$G$7)</f>
        <v>4</v>
      </c>
      <c r="U7" s="70" t="s">
        <v>280</v>
      </c>
      <c r="V7" s="3">
        <v>262.5</v>
      </c>
    </row>
    <row r="8" spans="1:22" ht="15" customHeight="1" x14ac:dyDescent="0.2">
      <c r="A8" s="77" t="s">
        <v>172</v>
      </c>
      <c r="B8" s="131"/>
      <c r="C8" s="132"/>
      <c r="D8" s="132"/>
      <c r="E8" s="133"/>
      <c r="G8" s="70" t="s">
        <v>279</v>
      </c>
      <c r="H8" s="74"/>
      <c r="I8" s="75">
        <f ca="1">SUMIF('Kal Unter Haus am See'!J22:M65,$G$8,'Kal Unter Haus am See'!M22:M65)</f>
        <v>13082.04</v>
      </c>
      <c r="J8" s="49">
        <f>COUNTIFS('Kal Unter Haus am See'!J22:M65,$G$8)</f>
        <v>3</v>
      </c>
      <c r="U8" s="70" t="s">
        <v>279</v>
      </c>
      <c r="V8" s="3">
        <v>138.75</v>
      </c>
    </row>
    <row r="9" spans="1:22" ht="15" customHeight="1" x14ac:dyDescent="0.2">
      <c r="A9" s="76" t="s">
        <v>170</v>
      </c>
      <c r="B9" s="135" t="s">
        <v>189</v>
      </c>
      <c r="C9" s="132"/>
      <c r="D9" s="132"/>
      <c r="E9" s="133"/>
      <c r="G9" s="70" t="s">
        <v>278</v>
      </c>
      <c r="H9" s="74"/>
      <c r="I9" s="75">
        <f ca="1">SUMIF('Kal Unter Haus am See'!J22:M65,$G$9,'Kal Unter Haus am See'!M22:M65)</f>
        <v>49798.91</v>
      </c>
      <c r="J9" s="49">
        <f>COUNTIFS('Kal Unter Haus am See'!J22:M65,$G$9)</f>
        <v>9</v>
      </c>
      <c r="U9" s="70" t="s">
        <v>278</v>
      </c>
      <c r="V9" s="3">
        <v>300</v>
      </c>
    </row>
    <row r="10" spans="1:22" ht="15" customHeight="1" x14ac:dyDescent="0.2">
      <c r="A10" s="77" t="s">
        <v>152</v>
      </c>
      <c r="B10" s="131" t="s">
        <v>191</v>
      </c>
      <c r="C10" s="132"/>
      <c r="D10" s="132"/>
      <c r="E10" s="133"/>
      <c r="G10" s="70" t="s">
        <v>277</v>
      </c>
      <c r="H10" s="74"/>
      <c r="I10" s="75">
        <f ca="1">SUMIF('Kal Unter Haus am See'!J22:M65,$G$10,'Kal Unter Haus am See'!M22:M65)</f>
        <v>1520.42</v>
      </c>
      <c r="J10" s="49">
        <f>COUNTIFS('Kal Unter Haus am See'!J22:M65,$G$10)</f>
        <v>4</v>
      </c>
      <c r="U10" s="70" t="s">
        <v>277</v>
      </c>
      <c r="V10" s="3">
        <v>88.75</v>
      </c>
    </row>
    <row r="11" spans="1:22" ht="15" customHeight="1" x14ac:dyDescent="0.2">
      <c r="A11" s="77" t="s">
        <v>153</v>
      </c>
      <c r="B11" s="136" t="s">
        <v>192</v>
      </c>
      <c r="C11" s="132"/>
      <c r="D11" s="132"/>
      <c r="E11" s="133"/>
      <c r="M11" s="3" t="str">
        <f>IF(N13&gt;0,"Bitte die Leistungswerte im Leistungsverzeichnis/ Tabellenblatt Leistungsrichtwerte","")</f>
        <v/>
      </c>
    </row>
    <row r="12" spans="1:22" ht="15" customHeight="1" x14ac:dyDescent="0.2">
      <c r="A12" s="77" t="s">
        <v>154</v>
      </c>
      <c r="B12" s="131" t="s">
        <v>193</v>
      </c>
      <c r="C12" s="132"/>
      <c r="D12" s="132"/>
      <c r="E12" s="133"/>
      <c r="M12" s="3" t="str">
        <f>IF(N13&gt;0,"für die Objektart prüfen.","")</f>
        <v/>
      </c>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c r="N13" s="78">
        <f>COUNTIF(V22:V$65,1)</f>
        <v>0</v>
      </c>
      <c r="O13" s="3" t="str">
        <f>IF(N13&gt;0,"Wert(e) überschritten, bitte mit dem Angebot plausibel darlegen.","")</f>
        <v/>
      </c>
    </row>
    <row r="14" spans="1:22" ht="15" customHeight="1" x14ac:dyDescent="0.2">
      <c r="N14" s="79">
        <f>COUNTIF(V22:V$65,0)</f>
        <v>44</v>
      </c>
      <c r="O14" s="3" t="str">
        <f>IF(N14&gt;0,"Wert(e) korrekt","")</f>
        <v>Wert(e) korrekt</v>
      </c>
      <c r="T14" s="80">
        <f>IF(COUNTA($T$22:$T$65)-COUNTBLANK($T$22:$T$65)=0,"",COUNTA($T$22:$T$65)-COUNTBLANK($T$22:$T$65))</f>
        <v>41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383</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1" t="s">
        <v>118</v>
      </c>
      <c r="B21" s="12"/>
      <c r="C21" s="12"/>
      <c r="D21" s="12"/>
      <c r="E21" s="12"/>
      <c r="F21" s="12"/>
      <c r="G21" s="82">
        <f>SUM($G$22:$G$65)</f>
        <v>943.59</v>
      </c>
      <c r="H21" s="82">
        <f>SUM($H$22:$H$65)</f>
        <v>0</v>
      </c>
      <c r="I21" s="82">
        <f>SUM($I$22:$I$65)</f>
        <v>21</v>
      </c>
      <c r="J21" s="31"/>
      <c r="K21" s="31"/>
      <c r="L21" s="83">
        <f>MAX(L22:L65)</f>
        <v>252.5</v>
      </c>
      <c r="M21" s="82">
        <f>SUM($M$22:$M$65)</f>
        <v>134711.64000000001</v>
      </c>
      <c r="N21" s="31"/>
      <c r="O21" s="31"/>
      <c r="P21" s="82">
        <f>SUM($P$22:$P$65)</f>
        <v>0</v>
      </c>
      <c r="Q21" s="82">
        <f ca="1">SUM($Q$22:$Q$65)</f>
        <v>0</v>
      </c>
      <c r="R21" s="82">
        <f>ROUND(IF(L21=0,0,P21/L21),2)</f>
        <v>0</v>
      </c>
      <c r="S21" s="82">
        <f ca="1">ROUND(IF(L21=0,0,Q21/L21),2)</f>
        <v>0</v>
      </c>
    </row>
    <row r="22" spans="1:22" ht="15" customHeight="1" x14ac:dyDescent="0.2">
      <c r="A22" s="70">
        <v>1</v>
      </c>
      <c r="B22" s="84" t="s">
        <v>203</v>
      </c>
      <c r="C22" s="85" t="s">
        <v>204</v>
      </c>
      <c r="D22" s="85"/>
      <c r="E22" s="85" t="s">
        <v>205</v>
      </c>
      <c r="F22" s="85" t="s">
        <v>206</v>
      </c>
      <c r="G22" s="51">
        <v>224.92</v>
      </c>
      <c r="H22" s="51"/>
      <c r="I22" s="86"/>
      <c r="J22" s="70" t="s">
        <v>275</v>
      </c>
      <c r="K22" s="51">
        <v>3</v>
      </c>
      <c r="L22" s="31">
        <f>VLOOKUP(K22,Reinigungstage!A10:B31,2,FALSE)</f>
        <v>151.5</v>
      </c>
      <c r="M22" s="31">
        <f t="shared" ref="M22:M65" si="0">ROUND(IF(L22=0,0,L22*G22),2)</f>
        <v>34075.379999999997</v>
      </c>
      <c r="N22" s="87">
        <f t="shared" ref="N22:N65" si="1">VLOOKUP(J22,$G$4:$H$10,2,FALSE)</f>
        <v>0</v>
      </c>
      <c r="O22" s="31">
        <f ca="1">IF('SVS UnterhaltsRG'!H61="",0,'SVS UnterhaltsRG'!H61)</f>
        <v>0</v>
      </c>
      <c r="P22" s="31">
        <f t="shared" ref="P22:P65" si="2">ROUND(IF(N22=0,0,M22/N22),2)</f>
        <v>0</v>
      </c>
      <c r="Q22" s="31">
        <f t="shared" ref="Q22:Q65" ca="1" si="3">IF(M22=0,0,IF(O22="",0,ROUND(P22*O22,2)))</f>
        <v>0</v>
      </c>
      <c r="R22" s="31">
        <f t="shared" ref="R22:R65" si="4">ROUND(IF(P22=0,0,P22/L22),2)</f>
        <v>0</v>
      </c>
      <c r="S22" s="31">
        <f t="shared" ref="S22:S65" ca="1" si="5">ROUND(IF(Q22=0,0,Q22/L22),2)</f>
        <v>0</v>
      </c>
      <c r="T22" s="3" t="str">
        <f t="shared" ref="T22:T65" si="6">IF(M22=0,"",IF(N22=0,"Leistungswert eintragen",IF(O22=0,"SVS prüfen","")))</f>
        <v>Leistungswert eintragen</v>
      </c>
      <c r="U22" s="3">
        <f t="shared" ref="U22:U65" si="7">VLOOKUP(J22,$U$4:$V$10,2,FALSE)</f>
        <v>140</v>
      </c>
      <c r="V22" s="3">
        <f t="shared" ref="V22:V65" si="8">IF(M22=0,0,IF(U22&lt;N22,1,IF(U22&gt;=N22,0,"")))</f>
        <v>0</v>
      </c>
    </row>
    <row r="23" spans="1:22" ht="15" customHeight="1" x14ac:dyDescent="0.2">
      <c r="A23" s="70">
        <v>2</v>
      </c>
      <c r="B23" s="84" t="s">
        <v>207</v>
      </c>
      <c r="C23" s="85" t="s">
        <v>204</v>
      </c>
      <c r="D23" s="85"/>
      <c r="E23" s="85" t="s">
        <v>208</v>
      </c>
      <c r="F23" s="85" t="s">
        <v>206</v>
      </c>
      <c r="G23" s="51">
        <v>18.75</v>
      </c>
      <c r="H23" s="51"/>
      <c r="I23" s="86"/>
      <c r="J23" s="70" t="s">
        <v>208</v>
      </c>
      <c r="K23" s="51">
        <v>2</v>
      </c>
      <c r="L23" s="31">
        <f>VLOOKUP(K23,Reinigungstage!A10:B31,2,FALSE)</f>
        <v>104.91</v>
      </c>
      <c r="M23" s="31">
        <f t="shared" si="0"/>
        <v>1967.06</v>
      </c>
      <c r="N23" s="87">
        <f t="shared" si="1"/>
        <v>0</v>
      </c>
      <c r="O23" s="31">
        <f ca="1">IF('SVS UnterhaltsRG'!H61="",0,'SVS UnterhaltsRG'!H61)</f>
        <v>0</v>
      </c>
      <c r="P23" s="31">
        <f t="shared" si="2"/>
        <v>0</v>
      </c>
      <c r="Q23" s="31">
        <f t="shared" ca="1" si="3"/>
        <v>0</v>
      </c>
      <c r="R23" s="31">
        <f t="shared" si="4"/>
        <v>0</v>
      </c>
      <c r="S23" s="31">
        <f t="shared" ca="1" si="5"/>
        <v>0</v>
      </c>
      <c r="T23" s="3" t="str">
        <f t="shared" si="6"/>
        <v>Leistungswert eintragen</v>
      </c>
      <c r="U23" s="3">
        <f t="shared" si="7"/>
        <v>168.75</v>
      </c>
      <c r="V23" s="3">
        <f t="shared" si="8"/>
        <v>0</v>
      </c>
    </row>
    <row r="24" spans="1:22" ht="15" customHeight="1" x14ac:dyDescent="0.2">
      <c r="A24" s="70">
        <v>3</v>
      </c>
      <c r="B24" s="84" t="s">
        <v>209</v>
      </c>
      <c r="C24" s="85" t="s">
        <v>204</v>
      </c>
      <c r="D24" s="85"/>
      <c r="E24" s="85" t="s">
        <v>210</v>
      </c>
      <c r="F24" s="85" t="s">
        <v>206</v>
      </c>
      <c r="G24" s="51">
        <v>15.19</v>
      </c>
      <c r="H24" s="51"/>
      <c r="I24" s="86"/>
      <c r="J24" s="70" t="s">
        <v>208</v>
      </c>
      <c r="K24" s="51">
        <v>2</v>
      </c>
      <c r="L24" s="31">
        <f>VLOOKUP(K24,Reinigungstage!A10:B31,2,FALSE)</f>
        <v>104.91</v>
      </c>
      <c r="M24" s="31">
        <f t="shared" si="0"/>
        <v>1593.58</v>
      </c>
      <c r="N24" s="87">
        <f t="shared" si="1"/>
        <v>0</v>
      </c>
      <c r="O24" s="31">
        <f ca="1">IF('SVS UnterhaltsRG'!H61="",0,'SVS UnterhaltsRG'!H61)</f>
        <v>0</v>
      </c>
      <c r="P24" s="31">
        <f t="shared" si="2"/>
        <v>0</v>
      </c>
      <c r="Q24" s="31">
        <f t="shared" ca="1" si="3"/>
        <v>0</v>
      </c>
      <c r="R24" s="31">
        <f t="shared" si="4"/>
        <v>0</v>
      </c>
      <c r="S24" s="31">
        <f t="shared" ca="1" si="5"/>
        <v>0</v>
      </c>
      <c r="T24" s="3" t="str">
        <f t="shared" si="6"/>
        <v>Leistungswert eintragen</v>
      </c>
      <c r="U24" s="3">
        <f t="shared" si="7"/>
        <v>168.75</v>
      </c>
      <c r="V24" s="3">
        <f t="shared" si="8"/>
        <v>0</v>
      </c>
    </row>
    <row r="25" spans="1:22" ht="15" customHeight="1" x14ac:dyDescent="0.2">
      <c r="A25" s="70">
        <v>4</v>
      </c>
      <c r="B25" s="84" t="s">
        <v>211</v>
      </c>
      <c r="C25" s="85" t="s">
        <v>204</v>
      </c>
      <c r="D25" s="85"/>
      <c r="E25" s="85" t="s">
        <v>212</v>
      </c>
      <c r="F25" s="85" t="s">
        <v>206</v>
      </c>
      <c r="G25" s="51">
        <v>11.32</v>
      </c>
      <c r="H25" s="51"/>
      <c r="I25" s="86"/>
      <c r="J25" s="70" t="s">
        <v>275</v>
      </c>
      <c r="K25" s="51">
        <v>2</v>
      </c>
      <c r="L25" s="31">
        <f>VLOOKUP(K25,Reinigungstage!A10:B31,2,FALSE)</f>
        <v>104.91</v>
      </c>
      <c r="M25" s="31">
        <f t="shared" si="0"/>
        <v>1187.58</v>
      </c>
      <c r="N25" s="87">
        <f t="shared" si="1"/>
        <v>0</v>
      </c>
      <c r="O25" s="31">
        <f ca="1">IF('SVS UnterhaltsRG'!H61="",0,'SVS UnterhaltsRG'!H61)</f>
        <v>0</v>
      </c>
      <c r="P25" s="31">
        <f t="shared" si="2"/>
        <v>0</v>
      </c>
      <c r="Q25" s="31">
        <f t="shared" ca="1" si="3"/>
        <v>0</v>
      </c>
      <c r="R25" s="31">
        <f t="shared" si="4"/>
        <v>0</v>
      </c>
      <c r="S25" s="31">
        <f t="shared" ca="1" si="5"/>
        <v>0</v>
      </c>
      <c r="T25" s="3" t="str">
        <f t="shared" si="6"/>
        <v>Leistungswert eintragen</v>
      </c>
      <c r="U25" s="3">
        <f t="shared" si="7"/>
        <v>140</v>
      </c>
      <c r="V25" s="3">
        <f t="shared" si="8"/>
        <v>0</v>
      </c>
    </row>
    <row r="26" spans="1:22" ht="21" x14ac:dyDescent="0.2">
      <c r="A26" s="70">
        <v>5</v>
      </c>
      <c r="B26" s="84" t="s">
        <v>213</v>
      </c>
      <c r="C26" s="85" t="s">
        <v>204</v>
      </c>
      <c r="D26" s="85"/>
      <c r="E26" s="85" t="s">
        <v>214</v>
      </c>
      <c r="F26" s="85" t="s">
        <v>206</v>
      </c>
      <c r="G26" s="51">
        <v>0</v>
      </c>
      <c r="H26" s="51"/>
      <c r="I26" s="86"/>
      <c r="J26" s="70" t="s">
        <v>275</v>
      </c>
      <c r="K26" s="51">
        <v>0</v>
      </c>
      <c r="L26" s="31">
        <f>VLOOKUP(K26,Reinigungstage!A10:B31,2,FALSE)</f>
        <v>0</v>
      </c>
      <c r="M26" s="31">
        <f t="shared" si="0"/>
        <v>0</v>
      </c>
      <c r="N26" s="87">
        <f t="shared" si="1"/>
        <v>0</v>
      </c>
      <c r="O26" s="31">
        <f ca="1">IF('SVS UnterhaltsRG'!H61="",0,'SVS UnterhaltsRG'!H61)</f>
        <v>0</v>
      </c>
      <c r="P26" s="31">
        <f t="shared" si="2"/>
        <v>0</v>
      </c>
      <c r="Q26" s="31">
        <f t="shared" si="3"/>
        <v>0</v>
      </c>
      <c r="R26" s="31">
        <f t="shared" si="4"/>
        <v>0</v>
      </c>
      <c r="S26" s="31">
        <f t="shared" si="5"/>
        <v>0</v>
      </c>
      <c r="T26" s="3" t="str">
        <f t="shared" si="6"/>
        <v/>
      </c>
      <c r="U26" s="3">
        <f t="shared" si="7"/>
        <v>140</v>
      </c>
      <c r="V26" s="3">
        <f t="shared" si="8"/>
        <v>0</v>
      </c>
    </row>
    <row r="27" spans="1:22" ht="15" customHeight="1" x14ac:dyDescent="0.2">
      <c r="A27" s="70">
        <v>6</v>
      </c>
      <c r="B27" s="84" t="s">
        <v>215</v>
      </c>
      <c r="C27" s="85" t="s">
        <v>204</v>
      </c>
      <c r="D27" s="85"/>
      <c r="E27" s="85" t="s">
        <v>216</v>
      </c>
      <c r="F27" s="85" t="s">
        <v>217</v>
      </c>
      <c r="G27" s="51">
        <v>2.5499999999999998</v>
      </c>
      <c r="H27" s="51"/>
      <c r="I27" s="86"/>
      <c r="J27" s="70" t="s">
        <v>276</v>
      </c>
      <c r="K27" s="51">
        <v>2</v>
      </c>
      <c r="L27" s="31">
        <f>VLOOKUP(K27,Reinigungstage!A10:B31,2,FALSE)</f>
        <v>104.91</v>
      </c>
      <c r="M27" s="31">
        <f t="shared" si="0"/>
        <v>267.52</v>
      </c>
      <c r="N27" s="87">
        <f t="shared" si="1"/>
        <v>0</v>
      </c>
      <c r="O27" s="31">
        <f ca="1">IF('SVS UnterhaltsRG'!H61="",0,'SVS UnterhaltsRG'!H61)</f>
        <v>0</v>
      </c>
      <c r="P27" s="31">
        <f t="shared" si="2"/>
        <v>0</v>
      </c>
      <c r="Q27" s="31">
        <f t="shared" ca="1" si="3"/>
        <v>0</v>
      </c>
      <c r="R27" s="31">
        <f t="shared" si="4"/>
        <v>0</v>
      </c>
      <c r="S27" s="31">
        <f t="shared" ca="1" si="5"/>
        <v>0</v>
      </c>
      <c r="T27" s="3" t="str">
        <f t="shared" si="6"/>
        <v>Leistungswert eintragen</v>
      </c>
      <c r="U27" s="3">
        <f t="shared" si="7"/>
        <v>63.75</v>
      </c>
      <c r="V27" s="3">
        <f t="shared" si="8"/>
        <v>0</v>
      </c>
    </row>
    <row r="28" spans="1:22" ht="15" customHeight="1" x14ac:dyDescent="0.2">
      <c r="A28" s="70">
        <v>7</v>
      </c>
      <c r="B28" s="84" t="s">
        <v>218</v>
      </c>
      <c r="C28" s="85" t="s">
        <v>204</v>
      </c>
      <c r="D28" s="85"/>
      <c r="E28" s="85" t="s">
        <v>216</v>
      </c>
      <c r="F28" s="85" t="s">
        <v>217</v>
      </c>
      <c r="G28" s="51">
        <v>2.8</v>
      </c>
      <c r="H28" s="51"/>
      <c r="I28" s="86"/>
      <c r="J28" s="70" t="s">
        <v>276</v>
      </c>
      <c r="K28" s="51">
        <v>2</v>
      </c>
      <c r="L28" s="31">
        <f>VLOOKUP(K28,Reinigungstage!A10:B31,2,FALSE)</f>
        <v>104.91</v>
      </c>
      <c r="M28" s="31">
        <f t="shared" si="0"/>
        <v>293.75</v>
      </c>
      <c r="N28" s="87">
        <f t="shared" si="1"/>
        <v>0</v>
      </c>
      <c r="O28" s="31">
        <f ca="1">IF('SVS UnterhaltsRG'!H61="",0,'SVS UnterhaltsRG'!H61)</f>
        <v>0</v>
      </c>
      <c r="P28" s="31">
        <f t="shared" si="2"/>
        <v>0</v>
      </c>
      <c r="Q28" s="31">
        <f t="shared" ca="1" si="3"/>
        <v>0</v>
      </c>
      <c r="R28" s="31">
        <f t="shared" si="4"/>
        <v>0</v>
      </c>
      <c r="S28" s="31">
        <f t="shared" ca="1" si="5"/>
        <v>0</v>
      </c>
      <c r="T28" s="3" t="str">
        <f t="shared" si="6"/>
        <v>Leistungswert eintragen</v>
      </c>
      <c r="U28" s="3">
        <f t="shared" si="7"/>
        <v>63.75</v>
      </c>
      <c r="V28" s="3">
        <f t="shared" si="8"/>
        <v>0</v>
      </c>
    </row>
    <row r="29" spans="1:22" ht="15" customHeight="1" x14ac:dyDescent="0.2">
      <c r="A29" s="70">
        <v>8</v>
      </c>
      <c r="B29" s="84" t="s">
        <v>219</v>
      </c>
      <c r="C29" s="85" t="s">
        <v>204</v>
      </c>
      <c r="D29" s="85"/>
      <c r="E29" s="85" t="s">
        <v>220</v>
      </c>
      <c r="F29" s="85" t="s">
        <v>217</v>
      </c>
      <c r="G29" s="51">
        <v>3.4</v>
      </c>
      <c r="H29" s="51"/>
      <c r="I29" s="86"/>
      <c r="J29" s="70" t="s">
        <v>276</v>
      </c>
      <c r="K29" s="51">
        <v>2</v>
      </c>
      <c r="L29" s="31">
        <f>VLOOKUP(K29,Reinigungstage!A10:B31,2,FALSE)</f>
        <v>104.91</v>
      </c>
      <c r="M29" s="31">
        <f t="shared" si="0"/>
        <v>356.69</v>
      </c>
      <c r="N29" s="87">
        <f t="shared" si="1"/>
        <v>0</v>
      </c>
      <c r="O29" s="31">
        <f ca="1">IF('SVS UnterhaltsRG'!H61="",0,'SVS UnterhaltsRG'!H61)</f>
        <v>0</v>
      </c>
      <c r="P29" s="31">
        <f t="shared" si="2"/>
        <v>0</v>
      </c>
      <c r="Q29" s="31">
        <f t="shared" ca="1" si="3"/>
        <v>0</v>
      </c>
      <c r="R29" s="31">
        <f t="shared" si="4"/>
        <v>0</v>
      </c>
      <c r="S29" s="31">
        <f t="shared" ca="1" si="5"/>
        <v>0</v>
      </c>
      <c r="T29" s="3" t="str">
        <f t="shared" si="6"/>
        <v>Leistungswert eintragen</v>
      </c>
      <c r="U29" s="3">
        <f t="shared" si="7"/>
        <v>63.75</v>
      </c>
      <c r="V29" s="3">
        <f t="shared" si="8"/>
        <v>0</v>
      </c>
    </row>
    <row r="30" spans="1:22" ht="15" customHeight="1" x14ac:dyDescent="0.2">
      <c r="A30" s="70">
        <v>9</v>
      </c>
      <c r="B30" s="84" t="s">
        <v>221</v>
      </c>
      <c r="C30" s="85" t="s">
        <v>204</v>
      </c>
      <c r="D30" s="85"/>
      <c r="E30" s="85" t="s">
        <v>222</v>
      </c>
      <c r="F30" s="85" t="s">
        <v>206</v>
      </c>
      <c r="G30" s="51">
        <v>4.8499999999999996</v>
      </c>
      <c r="H30" s="51"/>
      <c r="I30" s="86"/>
      <c r="J30" s="70" t="s">
        <v>277</v>
      </c>
      <c r="K30" s="51">
        <v>2</v>
      </c>
      <c r="L30" s="31">
        <f>VLOOKUP(K30,Reinigungstage!A10:B31,2,FALSE)</f>
        <v>104.91</v>
      </c>
      <c r="M30" s="31">
        <f t="shared" si="0"/>
        <v>508.81</v>
      </c>
      <c r="N30" s="87">
        <f t="shared" si="1"/>
        <v>0</v>
      </c>
      <c r="O30" s="31">
        <f ca="1">IF('SVS UnterhaltsRG'!H61="",0,'SVS UnterhaltsRG'!H61)</f>
        <v>0</v>
      </c>
      <c r="P30" s="31">
        <f t="shared" si="2"/>
        <v>0</v>
      </c>
      <c r="Q30" s="31">
        <f t="shared" ca="1" si="3"/>
        <v>0</v>
      </c>
      <c r="R30" s="31">
        <f t="shared" si="4"/>
        <v>0</v>
      </c>
      <c r="S30" s="31">
        <f t="shared" ca="1" si="5"/>
        <v>0</v>
      </c>
      <c r="T30" s="3" t="str">
        <f t="shared" si="6"/>
        <v>Leistungswert eintragen</v>
      </c>
      <c r="U30" s="3">
        <f t="shared" si="7"/>
        <v>88.75</v>
      </c>
      <c r="V30" s="3">
        <f t="shared" si="8"/>
        <v>0</v>
      </c>
    </row>
    <row r="31" spans="1:22" ht="15" customHeight="1" x14ac:dyDescent="0.2">
      <c r="A31" s="70">
        <v>10</v>
      </c>
      <c r="B31" s="84" t="s">
        <v>223</v>
      </c>
      <c r="C31" s="85" t="s">
        <v>204</v>
      </c>
      <c r="D31" s="85"/>
      <c r="E31" s="85" t="s">
        <v>224</v>
      </c>
      <c r="F31" s="85" t="s">
        <v>206</v>
      </c>
      <c r="G31" s="51">
        <v>16.16</v>
      </c>
      <c r="H31" s="51"/>
      <c r="I31" s="86"/>
      <c r="J31" s="70" t="s">
        <v>278</v>
      </c>
      <c r="K31" s="51">
        <v>5</v>
      </c>
      <c r="L31" s="31">
        <f>VLOOKUP(K31,Reinigungstage!A10:B31,2,FALSE)</f>
        <v>252.5</v>
      </c>
      <c r="M31" s="31">
        <f t="shared" si="0"/>
        <v>4080.4</v>
      </c>
      <c r="N31" s="87">
        <f t="shared" si="1"/>
        <v>0</v>
      </c>
      <c r="O31" s="31">
        <f ca="1">IF('SVS UnterhaltsRG'!H61="",0,'SVS UnterhaltsRG'!H61)</f>
        <v>0</v>
      </c>
      <c r="P31" s="31">
        <f t="shared" si="2"/>
        <v>0</v>
      </c>
      <c r="Q31" s="31">
        <f t="shared" ca="1" si="3"/>
        <v>0</v>
      </c>
      <c r="R31" s="31">
        <f t="shared" si="4"/>
        <v>0</v>
      </c>
      <c r="S31" s="31">
        <f t="shared" ca="1" si="5"/>
        <v>0</v>
      </c>
      <c r="T31" s="3" t="str">
        <f t="shared" si="6"/>
        <v>Leistungswert eintragen</v>
      </c>
      <c r="U31" s="3">
        <f t="shared" si="7"/>
        <v>300</v>
      </c>
      <c r="V31" s="3">
        <f t="shared" si="8"/>
        <v>0</v>
      </c>
    </row>
    <row r="32" spans="1:22" ht="15" customHeight="1" x14ac:dyDescent="0.2">
      <c r="A32" s="70">
        <v>11</v>
      </c>
      <c r="B32" s="84" t="s">
        <v>7</v>
      </c>
      <c r="C32" s="85" t="s">
        <v>204</v>
      </c>
      <c r="D32" s="85"/>
      <c r="E32" s="85" t="s">
        <v>225</v>
      </c>
      <c r="F32" s="85" t="s">
        <v>206</v>
      </c>
      <c r="G32" s="51">
        <v>17.27</v>
      </c>
      <c r="H32" s="51"/>
      <c r="I32" s="86"/>
      <c r="J32" s="70" t="s">
        <v>279</v>
      </c>
      <c r="K32" s="51">
        <v>5</v>
      </c>
      <c r="L32" s="31">
        <f>VLOOKUP(K32,Reinigungstage!A10:B31,2,FALSE)</f>
        <v>252.5</v>
      </c>
      <c r="M32" s="31">
        <f t="shared" si="0"/>
        <v>4360.68</v>
      </c>
      <c r="N32" s="87">
        <f t="shared" si="1"/>
        <v>0</v>
      </c>
      <c r="O32" s="31">
        <f ca="1">IF('SVS UnterhaltsRG'!H61="",0,'SVS UnterhaltsRG'!H61)</f>
        <v>0</v>
      </c>
      <c r="P32" s="31">
        <f t="shared" si="2"/>
        <v>0</v>
      </c>
      <c r="Q32" s="31">
        <f t="shared" ca="1" si="3"/>
        <v>0</v>
      </c>
      <c r="R32" s="31">
        <f t="shared" si="4"/>
        <v>0</v>
      </c>
      <c r="S32" s="31">
        <f t="shared" ca="1" si="5"/>
        <v>0</v>
      </c>
      <c r="T32" s="3" t="str">
        <f t="shared" si="6"/>
        <v>Leistungswert eintragen</v>
      </c>
      <c r="U32" s="3">
        <f t="shared" si="7"/>
        <v>138.75</v>
      </c>
      <c r="V32" s="3">
        <f t="shared" si="8"/>
        <v>0</v>
      </c>
    </row>
    <row r="33" spans="1:22" ht="15" customHeight="1" x14ac:dyDescent="0.2">
      <c r="A33" s="70">
        <v>12</v>
      </c>
      <c r="B33" s="84" t="s">
        <v>9</v>
      </c>
      <c r="C33" s="85" t="s">
        <v>204</v>
      </c>
      <c r="D33" s="85"/>
      <c r="E33" s="85" t="s">
        <v>226</v>
      </c>
      <c r="F33" s="85" t="s">
        <v>206</v>
      </c>
      <c r="G33" s="51">
        <v>19.88</v>
      </c>
      <c r="H33" s="51"/>
      <c r="I33" s="86"/>
      <c r="J33" s="70" t="s">
        <v>278</v>
      </c>
      <c r="K33" s="51">
        <v>5</v>
      </c>
      <c r="L33" s="31">
        <f>VLOOKUP(K33,Reinigungstage!A10:B31,2,FALSE)</f>
        <v>252.5</v>
      </c>
      <c r="M33" s="31">
        <f t="shared" si="0"/>
        <v>5019.7</v>
      </c>
      <c r="N33" s="87">
        <f t="shared" si="1"/>
        <v>0</v>
      </c>
      <c r="O33" s="31">
        <f ca="1">IF('SVS UnterhaltsRG'!H61="",0,'SVS UnterhaltsRG'!H61)</f>
        <v>0</v>
      </c>
      <c r="P33" s="31">
        <f t="shared" si="2"/>
        <v>0</v>
      </c>
      <c r="Q33" s="31">
        <f t="shared" ca="1" si="3"/>
        <v>0</v>
      </c>
      <c r="R33" s="31">
        <f t="shared" si="4"/>
        <v>0</v>
      </c>
      <c r="S33" s="31">
        <f t="shared" ca="1" si="5"/>
        <v>0</v>
      </c>
      <c r="T33" s="3" t="str">
        <f t="shared" si="6"/>
        <v>Leistungswert eintragen</v>
      </c>
      <c r="U33" s="3">
        <f t="shared" si="7"/>
        <v>300</v>
      </c>
      <c r="V33" s="3">
        <f t="shared" si="8"/>
        <v>0</v>
      </c>
    </row>
    <row r="34" spans="1:22" ht="15" customHeight="1" x14ac:dyDescent="0.2">
      <c r="A34" s="70">
        <v>13</v>
      </c>
      <c r="B34" s="84" t="s">
        <v>11</v>
      </c>
      <c r="C34" s="85" t="s">
        <v>204</v>
      </c>
      <c r="D34" s="85"/>
      <c r="E34" s="85" t="s">
        <v>227</v>
      </c>
      <c r="F34" s="85" t="s">
        <v>217</v>
      </c>
      <c r="G34" s="51">
        <v>16.34</v>
      </c>
      <c r="H34" s="51"/>
      <c r="I34" s="86"/>
      <c r="J34" s="70" t="s">
        <v>275</v>
      </c>
      <c r="K34" s="51">
        <v>2</v>
      </c>
      <c r="L34" s="31">
        <f>VLOOKUP(K34,Reinigungstage!A10:B31,2,FALSE)</f>
        <v>104.91</v>
      </c>
      <c r="M34" s="31">
        <f t="shared" si="0"/>
        <v>1714.23</v>
      </c>
      <c r="N34" s="87">
        <f t="shared" si="1"/>
        <v>0</v>
      </c>
      <c r="O34" s="31">
        <f ca="1">IF('SVS UnterhaltsRG'!H61="",0,'SVS UnterhaltsRG'!H61)</f>
        <v>0</v>
      </c>
      <c r="P34" s="31">
        <f t="shared" si="2"/>
        <v>0</v>
      </c>
      <c r="Q34" s="31">
        <f t="shared" ca="1" si="3"/>
        <v>0</v>
      </c>
      <c r="R34" s="31">
        <f t="shared" si="4"/>
        <v>0</v>
      </c>
      <c r="S34" s="31">
        <f t="shared" ca="1" si="5"/>
        <v>0</v>
      </c>
      <c r="T34" s="3" t="str">
        <f t="shared" si="6"/>
        <v>Leistungswert eintragen</v>
      </c>
      <c r="U34" s="3">
        <f t="shared" si="7"/>
        <v>140</v>
      </c>
      <c r="V34" s="3">
        <f t="shared" si="8"/>
        <v>0</v>
      </c>
    </row>
    <row r="35" spans="1:22" ht="15" customHeight="1" x14ac:dyDescent="0.2">
      <c r="A35" s="70">
        <v>14</v>
      </c>
      <c r="B35" s="84" t="s">
        <v>13</v>
      </c>
      <c r="C35" s="85" t="s">
        <v>204</v>
      </c>
      <c r="D35" s="85"/>
      <c r="E35" s="85" t="s">
        <v>228</v>
      </c>
      <c r="F35" s="85" t="s">
        <v>217</v>
      </c>
      <c r="G35" s="51">
        <v>33.76</v>
      </c>
      <c r="H35" s="51"/>
      <c r="I35" s="86"/>
      <c r="J35" s="70" t="s">
        <v>278</v>
      </c>
      <c r="K35" s="51">
        <v>5</v>
      </c>
      <c r="L35" s="31">
        <f>VLOOKUP(K35,Reinigungstage!A10:B31,2,FALSE)</f>
        <v>252.5</v>
      </c>
      <c r="M35" s="31">
        <f t="shared" si="0"/>
        <v>8524.4</v>
      </c>
      <c r="N35" s="87">
        <f t="shared" si="1"/>
        <v>0</v>
      </c>
      <c r="O35" s="31">
        <f ca="1">IF('SVS UnterhaltsRG'!H61="",0,'SVS UnterhaltsRG'!H61)</f>
        <v>0</v>
      </c>
      <c r="P35" s="31">
        <f t="shared" si="2"/>
        <v>0</v>
      </c>
      <c r="Q35" s="31">
        <f t="shared" ca="1" si="3"/>
        <v>0</v>
      </c>
      <c r="R35" s="31">
        <f t="shared" si="4"/>
        <v>0</v>
      </c>
      <c r="S35" s="31">
        <f t="shared" ca="1" si="5"/>
        <v>0</v>
      </c>
      <c r="T35" s="3" t="str">
        <f t="shared" si="6"/>
        <v>Leistungswert eintragen</v>
      </c>
      <c r="U35" s="3">
        <f t="shared" si="7"/>
        <v>300</v>
      </c>
      <c r="V35" s="3">
        <f t="shared" si="8"/>
        <v>0</v>
      </c>
    </row>
    <row r="36" spans="1:22" ht="15" customHeight="1" x14ac:dyDescent="0.2">
      <c r="A36" s="70">
        <v>15</v>
      </c>
      <c r="B36" s="84" t="s">
        <v>229</v>
      </c>
      <c r="C36" s="85" t="s">
        <v>230</v>
      </c>
      <c r="D36" s="85"/>
      <c r="E36" s="85" t="s">
        <v>231</v>
      </c>
      <c r="F36" s="85" t="s">
        <v>232</v>
      </c>
      <c r="G36" s="51">
        <v>69.41</v>
      </c>
      <c r="H36" s="51"/>
      <c r="I36" s="86"/>
      <c r="J36" s="70" t="s">
        <v>280</v>
      </c>
      <c r="K36" s="51">
        <v>1</v>
      </c>
      <c r="L36" s="31">
        <f>VLOOKUP(K36,Reinigungstage!A10:B31,2,FALSE)</f>
        <v>52.45</v>
      </c>
      <c r="M36" s="31">
        <f t="shared" si="0"/>
        <v>3640.55</v>
      </c>
      <c r="N36" s="87">
        <f t="shared" si="1"/>
        <v>0</v>
      </c>
      <c r="O36" s="31">
        <f ca="1">IF('SVS UnterhaltsRG'!H61="",0,'SVS UnterhaltsRG'!H61)</f>
        <v>0</v>
      </c>
      <c r="P36" s="31">
        <f t="shared" si="2"/>
        <v>0</v>
      </c>
      <c r="Q36" s="31">
        <f t="shared" ca="1" si="3"/>
        <v>0</v>
      </c>
      <c r="R36" s="31">
        <f t="shared" si="4"/>
        <v>0</v>
      </c>
      <c r="S36" s="31">
        <f t="shared" ca="1" si="5"/>
        <v>0</v>
      </c>
      <c r="T36" s="3" t="str">
        <f t="shared" si="6"/>
        <v>Leistungswert eintragen</v>
      </c>
      <c r="U36" s="3">
        <f t="shared" si="7"/>
        <v>262.5</v>
      </c>
      <c r="V36" s="3">
        <f t="shared" si="8"/>
        <v>0</v>
      </c>
    </row>
    <row r="37" spans="1:22" ht="15" customHeight="1" x14ac:dyDescent="0.2">
      <c r="A37" s="70">
        <v>16</v>
      </c>
      <c r="B37" s="84" t="s">
        <v>233</v>
      </c>
      <c r="C37" s="85" t="s">
        <v>230</v>
      </c>
      <c r="D37" s="85"/>
      <c r="E37" s="85" t="s">
        <v>234</v>
      </c>
      <c r="F37" s="85" t="s">
        <v>232</v>
      </c>
      <c r="G37" s="51">
        <v>16.13</v>
      </c>
      <c r="H37" s="51"/>
      <c r="I37" s="86"/>
      <c r="J37" s="70" t="s">
        <v>208</v>
      </c>
      <c r="K37" s="51">
        <v>2</v>
      </c>
      <c r="L37" s="31">
        <f>VLOOKUP(K37,Reinigungstage!A10:B31,2,FALSE)</f>
        <v>104.91</v>
      </c>
      <c r="M37" s="31">
        <f t="shared" si="0"/>
        <v>1692.2</v>
      </c>
      <c r="N37" s="87">
        <f t="shared" si="1"/>
        <v>0</v>
      </c>
      <c r="O37" s="31">
        <f ca="1">IF('SVS UnterhaltsRG'!H61="",0,'SVS UnterhaltsRG'!H61)</f>
        <v>0</v>
      </c>
      <c r="P37" s="31">
        <f t="shared" si="2"/>
        <v>0</v>
      </c>
      <c r="Q37" s="31">
        <f t="shared" ca="1" si="3"/>
        <v>0</v>
      </c>
      <c r="R37" s="31">
        <f t="shared" si="4"/>
        <v>0</v>
      </c>
      <c r="S37" s="31">
        <f t="shared" ca="1" si="5"/>
        <v>0</v>
      </c>
      <c r="T37" s="3" t="str">
        <f t="shared" si="6"/>
        <v>Leistungswert eintragen</v>
      </c>
      <c r="U37" s="3">
        <f t="shared" si="7"/>
        <v>168.75</v>
      </c>
      <c r="V37" s="3">
        <f t="shared" si="8"/>
        <v>0</v>
      </c>
    </row>
    <row r="38" spans="1:22" ht="15" customHeight="1" x14ac:dyDescent="0.2">
      <c r="A38" s="70">
        <v>17</v>
      </c>
      <c r="B38" s="84" t="s">
        <v>235</v>
      </c>
      <c r="C38" s="85" t="s">
        <v>230</v>
      </c>
      <c r="D38" s="85"/>
      <c r="E38" s="85" t="s">
        <v>208</v>
      </c>
      <c r="F38" s="85" t="s">
        <v>232</v>
      </c>
      <c r="G38" s="51">
        <v>18.760000000000002</v>
      </c>
      <c r="H38" s="51"/>
      <c r="I38" s="86"/>
      <c r="J38" s="70" t="s">
        <v>208</v>
      </c>
      <c r="K38" s="51">
        <v>2</v>
      </c>
      <c r="L38" s="31">
        <f>VLOOKUP(K38,Reinigungstage!A10:B31,2,FALSE)</f>
        <v>104.91</v>
      </c>
      <c r="M38" s="31">
        <f t="shared" si="0"/>
        <v>1968.11</v>
      </c>
      <c r="N38" s="87">
        <f t="shared" si="1"/>
        <v>0</v>
      </c>
      <c r="O38" s="31">
        <f ca="1">IF('SVS UnterhaltsRG'!H61="",0,'SVS UnterhaltsRG'!H61)</f>
        <v>0</v>
      </c>
      <c r="P38" s="31">
        <f t="shared" si="2"/>
        <v>0</v>
      </c>
      <c r="Q38" s="31">
        <f t="shared" ca="1" si="3"/>
        <v>0</v>
      </c>
      <c r="R38" s="31">
        <f t="shared" si="4"/>
        <v>0</v>
      </c>
      <c r="S38" s="31">
        <f t="shared" ca="1" si="5"/>
        <v>0</v>
      </c>
      <c r="T38" s="3" t="str">
        <f t="shared" si="6"/>
        <v>Leistungswert eintragen</v>
      </c>
      <c r="U38" s="3">
        <f t="shared" si="7"/>
        <v>168.75</v>
      </c>
      <c r="V38" s="3">
        <f t="shared" si="8"/>
        <v>0</v>
      </c>
    </row>
    <row r="39" spans="1:22" ht="15" customHeight="1" x14ac:dyDescent="0.2">
      <c r="A39" s="70">
        <v>18</v>
      </c>
      <c r="B39" s="84" t="s">
        <v>236</v>
      </c>
      <c r="C39" s="85" t="s">
        <v>230</v>
      </c>
      <c r="D39" s="85"/>
      <c r="E39" s="85" t="s">
        <v>237</v>
      </c>
      <c r="F39" s="85" t="s">
        <v>232</v>
      </c>
      <c r="G39" s="51">
        <v>16.79</v>
      </c>
      <c r="H39" s="51"/>
      <c r="I39" s="86"/>
      <c r="J39" s="70" t="s">
        <v>208</v>
      </c>
      <c r="K39" s="51">
        <v>2</v>
      </c>
      <c r="L39" s="31">
        <f>VLOOKUP(K39,Reinigungstage!A10:B31,2,FALSE)</f>
        <v>104.91</v>
      </c>
      <c r="M39" s="31">
        <f t="shared" si="0"/>
        <v>1761.44</v>
      </c>
      <c r="N39" s="87">
        <f t="shared" si="1"/>
        <v>0</v>
      </c>
      <c r="O39" s="31">
        <f ca="1">IF('SVS UnterhaltsRG'!H61="",0,'SVS UnterhaltsRG'!H61)</f>
        <v>0</v>
      </c>
      <c r="P39" s="31">
        <f t="shared" si="2"/>
        <v>0</v>
      </c>
      <c r="Q39" s="31">
        <f t="shared" ca="1" si="3"/>
        <v>0</v>
      </c>
      <c r="R39" s="31">
        <f t="shared" si="4"/>
        <v>0</v>
      </c>
      <c r="S39" s="31">
        <f t="shared" ca="1" si="5"/>
        <v>0</v>
      </c>
      <c r="T39" s="3" t="str">
        <f t="shared" si="6"/>
        <v>Leistungswert eintragen</v>
      </c>
      <c r="U39" s="3">
        <f t="shared" si="7"/>
        <v>168.75</v>
      </c>
      <c r="V39" s="3">
        <f t="shared" si="8"/>
        <v>0</v>
      </c>
    </row>
    <row r="40" spans="1:22" ht="15" customHeight="1" x14ac:dyDescent="0.2">
      <c r="A40" s="70">
        <v>19</v>
      </c>
      <c r="B40" s="84" t="s">
        <v>238</v>
      </c>
      <c r="C40" s="85" t="s">
        <v>230</v>
      </c>
      <c r="D40" s="85"/>
      <c r="E40" s="85" t="s">
        <v>239</v>
      </c>
      <c r="F40" s="85" t="s">
        <v>232</v>
      </c>
      <c r="G40" s="51"/>
      <c r="H40" s="51"/>
      <c r="I40" s="86"/>
      <c r="J40" s="70" t="s">
        <v>280</v>
      </c>
      <c r="K40" s="51">
        <v>0</v>
      </c>
      <c r="L40" s="31">
        <f>VLOOKUP(K40,Reinigungstage!A10:B31,2,FALSE)</f>
        <v>0</v>
      </c>
      <c r="M40" s="31">
        <f t="shared" si="0"/>
        <v>0</v>
      </c>
      <c r="N40" s="87">
        <f t="shared" si="1"/>
        <v>0</v>
      </c>
      <c r="O40" s="31">
        <f ca="1">IF('SVS UnterhaltsRG'!H61="",0,'SVS UnterhaltsRG'!H61)</f>
        <v>0</v>
      </c>
      <c r="P40" s="31">
        <f t="shared" si="2"/>
        <v>0</v>
      </c>
      <c r="Q40" s="31">
        <f t="shared" si="3"/>
        <v>0</v>
      </c>
      <c r="R40" s="31">
        <f t="shared" si="4"/>
        <v>0</v>
      </c>
      <c r="S40" s="31">
        <f t="shared" si="5"/>
        <v>0</v>
      </c>
      <c r="T40" s="3" t="str">
        <f t="shared" si="6"/>
        <v/>
      </c>
      <c r="U40" s="3">
        <f t="shared" si="7"/>
        <v>262.5</v>
      </c>
      <c r="V40" s="3">
        <f t="shared" si="8"/>
        <v>0</v>
      </c>
    </row>
    <row r="41" spans="1:22" ht="15" customHeight="1" x14ac:dyDescent="0.2">
      <c r="A41" s="70">
        <v>20</v>
      </c>
      <c r="B41" s="84" t="s">
        <v>240</v>
      </c>
      <c r="C41" s="85" t="s">
        <v>230</v>
      </c>
      <c r="D41" s="85"/>
      <c r="E41" s="85" t="s">
        <v>241</v>
      </c>
      <c r="F41" s="85" t="s">
        <v>232</v>
      </c>
      <c r="G41" s="51">
        <v>10.34</v>
      </c>
      <c r="H41" s="51"/>
      <c r="I41" s="86"/>
      <c r="J41" s="70" t="s">
        <v>280</v>
      </c>
      <c r="K41" s="51">
        <v>1</v>
      </c>
      <c r="L41" s="31">
        <f>VLOOKUP(K41,Reinigungstage!A10:B31,2,FALSE)</f>
        <v>52.45</v>
      </c>
      <c r="M41" s="31">
        <f t="shared" si="0"/>
        <v>542.33000000000004</v>
      </c>
      <c r="N41" s="87">
        <f t="shared" si="1"/>
        <v>0</v>
      </c>
      <c r="O41" s="31">
        <f ca="1">IF('SVS UnterhaltsRG'!H61="",0,'SVS UnterhaltsRG'!H61)</f>
        <v>0</v>
      </c>
      <c r="P41" s="31">
        <f t="shared" si="2"/>
        <v>0</v>
      </c>
      <c r="Q41" s="31">
        <f t="shared" ca="1" si="3"/>
        <v>0</v>
      </c>
      <c r="R41" s="31">
        <f t="shared" si="4"/>
        <v>0</v>
      </c>
      <c r="S41" s="31">
        <f t="shared" ca="1" si="5"/>
        <v>0</v>
      </c>
      <c r="T41" s="3" t="str">
        <f t="shared" si="6"/>
        <v>Leistungswert eintragen</v>
      </c>
      <c r="U41" s="3">
        <f t="shared" si="7"/>
        <v>262.5</v>
      </c>
      <c r="V41" s="3">
        <f t="shared" si="8"/>
        <v>0</v>
      </c>
    </row>
    <row r="42" spans="1:22" ht="15" customHeight="1" x14ac:dyDescent="0.2">
      <c r="A42" s="70">
        <v>21</v>
      </c>
      <c r="B42" s="84" t="s">
        <v>242</v>
      </c>
      <c r="C42" s="85" t="s">
        <v>230</v>
      </c>
      <c r="D42" s="85"/>
      <c r="E42" s="85" t="s">
        <v>216</v>
      </c>
      <c r="F42" s="85" t="s">
        <v>217</v>
      </c>
      <c r="G42" s="51">
        <v>2.5499999999999998</v>
      </c>
      <c r="H42" s="51"/>
      <c r="I42" s="86"/>
      <c r="J42" s="70" t="s">
        <v>276</v>
      </c>
      <c r="K42" s="51">
        <v>2</v>
      </c>
      <c r="L42" s="31">
        <f>VLOOKUP(K42,Reinigungstage!A10:B31,2,FALSE)</f>
        <v>104.91</v>
      </c>
      <c r="M42" s="31">
        <f t="shared" si="0"/>
        <v>267.52</v>
      </c>
      <c r="N42" s="87">
        <f t="shared" si="1"/>
        <v>0</v>
      </c>
      <c r="O42" s="31">
        <f ca="1">IF('SVS UnterhaltsRG'!H61="",0,'SVS UnterhaltsRG'!H61)</f>
        <v>0</v>
      </c>
      <c r="P42" s="31">
        <f t="shared" si="2"/>
        <v>0</v>
      </c>
      <c r="Q42" s="31">
        <f t="shared" ca="1" si="3"/>
        <v>0</v>
      </c>
      <c r="R42" s="31">
        <f t="shared" si="4"/>
        <v>0</v>
      </c>
      <c r="S42" s="31">
        <f t="shared" ca="1" si="5"/>
        <v>0</v>
      </c>
      <c r="T42" s="3" t="str">
        <f t="shared" si="6"/>
        <v>Leistungswert eintragen</v>
      </c>
      <c r="U42" s="3">
        <f t="shared" si="7"/>
        <v>63.75</v>
      </c>
      <c r="V42" s="3">
        <f t="shared" si="8"/>
        <v>0</v>
      </c>
    </row>
    <row r="43" spans="1:22" ht="15" customHeight="1" x14ac:dyDescent="0.2">
      <c r="A43" s="70">
        <v>22</v>
      </c>
      <c r="B43" s="84" t="s">
        <v>243</v>
      </c>
      <c r="C43" s="85" t="s">
        <v>230</v>
      </c>
      <c r="D43" s="85"/>
      <c r="E43" s="85" t="s">
        <v>216</v>
      </c>
      <c r="F43" s="85" t="s">
        <v>217</v>
      </c>
      <c r="G43" s="51">
        <v>2.8</v>
      </c>
      <c r="H43" s="51"/>
      <c r="I43" s="86"/>
      <c r="J43" s="70" t="s">
        <v>276</v>
      </c>
      <c r="K43" s="51">
        <v>2</v>
      </c>
      <c r="L43" s="31">
        <f>VLOOKUP(K43,Reinigungstage!A10:B31,2,FALSE)</f>
        <v>104.91</v>
      </c>
      <c r="M43" s="31">
        <f t="shared" si="0"/>
        <v>293.75</v>
      </c>
      <c r="N43" s="87">
        <f t="shared" si="1"/>
        <v>0</v>
      </c>
      <c r="O43" s="31">
        <f ca="1">IF('SVS UnterhaltsRG'!H61="",0,'SVS UnterhaltsRG'!H61)</f>
        <v>0</v>
      </c>
      <c r="P43" s="31">
        <f t="shared" si="2"/>
        <v>0</v>
      </c>
      <c r="Q43" s="31">
        <f t="shared" ca="1" si="3"/>
        <v>0</v>
      </c>
      <c r="R43" s="31">
        <f t="shared" si="4"/>
        <v>0</v>
      </c>
      <c r="S43" s="31">
        <f t="shared" ca="1" si="5"/>
        <v>0</v>
      </c>
      <c r="T43" s="3" t="str">
        <f t="shared" si="6"/>
        <v>Leistungswert eintragen</v>
      </c>
      <c r="U43" s="3">
        <f t="shared" si="7"/>
        <v>63.75</v>
      </c>
      <c r="V43" s="3">
        <f t="shared" si="8"/>
        <v>0</v>
      </c>
    </row>
    <row r="44" spans="1:22" ht="15" customHeight="1" x14ac:dyDescent="0.2">
      <c r="A44" s="70">
        <v>23</v>
      </c>
      <c r="B44" s="84" t="s">
        <v>244</v>
      </c>
      <c r="C44" s="85" t="s">
        <v>230</v>
      </c>
      <c r="D44" s="85"/>
      <c r="E44" s="85" t="s">
        <v>220</v>
      </c>
      <c r="F44" s="85" t="s">
        <v>217</v>
      </c>
      <c r="G44" s="51">
        <v>3.4</v>
      </c>
      <c r="H44" s="51"/>
      <c r="I44" s="86"/>
      <c r="J44" s="70" t="s">
        <v>276</v>
      </c>
      <c r="K44" s="51">
        <v>2</v>
      </c>
      <c r="L44" s="31">
        <f>VLOOKUP(K44,Reinigungstage!A10:B31,2,FALSE)</f>
        <v>104.91</v>
      </c>
      <c r="M44" s="31">
        <f t="shared" si="0"/>
        <v>356.69</v>
      </c>
      <c r="N44" s="87">
        <f t="shared" si="1"/>
        <v>0</v>
      </c>
      <c r="O44" s="31">
        <f ca="1">IF('SVS UnterhaltsRG'!H61="",0,'SVS UnterhaltsRG'!H61)</f>
        <v>0</v>
      </c>
      <c r="P44" s="31">
        <f t="shared" si="2"/>
        <v>0</v>
      </c>
      <c r="Q44" s="31">
        <f t="shared" ca="1" si="3"/>
        <v>0</v>
      </c>
      <c r="R44" s="31">
        <f t="shared" si="4"/>
        <v>0</v>
      </c>
      <c r="S44" s="31">
        <f t="shared" ca="1" si="5"/>
        <v>0</v>
      </c>
      <c r="T44" s="3" t="str">
        <f t="shared" si="6"/>
        <v>Leistungswert eintragen</v>
      </c>
      <c r="U44" s="3">
        <f t="shared" si="7"/>
        <v>63.75</v>
      </c>
      <c r="V44" s="3">
        <f t="shared" si="8"/>
        <v>0</v>
      </c>
    </row>
    <row r="45" spans="1:22" ht="15" customHeight="1" x14ac:dyDescent="0.2">
      <c r="A45" s="70">
        <v>24</v>
      </c>
      <c r="B45" s="84" t="s">
        <v>245</v>
      </c>
      <c r="C45" s="85" t="s">
        <v>230</v>
      </c>
      <c r="D45" s="85"/>
      <c r="E45" s="85" t="s">
        <v>222</v>
      </c>
      <c r="F45" s="85" t="s">
        <v>232</v>
      </c>
      <c r="G45" s="51">
        <v>4.8499999999999996</v>
      </c>
      <c r="H45" s="51"/>
      <c r="I45" s="86"/>
      <c r="J45" s="70" t="s">
        <v>277</v>
      </c>
      <c r="K45" s="51">
        <v>2</v>
      </c>
      <c r="L45" s="31">
        <f>VLOOKUP(K45,Reinigungstage!A10:B31,2,FALSE)</f>
        <v>104.91</v>
      </c>
      <c r="M45" s="31">
        <f t="shared" si="0"/>
        <v>508.81</v>
      </c>
      <c r="N45" s="87">
        <f t="shared" si="1"/>
        <v>0</v>
      </c>
      <c r="O45" s="31">
        <f ca="1">IF('SVS UnterhaltsRG'!H61="",0,'SVS UnterhaltsRG'!H61)</f>
        <v>0</v>
      </c>
      <c r="P45" s="31">
        <f t="shared" si="2"/>
        <v>0</v>
      </c>
      <c r="Q45" s="31">
        <f t="shared" ca="1" si="3"/>
        <v>0</v>
      </c>
      <c r="R45" s="31">
        <f t="shared" si="4"/>
        <v>0</v>
      </c>
      <c r="S45" s="31">
        <f t="shared" ca="1" si="5"/>
        <v>0</v>
      </c>
      <c r="T45" s="3" t="str">
        <f t="shared" si="6"/>
        <v>Leistungswert eintragen</v>
      </c>
      <c r="U45" s="3">
        <f t="shared" si="7"/>
        <v>88.75</v>
      </c>
      <c r="V45" s="3">
        <f t="shared" si="8"/>
        <v>0</v>
      </c>
    </row>
    <row r="46" spans="1:22" ht="15" customHeight="1" x14ac:dyDescent="0.2">
      <c r="A46" s="70">
        <v>25</v>
      </c>
      <c r="B46" s="84" t="s">
        <v>246</v>
      </c>
      <c r="C46" s="85" t="s">
        <v>230</v>
      </c>
      <c r="D46" s="85"/>
      <c r="E46" s="85" t="s">
        <v>224</v>
      </c>
      <c r="F46" s="85" t="s">
        <v>232</v>
      </c>
      <c r="G46" s="51">
        <v>16.75</v>
      </c>
      <c r="H46" s="51"/>
      <c r="I46" s="86"/>
      <c r="J46" s="70" t="s">
        <v>278</v>
      </c>
      <c r="K46" s="51">
        <v>2</v>
      </c>
      <c r="L46" s="31">
        <f>VLOOKUP(K46,Reinigungstage!A10:B31,2,FALSE)</f>
        <v>104.91</v>
      </c>
      <c r="M46" s="31">
        <f t="shared" si="0"/>
        <v>1757.24</v>
      </c>
      <c r="N46" s="87">
        <f t="shared" si="1"/>
        <v>0</v>
      </c>
      <c r="O46" s="31">
        <f ca="1">IF('SVS UnterhaltsRG'!H61="",0,'SVS UnterhaltsRG'!H61)</f>
        <v>0</v>
      </c>
      <c r="P46" s="31">
        <f t="shared" si="2"/>
        <v>0</v>
      </c>
      <c r="Q46" s="31">
        <f t="shared" ca="1" si="3"/>
        <v>0</v>
      </c>
      <c r="R46" s="31">
        <f t="shared" si="4"/>
        <v>0</v>
      </c>
      <c r="S46" s="31">
        <f t="shared" ca="1" si="5"/>
        <v>0</v>
      </c>
      <c r="T46" s="3" t="str">
        <f t="shared" si="6"/>
        <v>Leistungswert eintragen</v>
      </c>
      <c r="U46" s="3">
        <f t="shared" si="7"/>
        <v>300</v>
      </c>
      <c r="V46" s="3">
        <f t="shared" si="8"/>
        <v>0</v>
      </c>
    </row>
    <row r="47" spans="1:22" ht="15" customHeight="1" x14ac:dyDescent="0.2">
      <c r="A47" s="70">
        <v>26</v>
      </c>
      <c r="B47" s="84" t="s">
        <v>247</v>
      </c>
      <c r="C47" s="85" t="s">
        <v>230</v>
      </c>
      <c r="D47" s="85"/>
      <c r="E47" s="85" t="s">
        <v>225</v>
      </c>
      <c r="F47" s="85" t="s">
        <v>232</v>
      </c>
      <c r="G47" s="51">
        <v>17.27</v>
      </c>
      <c r="H47" s="51"/>
      <c r="I47" s="86"/>
      <c r="J47" s="70" t="s">
        <v>279</v>
      </c>
      <c r="K47" s="51">
        <v>5</v>
      </c>
      <c r="L47" s="31">
        <f>VLOOKUP(K47,Reinigungstage!A10:B31,2,FALSE)</f>
        <v>252.5</v>
      </c>
      <c r="M47" s="31">
        <f t="shared" si="0"/>
        <v>4360.68</v>
      </c>
      <c r="N47" s="87">
        <f t="shared" si="1"/>
        <v>0</v>
      </c>
      <c r="O47" s="31">
        <f ca="1">IF('SVS UnterhaltsRG'!H61="",0,'SVS UnterhaltsRG'!H61)</f>
        <v>0</v>
      </c>
      <c r="P47" s="31">
        <f t="shared" si="2"/>
        <v>0</v>
      </c>
      <c r="Q47" s="31">
        <f t="shared" ca="1" si="3"/>
        <v>0</v>
      </c>
      <c r="R47" s="31">
        <f t="shared" si="4"/>
        <v>0</v>
      </c>
      <c r="S47" s="31">
        <f t="shared" ca="1" si="5"/>
        <v>0</v>
      </c>
      <c r="T47" s="3" t="str">
        <f t="shared" si="6"/>
        <v>Leistungswert eintragen</v>
      </c>
      <c r="U47" s="3">
        <f t="shared" si="7"/>
        <v>138.75</v>
      </c>
      <c r="V47" s="3">
        <f t="shared" si="8"/>
        <v>0</v>
      </c>
    </row>
    <row r="48" spans="1:22" ht="15" customHeight="1" x14ac:dyDescent="0.2">
      <c r="A48" s="70">
        <v>27</v>
      </c>
      <c r="B48" s="84" t="s">
        <v>248</v>
      </c>
      <c r="C48" s="85" t="s">
        <v>230</v>
      </c>
      <c r="D48" s="85"/>
      <c r="E48" s="85" t="s">
        <v>226</v>
      </c>
      <c r="F48" s="85" t="s">
        <v>232</v>
      </c>
      <c r="G48" s="51">
        <v>19.89</v>
      </c>
      <c r="H48" s="51"/>
      <c r="I48" s="86"/>
      <c r="J48" s="70" t="s">
        <v>278</v>
      </c>
      <c r="K48" s="51">
        <v>2</v>
      </c>
      <c r="L48" s="31">
        <f>VLOOKUP(K48,Reinigungstage!A10:B31,2,FALSE)</f>
        <v>104.91</v>
      </c>
      <c r="M48" s="31">
        <f t="shared" si="0"/>
        <v>2086.66</v>
      </c>
      <c r="N48" s="87">
        <f t="shared" si="1"/>
        <v>0</v>
      </c>
      <c r="O48" s="31">
        <f ca="1">IF('SVS UnterhaltsRG'!H61="",0,'SVS UnterhaltsRG'!H61)</f>
        <v>0</v>
      </c>
      <c r="P48" s="31">
        <f t="shared" si="2"/>
        <v>0</v>
      </c>
      <c r="Q48" s="31">
        <f t="shared" ca="1" si="3"/>
        <v>0</v>
      </c>
      <c r="R48" s="31">
        <f t="shared" si="4"/>
        <v>0</v>
      </c>
      <c r="S48" s="31">
        <f t="shared" ca="1" si="5"/>
        <v>0</v>
      </c>
      <c r="T48" s="3" t="str">
        <f t="shared" si="6"/>
        <v>Leistungswert eintragen</v>
      </c>
      <c r="U48" s="3">
        <f t="shared" si="7"/>
        <v>300</v>
      </c>
      <c r="V48" s="3">
        <f t="shared" si="8"/>
        <v>0</v>
      </c>
    </row>
    <row r="49" spans="1:22" ht="15" customHeight="1" x14ac:dyDescent="0.2">
      <c r="A49" s="70">
        <v>28</v>
      </c>
      <c r="B49" s="84" t="s">
        <v>249</v>
      </c>
      <c r="C49" s="85" t="s">
        <v>230</v>
      </c>
      <c r="D49" s="85"/>
      <c r="E49" s="85" t="s">
        <v>227</v>
      </c>
      <c r="F49" s="85" t="s">
        <v>217</v>
      </c>
      <c r="G49" s="51">
        <v>15.94</v>
      </c>
      <c r="H49" s="51"/>
      <c r="I49" s="86"/>
      <c r="J49" s="70" t="s">
        <v>275</v>
      </c>
      <c r="K49" s="51">
        <v>2</v>
      </c>
      <c r="L49" s="31">
        <f>VLOOKUP(K49,Reinigungstage!A10:B31,2,FALSE)</f>
        <v>104.91</v>
      </c>
      <c r="M49" s="31">
        <f t="shared" si="0"/>
        <v>1672.27</v>
      </c>
      <c r="N49" s="87">
        <f t="shared" si="1"/>
        <v>0</v>
      </c>
      <c r="O49" s="31">
        <f ca="1">IF('SVS UnterhaltsRG'!H61="",0,'SVS UnterhaltsRG'!H61)</f>
        <v>0</v>
      </c>
      <c r="P49" s="31">
        <f t="shared" si="2"/>
        <v>0</v>
      </c>
      <c r="Q49" s="31">
        <f t="shared" ca="1" si="3"/>
        <v>0</v>
      </c>
      <c r="R49" s="31">
        <f t="shared" si="4"/>
        <v>0</v>
      </c>
      <c r="S49" s="31">
        <f t="shared" ca="1" si="5"/>
        <v>0</v>
      </c>
      <c r="T49" s="3" t="str">
        <f t="shared" si="6"/>
        <v>Leistungswert eintragen</v>
      </c>
      <c r="U49" s="3">
        <f t="shared" si="7"/>
        <v>140</v>
      </c>
      <c r="V49" s="3">
        <f t="shared" si="8"/>
        <v>0</v>
      </c>
    </row>
    <row r="50" spans="1:22" ht="15" customHeight="1" x14ac:dyDescent="0.2">
      <c r="A50" s="70">
        <v>29</v>
      </c>
      <c r="B50" s="84" t="s">
        <v>250</v>
      </c>
      <c r="C50" s="85" t="s">
        <v>230</v>
      </c>
      <c r="D50" s="85"/>
      <c r="E50" s="85" t="s">
        <v>228</v>
      </c>
      <c r="F50" s="85" t="s">
        <v>217</v>
      </c>
      <c r="G50" s="51">
        <v>33.76</v>
      </c>
      <c r="H50" s="51"/>
      <c r="I50" s="86"/>
      <c r="J50" s="70" t="s">
        <v>278</v>
      </c>
      <c r="K50" s="51">
        <v>5</v>
      </c>
      <c r="L50" s="31">
        <f>VLOOKUP(K50,Reinigungstage!A10:B31,2,FALSE)</f>
        <v>252.5</v>
      </c>
      <c r="M50" s="31">
        <f t="shared" si="0"/>
        <v>8524.4</v>
      </c>
      <c r="N50" s="87">
        <f t="shared" si="1"/>
        <v>0</v>
      </c>
      <c r="O50" s="31">
        <f ca="1">IF('SVS UnterhaltsRG'!H61="",0,'SVS UnterhaltsRG'!H61)</f>
        <v>0</v>
      </c>
      <c r="P50" s="31">
        <f t="shared" si="2"/>
        <v>0</v>
      </c>
      <c r="Q50" s="31">
        <f t="shared" ca="1" si="3"/>
        <v>0</v>
      </c>
      <c r="R50" s="31">
        <f t="shared" si="4"/>
        <v>0</v>
      </c>
      <c r="S50" s="31">
        <f t="shared" ca="1" si="5"/>
        <v>0</v>
      </c>
      <c r="T50" s="3" t="str">
        <f t="shared" si="6"/>
        <v>Leistungswert eintragen</v>
      </c>
      <c r="U50" s="3">
        <f t="shared" si="7"/>
        <v>300</v>
      </c>
      <c r="V50" s="3">
        <f t="shared" si="8"/>
        <v>0</v>
      </c>
    </row>
    <row r="51" spans="1:22" ht="21" x14ac:dyDescent="0.2">
      <c r="A51" s="70">
        <v>30</v>
      </c>
      <c r="B51" s="84" t="s">
        <v>251</v>
      </c>
      <c r="C51" s="85" t="s">
        <v>252</v>
      </c>
      <c r="D51" s="85"/>
      <c r="E51" s="85" t="s">
        <v>253</v>
      </c>
      <c r="F51" s="85" t="s">
        <v>217</v>
      </c>
      <c r="G51" s="51">
        <v>153.78</v>
      </c>
      <c r="H51" s="51"/>
      <c r="I51" s="86"/>
      <c r="J51" s="70" t="s">
        <v>275</v>
      </c>
      <c r="K51" s="51">
        <v>1</v>
      </c>
      <c r="L51" s="31">
        <f>VLOOKUP(K51,Reinigungstage!A10:B31,2,FALSE)</f>
        <v>52.45</v>
      </c>
      <c r="M51" s="31">
        <f t="shared" si="0"/>
        <v>8065.76</v>
      </c>
      <c r="N51" s="87">
        <f t="shared" si="1"/>
        <v>0</v>
      </c>
      <c r="O51" s="31">
        <f ca="1">IF('SVS UnterhaltsRG'!H61="",0,'SVS UnterhaltsRG'!H61)</f>
        <v>0</v>
      </c>
      <c r="P51" s="31">
        <f t="shared" si="2"/>
        <v>0</v>
      </c>
      <c r="Q51" s="31">
        <f t="shared" ca="1" si="3"/>
        <v>0</v>
      </c>
      <c r="R51" s="31">
        <f t="shared" si="4"/>
        <v>0</v>
      </c>
      <c r="S51" s="31">
        <f t="shared" ca="1" si="5"/>
        <v>0</v>
      </c>
      <c r="T51" s="3" t="str">
        <f t="shared" si="6"/>
        <v>Leistungswert eintragen</v>
      </c>
      <c r="U51" s="3">
        <f t="shared" si="7"/>
        <v>140</v>
      </c>
      <c r="V51" s="3">
        <f t="shared" si="8"/>
        <v>0</v>
      </c>
    </row>
    <row r="52" spans="1:22" ht="15" customHeight="1" x14ac:dyDescent="0.2">
      <c r="A52" s="70">
        <v>31</v>
      </c>
      <c r="B52" s="84" t="s">
        <v>254</v>
      </c>
      <c r="C52" s="85" t="s">
        <v>252</v>
      </c>
      <c r="D52" s="85"/>
      <c r="E52" s="85" t="s">
        <v>255</v>
      </c>
      <c r="F52" s="85" t="s">
        <v>217</v>
      </c>
      <c r="G52" s="51">
        <v>0</v>
      </c>
      <c r="H52" s="51"/>
      <c r="I52" s="86"/>
      <c r="J52" s="70" t="s">
        <v>280</v>
      </c>
      <c r="K52" s="51">
        <v>0</v>
      </c>
      <c r="L52" s="31">
        <f>VLOOKUP(K52,Reinigungstage!A10:B31,2,FALSE)</f>
        <v>0</v>
      </c>
      <c r="M52" s="31">
        <f t="shared" si="0"/>
        <v>0</v>
      </c>
      <c r="N52" s="87">
        <f t="shared" si="1"/>
        <v>0</v>
      </c>
      <c r="O52" s="31">
        <f ca="1">IF('SVS UnterhaltsRG'!H61="",0,'SVS UnterhaltsRG'!H61)</f>
        <v>0</v>
      </c>
      <c r="P52" s="31">
        <f t="shared" si="2"/>
        <v>0</v>
      </c>
      <c r="Q52" s="31">
        <f t="shared" si="3"/>
        <v>0</v>
      </c>
      <c r="R52" s="31">
        <f t="shared" si="4"/>
        <v>0</v>
      </c>
      <c r="S52" s="31">
        <f t="shared" si="5"/>
        <v>0</v>
      </c>
      <c r="T52" s="3" t="str">
        <f t="shared" si="6"/>
        <v/>
      </c>
      <c r="U52" s="3">
        <f t="shared" si="7"/>
        <v>262.5</v>
      </c>
      <c r="V52" s="3">
        <f t="shared" si="8"/>
        <v>0</v>
      </c>
    </row>
    <row r="53" spans="1:22" ht="15" customHeight="1" x14ac:dyDescent="0.2">
      <c r="A53" s="70">
        <v>32</v>
      </c>
      <c r="B53" s="84" t="s">
        <v>256</v>
      </c>
      <c r="C53" s="85" t="s">
        <v>252</v>
      </c>
      <c r="D53" s="85"/>
      <c r="E53" s="85" t="s">
        <v>224</v>
      </c>
      <c r="F53" s="85" t="s">
        <v>217</v>
      </c>
      <c r="G53" s="51">
        <v>9.35</v>
      </c>
      <c r="H53" s="51"/>
      <c r="I53" s="86"/>
      <c r="J53" s="70" t="s">
        <v>278</v>
      </c>
      <c r="K53" s="51">
        <v>5</v>
      </c>
      <c r="L53" s="31">
        <f>VLOOKUP(K53,Reinigungstage!A10:B31,2,FALSE)</f>
        <v>252.5</v>
      </c>
      <c r="M53" s="31">
        <f t="shared" si="0"/>
        <v>2360.88</v>
      </c>
      <c r="N53" s="87">
        <f t="shared" si="1"/>
        <v>0</v>
      </c>
      <c r="O53" s="31">
        <f ca="1">IF('SVS UnterhaltsRG'!H61="",0,'SVS UnterhaltsRG'!H61)</f>
        <v>0</v>
      </c>
      <c r="P53" s="31">
        <f t="shared" si="2"/>
        <v>0</v>
      </c>
      <c r="Q53" s="31">
        <f t="shared" ca="1" si="3"/>
        <v>0</v>
      </c>
      <c r="R53" s="31">
        <f t="shared" si="4"/>
        <v>0</v>
      </c>
      <c r="S53" s="31">
        <f t="shared" ca="1" si="5"/>
        <v>0</v>
      </c>
      <c r="T53" s="3" t="str">
        <f t="shared" si="6"/>
        <v>Leistungswert eintragen</v>
      </c>
      <c r="U53" s="3">
        <f t="shared" si="7"/>
        <v>300</v>
      </c>
      <c r="V53" s="3">
        <f t="shared" si="8"/>
        <v>0</v>
      </c>
    </row>
    <row r="54" spans="1:22" ht="15" customHeight="1" x14ac:dyDescent="0.2">
      <c r="A54" s="70">
        <v>33</v>
      </c>
      <c r="B54" s="84" t="s">
        <v>257</v>
      </c>
      <c r="C54" s="85" t="s">
        <v>252</v>
      </c>
      <c r="D54" s="85"/>
      <c r="E54" s="85" t="s">
        <v>220</v>
      </c>
      <c r="F54" s="85" t="s">
        <v>217</v>
      </c>
      <c r="G54" s="51">
        <v>4.8600000000000003</v>
      </c>
      <c r="H54" s="51"/>
      <c r="I54" s="86"/>
      <c r="J54" s="70" t="s">
        <v>276</v>
      </c>
      <c r="K54" s="51">
        <v>5</v>
      </c>
      <c r="L54" s="31">
        <f>VLOOKUP(K54,Reinigungstage!A10:B31,2,FALSE)</f>
        <v>252.5</v>
      </c>
      <c r="M54" s="31">
        <f t="shared" si="0"/>
        <v>1227.1500000000001</v>
      </c>
      <c r="N54" s="87">
        <f t="shared" si="1"/>
        <v>0</v>
      </c>
      <c r="O54" s="31">
        <f ca="1">IF('SVS UnterhaltsRG'!H61="",0,'SVS UnterhaltsRG'!H61)</f>
        <v>0</v>
      </c>
      <c r="P54" s="31">
        <f t="shared" si="2"/>
        <v>0</v>
      </c>
      <c r="Q54" s="31">
        <f t="shared" ca="1" si="3"/>
        <v>0</v>
      </c>
      <c r="R54" s="31">
        <f t="shared" si="4"/>
        <v>0</v>
      </c>
      <c r="S54" s="31">
        <f t="shared" ca="1" si="5"/>
        <v>0</v>
      </c>
      <c r="T54" s="3" t="str">
        <f t="shared" si="6"/>
        <v>Leistungswert eintragen</v>
      </c>
      <c r="U54" s="3">
        <f t="shared" si="7"/>
        <v>63.75</v>
      </c>
      <c r="V54" s="3">
        <f t="shared" si="8"/>
        <v>0</v>
      </c>
    </row>
    <row r="55" spans="1:22" ht="15" customHeight="1" x14ac:dyDescent="0.2">
      <c r="A55" s="70">
        <v>34</v>
      </c>
      <c r="B55" s="84" t="s">
        <v>258</v>
      </c>
      <c r="C55" s="85" t="s">
        <v>252</v>
      </c>
      <c r="D55" s="85"/>
      <c r="E55" s="85" t="s">
        <v>220</v>
      </c>
      <c r="F55" s="85" t="s">
        <v>217</v>
      </c>
      <c r="G55" s="51">
        <v>7.05</v>
      </c>
      <c r="H55" s="51"/>
      <c r="I55" s="86"/>
      <c r="J55" s="70" t="s">
        <v>276</v>
      </c>
      <c r="K55" s="51">
        <v>5</v>
      </c>
      <c r="L55" s="31">
        <f>VLOOKUP(K55,Reinigungstage!A10:B31,2,FALSE)</f>
        <v>252.5</v>
      </c>
      <c r="M55" s="31">
        <f t="shared" si="0"/>
        <v>1780.13</v>
      </c>
      <c r="N55" s="87">
        <f t="shared" si="1"/>
        <v>0</v>
      </c>
      <c r="O55" s="31">
        <f ca="1">IF('SVS UnterhaltsRG'!H61="",0,'SVS UnterhaltsRG'!H61)</f>
        <v>0</v>
      </c>
      <c r="P55" s="31">
        <f t="shared" si="2"/>
        <v>0</v>
      </c>
      <c r="Q55" s="31">
        <f t="shared" ca="1" si="3"/>
        <v>0</v>
      </c>
      <c r="R55" s="31">
        <f t="shared" si="4"/>
        <v>0</v>
      </c>
      <c r="S55" s="31">
        <f t="shared" ca="1" si="5"/>
        <v>0</v>
      </c>
      <c r="T55" s="3" t="str">
        <f t="shared" si="6"/>
        <v>Leistungswert eintragen</v>
      </c>
      <c r="U55" s="3">
        <f t="shared" si="7"/>
        <v>63.75</v>
      </c>
      <c r="V55" s="3">
        <f t="shared" si="8"/>
        <v>0</v>
      </c>
    </row>
    <row r="56" spans="1:22" ht="15" customHeight="1" x14ac:dyDescent="0.2">
      <c r="A56" s="70">
        <v>35</v>
      </c>
      <c r="B56" s="84" t="s">
        <v>259</v>
      </c>
      <c r="C56" s="85" t="s">
        <v>252</v>
      </c>
      <c r="D56" s="85"/>
      <c r="E56" s="85" t="s">
        <v>260</v>
      </c>
      <c r="F56" s="85" t="s">
        <v>217</v>
      </c>
      <c r="G56" s="51">
        <v>5.96</v>
      </c>
      <c r="H56" s="51"/>
      <c r="I56" s="86"/>
      <c r="J56" s="70" t="s">
        <v>276</v>
      </c>
      <c r="K56" s="51">
        <v>5</v>
      </c>
      <c r="L56" s="31">
        <f>VLOOKUP(K56,Reinigungstage!A10:B31,2,FALSE)</f>
        <v>252.5</v>
      </c>
      <c r="M56" s="31">
        <f t="shared" si="0"/>
        <v>1504.9</v>
      </c>
      <c r="N56" s="87">
        <f t="shared" si="1"/>
        <v>0</v>
      </c>
      <c r="O56" s="31">
        <f ca="1">IF('SVS UnterhaltsRG'!H61="",0,'SVS UnterhaltsRG'!H61)</f>
        <v>0</v>
      </c>
      <c r="P56" s="31">
        <f t="shared" si="2"/>
        <v>0</v>
      </c>
      <c r="Q56" s="31">
        <f t="shared" ca="1" si="3"/>
        <v>0</v>
      </c>
      <c r="R56" s="31">
        <f t="shared" si="4"/>
        <v>0</v>
      </c>
      <c r="S56" s="31">
        <f t="shared" ca="1" si="5"/>
        <v>0</v>
      </c>
      <c r="T56" s="3" t="str">
        <f t="shared" si="6"/>
        <v>Leistungswert eintragen</v>
      </c>
      <c r="U56" s="3">
        <f t="shared" si="7"/>
        <v>63.75</v>
      </c>
      <c r="V56" s="3">
        <f t="shared" si="8"/>
        <v>0</v>
      </c>
    </row>
    <row r="57" spans="1:22" ht="15" customHeight="1" x14ac:dyDescent="0.2">
      <c r="A57" s="70">
        <v>36</v>
      </c>
      <c r="B57" s="84" t="s">
        <v>261</v>
      </c>
      <c r="C57" s="85" t="s">
        <v>252</v>
      </c>
      <c r="D57" s="85"/>
      <c r="E57" s="85" t="s">
        <v>216</v>
      </c>
      <c r="F57" s="85" t="s">
        <v>217</v>
      </c>
      <c r="G57" s="51">
        <v>5.63</v>
      </c>
      <c r="H57" s="51"/>
      <c r="I57" s="86"/>
      <c r="J57" s="70" t="s">
        <v>276</v>
      </c>
      <c r="K57" s="51">
        <v>5</v>
      </c>
      <c r="L57" s="31">
        <f>VLOOKUP(K57,Reinigungstage!A10:B31,2,FALSE)</f>
        <v>252.5</v>
      </c>
      <c r="M57" s="31">
        <f t="shared" si="0"/>
        <v>1421.58</v>
      </c>
      <c r="N57" s="87">
        <f t="shared" si="1"/>
        <v>0</v>
      </c>
      <c r="O57" s="31">
        <f ca="1">IF('SVS UnterhaltsRG'!H61="",0,'SVS UnterhaltsRG'!H61)</f>
        <v>0</v>
      </c>
      <c r="P57" s="31">
        <f t="shared" si="2"/>
        <v>0</v>
      </c>
      <c r="Q57" s="31">
        <f t="shared" ca="1" si="3"/>
        <v>0</v>
      </c>
      <c r="R57" s="31">
        <f t="shared" si="4"/>
        <v>0</v>
      </c>
      <c r="S57" s="31">
        <f t="shared" ca="1" si="5"/>
        <v>0</v>
      </c>
      <c r="T57" s="3" t="str">
        <f t="shared" si="6"/>
        <v>Leistungswert eintragen</v>
      </c>
      <c r="U57" s="3">
        <f t="shared" si="7"/>
        <v>63.75</v>
      </c>
      <c r="V57" s="3">
        <f t="shared" si="8"/>
        <v>0</v>
      </c>
    </row>
    <row r="58" spans="1:22" ht="15" customHeight="1" x14ac:dyDescent="0.2">
      <c r="A58" s="70">
        <v>37</v>
      </c>
      <c r="B58" s="84" t="s">
        <v>262</v>
      </c>
      <c r="C58" s="85" t="s">
        <v>252</v>
      </c>
      <c r="D58" s="85"/>
      <c r="E58" s="85" t="s">
        <v>216</v>
      </c>
      <c r="F58" s="85" t="s">
        <v>217</v>
      </c>
      <c r="G58" s="51">
        <v>8.1999999999999993</v>
      </c>
      <c r="H58" s="51"/>
      <c r="I58" s="86"/>
      <c r="J58" s="70" t="s">
        <v>276</v>
      </c>
      <c r="K58" s="51">
        <v>5</v>
      </c>
      <c r="L58" s="31">
        <f>VLOOKUP(K58,Reinigungstage!A10:B31,2,FALSE)</f>
        <v>252.5</v>
      </c>
      <c r="M58" s="31">
        <f t="shared" si="0"/>
        <v>2070.5</v>
      </c>
      <c r="N58" s="87">
        <f t="shared" si="1"/>
        <v>0</v>
      </c>
      <c r="O58" s="31">
        <f ca="1">IF('SVS UnterhaltsRG'!H61="",0,'SVS UnterhaltsRG'!H61)</f>
        <v>0</v>
      </c>
      <c r="P58" s="31">
        <f t="shared" si="2"/>
        <v>0</v>
      </c>
      <c r="Q58" s="31">
        <f t="shared" ca="1" si="3"/>
        <v>0</v>
      </c>
      <c r="R58" s="31">
        <f t="shared" si="4"/>
        <v>0</v>
      </c>
      <c r="S58" s="31">
        <f t="shared" ca="1" si="5"/>
        <v>0</v>
      </c>
      <c r="T58" s="3" t="str">
        <f t="shared" si="6"/>
        <v>Leistungswert eintragen</v>
      </c>
      <c r="U58" s="3">
        <f t="shared" si="7"/>
        <v>63.75</v>
      </c>
      <c r="V58" s="3">
        <f t="shared" si="8"/>
        <v>0</v>
      </c>
    </row>
    <row r="59" spans="1:22" ht="15" customHeight="1" x14ac:dyDescent="0.2">
      <c r="A59" s="70">
        <v>38</v>
      </c>
      <c r="B59" s="84" t="s">
        <v>263</v>
      </c>
      <c r="C59" s="85" t="s">
        <v>252</v>
      </c>
      <c r="D59" s="85"/>
      <c r="E59" s="85" t="s">
        <v>264</v>
      </c>
      <c r="F59" s="85" t="s">
        <v>217</v>
      </c>
      <c r="G59" s="51">
        <v>12.59</v>
      </c>
      <c r="H59" s="51"/>
      <c r="I59" s="86"/>
      <c r="J59" s="70" t="s">
        <v>277</v>
      </c>
      <c r="K59" s="70" t="s">
        <v>135</v>
      </c>
      <c r="L59" s="31">
        <f>VLOOKUP(K59,Reinigungstage!A10:B31,2,FALSE)</f>
        <v>24</v>
      </c>
      <c r="M59" s="31">
        <f t="shared" si="0"/>
        <v>302.16000000000003</v>
      </c>
      <c r="N59" s="87">
        <f t="shared" si="1"/>
        <v>0</v>
      </c>
      <c r="O59" s="31">
        <f ca="1">IF('SVS UnterhaltsRG'!H61="",0,'SVS UnterhaltsRG'!H61)</f>
        <v>0</v>
      </c>
      <c r="P59" s="31">
        <f t="shared" si="2"/>
        <v>0</v>
      </c>
      <c r="Q59" s="31">
        <f t="shared" ca="1" si="3"/>
        <v>0</v>
      </c>
      <c r="R59" s="31">
        <f t="shared" si="4"/>
        <v>0</v>
      </c>
      <c r="S59" s="31">
        <f t="shared" ca="1" si="5"/>
        <v>0</v>
      </c>
      <c r="T59" s="3" t="str">
        <f t="shared" si="6"/>
        <v>Leistungswert eintragen</v>
      </c>
      <c r="U59" s="3">
        <f t="shared" si="7"/>
        <v>88.75</v>
      </c>
      <c r="V59" s="3">
        <f t="shared" si="8"/>
        <v>0</v>
      </c>
    </row>
    <row r="60" spans="1:22" ht="15" customHeight="1" x14ac:dyDescent="0.2">
      <c r="A60" s="70">
        <v>39</v>
      </c>
      <c r="B60" s="84" t="s">
        <v>265</v>
      </c>
      <c r="C60" s="85" t="s">
        <v>252</v>
      </c>
      <c r="D60" s="85"/>
      <c r="E60" s="85" t="s">
        <v>266</v>
      </c>
      <c r="F60" s="85" t="s">
        <v>217</v>
      </c>
      <c r="G60" s="51">
        <v>8.36</v>
      </c>
      <c r="H60" s="51"/>
      <c r="I60" s="86"/>
      <c r="J60" s="70" t="s">
        <v>277</v>
      </c>
      <c r="K60" s="70" t="s">
        <v>135</v>
      </c>
      <c r="L60" s="31">
        <f>VLOOKUP(K60,Reinigungstage!A10:B31,2,FALSE)</f>
        <v>24</v>
      </c>
      <c r="M60" s="31">
        <f t="shared" si="0"/>
        <v>200.64</v>
      </c>
      <c r="N60" s="87">
        <f t="shared" si="1"/>
        <v>0</v>
      </c>
      <c r="O60" s="31">
        <f ca="1">IF('SVS UnterhaltsRG'!H61="",0,'SVS UnterhaltsRG'!H61)</f>
        <v>0</v>
      </c>
      <c r="P60" s="31">
        <f t="shared" si="2"/>
        <v>0</v>
      </c>
      <c r="Q60" s="31">
        <f t="shared" ca="1" si="3"/>
        <v>0</v>
      </c>
      <c r="R60" s="31">
        <f t="shared" si="4"/>
        <v>0</v>
      </c>
      <c r="S60" s="31">
        <f t="shared" ca="1" si="5"/>
        <v>0</v>
      </c>
      <c r="T60" s="3" t="str">
        <f t="shared" si="6"/>
        <v>Leistungswert eintragen</v>
      </c>
      <c r="U60" s="3">
        <f t="shared" si="7"/>
        <v>88.75</v>
      </c>
      <c r="V60" s="3">
        <f t="shared" si="8"/>
        <v>0</v>
      </c>
    </row>
    <row r="61" spans="1:22" ht="15" customHeight="1" x14ac:dyDescent="0.2">
      <c r="A61" s="70">
        <v>40</v>
      </c>
      <c r="B61" s="84" t="s">
        <v>267</v>
      </c>
      <c r="C61" s="85" t="s">
        <v>252</v>
      </c>
      <c r="D61" s="85"/>
      <c r="E61" s="85" t="s">
        <v>268</v>
      </c>
      <c r="F61" s="85" t="s">
        <v>217</v>
      </c>
      <c r="G61" s="51">
        <v>3.02</v>
      </c>
      <c r="H61" s="51"/>
      <c r="I61" s="86"/>
      <c r="J61" s="70" t="s">
        <v>276</v>
      </c>
      <c r="K61" s="51">
        <v>2</v>
      </c>
      <c r="L61" s="31">
        <f>VLOOKUP(K61,Reinigungstage!A10:B31,2,FALSE)</f>
        <v>104.91</v>
      </c>
      <c r="M61" s="31">
        <f t="shared" si="0"/>
        <v>316.83</v>
      </c>
      <c r="N61" s="87">
        <f t="shared" si="1"/>
        <v>0</v>
      </c>
      <c r="O61" s="31">
        <f ca="1">IF('SVS UnterhaltsRG'!H61="",0,'SVS UnterhaltsRG'!H61)</f>
        <v>0</v>
      </c>
      <c r="P61" s="31">
        <f t="shared" si="2"/>
        <v>0</v>
      </c>
      <c r="Q61" s="31">
        <f t="shared" ca="1" si="3"/>
        <v>0</v>
      </c>
      <c r="R61" s="31">
        <f t="shared" si="4"/>
        <v>0</v>
      </c>
      <c r="S61" s="31">
        <f t="shared" ca="1" si="5"/>
        <v>0</v>
      </c>
      <c r="T61" s="3" t="str">
        <f t="shared" si="6"/>
        <v>Leistungswert eintragen</v>
      </c>
      <c r="U61" s="3">
        <f t="shared" si="7"/>
        <v>63.75</v>
      </c>
      <c r="V61" s="3">
        <f t="shared" si="8"/>
        <v>0</v>
      </c>
    </row>
    <row r="62" spans="1:22" ht="15" customHeight="1" x14ac:dyDescent="0.2">
      <c r="A62" s="70">
        <v>41</v>
      </c>
      <c r="B62" s="84" t="s">
        <v>269</v>
      </c>
      <c r="C62" s="85" t="s">
        <v>252</v>
      </c>
      <c r="D62" s="85"/>
      <c r="E62" s="85" t="s">
        <v>268</v>
      </c>
      <c r="F62" s="85" t="s">
        <v>217</v>
      </c>
      <c r="G62" s="51">
        <v>2.6</v>
      </c>
      <c r="H62" s="51"/>
      <c r="I62" s="86"/>
      <c r="J62" s="70" t="s">
        <v>276</v>
      </c>
      <c r="K62" s="51">
        <v>2</v>
      </c>
      <c r="L62" s="31">
        <f>VLOOKUP(K62,Reinigungstage!A10:B31,2,FALSE)</f>
        <v>104.91</v>
      </c>
      <c r="M62" s="31">
        <f t="shared" si="0"/>
        <v>272.77</v>
      </c>
      <c r="N62" s="87">
        <f t="shared" si="1"/>
        <v>0</v>
      </c>
      <c r="O62" s="31">
        <f ca="1">IF('SVS UnterhaltsRG'!H61="",0,'SVS UnterhaltsRG'!H61)</f>
        <v>0</v>
      </c>
      <c r="P62" s="31">
        <f t="shared" si="2"/>
        <v>0</v>
      </c>
      <c r="Q62" s="31">
        <f t="shared" ca="1" si="3"/>
        <v>0</v>
      </c>
      <c r="R62" s="31">
        <f t="shared" si="4"/>
        <v>0</v>
      </c>
      <c r="S62" s="31">
        <f t="shared" ca="1" si="5"/>
        <v>0</v>
      </c>
      <c r="T62" s="3" t="str">
        <f t="shared" si="6"/>
        <v>Leistungswert eintragen</v>
      </c>
      <c r="U62" s="3">
        <f t="shared" si="7"/>
        <v>63.75</v>
      </c>
      <c r="V62" s="3">
        <f t="shared" si="8"/>
        <v>0</v>
      </c>
    </row>
    <row r="63" spans="1:22" ht="15" customHeight="1" x14ac:dyDescent="0.2">
      <c r="A63" s="70">
        <v>42</v>
      </c>
      <c r="B63" s="84" t="s">
        <v>270</v>
      </c>
      <c r="C63" s="85" t="s">
        <v>252</v>
      </c>
      <c r="D63" s="85"/>
      <c r="E63" s="85" t="s">
        <v>225</v>
      </c>
      <c r="F63" s="85" t="s">
        <v>217</v>
      </c>
      <c r="G63" s="51">
        <v>17.27</v>
      </c>
      <c r="H63" s="51"/>
      <c r="I63" s="86"/>
      <c r="J63" s="70" t="s">
        <v>279</v>
      </c>
      <c r="K63" s="51">
        <v>5</v>
      </c>
      <c r="L63" s="31">
        <f>VLOOKUP(K63,Reinigungstage!A10:B31,2,FALSE)</f>
        <v>252.5</v>
      </c>
      <c r="M63" s="31">
        <f t="shared" si="0"/>
        <v>4360.68</v>
      </c>
      <c r="N63" s="87">
        <f t="shared" si="1"/>
        <v>0</v>
      </c>
      <c r="O63" s="31">
        <f ca="1">IF('SVS UnterhaltsRG'!H61="",0,'SVS UnterhaltsRG'!H61)</f>
        <v>0</v>
      </c>
      <c r="P63" s="31">
        <f t="shared" si="2"/>
        <v>0</v>
      </c>
      <c r="Q63" s="31">
        <f t="shared" ca="1" si="3"/>
        <v>0</v>
      </c>
      <c r="R63" s="31">
        <f t="shared" si="4"/>
        <v>0</v>
      </c>
      <c r="S63" s="31">
        <f t="shared" ca="1" si="5"/>
        <v>0</v>
      </c>
      <c r="T63" s="3" t="str">
        <f t="shared" si="6"/>
        <v>Leistungswert eintragen</v>
      </c>
      <c r="U63" s="3">
        <f t="shared" si="7"/>
        <v>138.75</v>
      </c>
      <c r="V63" s="3">
        <f t="shared" si="8"/>
        <v>0</v>
      </c>
    </row>
    <row r="64" spans="1:22" ht="15" customHeight="1" x14ac:dyDescent="0.2">
      <c r="A64" s="70">
        <v>43</v>
      </c>
      <c r="B64" s="84" t="s">
        <v>271</v>
      </c>
      <c r="C64" s="85" t="s">
        <v>252</v>
      </c>
      <c r="D64" s="85"/>
      <c r="E64" s="85" t="s">
        <v>272</v>
      </c>
      <c r="F64" s="85" t="s">
        <v>217</v>
      </c>
      <c r="G64" s="51">
        <v>14.63</v>
      </c>
      <c r="H64" s="51"/>
      <c r="I64" s="86">
        <v>21</v>
      </c>
      <c r="J64" s="70" t="s">
        <v>278</v>
      </c>
      <c r="K64" s="51">
        <v>5</v>
      </c>
      <c r="L64" s="31">
        <f>VLOOKUP(K64,Reinigungstage!A10:B31,2,FALSE)</f>
        <v>252.5</v>
      </c>
      <c r="M64" s="31">
        <f t="shared" si="0"/>
        <v>3694.08</v>
      </c>
      <c r="N64" s="87">
        <f t="shared" si="1"/>
        <v>0</v>
      </c>
      <c r="O64" s="31">
        <f ca="1">IF('SVS UnterhaltsRG'!H61="",0,'SVS UnterhaltsRG'!H61)</f>
        <v>0</v>
      </c>
      <c r="P64" s="31">
        <f t="shared" si="2"/>
        <v>0</v>
      </c>
      <c r="Q64" s="31">
        <f t="shared" ca="1" si="3"/>
        <v>0</v>
      </c>
      <c r="R64" s="31">
        <f t="shared" si="4"/>
        <v>0</v>
      </c>
      <c r="S64" s="31">
        <f t="shared" ca="1" si="5"/>
        <v>0</v>
      </c>
      <c r="T64" s="3" t="str">
        <f t="shared" si="6"/>
        <v>Leistungswert eintragen</v>
      </c>
      <c r="U64" s="3">
        <f t="shared" si="7"/>
        <v>300</v>
      </c>
      <c r="V64" s="3">
        <f t="shared" si="8"/>
        <v>0</v>
      </c>
    </row>
    <row r="65" spans="1:22" ht="15" customHeight="1" x14ac:dyDescent="0.2">
      <c r="A65" s="70">
        <v>44</v>
      </c>
      <c r="B65" s="84" t="s">
        <v>273</v>
      </c>
      <c r="C65" s="85" t="s">
        <v>252</v>
      </c>
      <c r="D65" s="85"/>
      <c r="E65" s="85" t="s">
        <v>274</v>
      </c>
      <c r="F65" s="85" t="s">
        <v>217</v>
      </c>
      <c r="G65" s="51">
        <v>54.46</v>
      </c>
      <c r="H65" s="51"/>
      <c r="I65" s="86"/>
      <c r="J65" s="70" t="s">
        <v>278</v>
      </c>
      <c r="K65" s="51">
        <v>5</v>
      </c>
      <c r="L65" s="31">
        <f>VLOOKUP(K65,Reinigungstage!A10:B31,2,FALSE)</f>
        <v>252.5</v>
      </c>
      <c r="M65" s="31">
        <f t="shared" si="0"/>
        <v>13751.15</v>
      </c>
      <c r="N65" s="87">
        <f t="shared" si="1"/>
        <v>0</v>
      </c>
      <c r="O65" s="31">
        <f ca="1">IF('SVS UnterhaltsRG'!H61="",0,'SVS UnterhaltsRG'!H61)</f>
        <v>0</v>
      </c>
      <c r="P65" s="31">
        <f t="shared" si="2"/>
        <v>0</v>
      </c>
      <c r="Q65" s="31">
        <f t="shared" ca="1" si="3"/>
        <v>0</v>
      </c>
      <c r="R65" s="31">
        <f t="shared" si="4"/>
        <v>0</v>
      </c>
      <c r="S65" s="31">
        <f t="shared" ca="1" si="5"/>
        <v>0</v>
      </c>
      <c r="T65" s="3" t="str">
        <f t="shared" si="6"/>
        <v>Leistungswert eintragen</v>
      </c>
      <c r="U65" s="3">
        <f t="shared" si="7"/>
        <v>300</v>
      </c>
      <c r="V65" s="3">
        <f t="shared" si="8"/>
        <v>0</v>
      </c>
    </row>
  </sheetData>
  <sheetProtection algorithmName="SHA-512" hashValue="csAtrezuvUz6Dc/CWpniTqH0ocjAsJluKMSiJFUV7LmvB9QSzHO9zd63ceQF4hTmvth7025OP6jn9BTZlk0JDw==" saltValue="1ShJ7GcFA0hfk35549RXNA=="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11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11" priority="5" operator="containsText" text="Bitte prüfen Sie diese.">
      <formula>NOT(ISERROR(SEARCH("Bitte prüfen Sie diese.",L9)))</formula>
    </cfRule>
  </conditionalFormatting>
  <conditionalFormatting sqref="L10">
    <cfRule type="containsText" dxfId="11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09" priority="3" operator="containsText" text="lediglich Fehleingaben vermeiden wollen.">
      <formula>NOT(ISERROR(SEARCH("lediglich Fehleingaben vermeiden wollen.",L11)))</formula>
    </cfRule>
  </conditionalFormatting>
  <conditionalFormatting sqref="M11">
    <cfRule type="containsText" dxfId="10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7" priority="7" operator="containsText" text="für die Objektart prüfen.">
      <formula>NOT(ISERROR(SEARCH("für die Objektart prüfen.",M12)))</formula>
    </cfRule>
  </conditionalFormatting>
  <conditionalFormatting sqref="N13">
    <cfRule type="expression" dxfId="106" priority="2" stopIfTrue="1">
      <formula>N13=0</formula>
    </cfRule>
  </conditionalFormatting>
  <conditionalFormatting sqref="N14">
    <cfRule type="expression" dxfId="105" priority="1">
      <formula>N14=0</formula>
    </cfRule>
  </conditionalFormatting>
  <conditionalFormatting sqref="N22:N65">
    <cfRule type="expression" dxfId="104" priority="11">
      <formula>V22=0</formula>
    </cfRule>
    <cfRule type="expression" dxfId="103" priority="12" stopIfTrue="1">
      <formula>V22=1</formula>
    </cfRule>
  </conditionalFormatting>
  <conditionalFormatting sqref="O13">
    <cfRule type="containsText" dxfId="10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01" priority="9" operator="containsText" text="Wert(e) prüfen.">
      <formula>NOT(ISERROR(SEARCH("Wert(e) prüfen.",O14)))</formula>
    </cfRule>
  </conditionalFormatting>
  <conditionalFormatting sqref="T22:T65">
    <cfRule type="containsText" dxfId="100" priority="13" stopIfTrue="1" operator="containsText" text="SVS prüfen">
      <formula>NOT(ISERROR(SEARCH("SVS prüfen",T22)))</formula>
    </cfRule>
    <cfRule type="containsText" dxfId="99" priority="14" stopIfTrue="1" operator="containsText" text="Leistungswert eintragen">
      <formula>NOT(ISERROR(SEARCH("Leistungswert eintragen",T22)))</formula>
    </cfRule>
  </conditionalFormatting>
  <hyperlinks>
    <hyperlink ref="M1" location="Inhaltsverzeichnis!A1" display="Zurück zum Inhaltsverzeichnis" xr:uid="{CFD52128-9089-4E63-A11F-30AFB5470611}"/>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Haus am See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6B772-4DC8-492E-9808-D28FD87A596A}">
  <sheetPr codeName="Tabelle36">
    <tabColor indexed="40"/>
  </sheetPr>
  <dimension ref="A1:X6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8.2851562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285156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9" t="s">
        <v>150</v>
      </c>
      <c r="B2" s="140"/>
      <c r="C2" s="140"/>
      <c r="D2" s="140"/>
      <c r="E2" s="141"/>
      <c r="G2" s="142" t="s">
        <v>163</v>
      </c>
      <c r="H2" s="142" t="s">
        <v>155</v>
      </c>
      <c r="I2" s="142" t="s">
        <v>156</v>
      </c>
      <c r="J2" s="142" t="s">
        <v>175</v>
      </c>
      <c r="M2" s="69"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4" customHeight="1" x14ac:dyDescent="0.2">
      <c r="A3" s="71" t="s">
        <v>158</v>
      </c>
      <c r="B3" s="72"/>
      <c r="C3" s="72"/>
      <c r="D3" s="72"/>
      <c r="E3" s="73"/>
      <c r="G3" s="143"/>
      <c r="H3" s="143"/>
      <c r="I3" s="143"/>
      <c r="J3" s="143"/>
      <c r="M3" s="69" t="b">
        <v>0</v>
      </c>
      <c r="N3" s="100"/>
      <c r="O3" s="100"/>
      <c r="P3" s="100"/>
      <c r="Q3" s="100"/>
    </row>
    <row r="4" spans="1:22" ht="18.600000000000001" customHeight="1" x14ac:dyDescent="0.2">
      <c r="A4" s="137" t="s">
        <v>91</v>
      </c>
      <c r="B4" s="125" t="str">
        <f>IF(Inhaltsverzeichnis!C3="","",Inhaltsverzeichnis!C3)</f>
        <v/>
      </c>
      <c r="C4" s="126"/>
      <c r="D4" s="126"/>
      <c r="E4" s="127"/>
      <c r="G4" s="70" t="s">
        <v>208</v>
      </c>
      <c r="H4" s="74"/>
      <c r="I4" s="75">
        <f ca="1">SUMIF('Kal Grund Haus am See'!J22:M61,$G$4,'Kal Grund Haus am See'!M22:M61)</f>
        <v>85.62</v>
      </c>
      <c r="J4" s="49">
        <f>COUNTIFS('Kal Grund Haus am See'!J22:M61,$G$4)</f>
        <v>5</v>
      </c>
      <c r="M4" s="69" t="b">
        <v>0</v>
      </c>
      <c r="N4" s="100"/>
      <c r="O4" s="100"/>
      <c r="P4" s="100"/>
      <c r="Q4" s="100"/>
      <c r="U4" s="70" t="s">
        <v>208</v>
      </c>
      <c r="V4" s="3">
        <v>11.875</v>
      </c>
    </row>
    <row r="5" spans="1:22" ht="15" customHeight="1" x14ac:dyDescent="0.2">
      <c r="A5" s="138"/>
      <c r="B5" s="128"/>
      <c r="C5" s="129"/>
      <c r="D5" s="129"/>
      <c r="E5" s="130"/>
      <c r="G5" s="70" t="s">
        <v>275</v>
      </c>
      <c r="H5" s="74"/>
      <c r="I5" s="75">
        <f ca="1">SUMIF('Kal Grund Haus am See'!J22:M61,$G$5,'Kal Grund Haus am See'!M22:M61)</f>
        <v>422.29999999999995</v>
      </c>
      <c r="J5" s="49">
        <f>COUNTIFS('Kal Grund Haus am See'!J22:M61,$G$5)</f>
        <v>6</v>
      </c>
      <c r="M5" s="69" t="b">
        <v>0</v>
      </c>
      <c r="N5" s="100"/>
      <c r="O5" s="100"/>
      <c r="P5" s="100"/>
      <c r="Q5" s="100"/>
      <c r="U5" s="70" t="s">
        <v>275</v>
      </c>
      <c r="V5" s="3">
        <v>12.75</v>
      </c>
    </row>
    <row r="6" spans="1:22" ht="15" customHeight="1" x14ac:dyDescent="0.2">
      <c r="A6" s="76" t="s">
        <v>173</v>
      </c>
      <c r="B6" s="131" t="s">
        <v>190</v>
      </c>
      <c r="C6" s="132"/>
      <c r="D6" s="132"/>
      <c r="E6" s="133"/>
      <c r="G6" s="70" t="s">
        <v>276</v>
      </c>
      <c r="H6" s="74"/>
      <c r="I6" s="75">
        <f ca="1">SUMIF('Kal Grund Haus am See'!J22:M61,$G$6,'Kal Grund Haus am See'!M22:M61)</f>
        <v>54.820000000000007</v>
      </c>
      <c r="J6" s="49">
        <f>COUNTIFS('Kal Grund Haus am See'!J22:M61,$G$6)</f>
        <v>13</v>
      </c>
      <c r="U6" s="70" t="s">
        <v>276</v>
      </c>
      <c r="V6" s="3">
        <v>10.25</v>
      </c>
    </row>
    <row r="7" spans="1:22" ht="15" customHeight="1" x14ac:dyDescent="0.2">
      <c r="A7" s="77" t="s">
        <v>171</v>
      </c>
      <c r="B7" s="134" t="s">
        <v>189</v>
      </c>
      <c r="C7" s="132"/>
      <c r="D7" s="132"/>
      <c r="E7" s="133"/>
      <c r="G7" s="70" t="s">
        <v>280</v>
      </c>
      <c r="H7" s="74"/>
      <c r="I7" s="75">
        <f ca="1">SUMIF('Kal Grund Haus am See'!J22:M61,$G$7,'Kal Grund Haus am See'!M22:M61)</f>
        <v>0</v>
      </c>
      <c r="J7" s="49">
        <f>COUNTIFS('Kal Grund Haus am See'!J22:M61,$G$7)</f>
        <v>0</v>
      </c>
      <c r="U7" s="70" t="s">
        <v>280</v>
      </c>
      <c r="V7" s="3">
        <v>15.875</v>
      </c>
    </row>
    <row r="8" spans="1:22" ht="15" customHeight="1" x14ac:dyDescent="0.2">
      <c r="A8" s="77" t="s">
        <v>172</v>
      </c>
      <c r="B8" s="131"/>
      <c r="C8" s="132"/>
      <c r="D8" s="132"/>
      <c r="E8" s="133"/>
      <c r="G8" s="70" t="s">
        <v>279</v>
      </c>
      <c r="H8" s="74"/>
      <c r="I8" s="75">
        <f ca="1">SUMIF('Kal Grund Haus am See'!J22:M61,$G$8,'Kal Grund Haus am See'!M22:M61)</f>
        <v>51.81</v>
      </c>
      <c r="J8" s="49">
        <f>COUNTIFS('Kal Grund Haus am See'!J22:M61,$G$8)</f>
        <v>3</v>
      </c>
      <c r="L8" s="88" t="str">
        <f>IF(N14&gt;0,"Ihre Eintragungen der Leistungswerte liegen weit über den Erfahrungswerten aus der Preisschätzung.","")</f>
        <v/>
      </c>
      <c r="U8" s="70" t="s">
        <v>279</v>
      </c>
      <c r="V8" s="3">
        <v>15.375</v>
      </c>
    </row>
    <row r="9" spans="1:22" ht="15" customHeight="1" x14ac:dyDescent="0.2">
      <c r="A9" s="76" t="s">
        <v>170</v>
      </c>
      <c r="B9" s="135" t="s">
        <v>189</v>
      </c>
      <c r="C9" s="132"/>
      <c r="D9" s="132"/>
      <c r="E9" s="133"/>
      <c r="G9" s="70" t="s">
        <v>278</v>
      </c>
      <c r="H9" s="74"/>
      <c r="I9" s="75">
        <f ca="1">SUMIF('Kal Grund Haus am See'!J22:M61,$G$9,'Kal Grund Haus am See'!M22:M61)</f>
        <v>218.64</v>
      </c>
      <c r="J9" s="49">
        <f>COUNTIFS('Kal Grund Haus am See'!J22:M61,$G$9)</f>
        <v>9</v>
      </c>
      <c r="L9" s="88" t="str">
        <f>IF(N14&gt;0,"Bitte prüfen Sie diese.","")</f>
        <v/>
      </c>
      <c r="U9" s="70" t="s">
        <v>278</v>
      </c>
      <c r="V9" s="3">
        <v>16.25</v>
      </c>
    </row>
    <row r="10" spans="1:22" ht="15" customHeight="1" x14ac:dyDescent="0.2">
      <c r="A10" s="77" t="s">
        <v>152</v>
      </c>
      <c r="B10" s="131" t="s">
        <v>191</v>
      </c>
      <c r="C10" s="132"/>
      <c r="D10" s="132"/>
      <c r="E10" s="133"/>
      <c r="G10" s="70" t="s">
        <v>277</v>
      </c>
      <c r="H10" s="74"/>
      <c r="I10" s="75">
        <f ca="1">SUMIF('Kal Grund Haus am See'!J22:M61,$G$10,'Kal Grund Haus am See'!M22:M61)</f>
        <v>30.65</v>
      </c>
      <c r="J10" s="49">
        <f>COUNTIFS('Kal Grund Haus am See'!J22:M61,$G$10)</f>
        <v>4</v>
      </c>
      <c r="L10" s="88" t="str">
        <f>IF(N14&gt;0,"Beachten Sie, dass Sie frei in der Kalkulation dieser Leistungswerte sind und wir durch den Hinweis","")</f>
        <v/>
      </c>
      <c r="U10" s="70" t="s">
        <v>277</v>
      </c>
      <c r="V10" s="3">
        <v>15.375</v>
      </c>
    </row>
    <row r="11" spans="1:22" ht="15" customHeight="1" x14ac:dyDescent="0.2">
      <c r="A11" s="77" t="s">
        <v>153</v>
      </c>
      <c r="B11" s="136" t="s">
        <v>192</v>
      </c>
      <c r="C11" s="132"/>
      <c r="D11" s="132"/>
      <c r="E11" s="133"/>
      <c r="L11" s="88" t="str">
        <f>IF(N14&gt;0,"lediglich Fehleingaben vermeiden wollen.","")</f>
        <v/>
      </c>
    </row>
    <row r="12" spans="1:22" ht="15" customHeight="1" x14ac:dyDescent="0.2">
      <c r="A12" s="77" t="s">
        <v>154</v>
      </c>
      <c r="B12" s="131" t="s">
        <v>193</v>
      </c>
      <c r="C12" s="132"/>
      <c r="D12" s="132"/>
      <c r="E12" s="133"/>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row>
    <row r="14" spans="1:22" ht="15" customHeight="1" x14ac:dyDescent="0.2">
      <c r="N14" s="78">
        <f>COUNTIF(X22:X$61,1)</f>
        <v>0</v>
      </c>
      <c r="O14" s="3" t="str">
        <f>IF(N14&gt;0,"Wert(e) prüfen.","")</f>
        <v/>
      </c>
      <c r="S14" s="80">
        <f>IF(COUNTA($S$22:$S$61)-COUNTBLANK($S$22:$S$61)=0,"",COUNTA($S$22:$S$61)-COUNTBLANK($S$22:$S$61))</f>
        <v>39</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383</v>
      </c>
      <c r="J20" s="1" t="s">
        <v>99</v>
      </c>
      <c r="K20" s="1" t="s">
        <v>104</v>
      </c>
      <c r="L20" s="1" t="s">
        <v>108</v>
      </c>
      <c r="M20" s="1" t="s">
        <v>109</v>
      </c>
      <c r="N20" s="1" t="s">
        <v>105</v>
      </c>
      <c r="O20" s="1" t="s">
        <v>110</v>
      </c>
      <c r="P20" s="1" t="s">
        <v>111</v>
      </c>
      <c r="Q20" s="1" t="s">
        <v>112</v>
      </c>
      <c r="R20" s="1" t="s">
        <v>133</v>
      </c>
    </row>
    <row r="21" spans="1:24" ht="29.1" customHeight="1" x14ac:dyDescent="0.2">
      <c r="A21" s="81" t="s">
        <v>118</v>
      </c>
      <c r="B21" s="12"/>
      <c r="C21" s="12"/>
      <c r="D21" s="12"/>
      <c r="E21" s="12"/>
      <c r="F21" s="12"/>
      <c r="G21" s="82">
        <f>SUM($G$22:$G$61)</f>
        <v>863.84000000000015</v>
      </c>
      <c r="H21" s="82">
        <f>SUM($H$22:$H$61)</f>
        <v>0</v>
      </c>
      <c r="I21" s="82">
        <f>SUM($I$22:$I$61)</f>
        <v>21</v>
      </c>
      <c r="J21" s="31"/>
      <c r="K21" s="31"/>
      <c r="L21" s="83">
        <f>MAX(L22:L61)</f>
        <v>1</v>
      </c>
      <c r="M21" s="82">
        <f>SUM($M$22:$M$61)</f>
        <v>863.84000000000015</v>
      </c>
      <c r="N21" s="31"/>
      <c r="O21" s="31"/>
      <c r="P21" s="82">
        <f>SUM($P$22:$P$61)</f>
        <v>0</v>
      </c>
      <c r="Q21" s="82">
        <f>SUM($Q$22:$Q$61)</f>
        <v>0</v>
      </c>
      <c r="R21" s="82">
        <f>ROUND(IF(Q21=0,0,Q21/L21),2)</f>
        <v>0</v>
      </c>
    </row>
    <row r="22" spans="1:24" ht="15" customHeight="1" x14ac:dyDescent="0.2">
      <c r="A22" s="70">
        <v>1</v>
      </c>
      <c r="B22" s="84" t="s">
        <v>203</v>
      </c>
      <c r="C22" s="85" t="s">
        <v>204</v>
      </c>
      <c r="D22" s="85"/>
      <c r="E22" s="85" t="s">
        <v>205</v>
      </c>
      <c r="F22" s="85" t="s">
        <v>206</v>
      </c>
      <c r="G22" s="51">
        <v>224.92</v>
      </c>
      <c r="H22" s="51"/>
      <c r="I22" s="86"/>
      <c r="J22" s="70" t="s">
        <v>275</v>
      </c>
      <c r="K22" s="70" t="s">
        <v>142</v>
      </c>
      <c r="L22" s="31">
        <f>VLOOKUP(K22,Reinigungstage!A10:F31,6,FALSE)</f>
        <v>1</v>
      </c>
      <c r="M22" s="31">
        <f t="shared" ref="M22:M61" si="0">ROUND(IF(L22=0,0,L22*G22),2)</f>
        <v>224.92</v>
      </c>
      <c r="N22" s="87">
        <f t="shared" ref="N22:N61" si="1">VLOOKUP(J22,$G$4:$H$10,2,FALSE)</f>
        <v>0</v>
      </c>
      <c r="O22" s="31">
        <f ca="1">IF('SVS GrundRG'!H61="",0,'SVS GrundRG'!H61)</f>
        <v>0</v>
      </c>
      <c r="P22" s="31">
        <f t="shared" ref="P22:P61" si="2">ROUND(IF(N22=0,0,M22/N22),2)</f>
        <v>0</v>
      </c>
      <c r="Q22" s="31">
        <f t="shared" ref="Q22:Q61" si="3">ROUND(IF(P22=0,0,P22*O22),2)</f>
        <v>0</v>
      </c>
      <c r="R22" s="31">
        <f t="shared" ref="R22:R61" si="4">ROUND(IF(P22=0,0,Q22/L22),2)</f>
        <v>0</v>
      </c>
      <c r="S22" s="3" t="str">
        <f t="shared" ref="S22:S61" si="5">IF(M22=0,"",IF(N22=0,"Leistungswert eintragen",IF(O22=0,"SVS prüfen","")))</f>
        <v>Leistungswert eintragen</v>
      </c>
      <c r="U22" s="3">
        <f t="shared" ref="U22:U61" si="6">VLOOKUP(J22,$U$4:$V$10,2,FALSE)</f>
        <v>12.75</v>
      </c>
      <c r="V22" s="3">
        <f t="shared" ref="V22:V61" si="7">U22*30%</f>
        <v>3.8249999999999997</v>
      </c>
      <c r="W22" s="3">
        <f t="shared" ref="W22:W61" si="8">SUM(U22:V22)</f>
        <v>16.574999999999999</v>
      </c>
      <c r="X22" s="3" t="str">
        <f t="shared" ref="X22:X61" si="9">IF(N22=0,"",IF(W22&lt;N22,1,IF(W22&gt;=N22,0,"")))</f>
        <v/>
      </c>
    </row>
    <row r="23" spans="1:24" ht="15" customHeight="1" x14ac:dyDescent="0.2">
      <c r="A23" s="70">
        <v>2</v>
      </c>
      <c r="B23" s="84" t="s">
        <v>207</v>
      </c>
      <c r="C23" s="85" t="s">
        <v>204</v>
      </c>
      <c r="D23" s="85"/>
      <c r="E23" s="85" t="s">
        <v>208</v>
      </c>
      <c r="F23" s="85" t="s">
        <v>206</v>
      </c>
      <c r="G23" s="51">
        <v>18.75</v>
      </c>
      <c r="H23" s="51"/>
      <c r="I23" s="86"/>
      <c r="J23" s="70" t="s">
        <v>208</v>
      </c>
      <c r="K23" s="70" t="s">
        <v>142</v>
      </c>
      <c r="L23" s="31">
        <f>VLOOKUP(K23,Reinigungstage!A10:F31,6,FALSE)</f>
        <v>1</v>
      </c>
      <c r="M23" s="31">
        <f t="shared" si="0"/>
        <v>18.75</v>
      </c>
      <c r="N23" s="87">
        <f t="shared" si="1"/>
        <v>0</v>
      </c>
      <c r="O23" s="31">
        <f ca="1">IF('SVS GrundRG'!H61="",0,'SVS GrundRG'!H61)</f>
        <v>0</v>
      </c>
      <c r="P23" s="31">
        <f t="shared" si="2"/>
        <v>0</v>
      </c>
      <c r="Q23" s="31">
        <f t="shared" si="3"/>
        <v>0</v>
      </c>
      <c r="R23" s="31">
        <f t="shared" si="4"/>
        <v>0</v>
      </c>
      <c r="S23" s="3" t="str">
        <f t="shared" si="5"/>
        <v>Leistungswert eintragen</v>
      </c>
      <c r="U23" s="3">
        <f t="shared" si="6"/>
        <v>11.875</v>
      </c>
      <c r="V23" s="3">
        <f t="shared" si="7"/>
        <v>3.5625</v>
      </c>
      <c r="W23" s="3">
        <f t="shared" si="8"/>
        <v>15.4375</v>
      </c>
      <c r="X23" s="3" t="str">
        <f t="shared" si="9"/>
        <v/>
      </c>
    </row>
    <row r="24" spans="1:24" ht="15" customHeight="1" x14ac:dyDescent="0.2">
      <c r="A24" s="70">
        <v>3</v>
      </c>
      <c r="B24" s="84" t="s">
        <v>209</v>
      </c>
      <c r="C24" s="85" t="s">
        <v>204</v>
      </c>
      <c r="D24" s="85"/>
      <c r="E24" s="85" t="s">
        <v>210</v>
      </c>
      <c r="F24" s="85" t="s">
        <v>206</v>
      </c>
      <c r="G24" s="51">
        <v>15.19</v>
      </c>
      <c r="H24" s="51"/>
      <c r="I24" s="86"/>
      <c r="J24" s="70" t="s">
        <v>208</v>
      </c>
      <c r="K24" s="70" t="s">
        <v>142</v>
      </c>
      <c r="L24" s="31">
        <f>VLOOKUP(K24,Reinigungstage!A10:F31,6,FALSE)</f>
        <v>1</v>
      </c>
      <c r="M24" s="31">
        <f t="shared" si="0"/>
        <v>15.19</v>
      </c>
      <c r="N24" s="87">
        <f t="shared" si="1"/>
        <v>0</v>
      </c>
      <c r="O24" s="31">
        <f ca="1">IF('SVS GrundRG'!H61="",0,'SVS GrundRG'!H61)</f>
        <v>0</v>
      </c>
      <c r="P24" s="31">
        <f t="shared" si="2"/>
        <v>0</v>
      </c>
      <c r="Q24" s="31">
        <f t="shared" si="3"/>
        <v>0</v>
      </c>
      <c r="R24" s="31">
        <f t="shared" si="4"/>
        <v>0</v>
      </c>
      <c r="S24" s="3" t="str">
        <f t="shared" si="5"/>
        <v>Leistungswert eintragen</v>
      </c>
      <c r="U24" s="3">
        <f t="shared" si="6"/>
        <v>11.875</v>
      </c>
      <c r="V24" s="3">
        <f t="shared" si="7"/>
        <v>3.5625</v>
      </c>
      <c r="W24" s="3">
        <f t="shared" si="8"/>
        <v>15.4375</v>
      </c>
      <c r="X24" s="3" t="str">
        <f t="shared" si="9"/>
        <v/>
      </c>
    </row>
    <row r="25" spans="1:24" ht="15" customHeight="1" x14ac:dyDescent="0.2">
      <c r="A25" s="70">
        <v>4</v>
      </c>
      <c r="B25" s="84" t="s">
        <v>211</v>
      </c>
      <c r="C25" s="85" t="s">
        <v>204</v>
      </c>
      <c r="D25" s="85"/>
      <c r="E25" s="85" t="s">
        <v>212</v>
      </c>
      <c r="F25" s="85" t="s">
        <v>206</v>
      </c>
      <c r="G25" s="51">
        <v>11.32</v>
      </c>
      <c r="H25" s="51"/>
      <c r="I25" s="86"/>
      <c r="J25" s="70" t="s">
        <v>275</v>
      </c>
      <c r="K25" s="70" t="s">
        <v>142</v>
      </c>
      <c r="L25" s="31">
        <f>VLOOKUP(K25,Reinigungstage!A10:F31,6,FALSE)</f>
        <v>1</v>
      </c>
      <c r="M25" s="31">
        <f t="shared" si="0"/>
        <v>11.32</v>
      </c>
      <c r="N25" s="87">
        <f t="shared" si="1"/>
        <v>0</v>
      </c>
      <c r="O25" s="31">
        <f ca="1">IF('SVS GrundRG'!H61="",0,'SVS GrundRG'!H61)</f>
        <v>0</v>
      </c>
      <c r="P25" s="31">
        <f t="shared" si="2"/>
        <v>0</v>
      </c>
      <c r="Q25" s="31">
        <f t="shared" si="3"/>
        <v>0</v>
      </c>
      <c r="R25" s="31">
        <f t="shared" si="4"/>
        <v>0</v>
      </c>
      <c r="S25" s="3" t="str">
        <f t="shared" si="5"/>
        <v>Leistungswert eintragen</v>
      </c>
      <c r="U25" s="3">
        <f t="shared" si="6"/>
        <v>12.75</v>
      </c>
      <c r="V25" s="3">
        <f t="shared" si="7"/>
        <v>3.8249999999999997</v>
      </c>
      <c r="W25" s="3">
        <f t="shared" si="8"/>
        <v>16.574999999999999</v>
      </c>
      <c r="X25" s="3" t="str">
        <f t="shared" si="9"/>
        <v/>
      </c>
    </row>
    <row r="26" spans="1:24" ht="21" x14ac:dyDescent="0.2">
      <c r="A26" s="70">
        <v>5</v>
      </c>
      <c r="B26" s="84" t="s">
        <v>213</v>
      </c>
      <c r="C26" s="85" t="s">
        <v>204</v>
      </c>
      <c r="D26" s="85"/>
      <c r="E26" s="85" t="s">
        <v>214</v>
      </c>
      <c r="F26" s="85" t="s">
        <v>206</v>
      </c>
      <c r="G26" s="51">
        <v>0</v>
      </c>
      <c r="H26" s="51"/>
      <c r="I26" s="86"/>
      <c r="J26" s="70" t="s">
        <v>275</v>
      </c>
      <c r="K26" s="70" t="s">
        <v>142</v>
      </c>
      <c r="L26" s="31">
        <f>VLOOKUP(K26,Reinigungstage!A10:F31,6,FALSE)</f>
        <v>1</v>
      </c>
      <c r="M26" s="31">
        <f t="shared" si="0"/>
        <v>0</v>
      </c>
      <c r="N26" s="87">
        <f t="shared" si="1"/>
        <v>0</v>
      </c>
      <c r="O26" s="31">
        <f ca="1">IF('SVS GrundRG'!H61="",0,'SVS GrundRG'!H61)</f>
        <v>0</v>
      </c>
      <c r="P26" s="31">
        <f t="shared" si="2"/>
        <v>0</v>
      </c>
      <c r="Q26" s="31">
        <f t="shared" si="3"/>
        <v>0</v>
      </c>
      <c r="R26" s="31">
        <f t="shared" si="4"/>
        <v>0</v>
      </c>
      <c r="S26" s="3" t="str">
        <f t="shared" si="5"/>
        <v/>
      </c>
      <c r="U26" s="3">
        <f t="shared" si="6"/>
        <v>12.75</v>
      </c>
      <c r="V26" s="3">
        <f t="shared" si="7"/>
        <v>3.8249999999999997</v>
      </c>
      <c r="W26" s="3">
        <f t="shared" si="8"/>
        <v>16.574999999999999</v>
      </c>
      <c r="X26" s="3" t="str">
        <f t="shared" si="9"/>
        <v/>
      </c>
    </row>
    <row r="27" spans="1:24" ht="15" customHeight="1" x14ac:dyDescent="0.2">
      <c r="A27" s="70">
        <v>6</v>
      </c>
      <c r="B27" s="84" t="s">
        <v>215</v>
      </c>
      <c r="C27" s="85" t="s">
        <v>204</v>
      </c>
      <c r="D27" s="85"/>
      <c r="E27" s="85" t="s">
        <v>216</v>
      </c>
      <c r="F27" s="85" t="s">
        <v>217</v>
      </c>
      <c r="G27" s="51">
        <v>2.5499999999999998</v>
      </c>
      <c r="H27" s="51"/>
      <c r="I27" s="86"/>
      <c r="J27" s="70" t="s">
        <v>276</v>
      </c>
      <c r="K27" s="70" t="s">
        <v>142</v>
      </c>
      <c r="L27" s="31">
        <f>VLOOKUP(K27,Reinigungstage!A10:F31,6,FALSE)</f>
        <v>1</v>
      </c>
      <c r="M27" s="31">
        <f t="shared" si="0"/>
        <v>2.5499999999999998</v>
      </c>
      <c r="N27" s="87">
        <f t="shared" si="1"/>
        <v>0</v>
      </c>
      <c r="O27" s="31">
        <f ca="1">IF('SVS GrundRG'!H61="",0,'SVS GrundRG'!H61)</f>
        <v>0</v>
      </c>
      <c r="P27" s="31">
        <f t="shared" si="2"/>
        <v>0</v>
      </c>
      <c r="Q27" s="31">
        <f t="shared" si="3"/>
        <v>0</v>
      </c>
      <c r="R27" s="31">
        <f t="shared" si="4"/>
        <v>0</v>
      </c>
      <c r="S27" s="3" t="str">
        <f t="shared" si="5"/>
        <v>Leistungswert eintragen</v>
      </c>
      <c r="U27" s="3">
        <f t="shared" si="6"/>
        <v>10.25</v>
      </c>
      <c r="V27" s="3">
        <f t="shared" si="7"/>
        <v>3.0749999999999997</v>
      </c>
      <c r="W27" s="3">
        <f t="shared" si="8"/>
        <v>13.324999999999999</v>
      </c>
      <c r="X27" s="3" t="str">
        <f t="shared" si="9"/>
        <v/>
      </c>
    </row>
    <row r="28" spans="1:24" ht="15" customHeight="1" x14ac:dyDescent="0.2">
      <c r="A28" s="70">
        <v>7</v>
      </c>
      <c r="B28" s="84" t="s">
        <v>218</v>
      </c>
      <c r="C28" s="85" t="s">
        <v>204</v>
      </c>
      <c r="D28" s="85"/>
      <c r="E28" s="85" t="s">
        <v>216</v>
      </c>
      <c r="F28" s="85" t="s">
        <v>217</v>
      </c>
      <c r="G28" s="51">
        <v>2.8</v>
      </c>
      <c r="H28" s="51"/>
      <c r="I28" s="86"/>
      <c r="J28" s="70" t="s">
        <v>276</v>
      </c>
      <c r="K28" s="70" t="s">
        <v>142</v>
      </c>
      <c r="L28" s="31">
        <f>VLOOKUP(K28,Reinigungstage!A10:F31,6,FALSE)</f>
        <v>1</v>
      </c>
      <c r="M28" s="31">
        <f t="shared" si="0"/>
        <v>2.8</v>
      </c>
      <c r="N28" s="87">
        <f t="shared" si="1"/>
        <v>0</v>
      </c>
      <c r="O28" s="31">
        <f ca="1">IF('SVS GrundRG'!H61="",0,'SVS GrundRG'!H61)</f>
        <v>0</v>
      </c>
      <c r="P28" s="31">
        <f t="shared" si="2"/>
        <v>0</v>
      </c>
      <c r="Q28" s="31">
        <f t="shared" si="3"/>
        <v>0</v>
      </c>
      <c r="R28" s="31">
        <f t="shared" si="4"/>
        <v>0</v>
      </c>
      <c r="S28" s="3" t="str">
        <f t="shared" si="5"/>
        <v>Leistungswert eintragen</v>
      </c>
      <c r="U28" s="3">
        <f t="shared" si="6"/>
        <v>10.25</v>
      </c>
      <c r="V28" s="3">
        <f t="shared" si="7"/>
        <v>3.0749999999999997</v>
      </c>
      <c r="W28" s="3">
        <f t="shared" si="8"/>
        <v>13.324999999999999</v>
      </c>
      <c r="X28" s="3" t="str">
        <f t="shared" si="9"/>
        <v/>
      </c>
    </row>
    <row r="29" spans="1:24" ht="15" customHeight="1" x14ac:dyDescent="0.2">
      <c r="A29" s="70">
        <v>8</v>
      </c>
      <c r="B29" s="84" t="s">
        <v>219</v>
      </c>
      <c r="C29" s="85" t="s">
        <v>204</v>
      </c>
      <c r="D29" s="85"/>
      <c r="E29" s="85" t="s">
        <v>220</v>
      </c>
      <c r="F29" s="85" t="s">
        <v>217</v>
      </c>
      <c r="G29" s="51">
        <v>3.4</v>
      </c>
      <c r="H29" s="51"/>
      <c r="I29" s="86"/>
      <c r="J29" s="70" t="s">
        <v>276</v>
      </c>
      <c r="K29" s="70" t="s">
        <v>142</v>
      </c>
      <c r="L29" s="31">
        <f>VLOOKUP(K29,Reinigungstage!A10:F31,6,FALSE)</f>
        <v>1</v>
      </c>
      <c r="M29" s="31">
        <f t="shared" si="0"/>
        <v>3.4</v>
      </c>
      <c r="N29" s="87">
        <f t="shared" si="1"/>
        <v>0</v>
      </c>
      <c r="O29" s="31">
        <f ca="1">IF('SVS GrundRG'!H61="",0,'SVS GrundRG'!H61)</f>
        <v>0</v>
      </c>
      <c r="P29" s="31">
        <f t="shared" si="2"/>
        <v>0</v>
      </c>
      <c r="Q29" s="31">
        <f t="shared" si="3"/>
        <v>0</v>
      </c>
      <c r="R29" s="31">
        <f t="shared" si="4"/>
        <v>0</v>
      </c>
      <c r="S29" s="3" t="str">
        <f t="shared" si="5"/>
        <v>Leistungswert eintragen</v>
      </c>
      <c r="U29" s="3">
        <f t="shared" si="6"/>
        <v>10.25</v>
      </c>
      <c r="V29" s="3">
        <f t="shared" si="7"/>
        <v>3.0749999999999997</v>
      </c>
      <c r="W29" s="3">
        <f t="shared" si="8"/>
        <v>13.324999999999999</v>
      </c>
      <c r="X29" s="3" t="str">
        <f t="shared" si="9"/>
        <v/>
      </c>
    </row>
    <row r="30" spans="1:24" ht="15" customHeight="1" x14ac:dyDescent="0.2">
      <c r="A30" s="70">
        <v>9</v>
      </c>
      <c r="B30" s="84" t="s">
        <v>221</v>
      </c>
      <c r="C30" s="85" t="s">
        <v>204</v>
      </c>
      <c r="D30" s="85"/>
      <c r="E30" s="85" t="s">
        <v>222</v>
      </c>
      <c r="F30" s="85" t="s">
        <v>206</v>
      </c>
      <c r="G30" s="51">
        <v>4.8499999999999996</v>
      </c>
      <c r="H30" s="51"/>
      <c r="I30" s="86"/>
      <c r="J30" s="70" t="s">
        <v>277</v>
      </c>
      <c r="K30" s="70" t="s">
        <v>142</v>
      </c>
      <c r="L30" s="31">
        <f>VLOOKUP(K30,Reinigungstage!A10:F31,6,FALSE)</f>
        <v>1</v>
      </c>
      <c r="M30" s="31">
        <f t="shared" si="0"/>
        <v>4.8499999999999996</v>
      </c>
      <c r="N30" s="87">
        <f t="shared" si="1"/>
        <v>0</v>
      </c>
      <c r="O30" s="31">
        <f ca="1">IF('SVS GrundRG'!H61="",0,'SVS GrundRG'!H61)</f>
        <v>0</v>
      </c>
      <c r="P30" s="31">
        <f t="shared" si="2"/>
        <v>0</v>
      </c>
      <c r="Q30" s="31">
        <f t="shared" si="3"/>
        <v>0</v>
      </c>
      <c r="R30" s="31">
        <f t="shared" si="4"/>
        <v>0</v>
      </c>
      <c r="S30" s="3" t="str">
        <f t="shared" si="5"/>
        <v>Leistungswert eintragen</v>
      </c>
      <c r="U30" s="3">
        <f t="shared" si="6"/>
        <v>15.375</v>
      </c>
      <c r="V30" s="3">
        <f t="shared" si="7"/>
        <v>4.6124999999999998</v>
      </c>
      <c r="W30" s="3">
        <f t="shared" si="8"/>
        <v>19.987500000000001</v>
      </c>
      <c r="X30" s="3" t="str">
        <f t="shared" si="9"/>
        <v/>
      </c>
    </row>
    <row r="31" spans="1:24" ht="15" customHeight="1" x14ac:dyDescent="0.2">
      <c r="A31" s="70">
        <v>10</v>
      </c>
      <c r="B31" s="84" t="s">
        <v>223</v>
      </c>
      <c r="C31" s="85" t="s">
        <v>204</v>
      </c>
      <c r="D31" s="85"/>
      <c r="E31" s="85" t="s">
        <v>224</v>
      </c>
      <c r="F31" s="85" t="s">
        <v>206</v>
      </c>
      <c r="G31" s="51">
        <v>16.16</v>
      </c>
      <c r="H31" s="51"/>
      <c r="I31" s="86"/>
      <c r="J31" s="70" t="s">
        <v>278</v>
      </c>
      <c r="K31" s="70" t="s">
        <v>142</v>
      </c>
      <c r="L31" s="31">
        <f>VLOOKUP(K31,Reinigungstage!A10:F31,6,FALSE)</f>
        <v>1</v>
      </c>
      <c r="M31" s="31">
        <f t="shared" si="0"/>
        <v>16.16</v>
      </c>
      <c r="N31" s="87">
        <f t="shared" si="1"/>
        <v>0</v>
      </c>
      <c r="O31" s="31">
        <f ca="1">IF('SVS GrundRG'!H61="",0,'SVS GrundRG'!H61)</f>
        <v>0</v>
      </c>
      <c r="P31" s="31">
        <f t="shared" si="2"/>
        <v>0</v>
      </c>
      <c r="Q31" s="31">
        <f t="shared" si="3"/>
        <v>0</v>
      </c>
      <c r="R31" s="31">
        <f t="shared" si="4"/>
        <v>0</v>
      </c>
      <c r="S31" s="3" t="str">
        <f t="shared" si="5"/>
        <v>Leistungswert eintragen</v>
      </c>
      <c r="U31" s="3">
        <f t="shared" si="6"/>
        <v>16.25</v>
      </c>
      <c r="V31" s="3">
        <f t="shared" si="7"/>
        <v>4.875</v>
      </c>
      <c r="W31" s="3">
        <f t="shared" si="8"/>
        <v>21.125</v>
      </c>
      <c r="X31" s="3" t="str">
        <f t="shared" si="9"/>
        <v/>
      </c>
    </row>
    <row r="32" spans="1:24" ht="15" customHeight="1" x14ac:dyDescent="0.2">
      <c r="A32" s="70">
        <v>11</v>
      </c>
      <c r="B32" s="84" t="s">
        <v>7</v>
      </c>
      <c r="C32" s="85" t="s">
        <v>204</v>
      </c>
      <c r="D32" s="85"/>
      <c r="E32" s="85" t="s">
        <v>225</v>
      </c>
      <c r="F32" s="85" t="s">
        <v>206</v>
      </c>
      <c r="G32" s="51">
        <v>17.27</v>
      </c>
      <c r="H32" s="51"/>
      <c r="I32" s="86"/>
      <c r="J32" s="70" t="s">
        <v>279</v>
      </c>
      <c r="K32" s="70" t="s">
        <v>142</v>
      </c>
      <c r="L32" s="31">
        <f>VLOOKUP(K32,Reinigungstage!A10:F31,6,FALSE)</f>
        <v>1</v>
      </c>
      <c r="M32" s="31">
        <f t="shared" si="0"/>
        <v>17.27</v>
      </c>
      <c r="N32" s="87">
        <f t="shared" si="1"/>
        <v>0</v>
      </c>
      <c r="O32" s="31">
        <f ca="1">IF('SVS GrundRG'!H61="",0,'SVS GrundRG'!H61)</f>
        <v>0</v>
      </c>
      <c r="P32" s="31">
        <f t="shared" si="2"/>
        <v>0</v>
      </c>
      <c r="Q32" s="31">
        <f t="shared" si="3"/>
        <v>0</v>
      </c>
      <c r="R32" s="31">
        <f t="shared" si="4"/>
        <v>0</v>
      </c>
      <c r="S32" s="3" t="str">
        <f t="shared" si="5"/>
        <v>Leistungswert eintragen</v>
      </c>
      <c r="U32" s="3">
        <f t="shared" si="6"/>
        <v>15.375</v>
      </c>
      <c r="V32" s="3">
        <f t="shared" si="7"/>
        <v>4.6124999999999998</v>
      </c>
      <c r="W32" s="3">
        <f t="shared" si="8"/>
        <v>19.987500000000001</v>
      </c>
      <c r="X32" s="3" t="str">
        <f t="shared" si="9"/>
        <v/>
      </c>
    </row>
    <row r="33" spans="1:24" ht="15" customHeight="1" x14ac:dyDescent="0.2">
      <c r="A33" s="70">
        <v>12</v>
      </c>
      <c r="B33" s="84" t="s">
        <v>9</v>
      </c>
      <c r="C33" s="85" t="s">
        <v>204</v>
      </c>
      <c r="D33" s="85"/>
      <c r="E33" s="85" t="s">
        <v>226</v>
      </c>
      <c r="F33" s="85" t="s">
        <v>206</v>
      </c>
      <c r="G33" s="51">
        <v>19.88</v>
      </c>
      <c r="H33" s="51"/>
      <c r="I33" s="86"/>
      <c r="J33" s="70" t="s">
        <v>278</v>
      </c>
      <c r="K33" s="70" t="s">
        <v>142</v>
      </c>
      <c r="L33" s="31">
        <f>VLOOKUP(K33,Reinigungstage!A10:F31,6,FALSE)</f>
        <v>1</v>
      </c>
      <c r="M33" s="31">
        <f t="shared" si="0"/>
        <v>19.88</v>
      </c>
      <c r="N33" s="87">
        <f t="shared" si="1"/>
        <v>0</v>
      </c>
      <c r="O33" s="31">
        <f ca="1">IF('SVS GrundRG'!H61="",0,'SVS GrundRG'!H61)</f>
        <v>0</v>
      </c>
      <c r="P33" s="31">
        <f t="shared" si="2"/>
        <v>0</v>
      </c>
      <c r="Q33" s="31">
        <f t="shared" si="3"/>
        <v>0</v>
      </c>
      <c r="R33" s="31">
        <f t="shared" si="4"/>
        <v>0</v>
      </c>
      <c r="S33" s="3" t="str">
        <f t="shared" si="5"/>
        <v>Leistungswert eintragen</v>
      </c>
      <c r="U33" s="3">
        <f t="shared" si="6"/>
        <v>16.25</v>
      </c>
      <c r="V33" s="3">
        <f t="shared" si="7"/>
        <v>4.875</v>
      </c>
      <c r="W33" s="3">
        <f t="shared" si="8"/>
        <v>21.125</v>
      </c>
      <c r="X33" s="3" t="str">
        <f t="shared" si="9"/>
        <v/>
      </c>
    </row>
    <row r="34" spans="1:24" ht="15" customHeight="1" x14ac:dyDescent="0.2">
      <c r="A34" s="70">
        <v>13</v>
      </c>
      <c r="B34" s="84" t="s">
        <v>11</v>
      </c>
      <c r="C34" s="85" t="s">
        <v>204</v>
      </c>
      <c r="D34" s="85"/>
      <c r="E34" s="85" t="s">
        <v>227</v>
      </c>
      <c r="F34" s="85" t="s">
        <v>217</v>
      </c>
      <c r="G34" s="51">
        <v>16.34</v>
      </c>
      <c r="H34" s="51"/>
      <c r="I34" s="86"/>
      <c r="J34" s="70" t="s">
        <v>275</v>
      </c>
      <c r="K34" s="70" t="s">
        <v>142</v>
      </c>
      <c r="L34" s="31">
        <f>VLOOKUP(K34,Reinigungstage!A10:F31,6,FALSE)</f>
        <v>1</v>
      </c>
      <c r="M34" s="31">
        <f t="shared" si="0"/>
        <v>16.34</v>
      </c>
      <c r="N34" s="87">
        <f t="shared" si="1"/>
        <v>0</v>
      </c>
      <c r="O34" s="31">
        <f ca="1">IF('SVS GrundRG'!H61="",0,'SVS GrundRG'!H61)</f>
        <v>0</v>
      </c>
      <c r="P34" s="31">
        <f t="shared" si="2"/>
        <v>0</v>
      </c>
      <c r="Q34" s="31">
        <f t="shared" si="3"/>
        <v>0</v>
      </c>
      <c r="R34" s="31">
        <f t="shared" si="4"/>
        <v>0</v>
      </c>
      <c r="S34" s="3" t="str">
        <f t="shared" si="5"/>
        <v>Leistungswert eintragen</v>
      </c>
      <c r="U34" s="3">
        <f t="shared" si="6"/>
        <v>12.75</v>
      </c>
      <c r="V34" s="3">
        <f t="shared" si="7"/>
        <v>3.8249999999999997</v>
      </c>
      <c r="W34" s="3">
        <f t="shared" si="8"/>
        <v>16.574999999999999</v>
      </c>
      <c r="X34" s="3" t="str">
        <f t="shared" si="9"/>
        <v/>
      </c>
    </row>
    <row r="35" spans="1:24" ht="15" customHeight="1" x14ac:dyDescent="0.2">
      <c r="A35" s="70">
        <v>14</v>
      </c>
      <c r="B35" s="84" t="s">
        <v>13</v>
      </c>
      <c r="C35" s="85" t="s">
        <v>204</v>
      </c>
      <c r="D35" s="85"/>
      <c r="E35" s="85" t="s">
        <v>228</v>
      </c>
      <c r="F35" s="85" t="s">
        <v>217</v>
      </c>
      <c r="G35" s="51">
        <v>33.76</v>
      </c>
      <c r="H35" s="51"/>
      <c r="I35" s="86"/>
      <c r="J35" s="70" t="s">
        <v>278</v>
      </c>
      <c r="K35" s="70" t="s">
        <v>142</v>
      </c>
      <c r="L35" s="31">
        <f>VLOOKUP(K35,Reinigungstage!A10:F31,6,FALSE)</f>
        <v>1</v>
      </c>
      <c r="M35" s="31">
        <f t="shared" si="0"/>
        <v>33.76</v>
      </c>
      <c r="N35" s="87">
        <f t="shared" si="1"/>
        <v>0</v>
      </c>
      <c r="O35" s="31">
        <f ca="1">IF('SVS GrundRG'!H61="",0,'SVS GrundRG'!H61)</f>
        <v>0</v>
      </c>
      <c r="P35" s="31">
        <f t="shared" si="2"/>
        <v>0</v>
      </c>
      <c r="Q35" s="31">
        <f t="shared" si="3"/>
        <v>0</v>
      </c>
      <c r="R35" s="31">
        <f t="shared" si="4"/>
        <v>0</v>
      </c>
      <c r="S35" s="3" t="str">
        <f t="shared" si="5"/>
        <v>Leistungswert eintragen</v>
      </c>
      <c r="U35" s="3">
        <f t="shared" si="6"/>
        <v>16.25</v>
      </c>
      <c r="V35" s="3">
        <f t="shared" si="7"/>
        <v>4.875</v>
      </c>
      <c r="W35" s="3">
        <f t="shared" si="8"/>
        <v>21.125</v>
      </c>
      <c r="X35" s="3" t="str">
        <f t="shared" si="9"/>
        <v/>
      </c>
    </row>
    <row r="36" spans="1:24" ht="15" customHeight="1" x14ac:dyDescent="0.2">
      <c r="A36" s="70">
        <v>15</v>
      </c>
      <c r="B36" s="84" t="s">
        <v>233</v>
      </c>
      <c r="C36" s="85" t="s">
        <v>230</v>
      </c>
      <c r="D36" s="85"/>
      <c r="E36" s="85" t="s">
        <v>234</v>
      </c>
      <c r="F36" s="85" t="s">
        <v>232</v>
      </c>
      <c r="G36" s="51">
        <v>16.13</v>
      </c>
      <c r="H36" s="51"/>
      <c r="I36" s="86"/>
      <c r="J36" s="70" t="s">
        <v>208</v>
      </c>
      <c r="K36" s="70" t="s">
        <v>142</v>
      </c>
      <c r="L36" s="31">
        <f>VLOOKUP(K36,Reinigungstage!A10:F31,6,FALSE)</f>
        <v>1</v>
      </c>
      <c r="M36" s="31">
        <f t="shared" si="0"/>
        <v>16.13</v>
      </c>
      <c r="N36" s="87">
        <f t="shared" si="1"/>
        <v>0</v>
      </c>
      <c r="O36" s="31">
        <f ca="1">IF('SVS GrundRG'!H61="",0,'SVS GrundRG'!H61)</f>
        <v>0</v>
      </c>
      <c r="P36" s="31">
        <f t="shared" si="2"/>
        <v>0</v>
      </c>
      <c r="Q36" s="31">
        <f t="shared" si="3"/>
        <v>0</v>
      </c>
      <c r="R36" s="31">
        <f t="shared" si="4"/>
        <v>0</v>
      </c>
      <c r="S36" s="3" t="str">
        <f t="shared" si="5"/>
        <v>Leistungswert eintragen</v>
      </c>
      <c r="U36" s="3">
        <f t="shared" si="6"/>
        <v>11.875</v>
      </c>
      <c r="V36" s="3">
        <f t="shared" si="7"/>
        <v>3.5625</v>
      </c>
      <c r="W36" s="3">
        <f t="shared" si="8"/>
        <v>15.4375</v>
      </c>
      <c r="X36" s="3" t="str">
        <f t="shared" si="9"/>
        <v/>
      </c>
    </row>
    <row r="37" spans="1:24" ht="15" customHeight="1" x14ac:dyDescent="0.2">
      <c r="A37" s="70">
        <v>16</v>
      </c>
      <c r="B37" s="84" t="s">
        <v>235</v>
      </c>
      <c r="C37" s="85" t="s">
        <v>230</v>
      </c>
      <c r="D37" s="85"/>
      <c r="E37" s="85" t="s">
        <v>208</v>
      </c>
      <c r="F37" s="85" t="s">
        <v>232</v>
      </c>
      <c r="G37" s="51">
        <v>18.760000000000002</v>
      </c>
      <c r="H37" s="51"/>
      <c r="I37" s="86"/>
      <c r="J37" s="70" t="s">
        <v>208</v>
      </c>
      <c r="K37" s="70" t="s">
        <v>142</v>
      </c>
      <c r="L37" s="31">
        <f>VLOOKUP(K37,Reinigungstage!A10:F31,6,FALSE)</f>
        <v>1</v>
      </c>
      <c r="M37" s="31">
        <f t="shared" si="0"/>
        <v>18.760000000000002</v>
      </c>
      <c r="N37" s="87">
        <f t="shared" si="1"/>
        <v>0</v>
      </c>
      <c r="O37" s="31">
        <f ca="1">IF('SVS GrundRG'!H61="",0,'SVS GrundRG'!H61)</f>
        <v>0</v>
      </c>
      <c r="P37" s="31">
        <f t="shared" si="2"/>
        <v>0</v>
      </c>
      <c r="Q37" s="31">
        <f t="shared" si="3"/>
        <v>0</v>
      </c>
      <c r="R37" s="31">
        <f t="shared" si="4"/>
        <v>0</v>
      </c>
      <c r="S37" s="3" t="str">
        <f t="shared" si="5"/>
        <v>Leistungswert eintragen</v>
      </c>
      <c r="U37" s="3">
        <f t="shared" si="6"/>
        <v>11.875</v>
      </c>
      <c r="V37" s="3">
        <f t="shared" si="7"/>
        <v>3.5625</v>
      </c>
      <c r="W37" s="3">
        <f t="shared" si="8"/>
        <v>15.4375</v>
      </c>
      <c r="X37" s="3" t="str">
        <f t="shared" si="9"/>
        <v/>
      </c>
    </row>
    <row r="38" spans="1:24" ht="15" customHeight="1" x14ac:dyDescent="0.2">
      <c r="A38" s="70">
        <v>17</v>
      </c>
      <c r="B38" s="84" t="s">
        <v>236</v>
      </c>
      <c r="C38" s="85" t="s">
        <v>230</v>
      </c>
      <c r="D38" s="85"/>
      <c r="E38" s="85" t="s">
        <v>237</v>
      </c>
      <c r="F38" s="85" t="s">
        <v>232</v>
      </c>
      <c r="G38" s="51">
        <v>16.79</v>
      </c>
      <c r="H38" s="51"/>
      <c r="I38" s="86"/>
      <c r="J38" s="70" t="s">
        <v>208</v>
      </c>
      <c r="K38" s="70" t="s">
        <v>142</v>
      </c>
      <c r="L38" s="31">
        <f>VLOOKUP(K38,Reinigungstage!A10:F31,6,FALSE)</f>
        <v>1</v>
      </c>
      <c r="M38" s="31">
        <f t="shared" si="0"/>
        <v>16.79</v>
      </c>
      <c r="N38" s="87">
        <f t="shared" si="1"/>
        <v>0</v>
      </c>
      <c r="O38" s="31">
        <f ca="1">IF('SVS GrundRG'!H61="",0,'SVS GrundRG'!H61)</f>
        <v>0</v>
      </c>
      <c r="P38" s="31">
        <f t="shared" si="2"/>
        <v>0</v>
      </c>
      <c r="Q38" s="31">
        <f t="shared" si="3"/>
        <v>0</v>
      </c>
      <c r="R38" s="31">
        <f t="shared" si="4"/>
        <v>0</v>
      </c>
      <c r="S38" s="3" t="str">
        <f t="shared" si="5"/>
        <v>Leistungswert eintragen</v>
      </c>
      <c r="U38" s="3">
        <f t="shared" si="6"/>
        <v>11.875</v>
      </c>
      <c r="V38" s="3">
        <f t="shared" si="7"/>
        <v>3.5625</v>
      </c>
      <c r="W38" s="3">
        <f t="shared" si="8"/>
        <v>15.4375</v>
      </c>
      <c r="X38" s="3" t="str">
        <f t="shared" si="9"/>
        <v/>
      </c>
    </row>
    <row r="39" spans="1:24" ht="15" customHeight="1" x14ac:dyDescent="0.2">
      <c r="A39" s="70">
        <v>18</v>
      </c>
      <c r="B39" s="84" t="s">
        <v>242</v>
      </c>
      <c r="C39" s="85" t="s">
        <v>230</v>
      </c>
      <c r="D39" s="85"/>
      <c r="E39" s="85" t="s">
        <v>216</v>
      </c>
      <c r="F39" s="85" t="s">
        <v>217</v>
      </c>
      <c r="G39" s="51">
        <v>2.5499999999999998</v>
      </c>
      <c r="H39" s="51"/>
      <c r="I39" s="86"/>
      <c r="J39" s="70" t="s">
        <v>276</v>
      </c>
      <c r="K39" s="70" t="s">
        <v>142</v>
      </c>
      <c r="L39" s="31">
        <f>VLOOKUP(K39,Reinigungstage!A10:F31,6,FALSE)</f>
        <v>1</v>
      </c>
      <c r="M39" s="31">
        <f t="shared" si="0"/>
        <v>2.5499999999999998</v>
      </c>
      <c r="N39" s="87">
        <f t="shared" si="1"/>
        <v>0</v>
      </c>
      <c r="O39" s="31">
        <f ca="1">IF('SVS GrundRG'!H61="",0,'SVS GrundRG'!H61)</f>
        <v>0</v>
      </c>
      <c r="P39" s="31">
        <f t="shared" si="2"/>
        <v>0</v>
      </c>
      <c r="Q39" s="31">
        <f t="shared" si="3"/>
        <v>0</v>
      </c>
      <c r="R39" s="31">
        <f t="shared" si="4"/>
        <v>0</v>
      </c>
      <c r="S39" s="3" t="str">
        <f t="shared" si="5"/>
        <v>Leistungswert eintragen</v>
      </c>
      <c r="U39" s="3">
        <f t="shared" si="6"/>
        <v>10.25</v>
      </c>
      <c r="V39" s="3">
        <f t="shared" si="7"/>
        <v>3.0749999999999997</v>
      </c>
      <c r="W39" s="3">
        <f t="shared" si="8"/>
        <v>13.324999999999999</v>
      </c>
      <c r="X39" s="3" t="str">
        <f t="shared" si="9"/>
        <v/>
      </c>
    </row>
    <row r="40" spans="1:24" ht="15" customHeight="1" x14ac:dyDescent="0.2">
      <c r="A40" s="70">
        <v>19</v>
      </c>
      <c r="B40" s="84" t="s">
        <v>243</v>
      </c>
      <c r="C40" s="85" t="s">
        <v>230</v>
      </c>
      <c r="D40" s="85"/>
      <c r="E40" s="85" t="s">
        <v>216</v>
      </c>
      <c r="F40" s="85" t="s">
        <v>217</v>
      </c>
      <c r="G40" s="51">
        <v>2.8</v>
      </c>
      <c r="H40" s="51"/>
      <c r="I40" s="86"/>
      <c r="J40" s="70" t="s">
        <v>276</v>
      </c>
      <c r="K40" s="70" t="s">
        <v>142</v>
      </c>
      <c r="L40" s="31">
        <f>VLOOKUP(K40,Reinigungstage!A10:F31,6,FALSE)</f>
        <v>1</v>
      </c>
      <c r="M40" s="31">
        <f t="shared" si="0"/>
        <v>2.8</v>
      </c>
      <c r="N40" s="87">
        <f t="shared" si="1"/>
        <v>0</v>
      </c>
      <c r="O40" s="31">
        <f ca="1">IF('SVS GrundRG'!H61="",0,'SVS GrundRG'!H61)</f>
        <v>0</v>
      </c>
      <c r="P40" s="31">
        <f t="shared" si="2"/>
        <v>0</v>
      </c>
      <c r="Q40" s="31">
        <f t="shared" si="3"/>
        <v>0</v>
      </c>
      <c r="R40" s="31">
        <f t="shared" si="4"/>
        <v>0</v>
      </c>
      <c r="S40" s="3" t="str">
        <f t="shared" si="5"/>
        <v>Leistungswert eintragen</v>
      </c>
      <c r="U40" s="3">
        <f t="shared" si="6"/>
        <v>10.25</v>
      </c>
      <c r="V40" s="3">
        <f t="shared" si="7"/>
        <v>3.0749999999999997</v>
      </c>
      <c r="W40" s="3">
        <f t="shared" si="8"/>
        <v>13.324999999999999</v>
      </c>
      <c r="X40" s="3" t="str">
        <f t="shared" si="9"/>
        <v/>
      </c>
    </row>
    <row r="41" spans="1:24" ht="15" customHeight="1" x14ac:dyDescent="0.2">
      <c r="A41" s="70">
        <v>20</v>
      </c>
      <c r="B41" s="84" t="s">
        <v>244</v>
      </c>
      <c r="C41" s="85" t="s">
        <v>230</v>
      </c>
      <c r="D41" s="85"/>
      <c r="E41" s="85" t="s">
        <v>220</v>
      </c>
      <c r="F41" s="85" t="s">
        <v>217</v>
      </c>
      <c r="G41" s="51">
        <v>3.4</v>
      </c>
      <c r="H41" s="51"/>
      <c r="I41" s="86"/>
      <c r="J41" s="70" t="s">
        <v>276</v>
      </c>
      <c r="K41" s="70" t="s">
        <v>142</v>
      </c>
      <c r="L41" s="31">
        <f>VLOOKUP(K41,Reinigungstage!A10:F31,6,FALSE)</f>
        <v>1</v>
      </c>
      <c r="M41" s="31">
        <f t="shared" si="0"/>
        <v>3.4</v>
      </c>
      <c r="N41" s="87">
        <f t="shared" si="1"/>
        <v>0</v>
      </c>
      <c r="O41" s="31">
        <f ca="1">IF('SVS GrundRG'!H61="",0,'SVS GrundRG'!H61)</f>
        <v>0</v>
      </c>
      <c r="P41" s="31">
        <f t="shared" si="2"/>
        <v>0</v>
      </c>
      <c r="Q41" s="31">
        <f t="shared" si="3"/>
        <v>0</v>
      </c>
      <c r="R41" s="31">
        <f t="shared" si="4"/>
        <v>0</v>
      </c>
      <c r="S41" s="3" t="str">
        <f t="shared" si="5"/>
        <v>Leistungswert eintragen</v>
      </c>
      <c r="U41" s="3">
        <f t="shared" si="6"/>
        <v>10.25</v>
      </c>
      <c r="V41" s="3">
        <f t="shared" si="7"/>
        <v>3.0749999999999997</v>
      </c>
      <c r="W41" s="3">
        <f t="shared" si="8"/>
        <v>13.324999999999999</v>
      </c>
      <c r="X41" s="3" t="str">
        <f t="shared" si="9"/>
        <v/>
      </c>
    </row>
    <row r="42" spans="1:24" ht="15" customHeight="1" x14ac:dyDescent="0.2">
      <c r="A42" s="70">
        <v>21</v>
      </c>
      <c r="B42" s="84" t="s">
        <v>245</v>
      </c>
      <c r="C42" s="85" t="s">
        <v>230</v>
      </c>
      <c r="D42" s="85"/>
      <c r="E42" s="85" t="s">
        <v>222</v>
      </c>
      <c r="F42" s="85" t="s">
        <v>232</v>
      </c>
      <c r="G42" s="51">
        <v>4.8499999999999996</v>
      </c>
      <c r="H42" s="51"/>
      <c r="I42" s="86"/>
      <c r="J42" s="70" t="s">
        <v>277</v>
      </c>
      <c r="K42" s="70" t="s">
        <v>142</v>
      </c>
      <c r="L42" s="31">
        <f>VLOOKUP(K42,Reinigungstage!A10:F31,6,FALSE)</f>
        <v>1</v>
      </c>
      <c r="M42" s="31">
        <f t="shared" si="0"/>
        <v>4.8499999999999996</v>
      </c>
      <c r="N42" s="87">
        <f t="shared" si="1"/>
        <v>0</v>
      </c>
      <c r="O42" s="31">
        <f ca="1">IF('SVS GrundRG'!H61="",0,'SVS GrundRG'!H61)</f>
        <v>0</v>
      </c>
      <c r="P42" s="31">
        <f t="shared" si="2"/>
        <v>0</v>
      </c>
      <c r="Q42" s="31">
        <f t="shared" si="3"/>
        <v>0</v>
      </c>
      <c r="R42" s="31">
        <f t="shared" si="4"/>
        <v>0</v>
      </c>
      <c r="S42" s="3" t="str">
        <f t="shared" si="5"/>
        <v>Leistungswert eintragen</v>
      </c>
      <c r="U42" s="3">
        <f t="shared" si="6"/>
        <v>15.375</v>
      </c>
      <c r="V42" s="3">
        <f t="shared" si="7"/>
        <v>4.6124999999999998</v>
      </c>
      <c r="W42" s="3">
        <f t="shared" si="8"/>
        <v>19.987500000000001</v>
      </c>
      <c r="X42" s="3" t="str">
        <f t="shared" si="9"/>
        <v/>
      </c>
    </row>
    <row r="43" spans="1:24" ht="15" customHeight="1" x14ac:dyDescent="0.2">
      <c r="A43" s="70">
        <v>22</v>
      </c>
      <c r="B43" s="84" t="s">
        <v>246</v>
      </c>
      <c r="C43" s="85" t="s">
        <v>230</v>
      </c>
      <c r="D43" s="85"/>
      <c r="E43" s="85" t="s">
        <v>224</v>
      </c>
      <c r="F43" s="85" t="s">
        <v>232</v>
      </c>
      <c r="G43" s="51">
        <v>16.75</v>
      </c>
      <c r="H43" s="51"/>
      <c r="I43" s="86"/>
      <c r="J43" s="70" t="s">
        <v>278</v>
      </c>
      <c r="K43" s="70" t="s">
        <v>142</v>
      </c>
      <c r="L43" s="31">
        <f>VLOOKUP(K43,Reinigungstage!A10:F31,6,FALSE)</f>
        <v>1</v>
      </c>
      <c r="M43" s="31">
        <f t="shared" si="0"/>
        <v>16.75</v>
      </c>
      <c r="N43" s="87">
        <f t="shared" si="1"/>
        <v>0</v>
      </c>
      <c r="O43" s="31">
        <f ca="1">IF('SVS GrundRG'!H61="",0,'SVS GrundRG'!H61)</f>
        <v>0</v>
      </c>
      <c r="P43" s="31">
        <f t="shared" si="2"/>
        <v>0</v>
      </c>
      <c r="Q43" s="31">
        <f t="shared" si="3"/>
        <v>0</v>
      </c>
      <c r="R43" s="31">
        <f t="shared" si="4"/>
        <v>0</v>
      </c>
      <c r="S43" s="3" t="str">
        <f t="shared" si="5"/>
        <v>Leistungswert eintragen</v>
      </c>
      <c r="U43" s="3">
        <f t="shared" si="6"/>
        <v>16.25</v>
      </c>
      <c r="V43" s="3">
        <f t="shared" si="7"/>
        <v>4.875</v>
      </c>
      <c r="W43" s="3">
        <f t="shared" si="8"/>
        <v>21.125</v>
      </c>
      <c r="X43" s="3" t="str">
        <f t="shared" si="9"/>
        <v/>
      </c>
    </row>
    <row r="44" spans="1:24" ht="15" customHeight="1" x14ac:dyDescent="0.2">
      <c r="A44" s="70">
        <v>23</v>
      </c>
      <c r="B44" s="84" t="s">
        <v>247</v>
      </c>
      <c r="C44" s="85" t="s">
        <v>230</v>
      </c>
      <c r="D44" s="85"/>
      <c r="E44" s="85" t="s">
        <v>225</v>
      </c>
      <c r="F44" s="85" t="s">
        <v>232</v>
      </c>
      <c r="G44" s="51">
        <v>17.27</v>
      </c>
      <c r="H44" s="51"/>
      <c r="I44" s="86"/>
      <c r="J44" s="70" t="s">
        <v>279</v>
      </c>
      <c r="K44" s="70" t="s">
        <v>142</v>
      </c>
      <c r="L44" s="31">
        <f>VLOOKUP(K44,Reinigungstage!A10:F31,6,FALSE)</f>
        <v>1</v>
      </c>
      <c r="M44" s="31">
        <f t="shared" si="0"/>
        <v>17.27</v>
      </c>
      <c r="N44" s="87">
        <f t="shared" si="1"/>
        <v>0</v>
      </c>
      <c r="O44" s="31">
        <f ca="1">IF('SVS GrundRG'!H61="",0,'SVS GrundRG'!H61)</f>
        <v>0</v>
      </c>
      <c r="P44" s="31">
        <f t="shared" si="2"/>
        <v>0</v>
      </c>
      <c r="Q44" s="31">
        <f t="shared" si="3"/>
        <v>0</v>
      </c>
      <c r="R44" s="31">
        <f t="shared" si="4"/>
        <v>0</v>
      </c>
      <c r="S44" s="3" t="str">
        <f t="shared" si="5"/>
        <v>Leistungswert eintragen</v>
      </c>
      <c r="U44" s="3">
        <f t="shared" si="6"/>
        <v>15.375</v>
      </c>
      <c r="V44" s="3">
        <f t="shared" si="7"/>
        <v>4.6124999999999998</v>
      </c>
      <c r="W44" s="3">
        <f t="shared" si="8"/>
        <v>19.987500000000001</v>
      </c>
      <c r="X44" s="3" t="str">
        <f t="shared" si="9"/>
        <v/>
      </c>
    </row>
    <row r="45" spans="1:24" ht="15" customHeight="1" x14ac:dyDescent="0.2">
      <c r="A45" s="70">
        <v>24</v>
      </c>
      <c r="B45" s="84" t="s">
        <v>248</v>
      </c>
      <c r="C45" s="85" t="s">
        <v>230</v>
      </c>
      <c r="D45" s="85"/>
      <c r="E45" s="85" t="s">
        <v>226</v>
      </c>
      <c r="F45" s="85" t="s">
        <v>232</v>
      </c>
      <c r="G45" s="51">
        <v>19.89</v>
      </c>
      <c r="H45" s="51"/>
      <c r="I45" s="86"/>
      <c r="J45" s="70" t="s">
        <v>278</v>
      </c>
      <c r="K45" s="70" t="s">
        <v>142</v>
      </c>
      <c r="L45" s="31">
        <f>VLOOKUP(K45,Reinigungstage!A10:F31,6,FALSE)</f>
        <v>1</v>
      </c>
      <c r="M45" s="31">
        <f t="shared" si="0"/>
        <v>19.89</v>
      </c>
      <c r="N45" s="87">
        <f t="shared" si="1"/>
        <v>0</v>
      </c>
      <c r="O45" s="31">
        <f ca="1">IF('SVS GrundRG'!H61="",0,'SVS GrundRG'!H61)</f>
        <v>0</v>
      </c>
      <c r="P45" s="31">
        <f t="shared" si="2"/>
        <v>0</v>
      </c>
      <c r="Q45" s="31">
        <f t="shared" si="3"/>
        <v>0</v>
      </c>
      <c r="R45" s="31">
        <f t="shared" si="4"/>
        <v>0</v>
      </c>
      <c r="S45" s="3" t="str">
        <f t="shared" si="5"/>
        <v>Leistungswert eintragen</v>
      </c>
      <c r="U45" s="3">
        <f t="shared" si="6"/>
        <v>16.25</v>
      </c>
      <c r="V45" s="3">
        <f t="shared" si="7"/>
        <v>4.875</v>
      </c>
      <c r="W45" s="3">
        <f t="shared" si="8"/>
        <v>21.125</v>
      </c>
      <c r="X45" s="3" t="str">
        <f t="shared" si="9"/>
        <v/>
      </c>
    </row>
    <row r="46" spans="1:24" ht="15" customHeight="1" x14ac:dyDescent="0.2">
      <c r="A46" s="70">
        <v>25</v>
      </c>
      <c r="B46" s="84" t="s">
        <v>249</v>
      </c>
      <c r="C46" s="85" t="s">
        <v>230</v>
      </c>
      <c r="D46" s="85"/>
      <c r="E46" s="85" t="s">
        <v>227</v>
      </c>
      <c r="F46" s="85" t="s">
        <v>217</v>
      </c>
      <c r="G46" s="51">
        <v>15.94</v>
      </c>
      <c r="H46" s="51"/>
      <c r="I46" s="86"/>
      <c r="J46" s="70" t="s">
        <v>275</v>
      </c>
      <c r="K46" s="70" t="s">
        <v>142</v>
      </c>
      <c r="L46" s="31">
        <f>VLOOKUP(K46,Reinigungstage!A10:F31,6,FALSE)</f>
        <v>1</v>
      </c>
      <c r="M46" s="31">
        <f t="shared" si="0"/>
        <v>15.94</v>
      </c>
      <c r="N46" s="87">
        <f t="shared" si="1"/>
        <v>0</v>
      </c>
      <c r="O46" s="31">
        <f ca="1">IF('SVS GrundRG'!H61="",0,'SVS GrundRG'!H61)</f>
        <v>0</v>
      </c>
      <c r="P46" s="31">
        <f t="shared" si="2"/>
        <v>0</v>
      </c>
      <c r="Q46" s="31">
        <f t="shared" si="3"/>
        <v>0</v>
      </c>
      <c r="R46" s="31">
        <f t="shared" si="4"/>
        <v>0</v>
      </c>
      <c r="S46" s="3" t="str">
        <f t="shared" si="5"/>
        <v>Leistungswert eintragen</v>
      </c>
      <c r="U46" s="3">
        <f t="shared" si="6"/>
        <v>12.75</v>
      </c>
      <c r="V46" s="3">
        <f t="shared" si="7"/>
        <v>3.8249999999999997</v>
      </c>
      <c r="W46" s="3">
        <f t="shared" si="8"/>
        <v>16.574999999999999</v>
      </c>
      <c r="X46" s="3" t="str">
        <f t="shared" si="9"/>
        <v/>
      </c>
    </row>
    <row r="47" spans="1:24" ht="15" customHeight="1" x14ac:dyDescent="0.2">
      <c r="A47" s="70">
        <v>26</v>
      </c>
      <c r="B47" s="84" t="s">
        <v>250</v>
      </c>
      <c r="C47" s="85" t="s">
        <v>230</v>
      </c>
      <c r="D47" s="85"/>
      <c r="E47" s="85" t="s">
        <v>228</v>
      </c>
      <c r="F47" s="85" t="s">
        <v>217</v>
      </c>
      <c r="G47" s="51">
        <v>33.76</v>
      </c>
      <c r="H47" s="51"/>
      <c r="I47" s="86"/>
      <c r="J47" s="70" t="s">
        <v>278</v>
      </c>
      <c r="K47" s="70" t="s">
        <v>142</v>
      </c>
      <c r="L47" s="31">
        <f>VLOOKUP(K47,Reinigungstage!A10:F31,6,FALSE)</f>
        <v>1</v>
      </c>
      <c r="M47" s="31">
        <f t="shared" si="0"/>
        <v>33.76</v>
      </c>
      <c r="N47" s="87">
        <f t="shared" si="1"/>
        <v>0</v>
      </c>
      <c r="O47" s="31">
        <f ca="1">IF('SVS GrundRG'!H61="",0,'SVS GrundRG'!H61)</f>
        <v>0</v>
      </c>
      <c r="P47" s="31">
        <f t="shared" si="2"/>
        <v>0</v>
      </c>
      <c r="Q47" s="31">
        <f t="shared" si="3"/>
        <v>0</v>
      </c>
      <c r="R47" s="31">
        <f t="shared" si="4"/>
        <v>0</v>
      </c>
      <c r="S47" s="3" t="str">
        <f t="shared" si="5"/>
        <v>Leistungswert eintragen</v>
      </c>
      <c r="U47" s="3">
        <f t="shared" si="6"/>
        <v>16.25</v>
      </c>
      <c r="V47" s="3">
        <f t="shared" si="7"/>
        <v>4.875</v>
      </c>
      <c r="W47" s="3">
        <f t="shared" si="8"/>
        <v>21.125</v>
      </c>
      <c r="X47" s="3" t="str">
        <f t="shared" si="9"/>
        <v/>
      </c>
    </row>
    <row r="48" spans="1:24" ht="21" x14ac:dyDescent="0.2">
      <c r="A48" s="70">
        <v>27</v>
      </c>
      <c r="B48" s="84" t="s">
        <v>251</v>
      </c>
      <c r="C48" s="85" t="s">
        <v>252</v>
      </c>
      <c r="D48" s="85"/>
      <c r="E48" s="85" t="s">
        <v>253</v>
      </c>
      <c r="F48" s="85" t="s">
        <v>217</v>
      </c>
      <c r="G48" s="51">
        <v>153.78</v>
      </c>
      <c r="H48" s="51"/>
      <c r="I48" s="86"/>
      <c r="J48" s="70" t="s">
        <v>275</v>
      </c>
      <c r="K48" s="70" t="s">
        <v>142</v>
      </c>
      <c r="L48" s="31">
        <f>VLOOKUP(K48,Reinigungstage!A10:F31,6,FALSE)</f>
        <v>1</v>
      </c>
      <c r="M48" s="31">
        <f t="shared" si="0"/>
        <v>153.78</v>
      </c>
      <c r="N48" s="87">
        <f t="shared" si="1"/>
        <v>0</v>
      </c>
      <c r="O48" s="31">
        <f ca="1">IF('SVS GrundRG'!H61="",0,'SVS GrundRG'!H61)</f>
        <v>0</v>
      </c>
      <c r="P48" s="31">
        <f t="shared" si="2"/>
        <v>0</v>
      </c>
      <c r="Q48" s="31">
        <f t="shared" si="3"/>
        <v>0</v>
      </c>
      <c r="R48" s="31">
        <f t="shared" si="4"/>
        <v>0</v>
      </c>
      <c r="S48" s="3" t="str">
        <f t="shared" si="5"/>
        <v>Leistungswert eintragen</v>
      </c>
      <c r="U48" s="3">
        <f t="shared" si="6"/>
        <v>12.75</v>
      </c>
      <c r="V48" s="3">
        <f t="shared" si="7"/>
        <v>3.8249999999999997</v>
      </c>
      <c r="W48" s="3">
        <f t="shared" si="8"/>
        <v>16.574999999999999</v>
      </c>
      <c r="X48" s="3" t="str">
        <f t="shared" si="9"/>
        <v/>
      </c>
    </row>
    <row r="49" spans="1:24" ht="15" customHeight="1" x14ac:dyDescent="0.2">
      <c r="A49" s="70">
        <v>28</v>
      </c>
      <c r="B49" s="84" t="s">
        <v>256</v>
      </c>
      <c r="C49" s="85" t="s">
        <v>252</v>
      </c>
      <c r="D49" s="85"/>
      <c r="E49" s="85" t="s">
        <v>224</v>
      </c>
      <c r="F49" s="85" t="s">
        <v>217</v>
      </c>
      <c r="G49" s="51">
        <v>9.35</v>
      </c>
      <c r="H49" s="51"/>
      <c r="I49" s="86"/>
      <c r="J49" s="70" t="s">
        <v>278</v>
      </c>
      <c r="K49" s="70" t="s">
        <v>142</v>
      </c>
      <c r="L49" s="31">
        <f>VLOOKUP(K49,Reinigungstage!A10:F31,6,FALSE)</f>
        <v>1</v>
      </c>
      <c r="M49" s="31">
        <f t="shared" si="0"/>
        <v>9.35</v>
      </c>
      <c r="N49" s="87">
        <f t="shared" si="1"/>
        <v>0</v>
      </c>
      <c r="O49" s="31">
        <f ca="1">IF('SVS GrundRG'!H61="",0,'SVS GrundRG'!H61)</f>
        <v>0</v>
      </c>
      <c r="P49" s="31">
        <f t="shared" si="2"/>
        <v>0</v>
      </c>
      <c r="Q49" s="31">
        <f t="shared" si="3"/>
        <v>0</v>
      </c>
      <c r="R49" s="31">
        <f t="shared" si="4"/>
        <v>0</v>
      </c>
      <c r="S49" s="3" t="str">
        <f t="shared" si="5"/>
        <v>Leistungswert eintragen</v>
      </c>
      <c r="U49" s="3">
        <f t="shared" si="6"/>
        <v>16.25</v>
      </c>
      <c r="V49" s="3">
        <f t="shared" si="7"/>
        <v>4.875</v>
      </c>
      <c r="W49" s="3">
        <f t="shared" si="8"/>
        <v>21.125</v>
      </c>
      <c r="X49" s="3" t="str">
        <f t="shared" si="9"/>
        <v/>
      </c>
    </row>
    <row r="50" spans="1:24" ht="15" customHeight="1" x14ac:dyDescent="0.2">
      <c r="A50" s="70">
        <v>29</v>
      </c>
      <c r="B50" s="84" t="s">
        <v>257</v>
      </c>
      <c r="C50" s="85" t="s">
        <v>252</v>
      </c>
      <c r="D50" s="85"/>
      <c r="E50" s="85" t="s">
        <v>220</v>
      </c>
      <c r="F50" s="85" t="s">
        <v>217</v>
      </c>
      <c r="G50" s="51">
        <v>4.8600000000000003</v>
      </c>
      <c r="H50" s="51"/>
      <c r="I50" s="86"/>
      <c r="J50" s="70" t="s">
        <v>276</v>
      </c>
      <c r="K50" s="70" t="s">
        <v>142</v>
      </c>
      <c r="L50" s="31">
        <f>VLOOKUP(K50,Reinigungstage!A10:F31,6,FALSE)</f>
        <v>1</v>
      </c>
      <c r="M50" s="31">
        <f t="shared" si="0"/>
        <v>4.8600000000000003</v>
      </c>
      <c r="N50" s="87">
        <f t="shared" si="1"/>
        <v>0</v>
      </c>
      <c r="O50" s="31">
        <f ca="1">IF('SVS GrundRG'!H61="",0,'SVS GrundRG'!H61)</f>
        <v>0</v>
      </c>
      <c r="P50" s="31">
        <f t="shared" si="2"/>
        <v>0</v>
      </c>
      <c r="Q50" s="31">
        <f t="shared" si="3"/>
        <v>0</v>
      </c>
      <c r="R50" s="31">
        <f t="shared" si="4"/>
        <v>0</v>
      </c>
      <c r="S50" s="3" t="str">
        <f t="shared" si="5"/>
        <v>Leistungswert eintragen</v>
      </c>
      <c r="U50" s="3">
        <f t="shared" si="6"/>
        <v>10.25</v>
      </c>
      <c r="V50" s="3">
        <f t="shared" si="7"/>
        <v>3.0749999999999997</v>
      </c>
      <c r="W50" s="3">
        <f t="shared" si="8"/>
        <v>13.324999999999999</v>
      </c>
      <c r="X50" s="3" t="str">
        <f t="shared" si="9"/>
        <v/>
      </c>
    </row>
    <row r="51" spans="1:24" ht="15" customHeight="1" x14ac:dyDescent="0.2">
      <c r="A51" s="70">
        <v>30</v>
      </c>
      <c r="B51" s="84" t="s">
        <v>258</v>
      </c>
      <c r="C51" s="85" t="s">
        <v>252</v>
      </c>
      <c r="D51" s="85"/>
      <c r="E51" s="85" t="s">
        <v>220</v>
      </c>
      <c r="F51" s="85" t="s">
        <v>217</v>
      </c>
      <c r="G51" s="51">
        <v>7.05</v>
      </c>
      <c r="H51" s="51"/>
      <c r="I51" s="86"/>
      <c r="J51" s="70" t="s">
        <v>276</v>
      </c>
      <c r="K51" s="70" t="s">
        <v>142</v>
      </c>
      <c r="L51" s="31">
        <f>VLOOKUP(K51,Reinigungstage!A10:F31,6,FALSE)</f>
        <v>1</v>
      </c>
      <c r="M51" s="31">
        <f t="shared" si="0"/>
        <v>7.05</v>
      </c>
      <c r="N51" s="87">
        <f t="shared" si="1"/>
        <v>0</v>
      </c>
      <c r="O51" s="31">
        <f ca="1">IF('SVS GrundRG'!H61="",0,'SVS GrundRG'!H61)</f>
        <v>0</v>
      </c>
      <c r="P51" s="31">
        <f t="shared" si="2"/>
        <v>0</v>
      </c>
      <c r="Q51" s="31">
        <f t="shared" si="3"/>
        <v>0</v>
      </c>
      <c r="R51" s="31">
        <f t="shared" si="4"/>
        <v>0</v>
      </c>
      <c r="S51" s="3" t="str">
        <f t="shared" si="5"/>
        <v>Leistungswert eintragen</v>
      </c>
      <c r="U51" s="3">
        <f t="shared" si="6"/>
        <v>10.25</v>
      </c>
      <c r="V51" s="3">
        <f t="shared" si="7"/>
        <v>3.0749999999999997</v>
      </c>
      <c r="W51" s="3">
        <f t="shared" si="8"/>
        <v>13.324999999999999</v>
      </c>
      <c r="X51" s="3" t="str">
        <f t="shared" si="9"/>
        <v/>
      </c>
    </row>
    <row r="52" spans="1:24" ht="15" customHeight="1" x14ac:dyDescent="0.2">
      <c r="A52" s="70">
        <v>31</v>
      </c>
      <c r="B52" s="84" t="s">
        <v>259</v>
      </c>
      <c r="C52" s="85" t="s">
        <v>252</v>
      </c>
      <c r="D52" s="85"/>
      <c r="E52" s="85" t="s">
        <v>260</v>
      </c>
      <c r="F52" s="85" t="s">
        <v>217</v>
      </c>
      <c r="G52" s="51">
        <v>5.96</v>
      </c>
      <c r="H52" s="51"/>
      <c r="I52" s="86"/>
      <c r="J52" s="70" t="s">
        <v>276</v>
      </c>
      <c r="K52" s="70" t="s">
        <v>142</v>
      </c>
      <c r="L52" s="31">
        <f>VLOOKUP(K52,Reinigungstage!A10:F31,6,FALSE)</f>
        <v>1</v>
      </c>
      <c r="M52" s="31">
        <f t="shared" si="0"/>
        <v>5.96</v>
      </c>
      <c r="N52" s="87">
        <f t="shared" si="1"/>
        <v>0</v>
      </c>
      <c r="O52" s="31">
        <f ca="1">IF('SVS GrundRG'!H61="",0,'SVS GrundRG'!H61)</f>
        <v>0</v>
      </c>
      <c r="P52" s="31">
        <f t="shared" si="2"/>
        <v>0</v>
      </c>
      <c r="Q52" s="31">
        <f t="shared" si="3"/>
        <v>0</v>
      </c>
      <c r="R52" s="31">
        <f t="shared" si="4"/>
        <v>0</v>
      </c>
      <c r="S52" s="3" t="str">
        <f t="shared" si="5"/>
        <v>Leistungswert eintragen</v>
      </c>
      <c r="U52" s="3">
        <f t="shared" si="6"/>
        <v>10.25</v>
      </c>
      <c r="V52" s="3">
        <f t="shared" si="7"/>
        <v>3.0749999999999997</v>
      </c>
      <c r="W52" s="3">
        <f t="shared" si="8"/>
        <v>13.324999999999999</v>
      </c>
      <c r="X52" s="3" t="str">
        <f t="shared" si="9"/>
        <v/>
      </c>
    </row>
    <row r="53" spans="1:24" ht="15" customHeight="1" x14ac:dyDescent="0.2">
      <c r="A53" s="70">
        <v>32</v>
      </c>
      <c r="B53" s="84" t="s">
        <v>261</v>
      </c>
      <c r="C53" s="85" t="s">
        <v>252</v>
      </c>
      <c r="D53" s="85"/>
      <c r="E53" s="85" t="s">
        <v>216</v>
      </c>
      <c r="F53" s="85" t="s">
        <v>217</v>
      </c>
      <c r="G53" s="51">
        <v>5.63</v>
      </c>
      <c r="H53" s="51"/>
      <c r="I53" s="86"/>
      <c r="J53" s="70" t="s">
        <v>276</v>
      </c>
      <c r="K53" s="70" t="s">
        <v>142</v>
      </c>
      <c r="L53" s="31">
        <f>VLOOKUP(K53,Reinigungstage!A10:F31,6,FALSE)</f>
        <v>1</v>
      </c>
      <c r="M53" s="31">
        <f t="shared" si="0"/>
        <v>5.63</v>
      </c>
      <c r="N53" s="87">
        <f t="shared" si="1"/>
        <v>0</v>
      </c>
      <c r="O53" s="31">
        <f ca="1">IF('SVS GrundRG'!H61="",0,'SVS GrundRG'!H61)</f>
        <v>0</v>
      </c>
      <c r="P53" s="31">
        <f t="shared" si="2"/>
        <v>0</v>
      </c>
      <c r="Q53" s="31">
        <f t="shared" si="3"/>
        <v>0</v>
      </c>
      <c r="R53" s="31">
        <f t="shared" si="4"/>
        <v>0</v>
      </c>
      <c r="S53" s="3" t="str">
        <f t="shared" si="5"/>
        <v>Leistungswert eintragen</v>
      </c>
      <c r="U53" s="3">
        <f t="shared" si="6"/>
        <v>10.25</v>
      </c>
      <c r="V53" s="3">
        <f t="shared" si="7"/>
        <v>3.0749999999999997</v>
      </c>
      <c r="W53" s="3">
        <f t="shared" si="8"/>
        <v>13.324999999999999</v>
      </c>
      <c r="X53" s="3" t="str">
        <f t="shared" si="9"/>
        <v/>
      </c>
    </row>
    <row r="54" spans="1:24" ht="15" customHeight="1" x14ac:dyDescent="0.2">
      <c r="A54" s="70">
        <v>33</v>
      </c>
      <c r="B54" s="84" t="s">
        <v>262</v>
      </c>
      <c r="C54" s="85" t="s">
        <v>252</v>
      </c>
      <c r="D54" s="85"/>
      <c r="E54" s="85" t="s">
        <v>216</v>
      </c>
      <c r="F54" s="85" t="s">
        <v>217</v>
      </c>
      <c r="G54" s="51">
        <v>8.1999999999999993</v>
      </c>
      <c r="H54" s="51"/>
      <c r="I54" s="86"/>
      <c r="J54" s="70" t="s">
        <v>276</v>
      </c>
      <c r="K54" s="70" t="s">
        <v>142</v>
      </c>
      <c r="L54" s="31">
        <f>VLOOKUP(K54,Reinigungstage!A10:F31,6,FALSE)</f>
        <v>1</v>
      </c>
      <c r="M54" s="31">
        <f t="shared" si="0"/>
        <v>8.1999999999999993</v>
      </c>
      <c r="N54" s="87">
        <f t="shared" si="1"/>
        <v>0</v>
      </c>
      <c r="O54" s="31">
        <f ca="1">IF('SVS GrundRG'!H61="",0,'SVS GrundRG'!H61)</f>
        <v>0</v>
      </c>
      <c r="P54" s="31">
        <f t="shared" si="2"/>
        <v>0</v>
      </c>
      <c r="Q54" s="31">
        <f t="shared" si="3"/>
        <v>0</v>
      </c>
      <c r="R54" s="31">
        <f t="shared" si="4"/>
        <v>0</v>
      </c>
      <c r="S54" s="3" t="str">
        <f t="shared" si="5"/>
        <v>Leistungswert eintragen</v>
      </c>
      <c r="U54" s="3">
        <f t="shared" si="6"/>
        <v>10.25</v>
      </c>
      <c r="V54" s="3">
        <f t="shared" si="7"/>
        <v>3.0749999999999997</v>
      </c>
      <c r="W54" s="3">
        <f t="shared" si="8"/>
        <v>13.324999999999999</v>
      </c>
      <c r="X54" s="3" t="str">
        <f t="shared" si="9"/>
        <v/>
      </c>
    </row>
    <row r="55" spans="1:24" ht="15" customHeight="1" x14ac:dyDescent="0.2">
      <c r="A55" s="70">
        <v>34</v>
      </c>
      <c r="B55" s="84" t="s">
        <v>263</v>
      </c>
      <c r="C55" s="85" t="s">
        <v>252</v>
      </c>
      <c r="D55" s="85"/>
      <c r="E55" s="85" t="s">
        <v>264</v>
      </c>
      <c r="F55" s="85" t="s">
        <v>217</v>
      </c>
      <c r="G55" s="51">
        <v>12.59</v>
      </c>
      <c r="H55" s="51"/>
      <c r="I55" s="86"/>
      <c r="J55" s="70" t="s">
        <v>277</v>
      </c>
      <c r="K55" s="70" t="s">
        <v>142</v>
      </c>
      <c r="L55" s="31">
        <f>VLOOKUP(K55,Reinigungstage!A10:F31,6,FALSE)</f>
        <v>1</v>
      </c>
      <c r="M55" s="31">
        <f t="shared" si="0"/>
        <v>12.59</v>
      </c>
      <c r="N55" s="87">
        <f t="shared" si="1"/>
        <v>0</v>
      </c>
      <c r="O55" s="31">
        <f ca="1">IF('SVS GrundRG'!H61="",0,'SVS GrundRG'!H61)</f>
        <v>0</v>
      </c>
      <c r="P55" s="31">
        <f t="shared" si="2"/>
        <v>0</v>
      </c>
      <c r="Q55" s="31">
        <f t="shared" si="3"/>
        <v>0</v>
      </c>
      <c r="R55" s="31">
        <f t="shared" si="4"/>
        <v>0</v>
      </c>
      <c r="S55" s="3" t="str">
        <f t="shared" si="5"/>
        <v>Leistungswert eintragen</v>
      </c>
      <c r="U55" s="3">
        <f t="shared" si="6"/>
        <v>15.375</v>
      </c>
      <c r="V55" s="3">
        <f t="shared" si="7"/>
        <v>4.6124999999999998</v>
      </c>
      <c r="W55" s="3">
        <f t="shared" si="8"/>
        <v>19.987500000000001</v>
      </c>
      <c r="X55" s="3" t="str">
        <f t="shared" si="9"/>
        <v/>
      </c>
    </row>
    <row r="56" spans="1:24" ht="15" customHeight="1" x14ac:dyDescent="0.2">
      <c r="A56" s="70">
        <v>35</v>
      </c>
      <c r="B56" s="84" t="s">
        <v>265</v>
      </c>
      <c r="C56" s="85" t="s">
        <v>252</v>
      </c>
      <c r="D56" s="85"/>
      <c r="E56" s="85" t="s">
        <v>266</v>
      </c>
      <c r="F56" s="85" t="s">
        <v>217</v>
      </c>
      <c r="G56" s="51">
        <v>8.36</v>
      </c>
      <c r="H56" s="51"/>
      <c r="I56" s="86"/>
      <c r="J56" s="70" t="s">
        <v>277</v>
      </c>
      <c r="K56" s="70" t="s">
        <v>142</v>
      </c>
      <c r="L56" s="31">
        <f>VLOOKUP(K56,Reinigungstage!A10:F31,6,FALSE)</f>
        <v>1</v>
      </c>
      <c r="M56" s="31">
        <f t="shared" si="0"/>
        <v>8.36</v>
      </c>
      <c r="N56" s="87">
        <f t="shared" si="1"/>
        <v>0</v>
      </c>
      <c r="O56" s="31">
        <f ca="1">IF('SVS GrundRG'!H61="",0,'SVS GrundRG'!H61)</f>
        <v>0</v>
      </c>
      <c r="P56" s="31">
        <f t="shared" si="2"/>
        <v>0</v>
      </c>
      <c r="Q56" s="31">
        <f t="shared" si="3"/>
        <v>0</v>
      </c>
      <c r="R56" s="31">
        <f t="shared" si="4"/>
        <v>0</v>
      </c>
      <c r="S56" s="3" t="str">
        <f t="shared" si="5"/>
        <v>Leistungswert eintragen</v>
      </c>
      <c r="U56" s="3">
        <f t="shared" si="6"/>
        <v>15.375</v>
      </c>
      <c r="V56" s="3">
        <f t="shared" si="7"/>
        <v>4.6124999999999998</v>
      </c>
      <c r="W56" s="3">
        <f t="shared" si="8"/>
        <v>19.987500000000001</v>
      </c>
      <c r="X56" s="3" t="str">
        <f t="shared" si="9"/>
        <v/>
      </c>
    </row>
    <row r="57" spans="1:24" ht="15" customHeight="1" x14ac:dyDescent="0.2">
      <c r="A57" s="70">
        <v>36</v>
      </c>
      <c r="B57" s="84" t="s">
        <v>267</v>
      </c>
      <c r="C57" s="85" t="s">
        <v>252</v>
      </c>
      <c r="D57" s="85"/>
      <c r="E57" s="85" t="s">
        <v>268</v>
      </c>
      <c r="F57" s="85" t="s">
        <v>217</v>
      </c>
      <c r="G57" s="51">
        <v>3.02</v>
      </c>
      <c r="H57" s="51"/>
      <c r="I57" s="86"/>
      <c r="J57" s="70" t="s">
        <v>276</v>
      </c>
      <c r="K57" s="70" t="s">
        <v>142</v>
      </c>
      <c r="L57" s="31">
        <f>VLOOKUP(K57,Reinigungstage!A10:F31,6,FALSE)</f>
        <v>1</v>
      </c>
      <c r="M57" s="31">
        <f t="shared" si="0"/>
        <v>3.02</v>
      </c>
      <c r="N57" s="87">
        <f t="shared" si="1"/>
        <v>0</v>
      </c>
      <c r="O57" s="31">
        <f ca="1">IF('SVS GrundRG'!H61="",0,'SVS GrundRG'!H61)</f>
        <v>0</v>
      </c>
      <c r="P57" s="31">
        <f t="shared" si="2"/>
        <v>0</v>
      </c>
      <c r="Q57" s="31">
        <f t="shared" si="3"/>
        <v>0</v>
      </c>
      <c r="R57" s="31">
        <f t="shared" si="4"/>
        <v>0</v>
      </c>
      <c r="S57" s="3" t="str">
        <f t="shared" si="5"/>
        <v>Leistungswert eintragen</v>
      </c>
      <c r="U57" s="3">
        <f t="shared" si="6"/>
        <v>10.25</v>
      </c>
      <c r="V57" s="3">
        <f t="shared" si="7"/>
        <v>3.0749999999999997</v>
      </c>
      <c r="W57" s="3">
        <f t="shared" si="8"/>
        <v>13.324999999999999</v>
      </c>
      <c r="X57" s="3" t="str">
        <f t="shared" si="9"/>
        <v/>
      </c>
    </row>
    <row r="58" spans="1:24" ht="15" customHeight="1" x14ac:dyDescent="0.2">
      <c r="A58" s="70">
        <v>37</v>
      </c>
      <c r="B58" s="84" t="s">
        <v>269</v>
      </c>
      <c r="C58" s="85" t="s">
        <v>252</v>
      </c>
      <c r="D58" s="85"/>
      <c r="E58" s="85" t="s">
        <v>268</v>
      </c>
      <c r="F58" s="85" t="s">
        <v>217</v>
      </c>
      <c r="G58" s="51">
        <v>2.6</v>
      </c>
      <c r="H58" s="51"/>
      <c r="I58" s="86"/>
      <c r="J58" s="70" t="s">
        <v>276</v>
      </c>
      <c r="K58" s="70" t="s">
        <v>142</v>
      </c>
      <c r="L58" s="31">
        <f>VLOOKUP(K58,Reinigungstage!A10:F31,6,FALSE)</f>
        <v>1</v>
      </c>
      <c r="M58" s="31">
        <f t="shared" si="0"/>
        <v>2.6</v>
      </c>
      <c r="N58" s="87">
        <f t="shared" si="1"/>
        <v>0</v>
      </c>
      <c r="O58" s="31">
        <f ca="1">IF('SVS GrundRG'!H61="",0,'SVS GrundRG'!H61)</f>
        <v>0</v>
      </c>
      <c r="P58" s="31">
        <f t="shared" si="2"/>
        <v>0</v>
      </c>
      <c r="Q58" s="31">
        <f t="shared" si="3"/>
        <v>0</v>
      </c>
      <c r="R58" s="31">
        <f t="shared" si="4"/>
        <v>0</v>
      </c>
      <c r="S58" s="3" t="str">
        <f t="shared" si="5"/>
        <v>Leistungswert eintragen</v>
      </c>
      <c r="U58" s="3">
        <f t="shared" si="6"/>
        <v>10.25</v>
      </c>
      <c r="V58" s="3">
        <f t="shared" si="7"/>
        <v>3.0749999999999997</v>
      </c>
      <c r="W58" s="3">
        <f t="shared" si="8"/>
        <v>13.324999999999999</v>
      </c>
      <c r="X58" s="3" t="str">
        <f t="shared" si="9"/>
        <v/>
      </c>
    </row>
    <row r="59" spans="1:24" ht="15" customHeight="1" x14ac:dyDescent="0.2">
      <c r="A59" s="70">
        <v>38</v>
      </c>
      <c r="B59" s="84" t="s">
        <v>270</v>
      </c>
      <c r="C59" s="85" t="s">
        <v>252</v>
      </c>
      <c r="D59" s="85"/>
      <c r="E59" s="85" t="s">
        <v>225</v>
      </c>
      <c r="F59" s="85" t="s">
        <v>217</v>
      </c>
      <c r="G59" s="51">
        <v>17.27</v>
      </c>
      <c r="H59" s="51"/>
      <c r="I59" s="86"/>
      <c r="J59" s="70" t="s">
        <v>279</v>
      </c>
      <c r="K59" s="70" t="s">
        <v>142</v>
      </c>
      <c r="L59" s="31">
        <f>VLOOKUP(K59,Reinigungstage!A10:F31,6,FALSE)</f>
        <v>1</v>
      </c>
      <c r="M59" s="31">
        <f t="shared" si="0"/>
        <v>17.27</v>
      </c>
      <c r="N59" s="87">
        <f t="shared" si="1"/>
        <v>0</v>
      </c>
      <c r="O59" s="31">
        <f ca="1">IF('SVS GrundRG'!H61="",0,'SVS GrundRG'!H61)</f>
        <v>0</v>
      </c>
      <c r="P59" s="31">
        <f t="shared" si="2"/>
        <v>0</v>
      </c>
      <c r="Q59" s="31">
        <f t="shared" si="3"/>
        <v>0</v>
      </c>
      <c r="R59" s="31">
        <f t="shared" si="4"/>
        <v>0</v>
      </c>
      <c r="S59" s="3" t="str">
        <f t="shared" si="5"/>
        <v>Leistungswert eintragen</v>
      </c>
      <c r="U59" s="3">
        <f t="shared" si="6"/>
        <v>15.375</v>
      </c>
      <c r="V59" s="3">
        <f t="shared" si="7"/>
        <v>4.6124999999999998</v>
      </c>
      <c r="W59" s="3">
        <f t="shared" si="8"/>
        <v>19.987500000000001</v>
      </c>
      <c r="X59" s="3" t="str">
        <f t="shared" si="9"/>
        <v/>
      </c>
    </row>
    <row r="60" spans="1:24" ht="15" customHeight="1" x14ac:dyDescent="0.2">
      <c r="A60" s="70">
        <v>39</v>
      </c>
      <c r="B60" s="84" t="s">
        <v>271</v>
      </c>
      <c r="C60" s="85" t="s">
        <v>252</v>
      </c>
      <c r="D60" s="85"/>
      <c r="E60" s="85" t="s">
        <v>272</v>
      </c>
      <c r="F60" s="85" t="s">
        <v>217</v>
      </c>
      <c r="G60" s="51">
        <v>14.63</v>
      </c>
      <c r="H60" s="51"/>
      <c r="I60" s="86">
        <v>21</v>
      </c>
      <c r="J60" s="70" t="s">
        <v>278</v>
      </c>
      <c r="K60" s="70" t="s">
        <v>142</v>
      </c>
      <c r="L60" s="31">
        <f>VLOOKUP(K60,Reinigungstage!A10:F31,6,FALSE)</f>
        <v>1</v>
      </c>
      <c r="M60" s="31">
        <f t="shared" si="0"/>
        <v>14.63</v>
      </c>
      <c r="N60" s="87">
        <f t="shared" si="1"/>
        <v>0</v>
      </c>
      <c r="O60" s="31">
        <f ca="1">IF('SVS GrundRG'!H61="",0,'SVS GrundRG'!H61)</f>
        <v>0</v>
      </c>
      <c r="P60" s="31">
        <f t="shared" si="2"/>
        <v>0</v>
      </c>
      <c r="Q60" s="31">
        <f t="shared" si="3"/>
        <v>0</v>
      </c>
      <c r="R60" s="31">
        <f t="shared" si="4"/>
        <v>0</v>
      </c>
      <c r="S60" s="3" t="str">
        <f t="shared" si="5"/>
        <v>Leistungswert eintragen</v>
      </c>
      <c r="U60" s="3">
        <f t="shared" si="6"/>
        <v>16.25</v>
      </c>
      <c r="V60" s="3">
        <f t="shared" si="7"/>
        <v>4.875</v>
      </c>
      <c r="W60" s="3">
        <f t="shared" si="8"/>
        <v>21.125</v>
      </c>
      <c r="X60" s="3" t="str">
        <f t="shared" si="9"/>
        <v/>
      </c>
    </row>
    <row r="61" spans="1:24" ht="15" customHeight="1" x14ac:dyDescent="0.2">
      <c r="A61" s="70">
        <v>40</v>
      </c>
      <c r="B61" s="84" t="s">
        <v>273</v>
      </c>
      <c r="C61" s="85" t="s">
        <v>252</v>
      </c>
      <c r="D61" s="85"/>
      <c r="E61" s="85" t="s">
        <v>274</v>
      </c>
      <c r="F61" s="85" t="s">
        <v>217</v>
      </c>
      <c r="G61" s="51">
        <v>54.46</v>
      </c>
      <c r="H61" s="51"/>
      <c r="I61" s="86"/>
      <c r="J61" s="70" t="s">
        <v>278</v>
      </c>
      <c r="K61" s="70" t="s">
        <v>142</v>
      </c>
      <c r="L61" s="31">
        <f>VLOOKUP(K61,Reinigungstage!A10:F31,6,FALSE)</f>
        <v>1</v>
      </c>
      <c r="M61" s="31">
        <f t="shared" si="0"/>
        <v>54.46</v>
      </c>
      <c r="N61" s="87">
        <f t="shared" si="1"/>
        <v>0</v>
      </c>
      <c r="O61" s="31">
        <f ca="1">IF('SVS GrundRG'!H61="",0,'SVS GrundRG'!H61)</f>
        <v>0</v>
      </c>
      <c r="P61" s="31">
        <f t="shared" si="2"/>
        <v>0</v>
      </c>
      <c r="Q61" s="31">
        <f t="shared" si="3"/>
        <v>0</v>
      </c>
      <c r="R61" s="31">
        <f t="shared" si="4"/>
        <v>0</v>
      </c>
      <c r="S61" s="3" t="str">
        <f t="shared" si="5"/>
        <v>Leistungswert eintragen</v>
      </c>
      <c r="U61" s="3">
        <f t="shared" si="6"/>
        <v>16.25</v>
      </c>
      <c r="V61" s="3">
        <f t="shared" si="7"/>
        <v>4.875</v>
      </c>
      <c r="W61" s="3">
        <f t="shared" si="8"/>
        <v>21.125</v>
      </c>
      <c r="X61" s="3" t="str">
        <f t="shared" si="9"/>
        <v/>
      </c>
    </row>
  </sheetData>
  <sheetProtection algorithmName="SHA-512" hashValue="167SQwi5DAQR5BS1aCwErw5Ilj+nnqW1t+4v4io5cKAM1w6pVXHElXillrlhF1xAE17SU5IUHJYF3OVoI++osw==" saltValue="yU/7gU2ysL1HuZTxPZ5GHg=="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9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97" priority="5" operator="containsText" text="Bitte prüfen Sie diese.">
      <formula>NOT(ISERROR(SEARCH("Bitte prüfen Sie diese.",L9)))</formula>
    </cfRule>
  </conditionalFormatting>
  <conditionalFormatting sqref="L10">
    <cfRule type="containsText" dxfId="9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95" priority="3" operator="containsText" text="lediglich Fehleingaben vermeiden wollen.">
      <formula>NOT(ISERROR(SEARCH("lediglich Fehleingaben vermeiden wollen.",L11)))</formula>
    </cfRule>
  </conditionalFormatting>
  <conditionalFormatting sqref="M11">
    <cfRule type="containsText" dxfId="9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3" priority="7" operator="containsText" text="für die Objektart prüfen.">
      <formula>NOT(ISERROR(SEARCH("für die Objektart prüfen.",M12)))</formula>
    </cfRule>
  </conditionalFormatting>
  <conditionalFormatting sqref="N13">
    <cfRule type="expression" dxfId="92" priority="2" stopIfTrue="1">
      <formula>N13=0</formula>
    </cfRule>
  </conditionalFormatting>
  <conditionalFormatting sqref="N14">
    <cfRule type="expression" dxfId="91" priority="1">
      <formula>N14=0</formula>
    </cfRule>
  </conditionalFormatting>
  <conditionalFormatting sqref="N22:N61">
    <cfRule type="expression" dxfId="90" priority="11">
      <formula>X22=0</formula>
    </cfRule>
    <cfRule type="expression" dxfId="89" priority="12" stopIfTrue="1">
      <formula>X22=1</formula>
    </cfRule>
  </conditionalFormatting>
  <conditionalFormatting sqref="O13">
    <cfRule type="containsText" dxfId="8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87" priority="9" operator="containsText" text="Wert(e) prüfen.">
      <formula>NOT(ISERROR(SEARCH("Wert(e) prüfen.",O14)))</formula>
    </cfRule>
  </conditionalFormatting>
  <conditionalFormatting sqref="S22:S61">
    <cfRule type="containsText" dxfId="86" priority="13" stopIfTrue="1" operator="containsText" text="SVS prüfen">
      <formula>NOT(ISERROR(SEARCH("SVS prüfen",S22)))</formula>
    </cfRule>
    <cfRule type="containsText" dxfId="85" priority="14" stopIfTrue="1" operator="containsText" text="Leistungswert eintragen">
      <formula>NOT(ISERROR(SEARCH("Leistungswert eintragen",S22)))</formula>
    </cfRule>
  </conditionalFormatting>
  <hyperlinks>
    <hyperlink ref="M1" location="Inhaltsverzeichnis!A1" display="Zurück zum Inhaltsverzeichnis" xr:uid="{B147BDCF-5E26-42D3-99B1-36AD83A6D36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Haus am See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9068-7D8F-4616-851C-DC62A8D33386}">
  <sheetPr codeName="Tabelle33">
    <tabColor indexed="40"/>
  </sheetPr>
  <dimension ref="A1:V66"/>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5703125" style="3" customWidth="1"/>
    <col min="4" max="4" width="11.140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9" t="s">
        <v>150</v>
      </c>
      <c r="B2" s="140"/>
      <c r="C2" s="140"/>
      <c r="D2" s="140" t="b">
        <v>0</v>
      </c>
      <c r="E2" s="141"/>
      <c r="G2" s="142" t="s">
        <v>163</v>
      </c>
      <c r="H2" s="142" t="s">
        <v>155</v>
      </c>
      <c r="I2" s="142" t="s">
        <v>156</v>
      </c>
      <c r="J2" s="142" t="s">
        <v>175</v>
      </c>
      <c r="M2" s="32"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1" customHeight="1" x14ac:dyDescent="0.2">
      <c r="A3" s="71" t="s">
        <v>151</v>
      </c>
      <c r="B3" s="72"/>
      <c r="C3" s="72"/>
      <c r="D3" s="72"/>
      <c r="E3" s="73"/>
      <c r="G3" s="143"/>
      <c r="H3" s="143" t="b">
        <v>0</v>
      </c>
      <c r="I3" s="143"/>
      <c r="J3" s="143"/>
      <c r="M3" s="32" t="b">
        <v>0</v>
      </c>
      <c r="N3" s="100"/>
      <c r="O3" s="100"/>
      <c r="P3" s="100"/>
      <c r="Q3" s="100"/>
    </row>
    <row r="4" spans="1:22" ht="15" customHeight="1" x14ac:dyDescent="0.2">
      <c r="A4" s="137" t="s">
        <v>91</v>
      </c>
      <c r="B4" s="125" t="str">
        <f>IF(Inhaltsverzeichnis!C3="","",Inhaltsverzeichnis!C3)</f>
        <v/>
      </c>
      <c r="C4" s="126"/>
      <c r="D4" s="126"/>
      <c r="E4" s="127"/>
      <c r="G4" s="70" t="s">
        <v>208</v>
      </c>
      <c r="H4" s="74"/>
      <c r="I4" s="75">
        <f ca="1">SUMIF('Kal Unter Rathaus'!J22:M66,$G$4,'Kal Unter Rathaus'!M22:M66)</f>
        <v>41522.339999999997</v>
      </c>
      <c r="J4" s="49">
        <f>COUNTIFS('Kal Unter Rathaus'!J22:M66,$G$4)</f>
        <v>20</v>
      </c>
      <c r="M4" s="32" t="b">
        <v>0</v>
      </c>
      <c r="N4" s="100"/>
      <c r="O4" s="100"/>
      <c r="P4" s="100"/>
      <c r="Q4" s="100"/>
      <c r="U4" s="70" t="s">
        <v>208</v>
      </c>
      <c r="V4" s="3">
        <v>168.75</v>
      </c>
    </row>
    <row r="5" spans="1:22" ht="15" customHeight="1" x14ac:dyDescent="0.2">
      <c r="A5" s="138"/>
      <c r="B5" s="128"/>
      <c r="C5" s="129"/>
      <c r="D5" s="129"/>
      <c r="E5" s="130"/>
      <c r="G5" s="70" t="s">
        <v>275</v>
      </c>
      <c r="H5" s="74"/>
      <c r="I5" s="75">
        <f ca="1">SUMIF('Kal Unter Rathaus'!J22:M66,$G$5,'Kal Unter Rathaus'!M22:M66)</f>
        <v>6529.5999999999995</v>
      </c>
      <c r="J5" s="49">
        <f>COUNTIFS('Kal Unter Rathaus'!J22:M66,$G$5)</f>
        <v>2</v>
      </c>
      <c r="M5" s="32" t="b">
        <v>0</v>
      </c>
      <c r="N5" s="100"/>
      <c r="O5" s="100"/>
      <c r="P5" s="100"/>
      <c r="Q5" s="100"/>
      <c r="U5" s="70" t="s">
        <v>275</v>
      </c>
      <c r="V5" s="3">
        <v>140</v>
      </c>
    </row>
    <row r="6" spans="1:22" ht="15" customHeight="1" x14ac:dyDescent="0.2">
      <c r="A6" s="76" t="s">
        <v>173</v>
      </c>
      <c r="B6" s="131" t="s">
        <v>190</v>
      </c>
      <c r="C6" s="132"/>
      <c r="D6" s="132"/>
      <c r="E6" s="133"/>
      <c r="G6" s="70" t="s">
        <v>276</v>
      </c>
      <c r="H6" s="74"/>
      <c r="I6" s="75">
        <f ca="1">SUMIF('Kal Unter Rathaus'!J22:M66,$G$6,'Kal Unter Rathaus'!M22:M66)</f>
        <v>5960.0199999999995</v>
      </c>
      <c r="J6" s="49">
        <f>COUNTIFS('Kal Unter Rathaus'!J22:M66,$G$6)</f>
        <v>5</v>
      </c>
      <c r="U6" s="70" t="s">
        <v>276</v>
      </c>
      <c r="V6" s="3">
        <v>63.75</v>
      </c>
    </row>
    <row r="7" spans="1:22" ht="15" customHeight="1" x14ac:dyDescent="0.2">
      <c r="A7" s="77" t="s">
        <v>171</v>
      </c>
      <c r="B7" s="134" t="s">
        <v>194</v>
      </c>
      <c r="C7" s="132"/>
      <c r="D7" s="132"/>
      <c r="E7" s="133"/>
      <c r="G7" s="70" t="s">
        <v>280</v>
      </c>
      <c r="H7" s="74"/>
      <c r="I7" s="75">
        <f ca="1">SUMIF('Kal Unter Rathaus'!J22:M66,$G$7,'Kal Unter Rathaus'!M22:M66)</f>
        <v>0</v>
      </c>
      <c r="J7" s="49">
        <f>COUNTIFS('Kal Unter Rathaus'!J22:M66,$G$7)</f>
        <v>3</v>
      </c>
      <c r="U7" s="70" t="s">
        <v>280</v>
      </c>
      <c r="V7" s="3">
        <v>262.5</v>
      </c>
    </row>
    <row r="8" spans="1:22" ht="15" customHeight="1" x14ac:dyDescent="0.2">
      <c r="A8" s="77" t="s">
        <v>172</v>
      </c>
      <c r="B8" s="131"/>
      <c r="C8" s="132"/>
      <c r="D8" s="132"/>
      <c r="E8" s="133"/>
      <c r="G8" s="70" t="s">
        <v>279</v>
      </c>
      <c r="H8" s="74"/>
      <c r="I8" s="75">
        <f ca="1">SUMIF('Kal Unter Rathaus'!J22:M66,$G$8,'Kal Unter Rathaus'!M22:M66)</f>
        <v>15717.360000000002</v>
      </c>
      <c r="J8" s="49">
        <f>COUNTIFS('Kal Unter Rathaus'!J22:M66,$G$8)</f>
        <v>6</v>
      </c>
      <c r="U8" s="70" t="s">
        <v>279</v>
      </c>
      <c r="V8" s="3">
        <v>138.75</v>
      </c>
    </row>
    <row r="9" spans="1:22" ht="15" customHeight="1" x14ac:dyDescent="0.2">
      <c r="A9" s="76" t="s">
        <v>170</v>
      </c>
      <c r="B9" s="135" t="s">
        <v>194</v>
      </c>
      <c r="C9" s="132"/>
      <c r="D9" s="132"/>
      <c r="E9" s="133"/>
      <c r="G9" s="70" t="s">
        <v>278</v>
      </c>
      <c r="H9" s="74"/>
      <c r="I9" s="75">
        <f ca="1">SUMIF('Kal Unter Rathaus'!J22:M66,$G$9,'Kal Unter Rathaus'!M22:M66)</f>
        <v>13253.23</v>
      </c>
      <c r="J9" s="49">
        <f>COUNTIFS('Kal Unter Rathaus'!J22:M66,$G$9)</f>
        <v>6</v>
      </c>
      <c r="U9" s="70" t="s">
        <v>278</v>
      </c>
      <c r="V9" s="3">
        <v>300</v>
      </c>
    </row>
    <row r="10" spans="1:22" ht="15" customHeight="1" x14ac:dyDescent="0.2">
      <c r="A10" s="77" t="s">
        <v>152</v>
      </c>
      <c r="B10" s="131" t="s">
        <v>195</v>
      </c>
      <c r="C10" s="132"/>
      <c r="D10" s="132"/>
      <c r="E10" s="133"/>
      <c r="G10" s="70" t="s">
        <v>277</v>
      </c>
      <c r="H10" s="74"/>
      <c r="I10" s="75">
        <f ca="1">SUMIF('Kal Unter Rathaus'!J22:M66,$G$10,'Kal Unter Rathaus'!M22:M66)</f>
        <v>1610.37</v>
      </c>
      <c r="J10" s="49">
        <f>COUNTIFS('Kal Unter Rathaus'!J22:M66,$G$10)</f>
        <v>3</v>
      </c>
      <c r="U10" s="70" t="s">
        <v>277</v>
      </c>
      <c r="V10" s="3">
        <v>88.75</v>
      </c>
    </row>
    <row r="11" spans="1:22" ht="15" customHeight="1" x14ac:dyDescent="0.2">
      <c r="A11" s="77" t="s">
        <v>153</v>
      </c>
      <c r="B11" s="136" t="s">
        <v>192</v>
      </c>
      <c r="C11" s="132"/>
      <c r="D11" s="132"/>
      <c r="E11" s="133"/>
      <c r="M11" s="3" t="str">
        <f>IF(N13&gt;0,"Bitte die Leistungswerte im Leistungsverzeichnis/ Tabellenblatt Leistungsrichtwerte","")</f>
        <v/>
      </c>
    </row>
    <row r="12" spans="1:22" ht="15" customHeight="1" x14ac:dyDescent="0.2">
      <c r="A12" s="77" t="s">
        <v>154</v>
      </c>
      <c r="B12" s="131" t="s">
        <v>193</v>
      </c>
      <c r="C12" s="132"/>
      <c r="D12" s="132"/>
      <c r="E12" s="133"/>
      <c r="M12" s="3" t="str">
        <f>IF(N13&gt;0,"für die Objektart prüfen.","")</f>
        <v/>
      </c>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c r="N13" s="78">
        <f>COUNTIF(V22:V$66,1)</f>
        <v>0</v>
      </c>
      <c r="O13" s="3" t="str">
        <f>IF(N13&gt;0,"Wert(e) überschritten, bitte mit dem Angebot plausibel darlegen.","")</f>
        <v/>
      </c>
    </row>
    <row r="14" spans="1:22" ht="15" customHeight="1" x14ac:dyDescent="0.2">
      <c r="N14" s="79">
        <f>COUNTIF(V22:V$66,0)</f>
        <v>45</v>
      </c>
      <c r="O14" s="3" t="str">
        <f>IF(N14&gt;0,"Wert(e) korrekt","")</f>
        <v>Wert(e) korrekt</v>
      </c>
      <c r="T14" s="80">
        <f>IF(COUNTA($T$22:$T$66)-COUNTBLANK($T$22:$T$66)=0,"",COUNTA($T$22:$T$66)-COUNTBLANK($T$22:$T$66))</f>
        <v>41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383</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1" t="s">
        <v>118</v>
      </c>
      <c r="B21" s="12"/>
      <c r="C21" s="12"/>
      <c r="D21" s="12"/>
      <c r="E21" s="12"/>
      <c r="F21" s="12"/>
      <c r="G21" s="82">
        <f>SUM($G$22:$G$66)</f>
        <v>769.62999999999988</v>
      </c>
      <c r="H21" s="82">
        <f>SUM($H$22:$H$66)</f>
        <v>0</v>
      </c>
      <c r="I21" s="82">
        <f>SUM($I$22:$I$66)</f>
        <v>3.24</v>
      </c>
      <c r="J21" s="31"/>
      <c r="K21" s="31"/>
      <c r="L21" s="83">
        <f>MAX(L22:L66)</f>
        <v>151.5</v>
      </c>
      <c r="M21" s="82">
        <f>SUM($M$22:$M$66)</f>
        <v>84592.920000000027</v>
      </c>
      <c r="N21" s="31"/>
      <c r="O21" s="31"/>
      <c r="P21" s="82">
        <f>SUM($P$22:$P$66)</f>
        <v>0</v>
      </c>
      <c r="Q21" s="82">
        <f ca="1">SUM($Q$22:$Q$66)</f>
        <v>0</v>
      </c>
      <c r="R21" s="82">
        <f>ROUND(IF(L21=0,0,P21/L21),2)</f>
        <v>0</v>
      </c>
      <c r="S21" s="82">
        <f ca="1">ROUND(IF(L21=0,0,Q21/L21),2)</f>
        <v>0</v>
      </c>
    </row>
    <row r="22" spans="1:22" ht="15" customHeight="1" x14ac:dyDescent="0.2">
      <c r="A22" s="70">
        <v>1</v>
      </c>
      <c r="B22" s="84">
        <v>201</v>
      </c>
      <c r="C22" s="85" t="s">
        <v>281</v>
      </c>
      <c r="D22" s="85"/>
      <c r="E22" s="85" t="s">
        <v>208</v>
      </c>
      <c r="F22" s="85" t="s">
        <v>206</v>
      </c>
      <c r="G22" s="51">
        <v>14.43</v>
      </c>
      <c r="H22" s="51"/>
      <c r="I22" s="86"/>
      <c r="J22" s="70" t="s">
        <v>208</v>
      </c>
      <c r="K22" s="51">
        <v>2</v>
      </c>
      <c r="L22" s="31">
        <f>VLOOKUP(K22,Reinigungstage!A10:C31,3,FALSE)</f>
        <v>104.91</v>
      </c>
      <c r="M22" s="31">
        <f t="shared" ref="M22:M66" si="0">ROUND(IF(L22=0,0,L22*G22),2)</f>
        <v>1513.85</v>
      </c>
      <c r="N22" s="87">
        <f t="shared" ref="N22:N66" si="1">VLOOKUP(J22,$G$4:$H$10,2,FALSE)</f>
        <v>0</v>
      </c>
      <c r="O22" s="31">
        <f ca="1">IF('SVS UnterhaltsRG'!H61="",0,'SVS UnterhaltsRG'!H61)</f>
        <v>0</v>
      </c>
      <c r="P22" s="31">
        <f t="shared" ref="P22:P66" si="2">ROUND(IF(N22=0,0,M22/N22),2)</f>
        <v>0</v>
      </c>
      <c r="Q22" s="31">
        <f t="shared" ref="Q22:Q66" ca="1" si="3">IF(M22=0,0,IF(O22="",0,ROUND(P22*O22,2)))</f>
        <v>0</v>
      </c>
      <c r="R22" s="31">
        <f t="shared" ref="R22:R66" si="4">ROUND(IF(P22=0,0,P22/L22),2)</f>
        <v>0</v>
      </c>
      <c r="S22" s="31">
        <f t="shared" ref="S22:S66" ca="1" si="5">ROUND(IF(Q22=0,0,Q22/L22),2)</f>
        <v>0</v>
      </c>
      <c r="T22" s="3" t="str">
        <f t="shared" ref="T22:T66" si="6">IF(M22=0,"",IF(N22=0,"Leistungswert eintragen",IF(O22=0,"SVS prüfen","")))</f>
        <v>Leistungswert eintragen</v>
      </c>
      <c r="U22" s="3">
        <f t="shared" ref="U22:U66" si="7">VLOOKUP(J22,$U$4:$V$10,2,FALSE)</f>
        <v>168.75</v>
      </c>
      <c r="V22" s="3">
        <f t="shared" ref="V22:V66" si="8">IF(M22=0,0,IF(U22&lt;N22,1,IF(U22&gt;=N22,0,"")))</f>
        <v>0</v>
      </c>
    </row>
    <row r="23" spans="1:22" ht="15" customHeight="1" x14ac:dyDescent="0.2">
      <c r="A23" s="70">
        <v>2</v>
      </c>
      <c r="B23" s="84">
        <v>202</v>
      </c>
      <c r="C23" s="85" t="s">
        <v>281</v>
      </c>
      <c r="D23" s="85"/>
      <c r="E23" s="85" t="s">
        <v>208</v>
      </c>
      <c r="F23" s="85" t="s">
        <v>206</v>
      </c>
      <c r="G23" s="51">
        <v>14.83</v>
      </c>
      <c r="H23" s="51"/>
      <c r="I23" s="86"/>
      <c r="J23" s="70" t="s">
        <v>208</v>
      </c>
      <c r="K23" s="51">
        <v>2</v>
      </c>
      <c r="L23" s="31">
        <f>VLOOKUP(K23,Reinigungstage!A10:C31,3,FALSE)</f>
        <v>104.91</v>
      </c>
      <c r="M23" s="31">
        <f t="shared" si="0"/>
        <v>1555.82</v>
      </c>
      <c r="N23" s="87">
        <f t="shared" si="1"/>
        <v>0</v>
      </c>
      <c r="O23" s="31">
        <f ca="1">IF('SVS UnterhaltsRG'!H61="",0,'SVS UnterhaltsRG'!H61)</f>
        <v>0</v>
      </c>
      <c r="P23" s="31">
        <f t="shared" si="2"/>
        <v>0</v>
      </c>
      <c r="Q23" s="31">
        <f t="shared" ca="1" si="3"/>
        <v>0</v>
      </c>
      <c r="R23" s="31">
        <f t="shared" si="4"/>
        <v>0</v>
      </c>
      <c r="S23" s="31">
        <f t="shared" ca="1" si="5"/>
        <v>0</v>
      </c>
      <c r="T23" s="3" t="str">
        <f t="shared" si="6"/>
        <v>Leistungswert eintragen</v>
      </c>
      <c r="U23" s="3">
        <f t="shared" si="7"/>
        <v>168.75</v>
      </c>
      <c r="V23" s="3">
        <f t="shared" si="8"/>
        <v>0</v>
      </c>
    </row>
    <row r="24" spans="1:22" ht="15" customHeight="1" x14ac:dyDescent="0.2">
      <c r="A24" s="70">
        <v>3</v>
      </c>
      <c r="B24" s="84">
        <v>203</v>
      </c>
      <c r="C24" s="85" t="s">
        <v>281</v>
      </c>
      <c r="D24" s="85"/>
      <c r="E24" s="85" t="s">
        <v>208</v>
      </c>
      <c r="F24" s="85" t="s">
        <v>206</v>
      </c>
      <c r="G24" s="51">
        <v>20.95</v>
      </c>
      <c r="H24" s="51"/>
      <c r="I24" s="86"/>
      <c r="J24" s="70" t="s">
        <v>208</v>
      </c>
      <c r="K24" s="51">
        <v>2</v>
      </c>
      <c r="L24" s="31">
        <f>VLOOKUP(K24,Reinigungstage!A10:C31,3,FALSE)</f>
        <v>104.91</v>
      </c>
      <c r="M24" s="31">
        <f t="shared" si="0"/>
        <v>2197.86</v>
      </c>
      <c r="N24" s="87">
        <f t="shared" si="1"/>
        <v>0</v>
      </c>
      <c r="O24" s="31">
        <f ca="1">IF('SVS UnterhaltsRG'!H61="",0,'SVS UnterhaltsRG'!H61)</f>
        <v>0</v>
      </c>
      <c r="P24" s="31">
        <f t="shared" si="2"/>
        <v>0</v>
      </c>
      <c r="Q24" s="31">
        <f t="shared" ca="1" si="3"/>
        <v>0</v>
      </c>
      <c r="R24" s="31">
        <f t="shared" si="4"/>
        <v>0</v>
      </c>
      <c r="S24" s="31">
        <f t="shared" ca="1" si="5"/>
        <v>0</v>
      </c>
      <c r="T24" s="3" t="str">
        <f t="shared" si="6"/>
        <v>Leistungswert eintragen</v>
      </c>
      <c r="U24" s="3">
        <f t="shared" si="7"/>
        <v>168.75</v>
      </c>
      <c r="V24" s="3">
        <f t="shared" si="8"/>
        <v>0</v>
      </c>
    </row>
    <row r="25" spans="1:22" ht="15" customHeight="1" x14ac:dyDescent="0.2">
      <c r="A25" s="70">
        <v>4</v>
      </c>
      <c r="B25" s="84">
        <v>204</v>
      </c>
      <c r="C25" s="85" t="s">
        <v>281</v>
      </c>
      <c r="D25" s="85"/>
      <c r="E25" s="85" t="s">
        <v>208</v>
      </c>
      <c r="F25" s="85" t="s">
        <v>206</v>
      </c>
      <c r="G25" s="51">
        <v>20.309999999999999</v>
      </c>
      <c r="H25" s="51"/>
      <c r="I25" s="86"/>
      <c r="J25" s="70" t="s">
        <v>208</v>
      </c>
      <c r="K25" s="51">
        <v>2</v>
      </c>
      <c r="L25" s="31">
        <f>VLOOKUP(K25,Reinigungstage!A10:C31,3,FALSE)</f>
        <v>104.91</v>
      </c>
      <c r="M25" s="31">
        <f t="shared" si="0"/>
        <v>2130.7199999999998</v>
      </c>
      <c r="N25" s="87">
        <f t="shared" si="1"/>
        <v>0</v>
      </c>
      <c r="O25" s="31">
        <f ca="1">IF('SVS UnterhaltsRG'!H61="",0,'SVS UnterhaltsRG'!H61)</f>
        <v>0</v>
      </c>
      <c r="P25" s="31">
        <f t="shared" si="2"/>
        <v>0</v>
      </c>
      <c r="Q25" s="31">
        <f t="shared" ca="1" si="3"/>
        <v>0</v>
      </c>
      <c r="R25" s="31">
        <f t="shared" si="4"/>
        <v>0</v>
      </c>
      <c r="S25" s="31">
        <f t="shared" ca="1" si="5"/>
        <v>0</v>
      </c>
      <c r="T25" s="3" t="str">
        <f t="shared" si="6"/>
        <v>Leistungswert eintragen</v>
      </c>
      <c r="U25" s="3">
        <f t="shared" si="7"/>
        <v>168.75</v>
      </c>
      <c r="V25" s="3">
        <f t="shared" si="8"/>
        <v>0</v>
      </c>
    </row>
    <row r="26" spans="1:22" ht="15" customHeight="1" x14ac:dyDescent="0.2">
      <c r="A26" s="70">
        <v>5</v>
      </c>
      <c r="B26" s="84">
        <v>205</v>
      </c>
      <c r="C26" s="85" t="s">
        <v>281</v>
      </c>
      <c r="D26" s="85"/>
      <c r="E26" s="85" t="s">
        <v>208</v>
      </c>
      <c r="F26" s="85" t="s">
        <v>206</v>
      </c>
      <c r="G26" s="51">
        <v>16.14</v>
      </c>
      <c r="H26" s="51"/>
      <c r="I26" s="86"/>
      <c r="J26" s="70" t="s">
        <v>208</v>
      </c>
      <c r="K26" s="51">
        <v>2</v>
      </c>
      <c r="L26" s="31">
        <f>VLOOKUP(K26,Reinigungstage!A10:C31,3,FALSE)</f>
        <v>104.91</v>
      </c>
      <c r="M26" s="31">
        <f t="shared" si="0"/>
        <v>1693.25</v>
      </c>
      <c r="N26" s="87">
        <f t="shared" si="1"/>
        <v>0</v>
      </c>
      <c r="O26" s="31">
        <f ca="1">IF('SVS UnterhaltsRG'!H61="",0,'SVS UnterhaltsRG'!H61)</f>
        <v>0</v>
      </c>
      <c r="P26" s="31">
        <f t="shared" si="2"/>
        <v>0</v>
      </c>
      <c r="Q26" s="31">
        <f t="shared" ca="1" si="3"/>
        <v>0</v>
      </c>
      <c r="R26" s="31">
        <f t="shared" si="4"/>
        <v>0</v>
      </c>
      <c r="S26" s="31">
        <f t="shared" ca="1" si="5"/>
        <v>0</v>
      </c>
      <c r="T26" s="3" t="str">
        <f t="shared" si="6"/>
        <v>Leistungswert eintragen</v>
      </c>
      <c r="U26" s="3">
        <f t="shared" si="7"/>
        <v>168.75</v>
      </c>
      <c r="V26" s="3">
        <f t="shared" si="8"/>
        <v>0</v>
      </c>
    </row>
    <row r="27" spans="1:22" ht="15" customHeight="1" x14ac:dyDescent="0.2">
      <c r="A27" s="70">
        <v>6</v>
      </c>
      <c r="B27" s="84">
        <v>206</v>
      </c>
      <c r="C27" s="85" t="s">
        <v>281</v>
      </c>
      <c r="D27" s="85"/>
      <c r="E27" s="85" t="s">
        <v>208</v>
      </c>
      <c r="F27" s="85" t="s">
        <v>206</v>
      </c>
      <c r="G27" s="51">
        <v>21.7</v>
      </c>
      <c r="H27" s="51"/>
      <c r="I27" s="86"/>
      <c r="J27" s="70" t="s">
        <v>208</v>
      </c>
      <c r="K27" s="51">
        <v>2</v>
      </c>
      <c r="L27" s="31">
        <f>VLOOKUP(K27,Reinigungstage!A10:C31,3,FALSE)</f>
        <v>104.91</v>
      </c>
      <c r="M27" s="31">
        <f t="shared" si="0"/>
        <v>2276.5500000000002</v>
      </c>
      <c r="N27" s="87">
        <f t="shared" si="1"/>
        <v>0</v>
      </c>
      <c r="O27" s="31">
        <f ca="1">IF('SVS UnterhaltsRG'!H61="",0,'SVS UnterhaltsRG'!H61)</f>
        <v>0</v>
      </c>
      <c r="P27" s="31">
        <f t="shared" si="2"/>
        <v>0</v>
      </c>
      <c r="Q27" s="31">
        <f t="shared" ca="1" si="3"/>
        <v>0</v>
      </c>
      <c r="R27" s="31">
        <f t="shared" si="4"/>
        <v>0</v>
      </c>
      <c r="S27" s="31">
        <f t="shared" ca="1" si="5"/>
        <v>0</v>
      </c>
      <c r="T27" s="3" t="str">
        <f t="shared" si="6"/>
        <v>Leistungswert eintragen</v>
      </c>
      <c r="U27" s="3">
        <f t="shared" si="7"/>
        <v>168.75</v>
      </c>
      <c r="V27" s="3">
        <f t="shared" si="8"/>
        <v>0</v>
      </c>
    </row>
    <row r="28" spans="1:22" ht="15" customHeight="1" x14ac:dyDescent="0.2">
      <c r="A28" s="70">
        <v>7</v>
      </c>
      <c r="B28" s="84">
        <v>207</v>
      </c>
      <c r="C28" s="85" t="s">
        <v>281</v>
      </c>
      <c r="D28" s="85"/>
      <c r="E28" s="85" t="s">
        <v>208</v>
      </c>
      <c r="F28" s="85" t="s">
        <v>206</v>
      </c>
      <c r="G28" s="51">
        <v>24.24</v>
      </c>
      <c r="H28" s="51"/>
      <c r="I28" s="86"/>
      <c r="J28" s="70" t="s">
        <v>208</v>
      </c>
      <c r="K28" s="51">
        <v>2</v>
      </c>
      <c r="L28" s="31">
        <f>VLOOKUP(K28,Reinigungstage!A10:C31,3,FALSE)</f>
        <v>104.91</v>
      </c>
      <c r="M28" s="31">
        <f t="shared" si="0"/>
        <v>2543.02</v>
      </c>
      <c r="N28" s="87">
        <f t="shared" si="1"/>
        <v>0</v>
      </c>
      <c r="O28" s="31">
        <f ca="1">IF('SVS UnterhaltsRG'!H61="",0,'SVS UnterhaltsRG'!H61)</f>
        <v>0</v>
      </c>
      <c r="P28" s="31">
        <f t="shared" si="2"/>
        <v>0</v>
      </c>
      <c r="Q28" s="31">
        <f t="shared" ca="1" si="3"/>
        <v>0</v>
      </c>
      <c r="R28" s="31">
        <f t="shared" si="4"/>
        <v>0</v>
      </c>
      <c r="S28" s="31">
        <f t="shared" ca="1" si="5"/>
        <v>0</v>
      </c>
      <c r="T28" s="3" t="str">
        <f t="shared" si="6"/>
        <v>Leistungswert eintragen</v>
      </c>
      <c r="U28" s="3">
        <f t="shared" si="7"/>
        <v>168.75</v>
      </c>
      <c r="V28" s="3">
        <f t="shared" si="8"/>
        <v>0</v>
      </c>
    </row>
    <row r="29" spans="1:22" ht="15" customHeight="1" x14ac:dyDescent="0.2">
      <c r="A29" s="70">
        <v>8</v>
      </c>
      <c r="B29" s="84">
        <v>208</v>
      </c>
      <c r="C29" s="85" t="s">
        <v>281</v>
      </c>
      <c r="D29" s="85"/>
      <c r="E29" s="85" t="s">
        <v>208</v>
      </c>
      <c r="F29" s="85" t="s">
        <v>206</v>
      </c>
      <c r="G29" s="51">
        <v>13.72</v>
      </c>
      <c r="H29" s="51"/>
      <c r="I29" s="86"/>
      <c r="J29" s="70" t="s">
        <v>208</v>
      </c>
      <c r="K29" s="51">
        <v>2</v>
      </c>
      <c r="L29" s="31">
        <f>VLOOKUP(K29,Reinigungstage!A10:C31,3,FALSE)</f>
        <v>104.91</v>
      </c>
      <c r="M29" s="31">
        <f t="shared" si="0"/>
        <v>1439.37</v>
      </c>
      <c r="N29" s="87">
        <f t="shared" si="1"/>
        <v>0</v>
      </c>
      <c r="O29" s="31">
        <f ca="1">IF('SVS UnterhaltsRG'!H61="",0,'SVS UnterhaltsRG'!H61)</f>
        <v>0</v>
      </c>
      <c r="P29" s="31">
        <f t="shared" si="2"/>
        <v>0</v>
      </c>
      <c r="Q29" s="31">
        <f t="shared" ca="1" si="3"/>
        <v>0</v>
      </c>
      <c r="R29" s="31">
        <f t="shared" si="4"/>
        <v>0</v>
      </c>
      <c r="S29" s="31">
        <f t="shared" ca="1" si="5"/>
        <v>0</v>
      </c>
      <c r="T29" s="3" t="str">
        <f t="shared" si="6"/>
        <v>Leistungswert eintragen</v>
      </c>
      <c r="U29" s="3">
        <f t="shared" si="7"/>
        <v>168.75</v>
      </c>
      <c r="V29" s="3">
        <f t="shared" si="8"/>
        <v>0</v>
      </c>
    </row>
    <row r="30" spans="1:22" ht="15" customHeight="1" x14ac:dyDescent="0.2">
      <c r="A30" s="70">
        <v>9</v>
      </c>
      <c r="B30" s="84">
        <v>209</v>
      </c>
      <c r="C30" s="85" t="s">
        <v>281</v>
      </c>
      <c r="D30" s="85"/>
      <c r="E30" s="85" t="s">
        <v>282</v>
      </c>
      <c r="F30" s="85" t="s">
        <v>206</v>
      </c>
      <c r="G30" s="51">
        <v>6.5</v>
      </c>
      <c r="H30" s="51"/>
      <c r="I30" s="86"/>
      <c r="J30" s="70" t="s">
        <v>277</v>
      </c>
      <c r="K30" s="51">
        <v>2</v>
      </c>
      <c r="L30" s="31">
        <f>VLOOKUP(K30,Reinigungstage!A10:C31,3,FALSE)</f>
        <v>104.91</v>
      </c>
      <c r="M30" s="31">
        <f t="shared" si="0"/>
        <v>681.92</v>
      </c>
      <c r="N30" s="87">
        <f t="shared" si="1"/>
        <v>0</v>
      </c>
      <c r="O30" s="31">
        <f ca="1">IF('SVS UnterhaltsRG'!H61="",0,'SVS UnterhaltsRG'!H61)</f>
        <v>0</v>
      </c>
      <c r="P30" s="31">
        <f t="shared" si="2"/>
        <v>0</v>
      </c>
      <c r="Q30" s="31">
        <f t="shared" ca="1" si="3"/>
        <v>0</v>
      </c>
      <c r="R30" s="31">
        <f t="shared" si="4"/>
        <v>0</v>
      </c>
      <c r="S30" s="31">
        <f t="shared" ca="1" si="5"/>
        <v>0</v>
      </c>
      <c r="T30" s="3" t="str">
        <f t="shared" si="6"/>
        <v>Leistungswert eintragen</v>
      </c>
      <c r="U30" s="3">
        <f t="shared" si="7"/>
        <v>88.75</v>
      </c>
      <c r="V30" s="3">
        <f t="shared" si="8"/>
        <v>0</v>
      </c>
    </row>
    <row r="31" spans="1:22" ht="15" customHeight="1" x14ac:dyDescent="0.2">
      <c r="A31" s="70">
        <v>10</v>
      </c>
      <c r="B31" s="84">
        <v>210</v>
      </c>
      <c r="C31" s="85" t="s">
        <v>281</v>
      </c>
      <c r="D31" s="85"/>
      <c r="E31" s="85" t="s">
        <v>283</v>
      </c>
      <c r="F31" s="85" t="s">
        <v>206</v>
      </c>
      <c r="G31" s="51">
        <v>12.21</v>
      </c>
      <c r="H31" s="51"/>
      <c r="I31" s="86"/>
      <c r="J31" s="70" t="s">
        <v>275</v>
      </c>
      <c r="K31" s="51">
        <v>2</v>
      </c>
      <c r="L31" s="31">
        <f>VLOOKUP(K31,Reinigungstage!A10:C31,3,FALSE)</f>
        <v>104.91</v>
      </c>
      <c r="M31" s="31">
        <f t="shared" si="0"/>
        <v>1280.95</v>
      </c>
      <c r="N31" s="87">
        <f t="shared" si="1"/>
        <v>0</v>
      </c>
      <c r="O31" s="31">
        <f ca="1">IF('SVS UnterhaltsRG'!H61="",0,'SVS UnterhaltsRG'!H61)</f>
        <v>0</v>
      </c>
      <c r="P31" s="31">
        <f t="shared" si="2"/>
        <v>0</v>
      </c>
      <c r="Q31" s="31">
        <f t="shared" ca="1" si="3"/>
        <v>0</v>
      </c>
      <c r="R31" s="31">
        <f t="shared" si="4"/>
        <v>0</v>
      </c>
      <c r="S31" s="31">
        <f t="shared" ca="1" si="5"/>
        <v>0</v>
      </c>
      <c r="T31" s="3" t="str">
        <f t="shared" si="6"/>
        <v>Leistungswert eintragen</v>
      </c>
      <c r="U31" s="3">
        <f t="shared" si="7"/>
        <v>140</v>
      </c>
      <c r="V31" s="3">
        <f t="shared" si="8"/>
        <v>0</v>
      </c>
    </row>
    <row r="32" spans="1:22" ht="15" customHeight="1" x14ac:dyDescent="0.2">
      <c r="A32" s="70">
        <v>11</v>
      </c>
      <c r="B32" s="84"/>
      <c r="C32" s="85" t="s">
        <v>204</v>
      </c>
      <c r="D32" s="85"/>
      <c r="E32" s="85" t="s">
        <v>224</v>
      </c>
      <c r="F32" s="85" t="s">
        <v>206</v>
      </c>
      <c r="G32" s="51">
        <v>20.6</v>
      </c>
      <c r="H32" s="51"/>
      <c r="I32" s="86"/>
      <c r="J32" s="70" t="s">
        <v>278</v>
      </c>
      <c r="K32" s="51">
        <v>3</v>
      </c>
      <c r="L32" s="31">
        <f>VLOOKUP(K32,Reinigungstage!A10:C31,3,FALSE)</f>
        <v>151.5</v>
      </c>
      <c r="M32" s="31">
        <f t="shared" si="0"/>
        <v>3120.9</v>
      </c>
      <c r="N32" s="87">
        <f t="shared" si="1"/>
        <v>0</v>
      </c>
      <c r="O32" s="31">
        <f ca="1">IF('SVS UnterhaltsRG'!H61="",0,'SVS UnterhaltsRG'!H61)</f>
        <v>0</v>
      </c>
      <c r="P32" s="31">
        <f t="shared" si="2"/>
        <v>0</v>
      </c>
      <c r="Q32" s="31">
        <f t="shared" ca="1" si="3"/>
        <v>0</v>
      </c>
      <c r="R32" s="31">
        <f t="shared" si="4"/>
        <v>0</v>
      </c>
      <c r="S32" s="31">
        <f t="shared" ca="1" si="5"/>
        <v>0</v>
      </c>
      <c r="T32" s="3" t="str">
        <f t="shared" si="6"/>
        <v>Leistungswert eintragen</v>
      </c>
      <c r="U32" s="3">
        <f t="shared" si="7"/>
        <v>300</v>
      </c>
      <c r="V32" s="3">
        <f t="shared" si="8"/>
        <v>0</v>
      </c>
    </row>
    <row r="33" spans="1:22" ht="15" customHeight="1" x14ac:dyDescent="0.2">
      <c r="A33" s="70">
        <v>12</v>
      </c>
      <c r="B33" s="84"/>
      <c r="C33" s="85" t="s">
        <v>281</v>
      </c>
      <c r="D33" s="85"/>
      <c r="E33" s="85" t="s">
        <v>225</v>
      </c>
      <c r="F33" s="85" t="s">
        <v>206</v>
      </c>
      <c r="G33" s="51">
        <v>22.79</v>
      </c>
      <c r="H33" s="51"/>
      <c r="I33" s="86"/>
      <c r="J33" s="70" t="s">
        <v>279</v>
      </c>
      <c r="K33" s="51">
        <v>3</v>
      </c>
      <c r="L33" s="31">
        <f>VLOOKUP(K33,Reinigungstage!A10:C31,3,FALSE)</f>
        <v>151.5</v>
      </c>
      <c r="M33" s="31">
        <f t="shared" si="0"/>
        <v>3452.69</v>
      </c>
      <c r="N33" s="87">
        <f t="shared" si="1"/>
        <v>0</v>
      </c>
      <c r="O33" s="31">
        <f ca="1">IF('SVS UnterhaltsRG'!H61="",0,'SVS UnterhaltsRG'!H61)</f>
        <v>0</v>
      </c>
      <c r="P33" s="31">
        <f t="shared" si="2"/>
        <v>0</v>
      </c>
      <c r="Q33" s="31">
        <f t="shared" ca="1" si="3"/>
        <v>0</v>
      </c>
      <c r="R33" s="31">
        <f t="shared" si="4"/>
        <v>0</v>
      </c>
      <c r="S33" s="31">
        <f t="shared" ca="1" si="5"/>
        <v>0</v>
      </c>
      <c r="T33" s="3" t="str">
        <f t="shared" si="6"/>
        <v>Leistungswert eintragen</v>
      </c>
      <c r="U33" s="3">
        <f t="shared" si="7"/>
        <v>138.75</v>
      </c>
      <c r="V33" s="3">
        <f t="shared" si="8"/>
        <v>0</v>
      </c>
    </row>
    <row r="34" spans="1:22" ht="15" customHeight="1" x14ac:dyDescent="0.2">
      <c r="A34" s="70">
        <v>13</v>
      </c>
      <c r="B34" s="84">
        <v>101</v>
      </c>
      <c r="C34" s="85" t="s">
        <v>284</v>
      </c>
      <c r="D34" s="85"/>
      <c r="E34" s="85" t="s">
        <v>285</v>
      </c>
      <c r="F34" s="85" t="s">
        <v>286</v>
      </c>
      <c r="G34" s="51">
        <v>19.03</v>
      </c>
      <c r="H34" s="51"/>
      <c r="I34" s="86"/>
      <c r="J34" s="70" t="s">
        <v>208</v>
      </c>
      <c r="K34" s="51">
        <v>2</v>
      </c>
      <c r="L34" s="31">
        <f>VLOOKUP(K34,Reinigungstage!A10:C31,3,FALSE)</f>
        <v>104.91</v>
      </c>
      <c r="M34" s="31">
        <f t="shared" si="0"/>
        <v>1996.44</v>
      </c>
      <c r="N34" s="87">
        <f t="shared" si="1"/>
        <v>0</v>
      </c>
      <c r="O34" s="31">
        <f ca="1">IF('SVS UnterhaltsRG'!H61="",0,'SVS UnterhaltsRG'!H61)</f>
        <v>0</v>
      </c>
      <c r="P34" s="31">
        <f t="shared" si="2"/>
        <v>0</v>
      </c>
      <c r="Q34" s="31">
        <f t="shared" ca="1" si="3"/>
        <v>0</v>
      </c>
      <c r="R34" s="31">
        <f t="shared" si="4"/>
        <v>0</v>
      </c>
      <c r="S34" s="31">
        <f t="shared" ca="1" si="5"/>
        <v>0</v>
      </c>
      <c r="T34" s="3" t="str">
        <f t="shared" si="6"/>
        <v>Leistungswert eintragen</v>
      </c>
      <c r="U34" s="3">
        <f t="shared" si="7"/>
        <v>168.75</v>
      </c>
      <c r="V34" s="3">
        <f t="shared" si="8"/>
        <v>0</v>
      </c>
    </row>
    <row r="35" spans="1:22" ht="15" customHeight="1" x14ac:dyDescent="0.2">
      <c r="A35" s="70">
        <v>14</v>
      </c>
      <c r="B35" s="84">
        <v>102</v>
      </c>
      <c r="C35" s="85" t="s">
        <v>284</v>
      </c>
      <c r="D35" s="85"/>
      <c r="E35" s="85" t="s">
        <v>287</v>
      </c>
      <c r="F35" s="85" t="s">
        <v>286</v>
      </c>
      <c r="G35" s="51">
        <v>32.53</v>
      </c>
      <c r="H35" s="51"/>
      <c r="I35" s="86"/>
      <c r="J35" s="70" t="s">
        <v>208</v>
      </c>
      <c r="K35" s="51">
        <v>2</v>
      </c>
      <c r="L35" s="31">
        <f>VLOOKUP(K35,Reinigungstage!A10:C31,3,FALSE)</f>
        <v>104.91</v>
      </c>
      <c r="M35" s="31">
        <f t="shared" si="0"/>
        <v>3412.72</v>
      </c>
      <c r="N35" s="87">
        <f t="shared" si="1"/>
        <v>0</v>
      </c>
      <c r="O35" s="31">
        <f ca="1">IF('SVS UnterhaltsRG'!H61="",0,'SVS UnterhaltsRG'!H61)</f>
        <v>0</v>
      </c>
      <c r="P35" s="31">
        <f t="shared" si="2"/>
        <v>0</v>
      </c>
      <c r="Q35" s="31">
        <f t="shared" ca="1" si="3"/>
        <v>0</v>
      </c>
      <c r="R35" s="31">
        <f t="shared" si="4"/>
        <v>0</v>
      </c>
      <c r="S35" s="31">
        <f t="shared" ca="1" si="5"/>
        <v>0</v>
      </c>
      <c r="T35" s="3" t="str">
        <f t="shared" si="6"/>
        <v>Leistungswert eintragen</v>
      </c>
      <c r="U35" s="3">
        <f t="shared" si="7"/>
        <v>168.75</v>
      </c>
      <c r="V35" s="3">
        <f t="shared" si="8"/>
        <v>0</v>
      </c>
    </row>
    <row r="36" spans="1:22" ht="15" customHeight="1" x14ac:dyDescent="0.2">
      <c r="A36" s="70">
        <v>15</v>
      </c>
      <c r="B36" s="84">
        <v>103</v>
      </c>
      <c r="C36" s="85" t="s">
        <v>284</v>
      </c>
      <c r="D36" s="85"/>
      <c r="E36" s="85" t="s">
        <v>288</v>
      </c>
      <c r="F36" s="85" t="s">
        <v>286</v>
      </c>
      <c r="G36" s="51">
        <v>50.03</v>
      </c>
      <c r="H36" s="51"/>
      <c r="I36" s="86"/>
      <c r="J36" s="70" t="s">
        <v>275</v>
      </c>
      <c r="K36" s="51">
        <v>2</v>
      </c>
      <c r="L36" s="31">
        <f>VLOOKUP(K36,Reinigungstage!A10:C31,3,FALSE)</f>
        <v>104.91</v>
      </c>
      <c r="M36" s="31">
        <f t="shared" si="0"/>
        <v>5248.65</v>
      </c>
      <c r="N36" s="87">
        <f t="shared" si="1"/>
        <v>0</v>
      </c>
      <c r="O36" s="31">
        <f ca="1">IF('SVS UnterhaltsRG'!H61="",0,'SVS UnterhaltsRG'!H61)</f>
        <v>0</v>
      </c>
      <c r="P36" s="31">
        <f t="shared" si="2"/>
        <v>0</v>
      </c>
      <c r="Q36" s="31">
        <f t="shared" ca="1" si="3"/>
        <v>0</v>
      </c>
      <c r="R36" s="31">
        <f t="shared" si="4"/>
        <v>0</v>
      </c>
      <c r="S36" s="31">
        <f t="shared" ca="1" si="5"/>
        <v>0</v>
      </c>
      <c r="T36" s="3" t="str">
        <f t="shared" si="6"/>
        <v>Leistungswert eintragen</v>
      </c>
      <c r="U36" s="3">
        <f t="shared" si="7"/>
        <v>140</v>
      </c>
      <c r="V36" s="3">
        <f t="shared" si="8"/>
        <v>0</v>
      </c>
    </row>
    <row r="37" spans="1:22" ht="15" customHeight="1" x14ac:dyDescent="0.2">
      <c r="A37" s="70">
        <v>16</v>
      </c>
      <c r="B37" s="84">
        <v>104</v>
      </c>
      <c r="C37" s="85" t="s">
        <v>284</v>
      </c>
      <c r="D37" s="85"/>
      <c r="E37" s="85" t="s">
        <v>208</v>
      </c>
      <c r="F37" s="85" t="s">
        <v>206</v>
      </c>
      <c r="G37" s="51">
        <v>12.53</v>
      </c>
      <c r="H37" s="51"/>
      <c r="I37" s="86"/>
      <c r="J37" s="70" t="s">
        <v>208</v>
      </c>
      <c r="K37" s="51">
        <v>2</v>
      </c>
      <c r="L37" s="31">
        <f>VLOOKUP(K37,Reinigungstage!A10:C31,3,FALSE)</f>
        <v>104.91</v>
      </c>
      <c r="M37" s="31">
        <f t="shared" si="0"/>
        <v>1314.52</v>
      </c>
      <c r="N37" s="87">
        <f t="shared" si="1"/>
        <v>0</v>
      </c>
      <c r="O37" s="31">
        <f ca="1">IF('SVS UnterhaltsRG'!H61="",0,'SVS UnterhaltsRG'!H61)</f>
        <v>0</v>
      </c>
      <c r="P37" s="31">
        <f t="shared" si="2"/>
        <v>0</v>
      </c>
      <c r="Q37" s="31">
        <f t="shared" ca="1" si="3"/>
        <v>0</v>
      </c>
      <c r="R37" s="31">
        <f t="shared" si="4"/>
        <v>0</v>
      </c>
      <c r="S37" s="31">
        <f t="shared" ca="1" si="5"/>
        <v>0</v>
      </c>
      <c r="T37" s="3" t="str">
        <f t="shared" si="6"/>
        <v>Leistungswert eintragen</v>
      </c>
      <c r="U37" s="3">
        <f t="shared" si="7"/>
        <v>168.75</v>
      </c>
      <c r="V37" s="3">
        <f t="shared" si="8"/>
        <v>0</v>
      </c>
    </row>
    <row r="38" spans="1:22" ht="15" customHeight="1" x14ac:dyDescent="0.2">
      <c r="A38" s="70">
        <v>17</v>
      </c>
      <c r="B38" s="84">
        <v>105</v>
      </c>
      <c r="C38" s="85" t="s">
        <v>284</v>
      </c>
      <c r="D38" s="85"/>
      <c r="E38" s="85" t="s">
        <v>208</v>
      </c>
      <c r="F38" s="85" t="s">
        <v>206</v>
      </c>
      <c r="G38" s="51">
        <v>23.37</v>
      </c>
      <c r="H38" s="51"/>
      <c r="I38" s="86"/>
      <c r="J38" s="70" t="s">
        <v>208</v>
      </c>
      <c r="K38" s="51">
        <v>2</v>
      </c>
      <c r="L38" s="31">
        <f>VLOOKUP(K38,Reinigungstage!A10:C31,3,FALSE)</f>
        <v>104.91</v>
      </c>
      <c r="M38" s="31">
        <f t="shared" si="0"/>
        <v>2451.75</v>
      </c>
      <c r="N38" s="87">
        <f t="shared" si="1"/>
        <v>0</v>
      </c>
      <c r="O38" s="31">
        <f ca="1">IF('SVS UnterhaltsRG'!H61="",0,'SVS UnterhaltsRG'!H61)</f>
        <v>0</v>
      </c>
      <c r="P38" s="31">
        <f t="shared" si="2"/>
        <v>0</v>
      </c>
      <c r="Q38" s="31">
        <f t="shared" ca="1" si="3"/>
        <v>0</v>
      </c>
      <c r="R38" s="31">
        <f t="shared" si="4"/>
        <v>0</v>
      </c>
      <c r="S38" s="31">
        <f t="shared" ca="1" si="5"/>
        <v>0</v>
      </c>
      <c r="T38" s="3" t="str">
        <f t="shared" si="6"/>
        <v>Leistungswert eintragen</v>
      </c>
      <c r="U38" s="3">
        <f t="shared" si="7"/>
        <v>168.75</v>
      </c>
      <c r="V38" s="3">
        <f t="shared" si="8"/>
        <v>0</v>
      </c>
    </row>
    <row r="39" spans="1:22" ht="15" customHeight="1" x14ac:dyDescent="0.2">
      <c r="A39" s="70">
        <v>18</v>
      </c>
      <c r="B39" s="84">
        <v>106</v>
      </c>
      <c r="C39" s="85" t="s">
        <v>284</v>
      </c>
      <c r="D39" s="85"/>
      <c r="E39" s="85" t="s">
        <v>208</v>
      </c>
      <c r="F39" s="85" t="s">
        <v>206</v>
      </c>
      <c r="G39" s="51">
        <v>19.05</v>
      </c>
      <c r="H39" s="51"/>
      <c r="I39" s="86"/>
      <c r="J39" s="70" t="s">
        <v>208</v>
      </c>
      <c r="K39" s="51">
        <v>2</v>
      </c>
      <c r="L39" s="31">
        <f>VLOOKUP(K39,Reinigungstage!A10:C31,3,FALSE)</f>
        <v>104.91</v>
      </c>
      <c r="M39" s="31">
        <f t="shared" si="0"/>
        <v>1998.54</v>
      </c>
      <c r="N39" s="87">
        <f t="shared" si="1"/>
        <v>0</v>
      </c>
      <c r="O39" s="31">
        <f ca="1">IF('SVS UnterhaltsRG'!H61="",0,'SVS UnterhaltsRG'!H61)</f>
        <v>0</v>
      </c>
      <c r="P39" s="31">
        <f t="shared" si="2"/>
        <v>0</v>
      </c>
      <c r="Q39" s="31">
        <f t="shared" ca="1" si="3"/>
        <v>0</v>
      </c>
      <c r="R39" s="31">
        <f t="shared" si="4"/>
        <v>0</v>
      </c>
      <c r="S39" s="31">
        <f t="shared" ca="1" si="5"/>
        <v>0</v>
      </c>
      <c r="T39" s="3" t="str">
        <f t="shared" si="6"/>
        <v>Leistungswert eintragen</v>
      </c>
      <c r="U39" s="3">
        <f t="shared" si="7"/>
        <v>168.75</v>
      </c>
      <c r="V39" s="3">
        <f t="shared" si="8"/>
        <v>0</v>
      </c>
    </row>
    <row r="40" spans="1:22" ht="15" customHeight="1" x14ac:dyDescent="0.2">
      <c r="A40" s="70">
        <v>19</v>
      </c>
      <c r="B40" s="84">
        <v>107</v>
      </c>
      <c r="C40" s="85" t="s">
        <v>284</v>
      </c>
      <c r="D40" s="85"/>
      <c r="E40" s="85" t="s">
        <v>289</v>
      </c>
      <c r="F40" s="85" t="s">
        <v>217</v>
      </c>
      <c r="G40" s="51">
        <v>11.38</v>
      </c>
      <c r="H40" s="51"/>
      <c r="I40" s="86"/>
      <c r="J40" s="70" t="s">
        <v>276</v>
      </c>
      <c r="K40" s="51">
        <v>3</v>
      </c>
      <c r="L40" s="31">
        <f>VLOOKUP(K40,Reinigungstage!A10:C31,3,FALSE)</f>
        <v>151.5</v>
      </c>
      <c r="M40" s="31">
        <f t="shared" si="0"/>
        <v>1724.07</v>
      </c>
      <c r="N40" s="87">
        <f t="shared" si="1"/>
        <v>0</v>
      </c>
      <c r="O40" s="31">
        <f ca="1">IF('SVS UnterhaltsRG'!H61="",0,'SVS UnterhaltsRG'!H61)</f>
        <v>0</v>
      </c>
      <c r="P40" s="31">
        <f t="shared" si="2"/>
        <v>0</v>
      </c>
      <c r="Q40" s="31">
        <f t="shared" ca="1" si="3"/>
        <v>0</v>
      </c>
      <c r="R40" s="31">
        <f t="shared" si="4"/>
        <v>0</v>
      </c>
      <c r="S40" s="31">
        <f t="shared" ca="1" si="5"/>
        <v>0</v>
      </c>
      <c r="T40" s="3" t="str">
        <f t="shared" si="6"/>
        <v>Leistungswert eintragen</v>
      </c>
      <c r="U40" s="3">
        <f t="shared" si="7"/>
        <v>63.75</v>
      </c>
      <c r="V40" s="3">
        <f t="shared" si="8"/>
        <v>0</v>
      </c>
    </row>
    <row r="41" spans="1:22" ht="15" customHeight="1" x14ac:dyDescent="0.2">
      <c r="A41" s="70">
        <v>20</v>
      </c>
      <c r="B41" s="84">
        <v>108</v>
      </c>
      <c r="C41" s="85" t="s">
        <v>284</v>
      </c>
      <c r="D41" s="85"/>
      <c r="E41" s="85" t="s">
        <v>289</v>
      </c>
      <c r="F41" s="85" t="s">
        <v>217</v>
      </c>
      <c r="G41" s="51">
        <v>6.47</v>
      </c>
      <c r="H41" s="51"/>
      <c r="I41" s="86"/>
      <c r="J41" s="70" t="s">
        <v>276</v>
      </c>
      <c r="K41" s="51">
        <v>3</v>
      </c>
      <c r="L41" s="31">
        <f>VLOOKUP(K41,Reinigungstage!A10:C31,3,FALSE)</f>
        <v>151.5</v>
      </c>
      <c r="M41" s="31">
        <f t="shared" si="0"/>
        <v>980.21</v>
      </c>
      <c r="N41" s="87">
        <f t="shared" si="1"/>
        <v>0</v>
      </c>
      <c r="O41" s="31">
        <f ca="1">IF('SVS UnterhaltsRG'!H61="",0,'SVS UnterhaltsRG'!H61)</f>
        <v>0</v>
      </c>
      <c r="P41" s="31">
        <f t="shared" si="2"/>
        <v>0</v>
      </c>
      <c r="Q41" s="31">
        <f t="shared" ca="1" si="3"/>
        <v>0</v>
      </c>
      <c r="R41" s="31">
        <f t="shared" si="4"/>
        <v>0</v>
      </c>
      <c r="S41" s="31">
        <f t="shared" ca="1" si="5"/>
        <v>0</v>
      </c>
      <c r="T41" s="3" t="str">
        <f t="shared" si="6"/>
        <v>Leistungswert eintragen</v>
      </c>
      <c r="U41" s="3">
        <f t="shared" si="7"/>
        <v>63.75</v>
      </c>
      <c r="V41" s="3">
        <f t="shared" si="8"/>
        <v>0</v>
      </c>
    </row>
    <row r="42" spans="1:22" ht="15" customHeight="1" x14ac:dyDescent="0.2">
      <c r="A42" s="70">
        <v>21</v>
      </c>
      <c r="B42" s="84">
        <v>109</v>
      </c>
      <c r="C42" s="85" t="s">
        <v>284</v>
      </c>
      <c r="D42" s="85"/>
      <c r="E42" s="85" t="s">
        <v>282</v>
      </c>
      <c r="F42" s="85" t="s">
        <v>206</v>
      </c>
      <c r="G42" s="51">
        <v>2.5099999999999998</v>
      </c>
      <c r="H42" s="51"/>
      <c r="I42" s="86"/>
      <c r="J42" s="70" t="s">
        <v>277</v>
      </c>
      <c r="K42" s="51">
        <v>2</v>
      </c>
      <c r="L42" s="31">
        <f>VLOOKUP(K42,Reinigungstage!A10:C31,3,FALSE)</f>
        <v>104.91</v>
      </c>
      <c r="M42" s="31">
        <f t="shared" si="0"/>
        <v>263.32</v>
      </c>
      <c r="N42" s="87">
        <f t="shared" si="1"/>
        <v>0</v>
      </c>
      <c r="O42" s="31">
        <f ca="1">IF('SVS UnterhaltsRG'!H61="",0,'SVS UnterhaltsRG'!H61)</f>
        <v>0</v>
      </c>
      <c r="P42" s="31">
        <f t="shared" si="2"/>
        <v>0</v>
      </c>
      <c r="Q42" s="31">
        <f t="shared" ca="1" si="3"/>
        <v>0</v>
      </c>
      <c r="R42" s="31">
        <f t="shared" si="4"/>
        <v>0</v>
      </c>
      <c r="S42" s="31">
        <f t="shared" ca="1" si="5"/>
        <v>0</v>
      </c>
      <c r="T42" s="3" t="str">
        <f t="shared" si="6"/>
        <v>Leistungswert eintragen</v>
      </c>
      <c r="U42" s="3">
        <f t="shared" si="7"/>
        <v>88.75</v>
      </c>
      <c r="V42" s="3">
        <f t="shared" si="8"/>
        <v>0</v>
      </c>
    </row>
    <row r="43" spans="1:22" ht="15" customHeight="1" x14ac:dyDescent="0.2">
      <c r="A43" s="70">
        <v>22</v>
      </c>
      <c r="B43" s="84"/>
      <c r="C43" s="85" t="s">
        <v>284</v>
      </c>
      <c r="D43" s="85"/>
      <c r="E43" s="85" t="s">
        <v>224</v>
      </c>
      <c r="F43" s="85" t="s">
        <v>206</v>
      </c>
      <c r="G43" s="51">
        <v>23.66</v>
      </c>
      <c r="H43" s="51"/>
      <c r="I43" s="86"/>
      <c r="J43" s="70" t="s">
        <v>278</v>
      </c>
      <c r="K43" s="51">
        <v>3</v>
      </c>
      <c r="L43" s="31">
        <f>VLOOKUP(K43,Reinigungstage!A10:C31,3,FALSE)</f>
        <v>151.5</v>
      </c>
      <c r="M43" s="31">
        <f t="shared" si="0"/>
        <v>3584.49</v>
      </c>
      <c r="N43" s="87">
        <f t="shared" si="1"/>
        <v>0</v>
      </c>
      <c r="O43" s="31">
        <f ca="1">IF('SVS UnterhaltsRG'!H61="",0,'SVS UnterhaltsRG'!H61)</f>
        <v>0</v>
      </c>
      <c r="P43" s="31">
        <f t="shared" si="2"/>
        <v>0</v>
      </c>
      <c r="Q43" s="31">
        <f t="shared" ca="1" si="3"/>
        <v>0</v>
      </c>
      <c r="R43" s="31">
        <f t="shared" si="4"/>
        <v>0</v>
      </c>
      <c r="S43" s="31">
        <f t="shared" ca="1" si="5"/>
        <v>0</v>
      </c>
      <c r="T43" s="3" t="str">
        <f t="shared" si="6"/>
        <v>Leistungswert eintragen</v>
      </c>
      <c r="U43" s="3">
        <f t="shared" si="7"/>
        <v>300</v>
      </c>
      <c r="V43" s="3">
        <f t="shared" si="8"/>
        <v>0</v>
      </c>
    </row>
    <row r="44" spans="1:22" ht="15" customHeight="1" x14ac:dyDescent="0.2">
      <c r="A44" s="70">
        <v>23</v>
      </c>
      <c r="B44" s="84"/>
      <c r="C44" s="85" t="s">
        <v>284</v>
      </c>
      <c r="D44" s="85"/>
      <c r="E44" s="85" t="s">
        <v>225</v>
      </c>
      <c r="F44" s="85" t="s">
        <v>206</v>
      </c>
      <c r="G44" s="51">
        <v>22.79</v>
      </c>
      <c r="H44" s="51"/>
      <c r="I44" s="86"/>
      <c r="J44" s="70" t="s">
        <v>279</v>
      </c>
      <c r="K44" s="51">
        <v>3</v>
      </c>
      <c r="L44" s="31">
        <f>VLOOKUP(K44,Reinigungstage!A10:C31,3,FALSE)</f>
        <v>151.5</v>
      </c>
      <c r="M44" s="31">
        <f t="shared" si="0"/>
        <v>3452.69</v>
      </c>
      <c r="N44" s="87">
        <f t="shared" si="1"/>
        <v>0</v>
      </c>
      <c r="O44" s="31">
        <f ca="1">IF('SVS UnterhaltsRG'!H61="",0,'SVS UnterhaltsRG'!H61)</f>
        <v>0</v>
      </c>
      <c r="P44" s="31">
        <f t="shared" si="2"/>
        <v>0</v>
      </c>
      <c r="Q44" s="31">
        <f t="shared" ca="1" si="3"/>
        <v>0</v>
      </c>
      <c r="R44" s="31">
        <f t="shared" si="4"/>
        <v>0</v>
      </c>
      <c r="S44" s="31">
        <f t="shared" ca="1" si="5"/>
        <v>0</v>
      </c>
      <c r="T44" s="3" t="str">
        <f t="shared" si="6"/>
        <v>Leistungswert eintragen</v>
      </c>
      <c r="U44" s="3">
        <f t="shared" si="7"/>
        <v>138.75</v>
      </c>
      <c r="V44" s="3">
        <f t="shared" si="8"/>
        <v>0</v>
      </c>
    </row>
    <row r="45" spans="1:22" ht="15" customHeight="1" x14ac:dyDescent="0.2">
      <c r="A45" s="70">
        <v>24</v>
      </c>
      <c r="B45" s="84">
        <v>1</v>
      </c>
      <c r="C45" s="85" t="s">
        <v>252</v>
      </c>
      <c r="D45" s="85"/>
      <c r="E45" s="85" t="s">
        <v>290</v>
      </c>
      <c r="F45" s="85" t="s">
        <v>206</v>
      </c>
      <c r="G45" s="51">
        <v>15.66</v>
      </c>
      <c r="H45" s="51"/>
      <c r="I45" s="86"/>
      <c r="J45" s="70" t="s">
        <v>208</v>
      </c>
      <c r="K45" s="51">
        <v>2</v>
      </c>
      <c r="L45" s="31">
        <f>VLOOKUP(K45,Reinigungstage!A10:C31,3,FALSE)</f>
        <v>104.91</v>
      </c>
      <c r="M45" s="31">
        <f t="shared" si="0"/>
        <v>1642.89</v>
      </c>
      <c r="N45" s="87">
        <f t="shared" si="1"/>
        <v>0</v>
      </c>
      <c r="O45" s="31">
        <f ca="1">IF('SVS UnterhaltsRG'!H61="",0,'SVS UnterhaltsRG'!H61)</f>
        <v>0</v>
      </c>
      <c r="P45" s="31">
        <f t="shared" si="2"/>
        <v>0</v>
      </c>
      <c r="Q45" s="31">
        <f t="shared" ca="1" si="3"/>
        <v>0</v>
      </c>
      <c r="R45" s="31">
        <f t="shared" si="4"/>
        <v>0</v>
      </c>
      <c r="S45" s="31">
        <f t="shared" ca="1" si="5"/>
        <v>0</v>
      </c>
      <c r="T45" s="3" t="str">
        <f t="shared" si="6"/>
        <v>Leistungswert eintragen</v>
      </c>
      <c r="U45" s="3">
        <f t="shared" si="7"/>
        <v>168.75</v>
      </c>
      <c r="V45" s="3">
        <f t="shared" si="8"/>
        <v>0</v>
      </c>
    </row>
    <row r="46" spans="1:22" ht="15" customHeight="1" x14ac:dyDescent="0.2">
      <c r="A46" s="70">
        <v>25</v>
      </c>
      <c r="B46" s="84">
        <v>2</v>
      </c>
      <c r="C46" s="85" t="s">
        <v>252</v>
      </c>
      <c r="D46" s="85"/>
      <c r="E46" s="85" t="s">
        <v>291</v>
      </c>
      <c r="F46" s="85" t="s">
        <v>286</v>
      </c>
      <c r="G46" s="51">
        <v>32.53</v>
      </c>
      <c r="H46" s="51"/>
      <c r="I46" s="86"/>
      <c r="J46" s="70" t="s">
        <v>208</v>
      </c>
      <c r="K46" s="51">
        <v>2</v>
      </c>
      <c r="L46" s="31">
        <f>VLOOKUP(K46,Reinigungstage!A10:C31,3,FALSE)</f>
        <v>104.91</v>
      </c>
      <c r="M46" s="31">
        <f t="shared" si="0"/>
        <v>3412.72</v>
      </c>
      <c r="N46" s="87">
        <f t="shared" si="1"/>
        <v>0</v>
      </c>
      <c r="O46" s="31">
        <f ca="1">IF('SVS UnterhaltsRG'!H61="",0,'SVS UnterhaltsRG'!H61)</f>
        <v>0</v>
      </c>
      <c r="P46" s="31">
        <f t="shared" si="2"/>
        <v>0</v>
      </c>
      <c r="Q46" s="31">
        <f t="shared" ca="1" si="3"/>
        <v>0</v>
      </c>
      <c r="R46" s="31">
        <f t="shared" si="4"/>
        <v>0</v>
      </c>
      <c r="S46" s="31">
        <f t="shared" ca="1" si="5"/>
        <v>0</v>
      </c>
      <c r="T46" s="3" t="str">
        <f t="shared" si="6"/>
        <v>Leistungswert eintragen</v>
      </c>
      <c r="U46" s="3">
        <f t="shared" si="7"/>
        <v>168.75</v>
      </c>
      <c r="V46" s="3">
        <f t="shared" si="8"/>
        <v>0</v>
      </c>
    </row>
    <row r="47" spans="1:22" ht="15" customHeight="1" x14ac:dyDescent="0.2">
      <c r="A47" s="70">
        <v>26</v>
      </c>
      <c r="B47" s="84">
        <v>3</v>
      </c>
      <c r="C47" s="85" t="s">
        <v>252</v>
      </c>
      <c r="D47" s="85"/>
      <c r="E47" s="85" t="s">
        <v>208</v>
      </c>
      <c r="F47" s="85" t="s">
        <v>206</v>
      </c>
      <c r="G47" s="51">
        <v>24.92</v>
      </c>
      <c r="H47" s="51"/>
      <c r="I47" s="86"/>
      <c r="J47" s="70" t="s">
        <v>208</v>
      </c>
      <c r="K47" s="51">
        <v>2</v>
      </c>
      <c r="L47" s="31">
        <f>VLOOKUP(K47,Reinigungstage!A10:C31,3,FALSE)</f>
        <v>104.91</v>
      </c>
      <c r="M47" s="31">
        <f t="shared" si="0"/>
        <v>2614.36</v>
      </c>
      <c r="N47" s="87">
        <f t="shared" si="1"/>
        <v>0</v>
      </c>
      <c r="O47" s="31">
        <f ca="1">IF('SVS UnterhaltsRG'!H61="",0,'SVS UnterhaltsRG'!H61)</f>
        <v>0</v>
      </c>
      <c r="P47" s="31">
        <f t="shared" si="2"/>
        <v>0</v>
      </c>
      <c r="Q47" s="31">
        <f t="shared" ca="1" si="3"/>
        <v>0</v>
      </c>
      <c r="R47" s="31">
        <f t="shared" si="4"/>
        <v>0</v>
      </c>
      <c r="S47" s="31">
        <f t="shared" ca="1" si="5"/>
        <v>0</v>
      </c>
      <c r="T47" s="3" t="str">
        <f t="shared" si="6"/>
        <v>Leistungswert eintragen</v>
      </c>
      <c r="U47" s="3">
        <f t="shared" si="7"/>
        <v>168.75</v>
      </c>
      <c r="V47" s="3">
        <f t="shared" si="8"/>
        <v>0</v>
      </c>
    </row>
    <row r="48" spans="1:22" ht="15" customHeight="1" x14ac:dyDescent="0.2">
      <c r="A48" s="70">
        <v>27</v>
      </c>
      <c r="B48" s="84"/>
      <c r="C48" s="85" t="s">
        <v>252</v>
      </c>
      <c r="D48" s="85"/>
      <c r="E48" s="85" t="s">
        <v>292</v>
      </c>
      <c r="F48" s="85" t="s">
        <v>206</v>
      </c>
      <c r="G48" s="51">
        <v>8.85</v>
      </c>
      <c r="H48" s="51"/>
      <c r="I48" s="86"/>
      <c r="J48" s="70" t="s">
        <v>278</v>
      </c>
      <c r="K48" s="51">
        <v>3</v>
      </c>
      <c r="L48" s="31">
        <f>VLOOKUP(K48,Reinigungstage!A10:C31,3,FALSE)</f>
        <v>151.5</v>
      </c>
      <c r="M48" s="31">
        <f t="shared" si="0"/>
        <v>1340.78</v>
      </c>
      <c r="N48" s="87">
        <f t="shared" si="1"/>
        <v>0</v>
      </c>
      <c r="O48" s="31">
        <f ca="1">IF('SVS UnterhaltsRG'!H61="",0,'SVS UnterhaltsRG'!H61)</f>
        <v>0</v>
      </c>
      <c r="P48" s="31">
        <f t="shared" si="2"/>
        <v>0</v>
      </c>
      <c r="Q48" s="31">
        <f t="shared" ca="1" si="3"/>
        <v>0</v>
      </c>
      <c r="R48" s="31">
        <f t="shared" si="4"/>
        <v>0</v>
      </c>
      <c r="S48" s="31">
        <f t="shared" ca="1" si="5"/>
        <v>0</v>
      </c>
      <c r="T48" s="3" t="str">
        <f t="shared" si="6"/>
        <v>Leistungswert eintragen</v>
      </c>
      <c r="U48" s="3">
        <f t="shared" si="7"/>
        <v>300</v>
      </c>
      <c r="V48" s="3">
        <f t="shared" si="8"/>
        <v>0</v>
      </c>
    </row>
    <row r="49" spans="1:22" ht="15" customHeight="1" x14ac:dyDescent="0.2">
      <c r="A49" s="70">
        <v>28</v>
      </c>
      <c r="B49" s="84">
        <v>4</v>
      </c>
      <c r="C49" s="85" t="s">
        <v>252</v>
      </c>
      <c r="D49" s="85"/>
      <c r="E49" s="85" t="s">
        <v>208</v>
      </c>
      <c r="F49" s="85" t="s">
        <v>206</v>
      </c>
      <c r="G49" s="51">
        <v>24.2</v>
      </c>
      <c r="H49" s="51"/>
      <c r="I49" s="86"/>
      <c r="J49" s="70" t="s">
        <v>208</v>
      </c>
      <c r="K49" s="51">
        <v>2</v>
      </c>
      <c r="L49" s="31">
        <f>VLOOKUP(K49,Reinigungstage!A10:C31,3,FALSE)</f>
        <v>104.91</v>
      </c>
      <c r="M49" s="31">
        <f t="shared" si="0"/>
        <v>2538.8200000000002</v>
      </c>
      <c r="N49" s="87">
        <f t="shared" si="1"/>
        <v>0</v>
      </c>
      <c r="O49" s="31">
        <f ca="1">IF('SVS UnterhaltsRG'!H61="",0,'SVS UnterhaltsRG'!H61)</f>
        <v>0</v>
      </c>
      <c r="P49" s="31">
        <f t="shared" si="2"/>
        <v>0</v>
      </c>
      <c r="Q49" s="31">
        <f t="shared" ca="1" si="3"/>
        <v>0</v>
      </c>
      <c r="R49" s="31">
        <f t="shared" si="4"/>
        <v>0</v>
      </c>
      <c r="S49" s="31">
        <f t="shared" ca="1" si="5"/>
        <v>0</v>
      </c>
      <c r="T49" s="3" t="str">
        <f t="shared" si="6"/>
        <v>Leistungswert eintragen</v>
      </c>
      <c r="U49" s="3">
        <f t="shared" si="7"/>
        <v>168.75</v>
      </c>
      <c r="V49" s="3">
        <f t="shared" si="8"/>
        <v>0</v>
      </c>
    </row>
    <row r="50" spans="1:22" ht="15" customHeight="1" x14ac:dyDescent="0.2">
      <c r="A50" s="70">
        <v>29</v>
      </c>
      <c r="B50" s="84">
        <v>5</v>
      </c>
      <c r="C50" s="85" t="s">
        <v>252</v>
      </c>
      <c r="D50" s="85"/>
      <c r="E50" s="85" t="s">
        <v>208</v>
      </c>
      <c r="F50" s="85" t="s">
        <v>206</v>
      </c>
      <c r="G50" s="51">
        <v>24.73</v>
      </c>
      <c r="H50" s="51"/>
      <c r="I50" s="86"/>
      <c r="J50" s="70" t="s">
        <v>208</v>
      </c>
      <c r="K50" s="51">
        <v>2</v>
      </c>
      <c r="L50" s="31">
        <f>VLOOKUP(K50,Reinigungstage!A10:C31,3,FALSE)</f>
        <v>104.91</v>
      </c>
      <c r="M50" s="31">
        <f t="shared" si="0"/>
        <v>2594.42</v>
      </c>
      <c r="N50" s="87">
        <f t="shared" si="1"/>
        <v>0</v>
      </c>
      <c r="O50" s="31">
        <f ca="1">IF('SVS UnterhaltsRG'!H61="",0,'SVS UnterhaltsRG'!H61)</f>
        <v>0</v>
      </c>
      <c r="P50" s="31">
        <f t="shared" si="2"/>
        <v>0</v>
      </c>
      <c r="Q50" s="31">
        <f t="shared" ca="1" si="3"/>
        <v>0</v>
      </c>
      <c r="R50" s="31">
        <f t="shared" si="4"/>
        <v>0</v>
      </c>
      <c r="S50" s="31">
        <f t="shared" ca="1" si="5"/>
        <v>0</v>
      </c>
      <c r="T50" s="3" t="str">
        <f t="shared" si="6"/>
        <v>Leistungswert eintragen</v>
      </c>
      <c r="U50" s="3">
        <f t="shared" si="7"/>
        <v>168.75</v>
      </c>
      <c r="V50" s="3">
        <f t="shared" si="8"/>
        <v>0</v>
      </c>
    </row>
    <row r="51" spans="1:22" ht="15" customHeight="1" x14ac:dyDescent="0.2">
      <c r="A51" s="70">
        <v>30</v>
      </c>
      <c r="B51" s="84">
        <v>6</v>
      </c>
      <c r="C51" s="85" t="s">
        <v>252</v>
      </c>
      <c r="D51" s="85"/>
      <c r="E51" s="85" t="s">
        <v>208</v>
      </c>
      <c r="F51" s="85" t="s">
        <v>206</v>
      </c>
      <c r="G51" s="51">
        <v>20.92</v>
      </c>
      <c r="H51" s="51"/>
      <c r="I51" s="86"/>
      <c r="J51" s="70" t="s">
        <v>208</v>
      </c>
      <c r="K51" s="51">
        <v>2</v>
      </c>
      <c r="L51" s="31">
        <f>VLOOKUP(K51,Reinigungstage!A10:C31,3,FALSE)</f>
        <v>104.91</v>
      </c>
      <c r="M51" s="31">
        <f t="shared" si="0"/>
        <v>2194.7199999999998</v>
      </c>
      <c r="N51" s="87">
        <f t="shared" si="1"/>
        <v>0</v>
      </c>
      <c r="O51" s="31">
        <f ca="1">IF('SVS UnterhaltsRG'!H61="",0,'SVS UnterhaltsRG'!H61)</f>
        <v>0</v>
      </c>
      <c r="P51" s="31">
        <f t="shared" si="2"/>
        <v>0</v>
      </c>
      <c r="Q51" s="31">
        <f t="shared" ca="1" si="3"/>
        <v>0</v>
      </c>
      <c r="R51" s="31">
        <f t="shared" si="4"/>
        <v>0</v>
      </c>
      <c r="S51" s="31">
        <f t="shared" ca="1" si="5"/>
        <v>0</v>
      </c>
      <c r="T51" s="3" t="str">
        <f t="shared" si="6"/>
        <v>Leistungswert eintragen</v>
      </c>
      <c r="U51" s="3">
        <f t="shared" si="7"/>
        <v>168.75</v>
      </c>
      <c r="V51" s="3">
        <f t="shared" si="8"/>
        <v>0</v>
      </c>
    </row>
    <row r="52" spans="1:22" ht="15" customHeight="1" x14ac:dyDescent="0.2">
      <c r="A52" s="70">
        <v>31</v>
      </c>
      <c r="B52" s="84">
        <v>7</v>
      </c>
      <c r="C52" s="85" t="s">
        <v>252</v>
      </c>
      <c r="D52" s="85"/>
      <c r="E52" s="85" t="s">
        <v>282</v>
      </c>
      <c r="F52" s="85" t="s">
        <v>206</v>
      </c>
      <c r="G52" s="51">
        <v>6.34</v>
      </c>
      <c r="H52" s="51"/>
      <c r="I52" s="86"/>
      <c r="J52" s="70" t="s">
        <v>277</v>
      </c>
      <c r="K52" s="51">
        <v>2</v>
      </c>
      <c r="L52" s="31">
        <f>VLOOKUP(K52,Reinigungstage!A10:C31,3,FALSE)</f>
        <v>104.91</v>
      </c>
      <c r="M52" s="31">
        <f t="shared" si="0"/>
        <v>665.13</v>
      </c>
      <c r="N52" s="87">
        <f t="shared" si="1"/>
        <v>0</v>
      </c>
      <c r="O52" s="31">
        <f ca="1">IF('SVS UnterhaltsRG'!H61="",0,'SVS UnterhaltsRG'!H61)</f>
        <v>0</v>
      </c>
      <c r="P52" s="31">
        <f t="shared" si="2"/>
        <v>0</v>
      </c>
      <c r="Q52" s="31">
        <f t="shared" ca="1" si="3"/>
        <v>0</v>
      </c>
      <c r="R52" s="31">
        <f t="shared" si="4"/>
        <v>0</v>
      </c>
      <c r="S52" s="31">
        <f t="shared" ca="1" si="5"/>
        <v>0</v>
      </c>
      <c r="T52" s="3" t="str">
        <f t="shared" si="6"/>
        <v>Leistungswert eintragen</v>
      </c>
      <c r="U52" s="3">
        <f t="shared" si="7"/>
        <v>88.75</v>
      </c>
      <c r="V52" s="3">
        <f t="shared" si="8"/>
        <v>0</v>
      </c>
    </row>
    <row r="53" spans="1:22" ht="15" customHeight="1" x14ac:dyDescent="0.2">
      <c r="A53" s="70">
        <v>32</v>
      </c>
      <c r="B53" s="84">
        <v>8</v>
      </c>
      <c r="C53" s="85" t="s">
        <v>252</v>
      </c>
      <c r="D53" s="85"/>
      <c r="E53" s="85" t="s">
        <v>289</v>
      </c>
      <c r="F53" s="85" t="s">
        <v>217</v>
      </c>
      <c r="G53" s="51">
        <v>5.53</v>
      </c>
      <c r="H53" s="51"/>
      <c r="I53" s="86"/>
      <c r="J53" s="70" t="s">
        <v>276</v>
      </c>
      <c r="K53" s="51">
        <v>3</v>
      </c>
      <c r="L53" s="31">
        <f>VLOOKUP(K53,Reinigungstage!A10:C31,3,FALSE)</f>
        <v>151.5</v>
      </c>
      <c r="M53" s="31">
        <f t="shared" si="0"/>
        <v>837.8</v>
      </c>
      <c r="N53" s="87">
        <f t="shared" si="1"/>
        <v>0</v>
      </c>
      <c r="O53" s="31">
        <f ca="1">IF('SVS UnterhaltsRG'!H61="",0,'SVS UnterhaltsRG'!H61)</f>
        <v>0</v>
      </c>
      <c r="P53" s="31">
        <f t="shared" si="2"/>
        <v>0</v>
      </c>
      <c r="Q53" s="31">
        <f t="shared" ca="1" si="3"/>
        <v>0</v>
      </c>
      <c r="R53" s="31">
        <f t="shared" si="4"/>
        <v>0</v>
      </c>
      <c r="S53" s="31">
        <f t="shared" ca="1" si="5"/>
        <v>0</v>
      </c>
      <c r="T53" s="3" t="str">
        <f t="shared" si="6"/>
        <v>Leistungswert eintragen</v>
      </c>
      <c r="U53" s="3">
        <f t="shared" si="7"/>
        <v>63.75</v>
      </c>
      <c r="V53" s="3">
        <f t="shared" si="8"/>
        <v>0</v>
      </c>
    </row>
    <row r="54" spans="1:22" ht="15" customHeight="1" x14ac:dyDescent="0.2">
      <c r="A54" s="70">
        <v>33</v>
      </c>
      <c r="B54" s="84">
        <v>9</v>
      </c>
      <c r="C54" s="85" t="s">
        <v>252</v>
      </c>
      <c r="D54" s="85"/>
      <c r="E54" s="85" t="s">
        <v>289</v>
      </c>
      <c r="F54" s="85" t="s">
        <v>217</v>
      </c>
      <c r="G54" s="51">
        <v>7.66</v>
      </c>
      <c r="H54" s="51"/>
      <c r="I54" s="86"/>
      <c r="J54" s="70" t="s">
        <v>276</v>
      </c>
      <c r="K54" s="51">
        <v>3</v>
      </c>
      <c r="L54" s="31">
        <f>VLOOKUP(K54,Reinigungstage!A10:C31,3,FALSE)</f>
        <v>151.5</v>
      </c>
      <c r="M54" s="31">
        <f t="shared" si="0"/>
        <v>1160.49</v>
      </c>
      <c r="N54" s="87">
        <f t="shared" si="1"/>
        <v>0</v>
      </c>
      <c r="O54" s="31">
        <f ca="1">IF('SVS UnterhaltsRG'!H61="",0,'SVS UnterhaltsRG'!H61)</f>
        <v>0</v>
      </c>
      <c r="P54" s="31">
        <f t="shared" si="2"/>
        <v>0</v>
      </c>
      <c r="Q54" s="31">
        <f t="shared" ca="1" si="3"/>
        <v>0</v>
      </c>
      <c r="R54" s="31">
        <f t="shared" si="4"/>
        <v>0</v>
      </c>
      <c r="S54" s="31">
        <f t="shared" ca="1" si="5"/>
        <v>0</v>
      </c>
      <c r="T54" s="3" t="str">
        <f t="shared" si="6"/>
        <v>Leistungswert eintragen</v>
      </c>
      <c r="U54" s="3">
        <f t="shared" si="7"/>
        <v>63.75</v>
      </c>
      <c r="V54" s="3">
        <f t="shared" si="8"/>
        <v>0</v>
      </c>
    </row>
    <row r="55" spans="1:22" ht="15" customHeight="1" x14ac:dyDescent="0.2">
      <c r="A55" s="70">
        <v>34</v>
      </c>
      <c r="B55" s="84"/>
      <c r="C55" s="85" t="s">
        <v>252</v>
      </c>
      <c r="D55" s="85"/>
      <c r="E55" s="85" t="s">
        <v>224</v>
      </c>
      <c r="F55" s="85" t="s">
        <v>206</v>
      </c>
      <c r="G55" s="51">
        <v>17.899999999999999</v>
      </c>
      <c r="H55" s="51"/>
      <c r="I55" s="86">
        <v>3.24</v>
      </c>
      <c r="J55" s="70" t="s">
        <v>278</v>
      </c>
      <c r="K55" s="51">
        <v>3</v>
      </c>
      <c r="L55" s="31">
        <f>VLOOKUP(K55,Reinigungstage!A10:C31,3,FALSE)</f>
        <v>151.5</v>
      </c>
      <c r="M55" s="31">
        <f t="shared" si="0"/>
        <v>2711.85</v>
      </c>
      <c r="N55" s="87">
        <f t="shared" si="1"/>
        <v>0</v>
      </c>
      <c r="O55" s="31">
        <f ca="1">IF('SVS UnterhaltsRG'!H61="",0,'SVS UnterhaltsRG'!H61)</f>
        <v>0</v>
      </c>
      <c r="P55" s="31">
        <f t="shared" si="2"/>
        <v>0</v>
      </c>
      <c r="Q55" s="31">
        <f t="shared" ca="1" si="3"/>
        <v>0</v>
      </c>
      <c r="R55" s="31">
        <f t="shared" si="4"/>
        <v>0</v>
      </c>
      <c r="S55" s="31">
        <f t="shared" ca="1" si="5"/>
        <v>0</v>
      </c>
      <c r="T55" s="3" t="str">
        <f t="shared" si="6"/>
        <v>Leistungswert eintragen</v>
      </c>
      <c r="U55" s="3">
        <f t="shared" si="7"/>
        <v>300</v>
      </c>
      <c r="V55" s="3">
        <f t="shared" si="8"/>
        <v>0</v>
      </c>
    </row>
    <row r="56" spans="1:22" ht="15" customHeight="1" x14ac:dyDescent="0.2">
      <c r="A56" s="70">
        <v>35</v>
      </c>
      <c r="B56" s="84"/>
      <c r="C56" s="85" t="s">
        <v>252</v>
      </c>
      <c r="D56" s="85"/>
      <c r="E56" s="85" t="s">
        <v>225</v>
      </c>
      <c r="F56" s="85" t="s">
        <v>206</v>
      </c>
      <c r="G56" s="51">
        <v>34.18</v>
      </c>
      <c r="H56" s="51"/>
      <c r="I56" s="86"/>
      <c r="J56" s="70" t="s">
        <v>279</v>
      </c>
      <c r="K56" s="51">
        <v>3</v>
      </c>
      <c r="L56" s="31">
        <f>VLOOKUP(K56,Reinigungstage!A10:C31,3,FALSE)</f>
        <v>151.5</v>
      </c>
      <c r="M56" s="31">
        <f t="shared" si="0"/>
        <v>5178.2700000000004</v>
      </c>
      <c r="N56" s="87">
        <f t="shared" si="1"/>
        <v>0</v>
      </c>
      <c r="O56" s="31">
        <f ca="1">IF('SVS UnterhaltsRG'!H61="",0,'SVS UnterhaltsRG'!H61)</f>
        <v>0</v>
      </c>
      <c r="P56" s="31">
        <f t="shared" si="2"/>
        <v>0</v>
      </c>
      <c r="Q56" s="31">
        <f t="shared" ca="1" si="3"/>
        <v>0</v>
      </c>
      <c r="R56" s="31">
        <f t="shared" si="4"/>
        <v>0</v>
      </c>
      <c r="S56" s="31">
        <f t="shared" ca="1" si="5"/>
        <v>0</v>
      </c>
      <c r="T56" s="3" t="str">
        <f t="shared" si="6"/>
        <v>Leistungswert eintragen</v>
      </c>
      <c r="U56" s="3">
        <f t="shared" si="7"/>
        <v>138.75</v>
      </c>
      <c r="V56" s="3">
        <f t="shared" si="8"/>
        <v>0</v>
      </c>
    </row>
    <row r="57" spans="1:22" ht="24.95" customHeight="1" x14ac:dyDescent="0.2">
      <c r="A57" s="70">
        <v>36</v>
      </c>
      <c r="B57" s="84"/>
      <c r="C57" s="85" t="s">
        <v>252</v>
      </c>
      <c r="D57" s="85" t="s">
        <v>293</v>
      </c>
      <c r="E57" s="85" t="s">
        <v>294</v>
      </c>
      <c r="F57" s="85" t="s">
        <v>295</v>
      </c>
      <c r="G57" s="51">
        <v>34.299999999999997</v>
      </c>
      <c r="H57" s="51"/>
      <c r="I57" s="86"/>
      <c r="J57" s="70" t="s">
        <v>279</v>
      </c>
      <c r="K57" s="51">
        <v>1</v>
      </c>
      <c r="L57" s="31">
        <f>VLOOKUP(K57,Reinigungstage!A10:C31,3,FALSE)</f>
        <v>52.45</v>
      </c>
      <c r="M57" s="31">
        <f t="shared" si="0"/>
        <v>1799.04</v>
      </c>
      <c r="N57" s="87">
        <f t="shared" si="1"/>
        <v>0</v>
      </c>
      <c r="O57" s="31">
        <f ca="1">IF('SVS UnterhaltsRG'!H61="",0,'SVS UnterhaltsRG'!H61)</f>
        <v>0</v>
      </c>
      <c r="P57" s="31">
        <f t="shared" si="2"/>
        <v>0</v>
      </c>
      <c r="Q57" s="31">
        <f t="shared" ca="1" si="3"/>
        <v>0</v>
      </c>
      <c r="R57" s="31">
        <f t="shared" si="4"/>
        <v>0</v>
      </c>
      <c r="S57" s="31">
        <f t="shared" ca="1" si="5"/>
        <v>0</v>
      </c>
      <c r="T57" s="3" t="str">
        <f t="shared" si="6"/>
        <v>Leistungswert eintragen</v>
      </c>
      <c r="U57" s="3">
        <f t="shared" si="7"/>
        <v>138.75</v>
      </c>
      <c r="V57" s="3">
        <f t="shared" si="8"/>
        <v>0</v>
      </c>
    </row>
    <row r="58" spans="1:22" ht="15" customHeight="1" x14ac:dyDescent="0.2">
      <c r="A58" s="70">
        <v>37</v>
      </c>
      <c r="B58" s="84"/>
      <c r="C58" s="85" t="s">
        <v>296</v>
      </c>
      <c r="D58" s="85"/>
      <c r="E58" s="85" t="s">
        <v>231</v>
      </c>
      <c r="F58" s="85" t="s">
        <v>206</v>
      </c>
      <c r="G58" s="51">
        <v>19.059999999999999</v>
      </c>
      <c r="H58" s="51"/>
      <c r="I58" s="86"/>
      <c r="J58" s="70" t="s">
        <v>280</v>
      </c>
      <c r="K58" s="51">
        <v>0</v>
      </c>
      <c r="L58" s="31">
        <f>VLOOKUP(K58,Reinigungstage!A10:C31,3,FALSE)</f>
        <v>0</v>
      </c>
      <c r="M58" s="31">
        <f t="shared" si="0"/>
        <v>0</v>
      </c>
      <c r="N58" s="87">
        <f t="shared" si="1"/>
        <v>0</v>
      </c>
      <c r="O58" s="31">
        <f ca="1">IF('SVS UnterhaltsRG'!H61="",0,'SVS UnterhaltsRG'!H61)</f>
        <v>0</v>
      </c>
      <c r="P58" s="31">
        <f t="shared" si="2"/>
        <v>0</v>
      </c>
      <c r="Q58" s="31">
        <f t="shared" si="3"/>
        <v>0</v>
      </c>
      <c r="R58" s="31">
        <f t="shared" si="4"/>
        <v>0</v>
      </c>
      <c r="S58" s="31">
        <f t="shared" si="5"/>
        <v>0</v>
      </c>
      <c r="T58" s="3" t="str">
        <f t="shared" si="6"/>
        <v/>
      </c>
      <c r="U58" s="3">
        <f t="shared" si="7"/>
        <v>262.5</v>
      </c>
      <c r="V58" s="3">
        <f t="shared" si="8"/>
        <v>0</v>
      </c>
    </row>
    <row r="59" spans="1:22" ht="15" customHeight="1" x14ac:dyDescent="0.2">
      <c r="A59" s="70">
        <v>38</v>
      </c>
      <c r="B59" s="84">
        <v>9</v>
      </c>
      <c r="C59" s="85" t="s">
        <v>296</v>
      </c>
      <c r="D59" s="85"/>
      <c r="E59" s="85" t="s">
        <v>231</v>
      </c>
      <c r="F59" s="85" t="s">
        <v>206</v>
      </c>
      <c r="G59" s="51">
        <v>12.6</v>
      </c>
      <c r="H59" s="51"/>
      <c r="I59" s="86"/>
      <c r="J59" s="70" t="s">
        <v>280</v>
      </c>
      <c r="K59" s="51">
        <v>0</v>
      </c>
      <c r="L59" s="31">
        <f>VLOOKUP(K59,Reinigungstage!A10:C31,3,FALSE)</f>
        <v>0</v>
      </c>
      <c r="M59" s="31">
        <f t="shared" si="0"/>
        <v>0</v>
      </c>
      <c r="N59" s="87">
        <f t="shared" si="1"/>
        <v>0</v>
      </c>
      <c r="O59" s="31">
        <f ca="1">IF('SVS UnterhaltsRG'!H61="",0,'SVS UnterhaltsRG'!H61)</f>
        <v>0</v>
      </c>
      <c r="P59" s="31">
        <f t="shared" si="2"/>
        <v>0</v>
      </c>
      <c r="Q59" s="31">
        <f t="shared" si="3"/>
        <v>0</v>
      </c>
      <c r="R59" s="31">
        <f t="shared" si="4"/>
        <v>0</v>
      </c>
      <c r="S59" s="31">
        <f t="shared" si="5"/>
        <v>0</v>
      </c>
      <c r="T59" s="3" t="str">
        <f t="shared" si="6"/>
        <v/>
      </c>
      <c r="U59" s="3">
        <f t="shared" si="7"/>
        <v>262.5</v>
      </c>
      <c r="V59" s="3">
        <f t="shared" si="8"/>
        <v>0</v>
      </c>
    </row>
    <row r="60" spans="1:22" ht="15" customHeight="1" x14ac:dyDescent="0.2">
      <c r="A60" s="70">
        <v>39</v>
      </c>
      <c r="B60" s="84">
        <v>10</v>
      </c>
      <c r="C60" s="85" t="s">
        <v>296</v>
      </c>
      <c r="D60" s="85"/>
      <c r="E60" s="85" t="s">
        <v>297</v>
      </c>
      <c r="F60" s="85" t="s">
        <v>206</v>
      </c>
      <c r="G60" s="51">
        <v>11.6</v>
      </c>
      <c r="H60" s="51"/>
      <c r="I60" s="86"/>
      <c r="J60" s="70" t="s">
        <v>208</v>
      </c>
      <c r="K60" s="51">
        <v>0</v>
      </c>
      <c r="L60" s="31">
        <f>VLOOKUP(K60,Reinigungstage!A10:C31,3,FALSE)</f>
        <v>0</v>
      </c>
      <c r="M60" s="31">
        <f t="shared" si="0"/>
        <v>0</v>
      </c>
      <c r="N60" s="87">
        <f t="shared" si="1"/>
        <v>0</v>
      </c>
      <c r="O60" s="31">
        <f ca="1">IF('SVS UnterhaltsRG'!H61="",0,'SVS UnterhaltsRG'!H61)</f>
        <v>0</v>
      </c>
      <c r="P60" s="31">
        <f t="shared" si="2"/>
        <v>0</v>
      </c>
      <c r="Q60" s="31">
        <f t="shared" si="3"/>
        <v>0</v>
      </c>
      <c r="R60" s="31">
        <f t="shared" si="4"/>
        <v>0</v>
      </c>
      <c r="S60" s="31">
        <f t="shared" si="5"/>
        <v>0</v>
      </c>
      <c r="T60" s="3" t="str">
        <f t="shared" si="6"/>
        <v/>
      </c>
      <c r="U60" s="3">
        <f t="shared" si="7"/>
        <v>168.75</v>
      </c>
      <c r="V60" s="3">
        <f t="shared" si="8"/>
        <v>0</v>
      </c>
    </row>
    <row r="61" spans="1:22" ht="15" customHeight="1" x14ac:dyDescent="0.2">
      <c r="A61" s="70">
        <v>40</v>
      </c>
      <c r="B61" s="84">
        <v>11</v>
      </c>
      <c r="C61" s="85" t="s">
        <v>296</v>
      </c>
      <c r="D61" s="85"/>
      <c r="E61" s="85" t="s">
        <v>289</v>
      </c>
      <c r="F61" s="85" t="s">
        <v>217</v>
      </c>
      <c r="G61" s="51">
        <v>8.3000000000000007</v>
      </c>
      <c r="H61" s="51"/>
      <c r="I61" s="86"/>
      <c r="J61" s="70" t="s">
        <v>276</v>
      </c>
      <c r="K61" s="51">
        <v>3</v>
      </c>
      <c r="L61" s="31">
        <f>VLOOKUP(K61,Reinigungstage!A10:C31,3,FALSE)</f>
        <v>151.5</v>
      </c>
      <c r="M61" s="31">
        <f t="shared" si="0"/>
        <v>1257.45</v>
      </c>
      <c r="N61" s="87">
        <f t="shared" si="1"/>
        <v>0</v>
      </c>
      <c r="O61" s="31">
        <f ca="1">IF('SVS UnterhaltsRG'!H61="",0,'SVS UnterhaltsRG'!H61)</f>
        <v>0</v>
      </c>
      <c r="P61" s="31">
        <f t="shared" si="2"/>
        <v>0</v>
      </c>
      <c r="Q61" s="31">
        <f t="shared" ca="1" si="3"/>
        <v>0</v>
      </c>
      <c r="R61" s="31">
        <f t="shared" si="4"/>
        <v>0</v>
      </c>
      <c r="S61" s="31">
        <f t="shared" ca="1" si="5"/>
        <v>0</v>
      </c>
      <c r="T61" s="3" t="str">
        <f t="shared" si="6"/>
        <v>Leistungswert eintragen</v>
      </c>
      <c r="U61" s="3">
        <f t="shared" si="7"/>
        <v>63.75</v>
      </c>
      <c r="V61" s="3">
        <f t="shared" si="8"/>
        <v>0</v>
      </c>
    </row>
    <row r="62" spans="1:22" ht="15" customHeight="1" x14ac:dyDescent="0.2">
      <c r="A62" s="70">
        <v>41</v>
      </c>
      <c r="B62" s="84"/>
      <c r="C62" s="85" t="s">
        <v>296</v>
      </c>
      <c r="D62" s="85"/>
      <c r="E62" s="85" t="s">
        <v>298</v>
      </c>
      <c r="F62" s="85" t="s">
        <v>299</v>
      </c>
      <c r="G62" s="51">
        <v>0</v>
      </c>
      <c r="H62" s="51"/>
      <c r="I62" s="86"/>
      <c r="J62" s="70" t="s">
        <v>280</v>
      </c>
      <c r="K62" s="51">
        <v>0</v>
      </c>
      <c r="L62" s="31">
        <f>VLOOKUP(K62,Reinigungstage!A10:C31,3,FALSE)</f>
        <v>0</v>
      </c>
      <c r="M62" s="31">
        <f t="shared" si="0"/>
        <v>0</v>
      </c>
      <c r="N62" s="87">
        <f t="shared" si="1"/>
        <v>0</v>
      </c>
      <c r="O62" s="31">
        <f ca="1">IF('SVS UnterhaltsRG'!H61="",0,'SVS UnterhaltsRG'!H61)</f>
        <v>0</v>
      </c>
      <c r="P62" s="31">
        <f t="shared" si="2"/>
        <v>0</v>
      </c>
      <c r="Q62" s="31">
        <f t="shared" si="3"/>
        <v>0</v>
      </c>
      <c r="R62" s="31">
        <f t="shared" si="4"/>
        <v>0</v>
      </c>
      <c r="S62" s="31">
        <f t="shared" si="5"/>
        <v>0</v>
      </c>
      <c r="T62" s="3" t="str">
        <f t="shared" si="6"/>
        <v/>
      </c>
      <c r="U62" s="3">
        <f t="shared" si="7"/>
        <v>262.5</v>
      </c>
      <c r="V62" s="3">
        <f t="shared" si="8"/>
        <v>0</v>
      </c>
    </row>
    <row r="63" spans="1:22" ht="15" customHeight="1" x14ac:dyDescent="0.2">
      <c r="A63" s="70">
        <v>42</v>
      </c>
      <c r="B63" s="84"/>
      <c r="C63" s="85" t="s">
        <v>296</v>
      </c>
      <c r="D63" s="85"/>
      <c r="E63" s="85" t="s">
        <v>224</v>
      </c>
      <c r="F63" s="85" t="s">
        <v>206</v>
      </c>
      <c r="G63" s="51">
        <v>14.2</v>
      </c>
      <c r="H63" s="51"/>
      <c r="I63" s="86"/>
      <c r="J63" s="70" t="s">
        <v>278</v>
      </c>
      <c r="K63" s="51">
        <v>3</v>
      </c>
      <c r="L63" s="31">
        <f>VLOOKUP(K63,Reinigungstage!A10:C31,3,FALSE)</f>
        <v>151.5</v>
      </c>
      <c r="M63" s="31">
        <f t="shared" si="0"/>
        <v>2151.3000000000002</v>
      </c>
      <c r="N63" s="87">
        <f t="shared" si="1"/>
        <v>0</v>
      </c>
      <c r="O63" s="31">
        <f ca="1">IF('SVS UnterhaltsRG'!H61="",0,'SVS UnterhaltsRG'!H61)</f>
        <v>0</v>
      </c>
      <c r="P63" s="31">
        <f t="shared" si="2"/>
        <v>0</v>
      </c>
      <c r="Q63" s="31">
        <f t="shared" ca="1" si="3"/>
        <v>0</v>
      </c>
      <c r="R63" s="31">
        <f t="shared" si="4"/>
        <v>0</v>
      </c>
      <c r="S63" s="31">
        <f t="shared" ca="1" si="5"/>
        <v>0</v>
      </c>
      <c r="T63" s="3" t="str">
        <f t="shared" si="6"/>
        <v>Leistungswert eintragen</v>
      </c>
      <c r="U63" s="3">
        <f t="shared" si="7"/>
        <v>300</v>
      </c>
      <c r="V63" s="3">
        <f t="shared" si="8"/>
        <v>0</v>
      </c>
    </row>
    <row r="64" spans="1:22" ht="15" customHeight="1" x14ac:dyDescent="0.2">
      <c r="A64" s="70">
        <v>43</v>
      </c>
      <c r="B64" s="84"/>
      <c r="C64" s="85" t="s">
        <v>296</v>
      </c>
      <c r="D64" s="85"/>
      <c r="E64" s="85" t="s">
        <v>279</v>
      </c>
      <c r="F64" s="85" t="s">
        <v>206</v>
      </c>
      <c r="G64" s="51">
        <v>10.210000000000001</v>
      </c>
      <c r="H64" s="51"/>
      <c r="I64" s="86"/>
      <c r="J64" s="70" t="s">
        <v>279</v>
      </c>
      <c r="K64" s="51">
        <v>3</v>
      </c>
      <c r="L64" s="31">
        <f>VLOOKUP(K64,Reinigungstage!A10:C31,3,FALSE)</f>
        <v>151.5</v>
      </c>
      <c r="M64" s="31">
        <f t="shared" si="0"/>
        <v>1546.82</v>
      </c>
      <c r="N64" s="87">
        <f t="shared" si="1"/>
        <v>0</v>
      </c>
      <c r="O64" s="31">
        <f ca="1">IF('SVS UnterhaltsRG'!H61="",0,'SVS UnterhaltsRG'!H61)</f>
        <v>0</v>
      </c>
      <c r="P64" s="31">
        <f t="shared" si="2"/>
        <v>0</v>
      </c>
      <c r="Q64" s="31">
        <f t="shared" ca="1" si="3"/>
        <v>0</v>
      </c>
      <c r="R64" s="31">
        <f t="shared" si="4"/>
        <v>0</v>
      </c>
      <c r="S64" s="31">
        <f t="shared" ca="1" si="5"/>
        <v>0</v>
      </c>
      <c r="T64" s="3" t="str">
        <f t="shared" si="6"/>
        <v>Leistungswert eintragen</v>
      </c>
      <c r="U64" s="3">
        <f t="shared" si="7"/>
        <v>138.75</v>
      </c>
      <c r="V64" s="3">
        <f t="shared" si="8"/>
        <v>0</v>
      </c>
    </row>
    <row r="65" spans="1:22" ht="15" customHeight="1" x14ac:dyDescent="0.2">
      <c r="A65" s="70">
        <v>44</v>
      </c>
      <c r="B65" s="84"/>
      <c r="C65" s="85" t="s">
        <v>296</v>
      </c>
      <c r="D65" s="85"/>
      <c r="E65" s="85" t="s">
        <v>300</v>
      </c>
      <c r="F65" s="85" t="s">
        <v>206</v>
      </c>
      <c r="G65" s="51">
        <v>1.9</v>
      </c>
      <c r="H65" s="51"/>
      <c r="I65" s="86"/>
      <c r="J65" s="70" t="s">
        <v>279</v>
      </c>
      <c r="K65" s="51">
        <v>3</v>
      </c>
      <c r="L65" s="31">
        <f>VLOOKUP(K65,Reinigungstage!A10:C31,3,FALSE)</f>
        <v>151.5</v>
      </c>
      <c r="M65" s="31">
        <f t="shared" si="0"/>
        <v>287.85000000000002</v>
      </c>
      <c r="N65" s="87">
        <f t="shared" si="1"/>
        <v>0</v>
      </c>
      <c r="O65" s="31">
        <f ca="1">IF('SVS UnterhaltsRG'!H61="",0,'SVS UnterhaltsRG'!H61)</f>
        <v>0</v>
      </c>
      <c r="P65" s="31">
        <f t="shared" si="2"/>
        <v>0</v>
      </c>
      <c r="Q65" s="31">
        <f t="shared" ca="1" si="3"/>
        <v>0</v>
      </c>
      <c r="R65" s="31">
        <f t="shared" si="4"/>
        <v>0</v>
      </c>
      <c r="S65" s="31">
        <f t="shared" ca="1" si="5"/>
        <v>0</v>
      </c>
      <c r="T65" s="3" t="str">
        <f t="shared" si="6"/>
        <v>Leistungswert eintragen</v>
      </c>
      <c r="U65" s="3">
        <f t="shared" si="7"/>
        <v>138.75</v>
      </c>
      <c r="V65" s="3">
        <f t="shared" si="8"/>
        <v>0</v>
      </c>
    </row>
    <row r="66" spans="1:22" ht="15" customHeight="1" x14ac:dyDescent="0.2">
      <c r="A66" s="70">
        <v>45</v>
      </c>
      <c r="B66" s="84"/>
      <c r="C66" s="85" t="s">
        <v>296</v>
      </c>
      <c r="D66" s="85"/>
      <c r="E66" s="85" t="s">
        <v>301</v>
      </c>
      <c r="F66" s="85" t="s">
        <v>206</v>
      </c>
      <c r="G66" s="51">
        <v>2.27</v>
      </c>
      <c r="H66" s="51"/>
      <c r="I66" s="86"/>
      <c r="J66" s="70" t="s">
        <v>278</v>
      </c>
      <c r="K66" s="51">
        <v>3</v>
      </c>
      <c r="L66" s="31">
        <f>VLOOKUP(K66,Reinigungstage!A10:C31,3,FALSE)</f>
        <v>151.5</v>
      </c>
      <c r="M66" s="31">
        <f t="shared" si="0"/>
        <v>343.91</v>
      </c>
      <c r="N66" s="87">
        <f t="shared" si="1"/>
        <v>0</v>
      </c>
      <c r="O66" s="31">
        <f ca="1">IF('SVS UnterhaltsRG'!H61="",0,'SVS UnterhaltsRG'!H61)</f>
        <v>0</v>
      </c>
      <c r="P66" s="31">
        <f t="shared" si="2"/>
        <v>0</v>
      </c>
      <c r="Q66" s="31">
        <f t="shared" ca="1" si="3"/>
        <v>0</v>
      </c>
      <c r="R66" s="31">
        <f t="shared" si="4"/>
        <v>0</v>
      </c>
      <c r="S66" s="31">
        <f t="shared" ca="1" si="5"/>
        <v>0</v>
      </c>
      <c r="T66" s="3" t="str">
        <f t="shared" si="6"/>
        <v>Leistungswert eintragen</v>
      </c>
      <c r="U66" s="3">
        <f t="shared" si="7"/>
        <v>300</v>
      </c>
      <c r="V66" s="3">
        <f t="shared" si="8"/>
        <v>0</v>
      </c>
    </row>
  </sheetData>
  <sheetProtection algorithmName="SHA-512" hashValue="hyFUfvQgizUkAkytz1RQ7o9eNko3M0Lk5HgdPfWhs1WTJZCtEyJqkQN14ldlbm1zZIizMyerouAK7Gx+M7n9Yg==" saltValue="wHZGwcOHbPCT2U0UE++czw=="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8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83" priority="5" operator="containsText" text="Bitte prüfen Sie diese.">
      <formula>NOT(ISERROR(SEARCH("Bitte prüfen Sie diese.",L9)))</formula>
    </cfRule>
  </conditionalFormatting>
  <conditionalFormatting sqref="L10">
    <cfRule type="containsText" dxfId="8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81" priority="3" operator="containsText" text="lediglich Fehleingaben vermeiden wollen.">
      <formula>NOT(ISERROR(SEARCH("lediglich Fehleingaben vermeiden wollen.",L11)))</formula>
    </cfRule>
  </conditionalFormatting>
  <conditionalFormatting sqref="M11">
    <cfRule type="containsText" dxfId="8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79" priority="7" operator="containsText" text="für die Objektart prüfen.">
      <formula>NOT(ISERROR(SEARCH("für die Objektart prüfen.",M12)))</formula>
    </cfRule>
  </conditionalFormatting>
  <conditionalFormatting sqref="N13">
    <cfRule type="expression" dxfId="78" priority="2" stopIfTrue="1">
      <formula>N13=0</formula>
    </cfRule>
  </conditionalFormatting>
  <conditionalFormatting sqref="N14">
    <cfRule type="expression" dxfId="77" priority="1">
      <formula>N14=0</formula>
    </cfRule>
  </conditionalFormatting>
  <conditionalFormatting sqref="N22:N66">
    <cfRule type="expression" dxfId="76" priority="11">
      <formula>V22=0</formula>
    </cfRule>
    <cfRule type="expression" dxfId="75" priority="12" stopIfTrue="1">
      <formula>V22=1</formula>
    </cfRule>
  </conditionalFormatting>
  <conditionalFormatting sqref="O13">
    <cfRule type="containsText" dxfId="7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3" priority="9" operator="containsText" text="Wert(e) prüfen.">
      <formula>NOT(ISERROR(SEARCH("Wert(e) prüfen.",O14)))</formula>
    </cfRule>
  </conditionalFormatting>
  <conditionalFormatting sqref="T22:T66">
    <cfRule type="containsText" dxfId="72" priority="13" stopIfTrue="1" operator="containsText" text="SVS prüfen">
      <formula>NOT(ISERROR(SEARCH("SVS prüfen",T22)))</formula>
    </cfRule>
    <cfRule type="containsText" dxfId="71" priority="14" stopIfTrue="1" operator="containsText" text="Leistungswert eintragen">
      <formula>NOT(ISERROR(SEARCH("Leistungswert eintragen",T22)))</formula>
    </cfRule>
  </conditionalFormatting>
  <hyperlinks>
    <hyperlink ref="M1" location="Inhaltsverzeichnis!A1" display="Zurück zum Inhaltsverzeichnis" xr:uid="{890423A0-BBE6-4CB2-A1D1-106F4EFAD45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Rathaus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6D60-9C84-4E88-BDFF-104C6063A3A9}">
  <sheetPr codeName="Tabelle37">
    <tabColor indexed="40"/>
  </sheetPr>
  <dimension ref="A1:X63"/>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28515625" style="3" customWidth="1"/>
    <col min="4" max="4" width="11"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9" t="s">
        <v>150</v>
      </c>
      <c r="B2" s="140"/>
      <c r="C2" s="140"/>
      <c r="D2" s="140"/>
      <c r="E2" s="141"/>
      <c r="G2" s="142" t="s">
        <v>163</v>
      </c>
      <c r="H2" s="142" t="s">
        <v>155</v>
      </c>
      <c r="I2" s="142" t="s">
        <v>156</v>
      </c>
      <c r="J2" s="142" t="s">
        <v>175</v>
      </c>
      <c r="M2" s="69"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4" customHeight="1" x14ac:dyDescent="0.2">
      <c r="A3" s="71" t="s">
        <v>158</v>
      </c>
      <c r="B3" s="72"/>
      <c r="C3" s="72"/>
      <c r="D3" s="72"/>
      <c r="E3" s="73"/>
      <c r="G3" s="143"/>
      <c r="H3" s="143"/>
      <c r="I3" s="143"/>
      <c r="J3" s="143"/>
      <c r="M3" s="69" t="b">
        <v>0</v>
      </c>
      <c r="N3" s="100"/>
      <c r="O3" s="100"/>
      <c r="P3" s="100"/>
      <c r="Q3" s="100"/>
    </row>
    <row r="4" spans="1:22" ht="18.600000000000001" customHeight="1" x14ac:dyDescent="0.2">
      <c r="A4" s="137" t="s">
        <v>91</v>
      </c>
      <c r="B4" s="125" t="str">
        <f>IF(Inhaltsverzeichnis!C3="","",Inhaltsverzeichnis!C3)</f>
        <v/>
      </c>
      <c r="C4" s="126"/>
      <c r="D4" s="126"/>
      <c r="E4" s="127"/>
      <c r="G4" s="70" t="s">
        <v>208</v>
      </c>
      <c r="H4" s="74"/>
      <c r="I4" s="75">
        <f ca="1">SUMIF('Kal Grund Rathaus'!J22:M63,$G$4,'Kal Grund Rathaus'!M22:M63)</f>
        <v>407.39000000000004</v>
      </c>
      <c r="J4" s="49">
        <f>COUNTIFS('Kal Grund Rathaus'!J22:M63,$G$4)</f>
        <v>20</v>
      </c>
      <c r="M4" s="69" t="b">
        <v>0</v>
      </c>
      <c r="N4" s="100"/>
      <c r="O4" s="100"/>
      <c r="P4" s="100"/>
      <c r="Q4" s="100"/>
      <c r="U4" s="70" t="s">
        <v>208</v>
      </c>
      <c r="V4" s="3">
        <v>11.875</v>
      </c>
    </row>
    <row r="5" spans="1:22" ht="15" customHeight="1" x14ac:dyDescent="0.2">
      <c r="A5" s="138"/>
      <c r="B5" s="128"/>
      <c r="C5" s="129"/>
      <c r="D5" s="129"/>
      <c r="E5" s="130"/>
      <c r="G5" s="70" t="s">
        <v>275</v>
      </c>
      <c r="H5" s="74"/>
      <c r="I5" s="75">
        <f ca="1">SUMIF('Kal Grund Rathaus'!J22:M63,$G$5,'Kal Grund Rathaus'!M22:M63)</f>
        <v>62.24</v>
      </c>
      <c r="J5" s="49">
        <f>COUNTIFS('Kal Grund Rathaus'!J22:M63,$G$5)</f>
        <v>2</v>
      </c>
      <c r="M5" s="69" t="b">
        <v>0</v>
      </c>
      <c r="N5" s="100"/>
      <c r="O5" s="100"/>
      <c r="P5" s="100"/>
      <c r="Q5" s="100"/>
      <c r="U5" s="70" t="s">
        <v>275</v>
      </c>
      <c r="V5" s="3">
        <v>12.75</v>
      </c>
    </row>
    <row r="6" spans="1:22" ht="15" customHeight="1" x14ac:dyDescent="0.2">
      <c r="A6" s="76" t="s">
        <v>173</v>
      </c>
      <c r="B6" s="131" t="s">
        <v>190</v>
      </c>
      <c r="C6" s="132"/>
      <c r="D6" s="132"/>
      <c r="E6" s="133"/>
      <c r="G6" s="70" t="s">
        <v>276</v>
      </c>
      <c r="H6" s="74"/>
      <c r="I6" s="75">
        <f ca="1">SUMIF('Kal Grund Rathaus'!J22:M63,$G$6,'Kal Grund Rathaus'!M22:M63)</f>
        <v>39.340000000000003</v>
      </c>
      <c r="J6" s="49">
        <f>COUNTIFS('Kal Grund Rathaus'!J22:M63,$G$6)</f>
        <v>5</v>
      </c>
      <c r="U6" s="70" t="s">
        <v>276</v>
      </c>
      <c r="V6" s="3">
        <v>10.25</v>
      </c>
    </row>
    <row r="7" spans="1:22" ht="15" customHeight="1" x14ac:dyDescent="0.2">
      <c r="A7" s="77" t="s">
        <v>171</v>
      </c>
      <c r="B7" s="134" t="s">
        <v>194</v>
      </c>
      <c r="C7" s="132"/>
      <c r="D7" s="132"/>
      <c r="E7" s="133"/>
      <c r="G7" s="70" t="s">
        <v>279</v>
      </c>
      <c r="H7" s="74"/>
      <c r="I7" s="75">
        <f ca="1">SUMIF('Kal Grund Rathaus'!J22:M63,$G$7,'Kal Grund Rathaus'!M22:M63)</f>
        <v>126.16999999999999</v>
      </c>
      <c r="J7" s="49">
        <f>COUNTIFS('Kal Grund Rathaus'!J22:M63,$G$7)</f>
        <v>6</v>
      </c>
      <c r="U7" s="70" t="s">
        <v>280</v>
      </c>
      <c r="V7" s="3">
        <v>15.875</v>
      </c>
    </row>
    <row r="8" spans="1:22" ht="15" customHeight="1" x14ac:dyDescent="0.2">
      <c r="A8" s="77" t="s">
        <v>172</v>
      </c>
      <c r="B8" s="131"/>
      <c r="C8" s="132"/>
      <c r="D8" s="132"/>
      <c r="E8" s="133"/>
      <c r="G8" s="70" t="s">
        <v>278</v>
      </c>
      <c r="H8" s="74"/>
      <c r="I8" s="75">
        <f ca="1">SUMIF('Kal Grund Rathaus'!J22:M63,$G$8,'Kal Grund Rathaus'!M22:M63)</f>
        <v>87.48</v>
      </c>
      <c r="J8" s="49">
        <f>COUNTIFS('Kal Grund Rathaus'!J22:M63,$G$8)</f>
        <v>6</v>
      </c>
      <c r="L8" s="88" t="str">
        <f>IF(N14&gt;0,"Ihre Eintragungen der Leistungswerte liegen weit über den Erfahrungswerten aus der Preisschätzung.","")</f>
        <v/>
      </c>
      <c r="U8" s="70" t="s">
        <v>279</v>
      </c>
      <c r="V8" s="3">
        <v>15.375</v>
      </c>
    </row>
    <row r="9" spans="1:22" ht="15" customHeight="1" x14ac:dyDescent="0.2">
      <c r="A9" s="76" t="s">
        <v>170</v>
      </c>
      <c r="B9" s="135" t="s">
        <v>194</v>
      </c>
      <c r="C9" s="132"/>
      <c r="D9" s="132"/>
      <c r="E9" s="133"/>
      <c r="G9" s="70" t="s">
        <v>277</v>
      </c>
      <c r="H9" s="74"/>
      <c r="I9" s="75">
        <f ca="1">SUMIF('Kal Grund Rathaus'!J22:M63,$G$9,'Kal Grund Rathaus'!M22:M63)</f>
        <v>15.35</v>
      </c>
      <c r="J9" s="49">
        <f>COUNTIFS('Kal Grund Rathaus'!J22:M63,$G$9)</f>
        <v>3</v>
      </c>
      <c r="L9" s="88" t="str">
        <f>IF(N14&gt;0,"Bitte prüfen Sie diese.","")</f>
        <v/>
      </c>
      <c r="U9" s="70" t="s">
        <v>278</v>
      </c>
      <c r="V9" s="3">
        <v>16.25</v>
      </c>
    </row>
    <row r="10" spans="1:22" ht="15" customHeight="1" x14ac:dyDescent="0.2">
      <c r="A10" s="77" t="s">
        <v>152</v>
      </c>
      <c r="B10" s="131" t="s">
        <v>195</v>
      </c>
      <c r="C10" s="132"/>
      <c r="D10" s="132"/>
      <c r="E10" s="133"/>
      <c r="L10" s="88" t="str">
        <f>IF(N14&gt;0,"Beachten Sie, dass Sie frei in der Kalkulation dieser Leistungswerte sind und wir durch den Hinweis","")</f>
        <v/>
      </c>
      <c r="U10" s="70" t="s">
        <v>277</v>
      </c>
      <c r="V10" s="3">
        <v>15.375</v>
      </c>
    </row>
    <row r="11" spans="1:22" ht="15" customHeight="1" x14ac:dyDescent="0.2">
      <c r="A11" s="77" t="s">
        <v>153</v>
      </c>
      <c r="B11" s="136" t="s">
        <v>192</v>
      </c>
      <c r="C11" s="132"/>
      <c r="D11" s="132"/>
      <c r="E11" s="133"/>
      <c r="L11" s="88" t="str">
        <f>IF(N14&gt;0,"lediglich Fehleingaben vermeiden wollen.","")</f>
        <v/>
      </c>
    </row>
    <row r="12" spans="1:22" ht="15" customHeight="1" x14ac:dyDescent="0.2">
      <c r="A12" s="77" t="s">
        <v>154</v>
      </c>
      <c r="B12" s="131" t="s">
        <v>193</v>
      </c>
      <c r="C12" s="132"/>
      <c r="D12" s="132"/>
      <c r="E12" s="133"/>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row>
    <row r="14" spans="1:22" ht="15" customHeight="1" x14ac:dyDescent="0.2">
      <c r="N14" s="78">
        <f>COUNTIF(X22:X$63,1)</f>
        <v>0</v>
      </c>
      <c r="O14" s="3" t="str">
        <f>IF(N14&gt;0,"Wert(e) prüfen.","")</f>
        <v/>
      </c>
      <c r="S14" s="80">
        <f>IF(COUNTA($S$22:$S$63)-COUNTBLANK($S$22:$S$63)=0,"",COUNTA($S$22:$S$63)-COUNTBLANK($S$22:$S$63))</f>
        <v>42</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383</v>
      </c>
      <c r="J20" s="1" t="s">
        <v>99</v>
      </c>
      <c r="K20" s="1" t="s">
        <v>104</v>
      </c>
      <c r="L20" s="1" t="s">
        <v>108</v>
      </c>
      <c r="M20" s="1" t="s">
        <v>109</v>
      </c>
      <c r="N20" s="1" t="s">
        <v>105</v>
      </c>
      <c r="O20" s="1" t="s">
        <v>110</v>
      </c>
      <c r="P20" s="1" t="s">
        <v>111</v>
      </c>
      <c r="Q20" s="1" t="s">
        <v>112</v>
      </c>
      <c r="R20" s="1" t="s">
        <v>133</v>
      </c>
    </row>
    <row r="21" spans="1:24" ht="29.1" customHeight="1" x14ac:dyDescent="0.2">
      <c r="A21" s="81" t="s">
        <v>118</v>
      </c>
      <c r="B21" s="12"/>
      <c r="C21" s="12"/>
      <c r="D21" s="12"/>
      <c r="E21" s="12"/>
      <c r="F21" s="12"/>
      <c r="G21" s="82">
        <f>SUM($G$22:$G$63)</f>
        <v>737.96999999999991</v>
      </c>
      <c r="H21" s="82">
        <f>SUM($H$22:$H$63)</f>
        <v>0</v>
      </c>
      <c r="I21" s="82">
        <f>SUM($I$22:$I$63)</f>
        <v>3.24</v>
      </c>
      <c r="J21" s="31"/>
      <c r="K21" s="31"/>
      <c r="L21" s="83">
        <f>MAX(L22:L63)</f>
        <v>1</v>
      </c>
      <c r="M21" s="82">
        <f>SUM($M$22:$M$63)</f>
        <v>737.96999999999991</v>
      </c>
      <c r="N21" s="31"/>
      <c r="O21" s="31"/>
      <c r="P21" s="82">
        <f>SUM($P$22:$P$63)</f>
        <v>0</v>
      </c>
      <c r="Q21" s="82">
        <f>SUM($Q$22:$Q$63)</f>
        <v>0</v>
      </c>
      <c r="R21" s="82">
        <f>ROUND(IF(Q21=0,0,Q21/L21),2)</f>
        <v>0</v>
      </c>
    </row>
    <row r="22" spans="1:24" ht="15" customHeight="1" x14ac:dyDescent="0.2">
      <c r="A22" s="70">
        <v>1</v>
      </c>
      <c r="B22" s="84">
        <v>201</v>
      </c>
      <c r="C22" s="85" t="s">
        <v>281</v>
      </c>
      <c r="D22" s="85"/>
      <c r="E22" s="85" t="s">
        <v>208</v>
      </c>
      <c r="F22" s="85" t="s">
        <v>206</v>
      </c>
      <c r="G22" s="51">
        <v>14.43</v>
      </c>
      <c r="H22" s="51"/>
      <c r="I22" s="86"/>
      <c r="J22" s="70" t="s">
        <v>208</v>
      </c>
      <c r="K22" s="70" t="s">
        <v>142</v>
      </c>
      <c r="L22" s="31">
        <f>VLOOKUP(K22,Reinigungstage!A10:G31,7,FALSE)</f>
        <v>1</v>
      </c>
      <c r="M22" s="31">
        <f t="shared" ref="M22:M63" si="0">ROUND(IF(L22=0,0,L22*G22),2)</f>
        <v>14.43</v>
      </c>
      <c r="N22" s="87">
        <f t="shared" ref="N22:N63" si="1">VLOOKUP(J22,$G$4:$H$9,2,FALSE)</f>
        <v>0</v>
      </c>
      <c r="O22" s="31">
        <f ca="1">IF('SVS GrundRG'!H61="",0,'SVS GrundRG'!H61)</f>
        <v>0</v>
      </c>
      <c r="P22" s="31">
        <f t="shared" ref="P22:P63" si="2">ROUND(IF(N22=0,0,M22/N22),2)</f>
        <v>0</v>
      </c>
      <c r="Q22" s="31">
        <f t="shared" ref="Q22:Q63" si="3">ROUND(IF(P22=0,0,P22*O22),2)</f>
        <v>0</v>
      </c>
      <c r="R22" s="31">
        <f t="shared" ref="R22:R63" si="4">ROUND(IF(P22=0,0,Q22/L22),2)</f>
        <v>0</v>
      </c>
      <c r="S22" s="3" t="str">
        <f t="shared" ref="S22:S63" si="5">IF(M22=0,"",IF(N22=0,"Leistungswert eintragen",IF(O22=0,"SVS prüfen","")))</f>
        <v>Leistungswert eintragen</v>
      </c>
      <c r="U22" s="3">
        <f t="shared" ref="U22:U63" si="6">VLOOKUP(J22,$U$4:$V$10,2,FALSE)</f>
        <v>11.875</v>
      </c>
      <c r="V22" s="3">
        <f t="shared" ref="V22:V63" si="7">U22*30%</f>
        <v>3.5625</v>
      </c>
      <c r="W22" s="3">
        <f t="shared" ref="W22:W63" si="8">SUM(U22:V22)</f>
        <v>15.4375</v>
      </c>
      <c r="X22" s="3" t="str">
        <f t="shared" ref="X22:X63" si="9">IF(N22=0,"",IF(W22&lt;N22,1,IF(W22&gt;=N22,0,"")))</f>
        <v/>
      </c>
    </row>
    <row r="23" spans="1:24" ht="15" customHeight="1" x14ac:dyDescent="0.2">
      <c r="A23" s="70">
        <v>2</v>
      </c>
      <c r="B23" s="84">
        <v>202</v>
      </c>
      <c r="C23" s="85" t="s">
        <v>281</v>
      </c>
      <c r="D23" s="85"/>
      <c r="E23" s="85" t="s">
        <v>208</v>
      </c>
      <c r="F23" s="85" t="s">
        <v>206</v>
      </c>
      <c r="G23" s="51">
        <v>14.83</v>
      </c>
      <c r="H23" s="51"/>
      <c r="I23" s="86"/>
      <c r="J23" s="70" t="s">
        <v>208</v>
      </c>
      <c r="K23" s="70" t="s">
        <v>142</v>
      </c>
      <c r="L23" s="31">
        <f>VLOOKUP(K23,Reinigungstage!A10:G31,7,FALSE)</f>
        <v>1</v>
      </c>
      <c r="M23" s="31">
        <f t="shared" si="0"/>
        <v>14.83</v>
      </c>
      <c r="N23" s="87">
        <f t="shared" si="1"/>
        <v>0</v>
      </c>
      <c r="O23" s="31">
        <f ca="1">IF('SVS GrundRG'!H61="",0,'SVS GrundRG'!H61)</f>
        <v>0</v>
      </c>
      <c r="P23" s="31">
        <f t="shared" si="2"/>
        <v>0</v>
      </c>
      <c r="Q23" s="31">
        <f t="shared" si="3"/>
        <v>0</v>
      </c>
      <c r="R23" s="31">
        <f t="shared" si="4"/>
        <v>0</v>
      </c>
      <c r="S23" s="3" t="str">
        <f t="shared" si="5"/>
        <v>Leistungswert eintragen</v>
      </c>
      <c r="U23" s="3">
        <f t="shared" si="6"/>
        <v>11.875</v>
      </c>
      <c r="V23" s="3">
        <f t="shared" si="7"/>
        <v>3.5625</v>
      </c>
      <c r="W23" s="3">
        <f t="shared" si="8"/>
        <v>15.4375</v>
      </c>
      <c r="X23" s="3" t="str">
        <f t="shared" si="9"/>
        <v/>
      </c>
    </row>
    <row r="24" spans="1:24" ht="15" customHeight="1" x14ac:dyDescent="0.2">
      <c r="A24" s="70">
        <v>3</v>
      </c>
      <c r="B24" s="84">
        <v>203</v>
      </c>
      <c r="C24" s="85" t="s">
        <v>281</v>
      </c>
      <c r="D24" s="85"/>
      <c r="E24" s="85" t="s">
        <v>208</v>
      </c>
      <c r="F24" s="85" t="s">
        <v>206</v>
      </c>
      <c r="G24" s="51">
        <v>20.95</v>
      </c>
      <c r="H24" s="51"/>
      <c r="I24" s="86"/>
      <c r="J24" s="70" t="s">
        <v>208</v>
      </c>
      <c r="K24" s="70" t="s">
        <v>142</v>
      </c>
      <c r="L24" s="31">
        <f>VLOOKUP(K24,Reinigungstage!A10:G31,7,FALSE)</f>
        <v>1</v>
      </c>
      <c r="M24" s="31">
        <f t="shared" si="0"/>
        <v>20.95</v>
      </c>
      <c r="N24" s="87">
        <f t="shared" si="1"/>
        <v>0</v>
      </c>
      <c r="O24" s="31">
        <f ca="1">IF('SVS GrundRG'!H61="",0,'SVS GrundRG'!H61)</f>
        <v>0</v>
      </c>
      <c r="P24" s="31">
        <f t="shared" si="2"/>
        <v>0</v>
      </c>
      <c r="Q24" s="31">
        <f t="shared" si="3"/>
        <v>0</v>
      </c>
      <c r="R24" s="31">
        <f t="shared" si="4"/>
        <v>0</v>
      </c>
      <c r="S24" s="3" t="str">
        <f t="shared" si="5"/>
        <v>Leistungswert eintragen</v>
      </c>
      <c r="U24" s="3">
        <f t="shared" si="6"/>
        <v>11.875</v>
      </c>
      <c r="V24" s="3">
        <f t="shared" si="7"/>
        <v>3.5625</v>
      </c>
      <c r="W24" s="3">
        <f t="shared" si="8"/>
        <v>15.4375</v>
      </c>
      <c r="X24" s="3" t="str">
        <f t="shared" si="9"/>
        <v/>
      </c>
    </row>
    <row r="25" spans="1:24" ht="15" customHeight="1" x14ac:dyDescent="0.2">
      <c r="A25" s="70">
        <v>4</v>
      </c>
      <c r="B25" s="84">
        <v>204</v>
      </c>
      <c r="C25" s="85" t="s">
        <v>281</v>
      </c>
      <c r="D25" s="85"/>
      <c r="E25" s="85" t="s">
        <v>208</v>
      </c>
      <c r="F25" s="85" t="s">
        <v>206</v>
      </c>
      <c r="G25" s="51">
        <v>20.309999999999999</v>
      </c>
      <c r="H25" s="51"/>
      <c r="I25" s="86"/>
      <c r="J25" s="70" t="s">
        <v>208</v>
      </c>
      <c r="K25" s="70" t="s">
        <v>142</v>
      </c>
      <c r="L25" s="31">
        <f>VLOOKUP(K25,Reinigungstage!A10:G31,7,FALSE)</f>
        <v>1</v>
      </c>
      <c r="M25" s="31">
        <f t="shared" si="0"/>
        <v>20.309999999999999</v>
      </c>
      <c r="N25" s="87">
        <f t="shared" si="1"/>
        <v>0</v>
      </c>
      <c r="O25" s="31">
        <f ca="1">IF('SVS GrundRG'!H61="",0,'SVS GrundRG'!H61)</f>
        <v>0</v>
      </c>
      <c r="P25" s="31">
        <f t="shared" si="2"/>
        <v>0</v>
      </c>
      <c r="Q25" s="31">
        <f t="shared" si="3"/>
        <v>0</v>
      </c>
      <c r="R25" s="31">
        <f t="shared" si="4"/>
        <v>0</v>
      </c>
      <c r="S25" s="3" t="str">
        <f t="shared" si="5"/>
        <v>Leistungswert eintragen</v>
      </c>
      <c r="U25" s="3">
        <f t="shared" si="6"/>
        <v>11.875</v>
      </c>
      <c r="V25" s="3">
        <f t="shared" si="7"/>
        <v>3.5625</v>
      </c>
      <c r="W25" s="3">
        <f t="shared" si="8"/>
        <v>15.4375</v>
      </c>
      <c r="X25" s="3" t="str">
        <f t="shared" si="9"/>
        <v/>
      </c>
    </row>
    <row r="26" spans="1:24" ht="15" customHeight="1" x14ac:dyDescent="0.2">
      <c r="A26" s="70">
        <v>5</v>
      </c>
      <c r="B26" s="84">
        <v>205</v>
      </c>
      <c r="C26" s="85" t="s">
        <v>281</v>
      </c>
      <c r="D26" s="85"/>
      <c r="E26" s="85" t="s">
        <v>208</v>
      </c>
      <c r="F26" s="85" t="s">
        <v>206</v>
      </c>
      <c r="G26" s="51">
        <v>16.14</v>
      </c>
      <c r="H26" s="51"/>
      <c r="I26" s="86"/>
      <c r="J26" s="70" t="s">
        <v>208</v>
      </c>
      <c r="K26" s="70" t="s">
        <v>142</v>
      </c>
      <c r="L26" s="31">
        <f>VLOOKUP(K26,Reinigungstage!A10:G31,7,FALSE)</f>
        <v>1</v>
      </c>
      <c r="M26" s="31">
        <f t="shared" si="0"/>
        <v>16.14</v>
      </c>
      <c r="N26" s="87">
        <f t="shared" si="1"/>
        <v>0</v>
      </c>
      <c r="O26" s="31">
        <f ca="1">IF('SVS GrundRG'!H61="",0,'SVS GrundRG'!H61)</f>
        <v>0</v>
      </c>
      <c r="P26" s="31">
        <f t="shared" si="2"/>
        <v>0</v>
      </c>
      <c r="Q26" s="31">
        <f t="shared" si="3"/>
        <v>0</v>
      </c>
      <c r="R26" s="31">
        <f t="shared" si="4"/>
        <v>0</v>
      </c>
      <c r="S26" s="3" t="str">
        <f t="shared" si="5"/>
        <v>Leistungswert eintragen</v>
      </c>
      <c r="U26" s="3">
        <f t="shared" si="6"/>
        <v>11.875</v>
      </c>
      <c r="V26" s="3">
        <f t="shared" si="7"/>
        <v>3.5625</v>
      </c>
      <c r="W26" s="3">
        <f t="shared" si="8"/>
        <v>15.4375</v>
      </c>
      <c r="X26" s="3" t="str">
        <f t="shared" si="9"/>
        <v/>
      </c>
    </row>
    <row r="27" spans="1:24" ht="15" customHeight="1" x14ac:dyDescent="0.2">
      <c r="A27" s="70">
        <v>6</v>
      </c>
      <c r="B27" s="84">
        <v>206</v>
      </c>
      <c r="C27" s="85" t="s">
        <v>281</v>
      </c>
      <c r="D27" s="85"/>
      <c r="E27" s="85" t="s">
        <v>208</v>
      </c>
      <c r="F27" s="85" t="s">
        <v>206</v>
      </c>
      <c r="G27" s="51">
        <v>21.7</v>
      </c>
      <c r="H27" s="51"/>
      <c r="I27" s="86"/>
      <c r="J27" s="70" t="s">
        <v>208</v>
      </c>
      <c r="K27" s="70" t="s">
        <v>142</v>
      </c>
      <c r="L27" s="31">
        <f>VLOOKUP(K27,Reinigungstage!A10:G31,7,FALSE)</f>
        <v>1</v>
      </c>
      <c r="M27" s="31">
        <f t="shared" si="0"/>
        <v>21.7</v>
      </c>
      <c r="N27" s="87">
        <f t="shared" si="1"/>
        <v>0</v>
      </c>
      <c r="O27" s="31">
        <f ca="1">IF('SVS GrundRG'!H61="",0,'SVS GrundRG'!H61)</f>
        <v>0</v>
      </c>
      <c r="P27" s="31">
        <f t="shared" si="2"/>
        <v>0</v>
      </c>
      <c r="Q27" s="31">
        <f t="shared" si="3"/>
        <v>0</v>
      </c>
      <c r="R27" s="31">
        <f t="shared" si="4"/>
        <v>0</v>
      </c>
      <c r="S27" s="3" t="str">
        <f t="shared" si="5"/>
        <v>Leistungswert eintragen</v>
      </c>
      <c r="U27" s="3">
        <f t="shared" si="6"/>
        <v>11.875</v>
      </c>
      <c r="V27" s="3">
        <f t="shared" si="7"/>
        <v>3.5625</v>
      </c>
      <c r="W27" s="3">
        <f t="shared" si="8"/>
        <v>15.4375</v>
      </c>
      <c r="X27" s="3" t="str">
        <f t="shared" si="9"/>
        <v/>
      </c>
    </row>
    <row r="28" spans="1:24" ht="15" customHeight="1" x14ac:dyDescent="0.2">
      <c r="A28" s="70">
        <v>7</v>
      </c>
      <c r="B28" s="84">
        <v>207</v>
      </c>
      <c r="C28" s="85" t="s">
        <v>281</v>
      </c>
      <c r="D28" s="85"/>
      <c r="E28" s="85" t="s">
        <v>208</v>
      </c>
      <c r="F28" s="85" t="s">
        <v>206</v>
      </c>
      <c r="G28" s="51">
        <v>24.24</v>
      </c>
      <c r="H28" s="51"/>
      <c r="I28" s="86"/>
      <c r="J28" s="70" t="s">
        <v>208</v>
      </c>
      <c r="K28" s="70" t="s">
        <v>142</v>
      </c>
      <c r="L28" s="31">
        <f>VLOOKUP(K28,Reinigungstage!A10:G31,7,FALSE)</f>
        <v>1</v>
      </c>
      <c r="M28" s="31">
        <f t="shared" si="0"/>
        <v>24.24</v>
      </c>
      <c r="N28" s="87">
        <f t="shared" si="1"/>
        <v>0</v>
      </c>
      <c r="O28" s="31">
        <f ca="1">IF('SVS GrundRG'!H61="",0,'SVS GrundRG'!H61)</f>
        <v>0</v>
      </c>
      <c r="P28" s="31">
        <f t="shared" si="2"/>
        <v>0</v>
      </c>
      <c r="Q28" s="31">
        <f t="shared" si="3"/>
        <v>0</v>
      </c>
      <c r="R28" s="31">
        <f t="shared" si="4"/>
        <v>0</v>
      </c>
      <c r="S28" s="3" t="str">
        <f t="shared" si="5"/>
        <v>Leistungswert eintragen</v>
      </c>
      <c r="U28" s="3">
        <f t="shared" si="6"/>
        <v>11.875</v>
      </c>
      <c r="V28" s="3">
        <f t="shared" si="7"/>
        <v>3.5625</v>
      </c>
      <c r="W28" s="3">
        <f t="shared" si="8"/>
        <v>15.4375</v>
      </c>
      <c r="X28" s="3" t="str">
        <f t="shared" si="9"/>
        <v/>
      </c>
    </row>
    <row r="29" spans="1:24" ht="15" customHeight="1" x14ac:dyDescent="0.2">
      <c r="A29" s="70">
        <v>8</v>
      </c>
      <c r="B29" s="84">
        <v>208</v>
      </c>
      <c r="C29" s="85" t="s">
        <v>281</v>
      </c>
      <c r="D29" s="85"/>
      <c r="E29" s="85" t="s">
        <v>208</v>
      </c>
      <c r="F29" s="85" t="s">
        <v>206</v>
      </c>
      <c r="G29" s="51">
        <v>13.72</v>
      </c>
      <c r="H29" s="51"/>
      <c r="I29" s="86"/>
      <c r="J29" s="70" t="s">
        <v>208</v>
      </c>
      <c r="K29" s="70" t="s">
        <v>142</v>
      </c>
      <c r="L29" s="31">
        <f>VLOOKUP(K29,Reinigungstage!A10:G31,7,FALSE)</f>
        <v>1</v>
      </c>
      <c r="M29" s="31">
        <f t="shared" si="0"/>
        <v>13.72</v>
      </c>
      <c r="N29" s="87">
        <f t="shared" si="1"/>
        <v>0</v>
      </c>
      <c r="O29" s="31">
        <f ca="1">IF('SVS GrundRG'!H61="",0,'SVS GrundRG'!H61)</f>
        <v>0</v>
      </c>
      <c r="P29" s="31">
        <f t="shared" si="2"/>
        <v>0</v>
      </c>
      <c r="Q29" s="31">
        <f t="shared" si="3"/>
        <v>0</v>
      </c>
      <c r="R29" s="31">
        <f t="shared" si="4"/>
        <v>0</v>
      </c>
      <c r="S29" s="3" t="str">
        <f t="shared" si="5"/>
        <v>Leistungswert eintragen</v>
      </c>
      <c r="U29" s="3">
        <f t="shared" si="6"/>
        <v>11.875</v>
      </c>
      <c r="V29" s="3">
        <f t="shared" si="7"/>
        <v>3.5625</v>
      </c>
      <c r="W29" s="3">
        <f t="shared" si="8"/>
        <v>15.4375</v>
      </c>
      <c r="X29" s="3" t="str">
        <f t="shared" si="9"/>
        <v/>
      </c>
    </row>
    <row r="30" spans="1:24" ht="15" customHeight="1" x14ac:dyDescent="0.2">
      <c r="A30" s="70">
        <v>9</v>
      </c>
      <c r="B30" s="84">
        <v>209</v>
      </c>
      <c r="C30" s="85" t="s">
        <v>281</v>
      </c>
      <c r="D30" s="85"/>
      <c r="E30" s="85" t="s">
        <v>282</v>
      </c>
      <c r="F30" s="85" t="s">
        <v>206</v>
      </c>
      <c r="G30" s="51">
        <v>6.5</v>
      </c>
      <c r="H30" s="51"/>
      <c r="I30" s="86"/>
      <c r="J30" s="70" t="s">
        <v>277</v>
      </c>
      <c r="K30" s="70" t="s">
        <v>142</v>
      </c>
      <c r="L30" s="31">
        <f>VLOOKUP(K30,Reinigungstage!A10:G31,7,FALSE)</f>
        <v>1</v>
      </c>
      <c r="M30" s="31">
        <f t="shared" si="0"/>
        <v>6.5</v>
      </c>
      <c r="N30" s="87">
        <f t="shared" si="1"/>
        <v>0</v>
      </c>
      <c r="O30" s="31">
        <f ca="1">IF('SVS GrundRG'!H61="",0,'SVS GrundRG'!H61)</f>
        <v>0</v>
      </c>
      <c r="P30" s="31">
        <f t="shared" si="2"/>
        <v>0</v>
      </c>
      <c r="Q30" s="31">
        <f t="shared" si="3"/>
        <v>0</v>
      </c>
      <c r="R30" s="31">
        <f t="shared" si="4"/>
        <v>0</v>
      </c>
      <c r="S30" s="3" t="str">
        <f t="shared" si="5"/>
        <v>Leistungswert eintragen</v>
      </c>
      <c r="U30" s="3">
        <f t="shared" si="6"/>
        <v>15.375</v>
      </c>
      <c r="V30" s="3">
        <f t="shared" si="7"/>
        <v>4.6124999999999998</v>
      </c>
      <c r="W30" s="3">
        <f t="shared" si="8"/>
        <v>19.987500000000001</v>
      </c>
      <c r="X30" s="3" t="str">
        <f t="shared" si="9"/>
        <v/>
      </c>
    </row>
    <row r="31" spans="1:24" ht="15" customHeight="1" x14ac:dyDescent="0.2">
      <c r="A31" s="70">
        <v>10</v>
      </c>
      <c r="B31" s="84">
        <v>210</v>
      </c>
      <c r="C31" s="85" t="s">
        <v>281</v>
      </c>
      <c r="D31" s="85"/>
      <c r="E31" s="85" t="s">
        <v>283</v>
      </c>
      <c r="F31" s="85" t="s">
        <v>206</v>
      </c>
      <c r="G31" s="51">
        <v>12.21</v>
      </c>
      <c r="H31" s="51"/>
      <c r="I31" s="86"/>
      <c r="J31" s="70" t="s">
        <v>275</v>
      </c>
      <c r="K31" s="70" t="s">
        <v>142</v>
      </c>
      <c r="L31" s="31">
        <f>VLOOKUP(K31,Reinigungstage!A10:G31,7,FALSE)</f>
        <v>1</v>
      </c>
      <c r="M31" s="31">
        <f t="shared" si="0"/>
        <v>12.21</v>
      </c>
      <c r="N31" s="87">
        <f t="shared" si="1"/>
        <v>0</v>
      </c>
      <c r="O31" s="31">
        <f ca="1">IF('SVS GrundRG'!H61="",0,'SVS GrundRG'!H61)</f>
        <v>0</v>
      </c>
      <c r="P31" s="31">
        <f t="shared" si="2"/>
        <v>0</v>
      </c>
      <c r="Q31" s="31">
        <f t="shared" si="3"/>
        <v>0</v>
      </c>
      <c r="R31" s="31">
        <f t="shared" si="4"/>
        <v>0</v>
      </c>
      <c r="S31" s="3" t="str">
        <f t="shared" si="5"/>
        <v>Leistungswert eintragen</v>
      </c>
      <c r="U31" s="3">
        <f t="shared" si="6"/>
        <v>12.75</v>
      </c>
      <c r="V31" s="3">
        <f t="shared" si="7"/>
        <v>3.8249999999999997</v>
      </c>
      <c r="W31" s="3">
        <f t="shared" si="8"/>
        <v>16.574999999999999</v>
      </c>
      <c r="X31" s="3" t="str">
        <f t="shared" si="9"/>
        <v/>
      </c>
    </row>
    <row r="32" spans="1:24" ht="15" customHeight="1" x14ac:dyDescent="0.2">
      <c r="A32" s="70">
        <v>11</v>
      </c>
      <c r="B32" s="84"/>
      <c r="C32" s="85" t="s">
        <v>204</v>
      </c>
      <c r="D32" s="85"/>
      <c r="E32" s="85" t="s">
        <v>224</v>
      </c>
      <c r="F32" s="85" t="s">
        <v>206</v>
      </c>
      <c r="G32" s="51">
        <v>20.6</v>
      </c>
      <c r="H32" s="51"/>
      <c r="I32" s="86"/>
      <c r="J32" s="70" t="s">
        <v>278</v>
      </c>
      <c r="K32" s="70" t="s">
        <v>142</v>
      </c>
      <c r="L32" s="31">
        <f>VLOOKUP(K32,Reinigungstage!A10:G31,7,FALSE)</f>
        <v>1</v>
      </c>
      <c r="M32" s="31">
        <f t="shared" si="0"/>
        <v>20.6</v>
      </c>
      <c r="N32" s="87">
        <f t="shared" si="1"/>
        <v>0</v>
      </c>
      <c r="O32" s="31">
        <f ca="1">IF('SVS GrundRG'!H61="",0,'SVS GrundRG'!H61)</f>
        <v>0</v>
      </c>
      <c r="P32" s="31">
        <f t="shared" si="2"/>
        <v>0</v>
      </c>
      <c r="Q32" s="31">
        <f t="shared" si="3"/>
        <v>0</v>
      </c>
      <c r="R32" s="31">
        <f t="shared" si="4"/>
        <v>0</v>
      </c>
      <c r="S32" s="3" t="str">
        <f t="shared" si="5"/>
        <v>Leistungswert eintragen</v>
      </c>
      <c r="U32" s="3">
        <f t="shared" si="6"/>
        <v>16.25</v>
      </c>
      <c r="V32" s="3">
        <f t="shared" si="7"/>
        <v>4.875</v>
      </c>
      <c r="W32" s="3">
        <f t="shared" si="8"/>
        <v>21.125</v>
      </c>
      <c r="X32" s="3" t="str">
        <f t="shared" si="9"/>
        <v/>
      </c>
    </row>
    <row r="33" spans="1:24" ht="15" customHeight="1" x14ac:dyDescent="0.2">
      <c r="A33" s="70">
        <v>12</v>
      </c>
      <c r="B33" s="84"/>
      <c r="C33" s="85" t="s">
        <v>281</v>
      </c>
      <c r="D33" s="85"/>
      <c r="E33" s="85" t="s">
        <v>225</v>
      </c>
      <c r="F33" s="85" t="s">
        <v>206</v>
      </c>
      <c r="G33" s="51">
        <v>22.79</v>
      </c>
      <c r="H33" s="51"/>
      <c r="I33" s="86"/>
      <c r="J33" s="70" t="s">
        <v>279</v>
      </c>
      <c r="K33" s="70" t="s">
        <v>142</v>
      </c>
      <c r="L33" s="31">
        <f>VLOOKUP(K33,Reinigungstage!A10:G31,7,FALSE)</f>
        <v>1</v>
      </c>
      <c r="M33" s="31">
        <f t="shared" si="0"/>
        <v>22.79</v>
      </c>
      <c r="N33" s="87">
        <f t="shared" si="1"/>
        <v>0</v>
      </c>
      <c r="O33" s="31">
        <f ca="1">IF('SVS GrundRG'!H61="",0,'SVS GrundRG'!H61)</f>
        <v>0</v>
      </c>
      <c r="P33" s="31">
        <f t="shared" si="2"/>
        <v>0</v>
      </c>
      <c r="Q33" s="31">
        <f t="shared" si="3"/>
        <v>0</v>
      </c>
      <c r="R33" s="31">
        <f t="shared" si="4"/>
        <v>0</v>
      </c>
      <c r="S33" s="3" t="str">
        <f t="shared" si="5"/>
        <v>Leistungswert eintragen</v>
      </c>
      <c r="U33" s="3">
        <f t="shared" si="6"/>
        <v>15.375</v>
      </c>
      <c r="V33" s="3">
        <f t="shared" si="7"/>
        <v>4.6124999999999998</v>
      </c>
      <c r="W33" s="3">
        <f t="shared" si="8"/>
        <v>19.987500000000001</v>
      </c>
      <c r="X33" s="3" t="str">
        <f t="shared" si="9"/>
        <v/>
      </c>
    </row>
    <row r="34" spans="1:24" ht="15" customHeight="1" x14ac:dyDescent="0.2">
      <c r="A34" s="70">
        <v>13</v>
      </c>
      <c r="B34" s="84">
        <v>101</v>
      </c>
      <c r="C34" s="85" t="s">
        <v>284</v>
      </c>
      <c r="D34" s="85"/>
      <c r="E34" s="85" t="s">
        <v>285</v>
      </c>
      <c r="F34" s="85" t="s">
        <v>286</v>
      </c>
      <c r="G34" s="51">
        <v>19.03</v>
      </c>
      <c r="H34" s="51"/>
      <c r="I34" s="86"/>
      <c r="J34" s="70" t="s">
        <v>208</v>
      </c>
      <c r="K34" s="70" t="s">
        <v>142</v>
      </c>
      <c r="L34" s="31">
        <f>VLOOKUP(K34,Reinigungstage!A10:G31,7,FALSE)</f>
        <v>1</v>
      </c>
      <c r="M34" s="31">
        <f t="shared" si="0"/>
        <v>19.03</v>
      </c>
      <c r="N34" s="87">
        <f t="shared" si="1"/>
        <v>0</v>
      </c>
      <c r="O34" s="31">
        <f ca="1">IF('SVS GrundRG'!H61="",0,'SVS GrundRG'!H61)</f>
        <v>0</v>
      </c>
      <c r="P34" s="31">
        <f t="shared" si="2"/>
        <v>0</v>
      </c>
      <c r="Q34" s="31">
        <f t="shared" si="3"/>
        <v>0</v>
      </c>
      <c r="R34" s="31">
        <f t="shared" si="4"/>
        <v>0</v>
      </c>
      <c r="S34" s="3" t="str">
        <f t="shared" si="5"/>
        <v>Leistungswert eintragen</v>
      </c>
      <c r="U34" s="3">
        <f t="shared" si="6"/>
        <v>11.875</v>
      </c>
      <c r="V34" s="3">
        <f t="shared" si="7"/>
        <v>3.5625</v>
      </c>
      <c r="W34" s="3">
        <f t="shared" si="8"/>
        <v>15.4375</v>
      </c>
      <c r="X34" s="3" t="str">
        <f t="shared" si="9"/>
        <v/>
      </c>
    </row>
    <row r="35" spans="1:24" ht="15" customHeight="1" x14ac:dyDescent="0.2">
      <c r="A35" s="70">
        <v>14</v>
      </c>
      <c r="B35" s="84">
        <v>102</v>
      </c>
      <c r="C35" s="85" t="s">
        <v>284</v>
      </c>
      <c r="D35" s="85"/>
      <c r="E35" s="85" t="s">
        <v>287</v>
      </c>
      <c r="F35" s="85" t="s">
        <v>286</v>
      </c>
      <c r="G35" s="51">
        <v>32.53</v>
      </c>
      <c r="H35" s="51"/>
      <c r="I35" s="86"/>
      <c r="J35" s="70" t="s">
        <v>208</v>
      </c>
      <c r="K35" s="70" t="s">
        <v>142</v>
      </c>
      <c r="L35" s="31">
        <f>VLOOKUP(K35,Reinigungstage!A10:G31,7,FALSE)</f>
        <v>1</v>
      </c>
      <c r="M35" s="31">
        <f t="shared" si="0"/>
        <v>32.53</v>
      </c>
      <c r="N35" s="87">
        <f t="shared" si="1"/>
        <v>0</v>
      </c>
      <c r="O35" s="31">
        <f ca="1">IF('SVS GrundRG'!H61="",0,'SVS GrundRG'!H61)</f>
        <v>0</v>
      </c>
      <c r="P35" s="31">
        <f t="shared" si="2"/>
        <v>0</v>
      </c>
      <c r="Q35" s="31">
        <f t="shared" si="3"/>
        <v>0</v>
      </c>
      <c r="R35" s="31">
        <f t="shared" si="4"/>
        <v>0</v>
      </c>
      <c r="S35" s="3" t="str">
        <f t="shared" si="5"/>
        <v>Leistungswert eintragen</v>
      </c>
      <c r="U35" s="3">
        <f t="shared" si="6"/>
        <v>11.875</v>
      </c>
      <c r="V35" s="3">
        <f t="shared" si="7"/>
        <v>3.5625</v>
      </c>
      <c r="W35" s="3">
        <f t="shared" si="8"/>
        <v>15.4375</v>
      </c>
      <c r="X35" s="3" t="str">
        <f t="shared" si="9"/>
        <v/>
      </c>
    </row>
    <row r="36" spans="1:24" ht="15" customHeight="1" x14ac:dyDescent="0.2">
      <c r="A36" s="70">
        <v>15</v>
      </c>
      <c r="B36" s="84">
        <v>103</v>
      </c>
      <c r="C36" s="85" t="s">
        <v>284</v>
      </c>
      <c r="D36" s="85"/>
      <c r="E36" s="85" t="s">
        <v>288</v>
      </c>
      <c r="F36" s="85" t="s">
        <v>286</v>
      </c>
      <c r="G36" s="51">
        <v>50.03</v>
      </c>
      <c r="H36" s="51"/>
      <c r="I36" s="86"/>
      <c r="J36" s="70" t="s">
        <v>275</v>
      </c>
      <c r="K36" s="70" t="s">
        <v>142</v>
      </c>
      <c r="L36" s="31">
        <f>VLOOKUP(K36,Reinigungstage!A10:G31,7,FALSE)</f>
        <v>1</v>
      </c>
      <c r="M36" s="31">
        <f t="shared" si="0"/>
        <v>50.03</v>
      </c>
      <c r="N36" s="87">
        <f t="shared" si="1"/>
        <v>0</v>
      </c>
      <c r="O36" s="31">
        <f ca="1">IF('SVS GrundRG'!H61="",0,'SVS GrundRG'!H61)</f>
        <v>0</v>
      </c>
      <c r="P36" s="31">
        <f t="shared" si="2"/>
        <v>0</v>
      </c>
      <c r="Q36" s="31">
        <f t="shared" si="3"/>
        <v>0</v>
      </c>
      <c r="R36" s="31">
        <f t="shared" si="4"/>
        <v>0</v>
      </c>
      <c r="S36" s="3" t="str">
        <f t="shared" si="5"/>
        <v>Leistungswert eintragen</v>
      </c>
      <c r="U36" s="3">
        <f t="shared" si="6"/>
        <v>12.75</v>
      </c>
      <c r="V36" s="3">
        <f t="shared" si="7"/>
        <v>3.8249999999999997</v>
      </c>
      <c r="W36" s="3">
        <f t="shared" si="8"/>
        <v>16.574999999999999</v>
      </c>
      <c r="X36" s="3" t="str">
        <f t="shared" si="9"/>
        <v/>
      </c>
    </row>
    <row r="37" spans="1:24" ht="15" customHeight="1" x14ac:dyDescent="0.2">
      <c r="A37" s="70">
        <v>16</v>
      </c>
      <c r="B37" s="84">
        <v>104</v>
      </c>
      <c r="C37" s="85" t="s">
        <v>284</v>
      </c>
      <c r="D37" s="85"/>
      <c r="E37" s="85" t="s">
        <v>208</v>
      </c>
      <c r="F37" s="85" t="s">
        <v>206</v>
      </c>
      <c r="G37" s="51">
        <v>12.53</v>
      </c>
      <c r="H37" s="51"/>
      <c r="I37" s="86"/>
      <c r="J37" s="70" t="s">
        <v>208</v>
      </c>
      <c r="K37" s="70" t="s">
        <v>142</v>
      </c>
      <c r="L37" s="31">
        <f>VLOOKUP(K37,Reinigungstage!A10:G31,7,FALSE)</f>
        <v>1</v>
      </c>
      <c r="M37" s="31">
        <f t="shared" si="0"/>
        <v>12.53</v>
      </c>
      <c r="N37" s="87">
        <f t="shared" si="1"/>
        <v>0</v>
      </c>
      <c r="O37" s="31">
        <f ca="1">IF('SVS GrundRG'!H61="",0,'SVS GrundRG'!H61)</f>
        <v>0</v>
      </c>
      <c r="P37" s="31">
        <f t="shared" si="2"/>
        <v>0</v>
      </c>
      <c r="Q37" s="31">
        <f t="shared" si="3"/>
        <v>0</v>
      </c>
      <c r="R37" s="31">
        <f t="shared" si="4"/>
        <v>0</v>
      </c>
      <c r="S37" s="3" t="str">
        <f t="shared" si="5"/>
        <v>Leistungswert eintragen</v>
      </c>
      <c r="U37" s="3">
        <f t="shared" si="6"/>
        <v>11.875</v>
      </c>
      <c r="V37" s="3">
        <f t="shared" si="7"/>
        <v>3.5625</v>
      </c>
      <c r="W37" s="3">
        <f t="shared" si="8"/>
        <v>15.4375</v>
      </c>
      <c r="X37" s="3" t="str">
        <f t="shared" si="9"/>
        <v/>
      </c>
    </row>
    <row r="38" spans="1:24" ht="15" customHeight="1" x14ac:dyDescent="0.2">
      <c r="A38" s="70">
        <v>17</v>
      </c>
      <c r="B38" s="84">
        <v>105</v>
      </c>
      <c r="C38" s="85" t="s">
        <v>284</v>
      </c>
      <c r="D38" s="85"/>
      <c r="E38" s="85" t="s">
        <v>208</v>
      </c>
      <c r="F38" s="85" t="s">
        <v>206</v>
      </c>
      <c r="G38" s="51">
        <v>23.37</v>
      </c>
      <c r="H38" s="51"/>
      <c r="I38" s="86"/>
      <c r="J38" s="70" t="s">
        <v>208</v>
      </c>
      <c r="K38" s="70" t="s">
        <v>142</v>
      </c>
      <c r="L38" s="31">
        <f>VLOOKUP(K38,Reinigungstage!A10:G31,7,FALSE)</f>
        <v>1</v>
      </c>
      <c r="M38" s="31">
        <f t="shared" si="0"/>
        <v>23.37</v>
      </c>
      <c r="N38" s="87">
        <f t="shared" si="1"/>
        <v>0</v>
      </c>
      <c r="O38" s="31">
        <f ca="1">IF('SVS GrundRG'!H61="",0,'SVS GrundRG'!H61)</f>
        <v>0</v>
      </c>
      <c r="P38" s="31">
        <f t="shared" si="2"/>
        <v>0</v>
      </c>
      <c r="Q38" s="31">
        <f t="shared" si="3"/>
        <v>0</v>
      </c>
      <c r="R38" s="31">
        <f t="shared" si="4"/>
        <v>0</v>
      </c>
      <c r="S38" s="3" t="str">
        <f t="shared" si="5"/>
        <v>Leistungswert eintragen</v>
      </c>
      <c r="U38" s="3">
        <f t="shared" si="6"/>
        <v>11.875</v>
      </c>
      <c r="V38" s="3">
        <f t="shared" si="7"/>
        <v>3.5625</v>
      </c>
      <c r="W38" s="3">
        <f t="shared" si="8"/>
        <v>15.4375</v>
      </c>
      <c r="X38" s="3" t="str">
        <f t="shared" si="9"/>
        <v/>
      </c>
    </row>
    <row r="39" spans="1:24" ht="15" customHeight="1" x14ac:dyDescent="0.2">
      <c r="A39" s="70">
        <v>18</v>
      </c>
      <c r="B39" s="84">
        <v>106</v>
      </c>
      <c r="C39" s="85" t="s">
        <v>284</v>
      </c>
      <c r="D39" s="85"/>
      <c r="E39" s="85" t="s">
        <v>208</v>
      </c>
      <c r="F39" s="85" t="s">
        <v>206</v>
      </c>
      <c r="G39" s="51">
        <v>19.05</v>
      </c>
      <c r="H39" s="51"/>
      <c r="I39" s="86"/>
      <c r="J39" s="70" t="s">
        <v>208</v>
      </c>
      <c r="K39" s="70" t="s">
        <v>142</v>
      </c>
      <c r="L39" s="31">
        <f>VLOOKUP(K39,Reinigungstage!A10:G31,7,FALSE)</f>
        <v>1</v>
      </c>
      <c r="M39" s="31">
        <f t="shared" si="0"/>
        <v>19.05</v>
      </c>
      <c r="N39" s="87">
        <f t="shared" si="1"/>
        <v>0</v>
      </c>
      <c r="O39" s="31">
        <f ca="1">IF('SVS GrundRG'!H61="",0,'SVS GrundRG'!H61)</f>
        <v>0</v>
      </c>
      <c r="P39" s="31">
        <f t="shared" si="2"/>
        <v>0</v>
      </c>
      <c r="Q39" s="31">
        <f t="shared" si="3"/>
        <v>0</v>
      </c>
      <c r="R39" s="31">
        <f t="shared" si="4"/>
        <v>0</v>
      </c>
      <c r="S39" s="3" t="str">
        <f t="shared" si="5"/>
        <v>Leistungswert eintragen</v>
      </c>
      <c r="U39" s="3">
        <f t="shared" si="6"/>
        <v>11.875</v>
      </c>
      <c r="V39" s="3">
        <f t="shared" si="7"/>
        <v>3.5625</v>
      </c>
      <c r="W39" s="3">
        <f t="shared" si="8"/>
        <v>15.4375</v>
      </c>
      <c r="X39" s="3" t="str">
        <f t="shared" si="9"/>
        <v/>
      </c>
    </row>
    <row r="40" spans="1:24" ht="15" customHeight="1" x14ac:dyDescent="0.2">
      <c r="A40" s="70">
        <v>19</v>
      </c>
      <c r="B40" s="84">
        <v>107</v>
      </c>
      <c r="C40" s="85" t="s">
        <v>284</v>
      </c>
      <c r="D40" s="85"/>
      <c r="E40" s="85" t="s">
        <v>289</v>
      </c>
      <c r="F40" s="85" t="s">
        <v>217</v>
      </c>
      <c r="G40" s="51">
        <v>11.38</v>
      </c>
      <c r="H40" s="51"/>
      <c r="I40" s="86"/>
      <c r="J40" s="70" t="s">
        <v>276</v>
      </c>
      <c r="K40" s="70" t="s">
        <v>142</v>
      </c>
      <c r="L40" s="31">
        <f>VLOOKUP(K40,Reinigungstage!A10:G31,7,FALSE)</f>
        <v>1</v>
      </c>
      <c r="M40" s="31">
        <f t="shared" si="0"/>
        <v>11.38</v>
      </c>
      <c r="N40" s="87">
        <f t="shared" si="1"/>
        <v>0</v>
      </c>
      <c r="O40" s="31">
        <f ca="1">IF('SVS GrundRG'!H61="",0,'SVS GrundRG'!H61)</f>
        <v>0</v>
      </c>
      <c r="P40" s="31">
        <f t="shared" si="2"/>
        <v>0</v>
      </c>
      <c r="Q40" s="31">
        <f t="shared" si="3"/>
        <v>0</v>
      </c>
      <c r="R40" s="31">
        <f t="shared" si="4"/>
        <v>0</v>
      </c>
      <c r="S40" s="3" t="str">
        <f t="shared" si="5"/>
        <v>Leistungswert eintragen</v>
      </c>
      <c r="U40" s="3">
        <f t="shared" si="6"/>
        <v>10.25</v>
      </c>
      <c r="V40" s="3">
        <f t="shared" si="7"/>
        <v>3.0749999999999997</v>
      </c>
      <c r="W40" s="3">
        <f t="shared" si="8"/>
        <v>13.324999999999999</v>
      </c>
      <c r="X40" s="3" t="str">
        <f t="shared" si="9"/>
        <v/>
      </c>
    </row>
    <row r="41" spans="1:24" ht="15" customHeight="1" x14ac:dyDescent="0.2">
      <c r="A41" s="70">
        <v>20</v>
      </c>
      <c r="B41" s="84">
        <v>108</v>
      </c>
      <c r="C41" s="85" t="s">
        <v>284</v>
      </c>
      <c r="D41" s="85"/>
      <c r="E41" s="85" t="s">
        <v>289</v>
      </c>
      <c r="F41" s="85" t="s">
        <v>217</v>
      </c>
      <c r="G41" s="51">
        <v>6.47</v>
      </c>
      <c r="H41" s="51"/>
      <c r="I41" s="86"/>
      <c r="J41" s="70" t="s">
        <v>276</v>
      </c>
      <c r="K41" s="70" t="s">
        <v>142</v>
      </c>
      <c r="L41" s="31">
        <f>VLOOKUP(K41,Reinigungstage!A10:G31,7,FALSE)</f>
        <v>1</v>
      </c>
      <c r="M41" s="31">
        <f t="shared" si="0"/>
        <v>6.47</v>
      </c>
      <c r="N41" s="87">
        <f t="shared" si="1"/>
        <v>0</v>
      </c>
      <c r="O41" s="31">
        <f ca="1">IF('SVS GrundRG'!H61="",0,'SVS GrundRG'!H61)</f>
        <v>0</v>
      </c>
      <c r="P41" s="31">
        <f t="shared" si="2"/>
        <v>0</v>
      </c>
      <c r="Q41" s="31">
        <f t="shared" si="3"/>
        <v>0</v>
      </c>
      <c r="R41" s="31">
        <f t="shared" si="4"/>
        <v>0</v>
      </c>
      <c r="S41" s="3" t="str">
        <f t="shared" si="5"/>
        <v>Leistungswert eintragen</v>
      </c>
      <c r="U41" s="3">
        <f t="shared" si="6"/>
        <v>10.25</v>
      </c>
      <c r="V41" s="3">
        <f t="shared" si="7"/>
        <v>3.0749999999999997</v>
      </c>
      <c r="W41" s="3">
        <f t="shared" si="8"/>
        <v>13.324999999999999</v>
      </c>
      <c r="X41" s="3" t="str">
        <f t="shared" si="9"/>
        <v/>
      </c>
    </row>
    <row r="42" spans="1:24" ht="15" customHeight="1" x14ac:dyDescent="0.2">
      <c r="A42" s="70">
        <v>21</v>
      </c>
      <c r="B42" s="84">
        <v>109</v>
      </c>
      <c r="C42" s="85" t="s">
        <v>284</v>
      </c>
      <c r="D42" s="85"/>
      <c r="E42" s="85" t="s">
        <v>282</v>
      </c>
      <c r="F42" s="85" t="s">
        <v>206</v>
      </c>
      <c r="G42" s="51">
        <v>2.5099999999999998</v>
      </c>
      <c r="H42" s="51"/>
      <c r="I42" s="86"/>
      <c r="J42" s="70" t="s">
        <v>277</v>
      </c>
      <c r="K42" s="70" t="s">
        <v>142</v>
      </c>
      <c r="L42" s="31">
        <f>VLOOKUP(K42,Reinigungstage!A10:G31,7,FALSE)</f>
        <v>1</v>
      </c>
      <c r="M42" s="31">
        <f t="shared" si="0"/>
        <v>2.5099999999999998</v>
      </c>
      <c r="N42" s="87">
        <f t="shared" si="1"/>
        <v>0</v>
      </c>
      <c r="O42" s="31">
        <f ca="1">IF('SVS GrundRG'!H61="",0,'SVS GrundRG'!H61)</f>
        <v>0</v>
      </c>
      <c r="P42" s="31">
        <f t="shared" si="2"/>
        <v>0</v>
      </c>
      <c r="Q42" s="31">
        <f t="shared" si="3"/>
        <v>0</v>
      </c>
      <c r="R42" s="31">
        <f t="shared" si="4"/>
        <v>0</v>
      </c>
      <c r="S42" s="3" t="str">
        <f t="shared" si="5"/>
        <v>Leistungswert eintragen</v>
      </c>
      <c r="U42" s="3">
        <f t="shared" si="6"/>
        <v>15.375</v>
      </c>
      <c r="V42" s="3">
        <f t="shared" si="7"/>
        <v>4.6124999999999998</v>
      </c>
      <c r="W42" s="3">
        <f t="shared" si="8"/>
        <v>19.987500000000001</v>
      </c>
      <c r="X42" s="3" t="str">
        <f t="shared" si="9"/>
        <v/>
      </c>
    </row>
    <row r="43" spans="1:24" ht="15" customHeight="1" x14ac:dyDescent="0.2">
      <c r="A43" s="70">
        <v>22</v>
      </c>
      <c r="B43" s="84"/>
      <c r="C43" s="85" t="s">
        <v>284</v>
      </c>
      <c r="D43" s="85"/>
      <c r="E43" s="85" t="s">
        <v>224</v>
      </c>
      <c r="F43" s="85" t="s">
        <v>206</v>
      </c>
      <c r="G43" s="51">
        <v>23.66</v>
      </c>
      <c r="H43" s="51"/>
      <c r="I43" s="86"/>
      <c r="J43" s="70" t="s">
        <v>278</v>
      </c>
      <c r="K43" s="70" t="s">
        <v>142</v>
      </c>
      <c r="L43" s="31">
        <f>VLOOKUP(K43,Reinigungstage!A10:G31,7,FALSE)</f>
        <v>1</v>
      </c>
      <c r="M43" s="31">
        <f t="shared" si="0"/>
        <v>23.66</v>
      </c>
      <c r="N43" s="87">
        <f t="shared" si="1"/>
        <v>0</v>
      </c>
      <c r="O43" s="31">
        <f ca="1">IF('SVS GrundRG'!H61="",0,'SVS GrundRG'!H61)</f>
        <v>0</v>
      </c>
      <c r="P43" s="31">
        <f t="shared" si="2"/>
        <v>0</v>
      </c>
      <c r="Q43" s="31">
        <f t="shared" si="3"/>
        <v>0</v>
      </c>
      <c r="R43" s="31">
        <f t="shared" si="4"/>
        <v>0</v>
      </c>
      <c r="S43" s="3" t="str">
        <f t="shared" si="5"/>
        <v>Leistungswert eintragen</v>
      </c>
      <c r="U43" s="3">
        <f t="shared" si="6"/>
        <v>16.25</v>
      </c>
      <c r="V43" s="3">
        <f t="shared" si="7"/>
        <v>4.875</v>
      </c>
      <c r="W43" s="3">
        <f t="shared" si="8"/>
        <v>21.125</v>
      </c>
      <c r="X43" s="3" t="str">
        <f t="shared" si="9"/>
        <v/>
      </c>
    </row>
    <row r="44" spans="1:24" ht="15" customHeight="1" x14ac:dyDescent="0.2">
      <c r="A44" s="70">
        <v>23</v>
      </c>
      <c r="B44" s="84"/>
      <c r="C44" s="85" t="s">
        <v>284</v>
      </c>
      <c r="D44" s="85"/>
      <c r="E44" s="85" t="s">
        <v>225</v>
      </c>
      <c r="F44" s="85" t="s">
        <v>206</v>
      </c>
      <c r="G44" s="51">
        <v>22.79</v>
      </c>
      <c r="H44" s="51"/>
      <c r="I44" s="86"/>
      <c r="J44" s="70" t="s">
        <v>279</v>
      </c>
      <c r="K44" s="70" t="s">
        <v>142</v>
      </c>
      <c r="L44" s="31">
        <f>VLOOKUP(K44,Reinigungstage!A10:G31,7,FALSE)</f>
        <v>1</v>
      </c>
      <c r="M44" s="31">
        <f t="shared" si="0"/>
        <v>22.79</v>
      </c>
      <c r="N44" s="87">
        <f t="shared" si="1"/>
        <v>0</v>
      </c>
      <c r="O44" s="31">
        <f ca="1">IF('SVS GrundRG'!H61="",0,'SVS GrundRG'!H61)</f>
        <v>0</v>
      </c>
      <c r="P44" s="31">
        <f t="shared" si="2"/>
        <v>0</v>
      </c>
      <c r="Q44" s="31">
        <f t="shared" si="3"/>
        <v>0</v>
      </c>
      <c r="R44" s="31">
        <f t="shared" si="4"/>
        <v>0</v>
      </c>
      <c r="S44" s="3" t="str">
        <f t="shared" si="5"/>
        <v>Leistungswert eintragen</v>
      </c>
      <c r="U44" s="3">
        <f t="shared" si="6"/>
        <v>15.375</v>
      </c>
      <c r="V44" s="3">
        <f t="shared" si="7"/>
        <v>4.6124999999999998</v>
      </c>
      <c r="W44" s="3">
        <f t="shared" si="8"/>
        <v>19.987500000000001</v>
      </c>
      <c r="X44" s="3" t="str">
        <f t="shared" si="9"/>
        <v/>
      </c>
    </row>
    <row r="45" spans="1:24" ht="15" customHeight="1" x14ac:dyDescent="0.2">
      <c r="A45" s="70">
        <v>24</v>
      </c>
      <c r="B45" s="84">
        <v>1</v>
      </c>
      <c r="C45" s="85" t="s">
        <v>252</v>
      </c>
      <c r="D45" s="85"/>
      <c r="E45" s="85" t="s">
        <v>290</v>
      </c>
      <c r="F45" s="85" t="s">
        <v>206</v>
      </c>
      <c r="G45" s="51">
        <v>15.66</v>
      </c>
      <c r="H45" s="51"/>
      <c r="I45" s="86"/>
      <c r="J45" s="70" t="s">
        <v>208</v>
      </c>
      <c r="K45" s="70" t="s">
        <v>142</v>
      </c>
      <c r="L45" s="31">
        <f>VLOOKUP(K45,Reinigungstage!A10:G31,7,FALSE)</f>
        <v>1</v>
      </c>
      <c r="M45" s="31">
        <f t="shared" si="0"/>
        <v>15.66</v>
      </c>
      <c r="N45" s="87">
        <f t="shared" si="1"/>
        <v>0</v>
      </c>
      <c r="O45" s="31">
        <f ca="1">IF('SVS GrundRG'!H61="",0,'SVS GrundRG'!H61)</f>
        <v>0</v>
      </c>
      <c r="P45" s="31">
        <f t="shared" si="2"/>
        <v>0</v>
      </c>
      <c r="Q45" s="31">
        <f t="shared" si="3"/>
        <v>0</v>
      </c>
      <c r="R45" s="31">
        <f t="shared" si="4"/>
        <v>0</v>
      </c>
      <c r="S45" s="3" t="str">
        <f t="shared" si="5"/>
        <v>Leistungswert eintragen</v>
      </c>
      <c r="U45" s="3">
        <f t="shared" si="6"/>
        <v>11.875</v>
      </c>
      <c r="V45" s="3">
        <f t="shared" si="7"/>
        <v>3.5625</v>
      </c>
      <c r="W45" s="3">
        <f t="shared" si="8"/>
        <v>15.4375</v>
      </c>
      <c r="X45" s="3" t="str">
        <f t="shared" si="9"/>
        <v/>
      </c>
    </row>
    <row r="46" spans="1:24" ht="15" customHeight="1" x14ac:dyDescent="0.2">
      <c r="A46" s="70">
        <v>25</v>
      </c>
      <c r="B46" s="84">
        <v>2</v>
      </c>
      <c r="C46" s="85" t="s">
        <v>252</v>
      </c>
      <c r="D46" s="85"/>
      <c r="E46" s="85" t="s">
        <v>291</v>
      </c>
      <c r="F46" s="85" t="s">
        <v>286</v>
      </c>
      <c r="G46" s="51">
        <v>32.53</v>
      </c>
      <c r="H46" s="51"/>
      <c r="I46" s="86"/>
      <c r="J46" s="70" t="s">
        <v>208</v>
      </c>
      <c r="K46" s="70" t="s">
        <v>142</v>
      </c>
      <c r="L46" s="31">
        <f>VLOOKUP(K46,Reinigungstage!A10:G31,7,FALSE)</f>
        <v>1</v>
      </c>
      <c r="M46" s="31">
        <f t="shared" si="0"/>
        <v>32.53</v>
      </c>
      <c r="N46" s="87">
        <f t="shared" si="1"/>
        <v>0</v>
      </c>
      <c r="O46" s="31">
        <f ca="1">IF('SVS GrundRG'!H61="",0,'SVS GrundRG'!H61)</f>
        <v>0</v>
      </c>
      <c r="P46" s="31">
        <f t="shared" si="2"/>
        <v>0</v>
      </c>
      <c r="Q46" s="31">
        <f t="shared" si="3"/>
        <v>0</v>
      </c>
      <c r="R46" s="31">
        <f t="shared" si="4"/>
        <v>0</v>
      </c>
      <c r="S46" s="3" t="str">
        <f t="shared" si="5"/>
        <v>Leistungswert eintragen</v>
      </c>
      <c r="U46" s="3">
        <f t="shared" si="6"/>
        <v>11.875</v>
      </c>
      <c r="V46" s="3">
        <f t="shared" si="7"/>
        <v>3.5625</v>
      </c>
      <c r="W46" s="3">
        <f t="shared" si="8"/>
        <v>15.4375</v>
      </c>
      <c r="X46" s="3" t="str">
        <f t="shared" si="9"/>
        <v/>
      </c>
    </row>
    <row r="47" spans="1:24" ht="15" customHeight="1" x14ac:dyDescent="0.2">
      <c r="A47" s="70">
        <v>26</v>
      </c>
      <c r="B47" s="84">
        <v>3</v>
      </c>
      <c r="C47" s="85" t="s">
        <v>252</v>
      </c>
      <c r="D47" s="85"/>
      <c r="E47" s="85" t="s">
        <v>208</v>
      </c>
      <c r="F47" s="85" t="s">
        <v>206</v>
      </c>
      <c r="G47" s="51">
        <v>24.92</v>
      </c>
      <c r="H47" s="51"/>
      <c r="I47" s="86"/>
      <c r="J47" s="70" t="s">
        <v>208</v>
      </c>
      <c r="K47" s="70" t="s">
        <v>142</v>
      </c>
      <c r="L47" s="31">
        <f>VLOOKUP(K47,Reinigungstage!A10:G31,7,FALSE)</f>
        <v>1</v>
      </c>
      <c r="M47" s="31">
        <f t="shared" si="0"/>
        <v>24.92</v>
      </c>
      <c r="N47" s="87">
        <f t="shared" si="1"/>
        <v>0</v>
      </c>
      <c r="O47" s="31">
        <f ca="1">IF('SVS GrundRG'!H61="",0,'SVS GrundRG'!H61)</f>
        <v>0</v>
      </c>
      <c r="P47" s="31">
        <f t="shared" si="2"/>
        <v>0</v>
      </c>
      <c r="Q47" s="31">
        <f t="shared" si="3"/>
        <v>0</v>
      </c>
      <c r="R47" s="31">
        <f t="shared" si="4"/>
        <v>0</v>
      </c>
      <c r="S47" s="3" t="str">
        <f t="shared" si="5"/>
        <v>Leistungswert eintragen</v>
      </c>
      <c r="U47" s="3">
        <f t="shared" si="6"/>
        <v>11.875</v>
      </c>
      <c r="V47" s="3">
        <f t="shared" si="7"/>
        <v>3.5625</v>
      </c>
      <c r="W47" s="3">
        <f t="shared" si="8"/>
        <v>15.4375</v>
      </c>
      <c r="X47" s="3" t="str">
        <f t="shared" si="9"/>
        <v/>
      </c>
    </row>
    <row r="48" spans="1:24" ht="15" customHeight="1" x14ac:dyDescent="0.2">
      <c r="A48" s="70">
        <v>27</v>
      </c>
      <c r="B48" s="84"/>
      <c r="C48" s="85" t="s">
        <v>252</v>
      </c>
      <c r="D48" s="85"/>
      <c r="E48" s="85" t="s">
        <v>292</v>
      </c>
      <c r="F48" s="85" t="s">
        <v>206</v>
      </c>
      <c r="G48" s="51">
        <v>8.85</v>
      </c>
      <c r="H48" s="51"/>
      <c r="I48" s="86"/>
      <c r="J48" s="70" t="s">
        <v>278</v>
      </c>
      <c r="K48" s="70" t="s">
        <v>142</v>
      </c>
      <c r="L48" s="31">
        <f>VLOOKUP(K48,Reinigungstage!A10:G31,7,FALSE)</f>
        <v>1</v>
      </c>
      <c r="M48" s="31">
        <f t="shared" si="0"/>
        <v>8.85</v>
      </c>
      <c r="N48" s="87">
        <f t="shared" si="1"/>
        <v>0</v>
      </c>
      <c r="O48" s="31">
        <f ca="1">IF('SVS GrundRG'!H61="",0,'SVS GrundRG'!H61)</f>
        <v>0</v>
      </c>
      <c r="P48" s="31">
        <f t="shared" si="2"/>
        <v>0</v>
      </c>
      <c r="Q48" s="31">
        <f t="shared" si="3"/>
        <v>0</v>
      </c>
      <c r="R48" s="31">
        <f t="shared" si="4"/>
        <v>0</v>
      </c>
      <c r="S48" s="3" t="str">
        <f t="shared" si="5"/>
        <v>Leistungswert eintragen</v>
      </c>
      <c r="U48" s="3">
        <f t="shared" si="6"/>
        <v>16.25</v>
      </c>
      <c r="V48" s="3">
        <f t="shared" si="7"/>
        <v>4.875</v>
      </c>
      <c r="W48" s="3">
        <f t="shared" si="8"/>
        <v>21.125</v>
      </c>
      <c r="X48" s="3" t="str">
        <f t="shared" si="9"/>
        <v/>
      </c>
    </row>
    <row r="49" spans="1:24" ht="15" customHeight="1" x14ac:dyDescent="0.2">
      <c r="A49" s="70">
        <v>28</v>
      </c>
      <c r="B49" s="84">
        <v>4</v>
      </c>
      <c r="C49" s="85" t="s">
        <v>252</v>
      </c>
      <c r="D49" s="85"/>
      <c r="E49" s="85" t="s">
        <v>208</v>
      </c>
      <c r="F49" s="85" t="s">
        <v>206</v>
      </c>
      <c r="G49" s="51">
        <v>24.2</v>
      </c>
      <c r="H49" s="51"/>
      <c r="I49" s="86"/>
      <c r="J49" s="70" t="s">
        <v>208</v>
      </c>
      <c r="K49" s="70" t="s">
        <v>142</v>
      </c>
      <c r="L49" s="31">
        <f>VLOOKUP(K49,Reinigungstage!A10:G31,7,FALSE)</f>
        <v>1</v>
      </c>
      <c r="M49" s="31">
        <f t="shared" si="0"/>
        <v>24.2</v>
      </c>
      <c r="N49" s="87">
        <f t="shared" si="1"/>
        <v>0</v>
      </c>
      <c r="O49" s="31">
        <f ca="1">IF('SVS GrundRG'!H61="",0,'SVS GrundRG'!H61)</f>
        <v>0</v>
      </c>
      <c r="P49" s="31">
        <f t="shared" si="2"/>
        <v>0</v>
      </c>
      <c r="Q49" s="31">
        <f t="shared" si="3"/>
        <v>0</v>
      </c>
      <c r="R49" s="31">
        <f t="shared" si="4"/>
        <v>0</v>
      </c>
      <c r="S49" s="3" t="str">
        <f t="shared" si="5"/>
        <v>Leistungswert eintragen</v>
      </c>
      <c r="U49" s="3">
        <f t="shared" si="6"/>
        <v>11.875</v>
      </c>
      <c r="V49" s="3">
        <f t="shared" si="7"/>
        <v>3.5625</v>
      </c>
      <c r="W49" s="3">
        <f t="shared" si="8"/>
        <v>15.4375</v>
      </c>
      <c r="X49" s="3" t="str">
        <f t="shared" si="9"/>
        <v/>
      </c>
    </row>
    <row r="50" spans="1:24" ht="15" customHeight="1" x14ac:dyDescent="0.2">
      <c r="A50" s="70">
        <v>29</v>
      </c>
      <c r="B50" s="84">
        <v>5</v>
      </c>
      <c r="C50" s="85" t="s">
        <v>252</v>
      </c>
      <c r="D50" s="85"/>
      <c r="E50" s="85" t="s">
        <v>208</v>
      </c>
      <c r="F50" s="85" t="s">
        <v>206</v>
      </c>
      <c r="G50" s="51">
        <v>24.73</v>
      </c>
      <c r="H50" s="51"/>
      <c r="I50" s="86"/>
      <c r="J50" s="70" t="s">
        <v>208</v>
      </c>
      <c r="K50" s="70" t="s">
        <v>142</v>
      </c>
      <c r="L50" s="31">
        <f>VLOOKUP(K50,Reinigungstage!A10:G31,7,FALSE)</f>
        <v>1</v>
      </c>
      <c r="M50" s="31">
        <f t="shared" si="0"/>
        <v>24.73</v>
      </c>
      <c r="N50" s="87">
        <f t="shared" si="1"/>
        <v>0</v>
      </c>
      <c r="O50" s="31">
        <f ca="1">IF('SVS GrundRG'!H61="",0,'SVS GrundRG'!H61)</f>
        <v>0</v>
      </c>
      <c r="P50" s="31">
        <f t="shared" si="2"/>
        <v>0</v>
      </c>
      <c r="Q50" s="31">
        <f t="shared" si="3"/>
        <v>0</v>
      </c>
      <c r="R50" s="31">
        <f t="shared" si="4"/>
        <v>0</v>
      </c>
      <c r="S50" s="3" t="str">
        <f t="shared" si="5"/>
        <v>Leistungswert eintragen</v>
      </c>
      <c r="U50" s="3">
        <f t="shared" si="6"/>
        <v>11.875</v>
      </c>
      <c r="V50" s="3">
        <f t="shared" si="7"/>
        <v>3.5625</v>
      </c>
      <c r="W50" s="3">
        <f t="shared" si="8"/>
        <v>15.4375</v>
      </c>
      <c r="X50" s="3" t="str">
        <f t="shared" si="9"/>
        <v/>
      </c>
    </row>
    <row r="51" spans="1:24" ht="15" customHeight="1" x14ac:dyDescent="0.2">
      <c r="A51" s="70">
        <v>30</v>
      </c>
      <c r="B51" s="84">
        <v>6</v>
      </c>
      <c r="C51" s="85" t="s">
        <v>252</v>
      </c>
      <c r="D51" s="85"/>
      <c r="E51" s="85" t="s">
        <v>208</v>
      </c>
      <c r="F51" s="85" t="s">
        <v>206</v>
      </c>
      <c r="G51" s="51">
        <v>20.92</v>
      </c>
      <c r="H51" s="51"/>
      <c r="I51" s="86"/>
      <c r="J51" s="70" t="s">
        <v>208</v>
      </c>
      <c r="K51" s="70" t="s">
        <v>142</v>
      </c>
      <c r="L51" s="31">
        <f>VLOOKUP(K51,Reinigungstage!A10:G31,7,FALSE)</f>
        <v>1</v>
      </c>
      <c r="M51" s="31">
        <f t="shared" si="0"/>
        <v>20.92</v>
      </c>
      <c r="N51" s="87">
        <f t="shared" si="1"/>
        <v>0</v>
      </c>
      <c r="O51" s="31">
        <f ca="1">IF('SVS GrundRG'!H61="",0,'SVS GrundRG'!H61)</f>
        <v>0</v>
      </c>
      <c r="P51" s="31">
        <f t="shared" si="2"/>
        <v>0</v>
      </c>
      <c r="Q51" s="31">
        <f t="shared" si="3"/>
        <v>0</v>
      </c>
      <c r="R51" s="31">
        <f t="shared" si="4"/>
        <v>0</v>
      </c>
      <c r="S51" s="3" t="str">
        <f t="shared" si="5"/>
        <v>Leistungswert eintragen</v>
      </c>
      <c r="U51" s="3">
        <f t="shared" si="6"/>
        <v>11.875</v>
      </c>
      <c r="V51" s="3">
        <f t="shared" si="7"/>
        <v>3.5625</v>
      </c>
      <c r="W51" s="3">
        <f t="shared" si="8"/>
        <v>15.4375</v>
      </c>
      <c r="X51" s="3" t="str">
        <f t="shared" si="9"/>
        <v/>
      </c>
    </row>
    <row r="52" spans="1:24" ht="15" customHeight="1" x14ac:dyDescent="0.2">
      <c r="A52" s="70">
        <v>31</v>
      </c>
      <c r="B52" s="84">
        <v>7</v>
      </c>
      <c r="C52" s="85" t="s">
        <v>252</v>
      </c>
      <c r="D52" s="85"/>
      <c r="E52" s="85" t="s">
        <v>282</v>
      </c>
      <c r="F52" s="85" t="s">
        <v>206</v>
      </c>
      <c r="G52" s="51">
        <v>6.34</v>
      </c>
      <c r="H52" s="51"/>
      <c r="I52" s="86"/>
      <c r="J52" s="70" t="s">
        <v>277</v>
      </c>
      <c r="K52" s="70" t="s">
        <v>142</v>
      </c>
      <c r="L52" s="31">
        <f>VLOOKUP(K52,Reinigungstage!A10:G31,7,FALSE)</f>
        <v>1</v>
      </c>
      <c r="M52" s="31">
        <f t="shared" si="0"/>
        <v>6.34</v>
      </c>
      <c r="N52" s="87">
        <f t="shared" si="1"/>
        <v>0</v>
      </c>
      <c r="O52" s="31">
        <f ca="1">IF('SVS GrundRG'!H61="",0,'SVS GrundRG'!H61)</f>
        <v>0</v>
      </c>
      <c r="P52" s="31">
        <f t="shared" si="2"/>
        <v>0</v>
      </c>
      <c r="Q52" s="31">
        <f t="shared" si="3"/>
        <v>0</v>
      </c>
      <c r="R52" s="31">
        <f t="shared" si="4"/>
        <v>0</v>
      </c>
      <c r="S52" s="3" t="str">
        <f t="shared" si="5"/>
        <v>Leistungswert eintragen</v>
      </c>
      <c r="U52" s="3">
        <f t="shared" si="6"/>
        <v>15.375</v>
      </c>
      <c r="V52" s="3">
        <f t="shared" si="7"/>
        <v>4.6124999999999998</v>
      </c>
      <c r="W52" s="3">
        <f t="shared" si="8"/>
        <v>19.987500000000001</v>
      </c>
      <c r="X52" s="3" t="str">
        <f t="shared" si="9"/>
        <v/>
      </c>
    </row>
    <row r="53" spans="1:24" ht="15" customHeight="1" x14ac:dyDescent="0.2">
      <c r="A53" s="70">
        <v>32</v>
      </c>
      <c r="B53" s="84">
        <v>8</v>
      </c>
      <c r="C53" s="85" t="s">
        <v>252</v>
      </c>
      <c r="D53" s="85"/>
      <c r="E53" s="85" t="s">
        <v>289</v>
      </c>
      <c r="F53" s="85" t="s">
        <v>217</v>
      </c>
      <c r="G53" s="51">
        <v>5.53</v>
      </c>
      <c r="H53" s="51"/>
      <c r="I53" s="86"/>
      <c r="J53" s="70" t="s">
        <v>276</v>
      </c>
      <c r="K53" s="70" t="s">
        <v>142</v>
      </c>
      <c r="L53" s="31">
        <f>VLOOKUP(K53,Reinigungstage!A10:G31,7,FALSE)</f>
        <v>1</v>
      </c>
      <c r="M53" s="31">
        <f t="shared" si="0"/>
        <v>5.53</v>
      </c>
      <c r="N53" s="87">
        <f t="shared" si="1"/>
        <v>0</v>
      </c>
      <c r="O53" s="31">
        <f ca="1">IF('SVS GrundRG'!H61="",0,'SVS GrundRG'!H61)</f>
        <v>0</v>
      </c>
      <c r="P53" s="31">
        <f t="shared" si="2"/>
        <v>0</v>
      </c>
      <c r="Q53" s="31">
        <f t="shared" si="3"/>
        <v>0</v>
      </c>
      <c r="R53" s="31">
        <f t="shared" si="4"/>
        <v>0</v>
      </c>
      <c r="S53" s="3" t="str">
        <f t="shared" si="5"/>
        <v>Leistungswert eintragen</v>
      </c>
      <c r="U53" s="3">
        <f t="shared" si="6"/>
        <v>10.25</v>
      </c>
      <c r="V53" s="3">
        <f t="shared" si="7"/>
        <v>3.0749999999999997</v>
      </c>
      <c r="W53" s="3">
        <f t="shared" si="8"/>
        <v>13.324999999999999</v>
      </c>
      <c r="X53" s="3" t="str">
        <f t="shared" si="9"/>
        <v/>
      </c>
    </row>
    <row r="54" spans="1:24" ht="15" customHeight="1" x14ac:dyDescent="0.2">
      <c r="A54" s="70">
        <v>33</v>
      </c>
      <c r="B54" s="84">
        <v>9</v>
      </c>
      <c r="C54" s="85" t="s">
        <v>252</v>
      </c>
      <c r="D54" s="85"/>
      <c r="E54" s="85" t="s">
        <v>289</v>
      </c>
      <c r="F54" s="85" t="s">
        <v>217</v>
      </c>
      <c r="G54" s="51">
        <v>7.66</v>
      </c>
      <c r="H54" s="51"/>
      <c r="I54" s="86"/>
      <c r="J54" s="70" t="s">
        <v>276</v>
      </c>
      <c r="K54" s="70" t="s">
        <v>142</v>
      </c>
      <c r="L54" s="31">
        <f>VLOOKUP(K54,Reinigungstage!A10:G31,7,FALSE)</f>
        <v>1</v>
      </c>
      <c r="M54" s="31">
        <f t="shared" si="0"/>
        <v>7.66</v>
      </c>
      <c r="N54" s="87">
        <f t="shared" si="1"/>
        <v>0</v>
      </c>
      <c r="O54" s="31">
        <f ca="1">IF('SVS GrundRG'!H61="",0,'SVS GrundRG'!H61)</f>
        <v>0</v>
      </c>
      <c r="P54" s="31">
        <f t="shared" si="2"/>
        <v>0</v>
      </c>
      <c r="Q54" s="31">
        <f t="shared" si="3"/>
        <v>0</v>
      </c>
      <c r="R54" s="31">
        <f t="shared" si="4"/>
        <v>0</v>
      </c>
      <c r="S54" s="3" t="str">
        <f t="shared" si="5"/>
        <v>Leistungswert eintragen</v>
      </c>
      <c r="U54" s="3">
        <f t="shared" si="6"/>
        <v>10.25</v>
      </c>
      <c r="V54" s="3">
        <f t="shared" si="7"/>
        <v>3.0749999999999997</v>
      </c>
      <c r="W54" s="3">
        <f t="shared" si="8"/>
        <v>13.324999999999999</v>
      </c>
      <c r="X54" s="3" t="str">
        <f t="shared" si="9"/>
        <v/>
      </c>
    </row>
    <row r="55" spans="1:24" ht="15" customHeight="1" x14ac:dyDescent="0.2">
      <c r="A55" s="70">
        <v>34</v>
      </c>
      <c r="B55" s="84"/>
      <c r="C55" s="85" t="s">
        <v>252</v>
      </c>
      <c r="D55" s="85"/>
      <c r="E55" s="85" t="s">
        <v>224</v>
      </c>
      <c r="F55" s="85" t="s">
        <v>206</v>
      </c>
      <c r="G55" s="51">
        <v>17.899999999999999</v>
      </c>
      <c r="H55" s="51"/>
      <c r="I55" s="86">
        <v>3.24</v>
      </c>
      <c r="J55" s="70" t="s">
        <v>278</v>
      </c>
      <c r="K55" s="70" t="s">
        <v>142</v>
      </c>
      <c r="L55" s="31">
        <f>VLOOKUP(K55,Reinigungstage!A10:G31,7,FALSE)</f>
        <v>1</v>
      </c>
      <c r="M55" s="31">
        <f t="shared" si="0"/>
        <v>17.899999999999999</v>
      </c>
      <c r="N55" s="87">
        <f t="shared" si="1"/>
        <v>0</v>
      </c>
      <c r="O55" s="31">
        <f ca="1">IF('SVS GrundRG'!H61="",0,'SVS GrundRG'!H61)</f>
        <v>0</v>
      </c>
      <c r="P55" s="31">
        <f t="shared" si="2"/>
        <v>0</v>
      </c>
      <c r="Q55" s="31">
        <f t="shared" si="3"/>
        <v>0</v>
      </c>
      <c r="R55" s="31">
        <f t="shared" si="4"/>
        <v>0</v>
      </c>
      <c r="S55" s="3" t="str">
        <f t="shared" si="5"/>
        <v>Leistungswert eintragen</v>
      </c>
      <c r="U55" s="3">
        <f t="shared" si="6"/>
        <v>16.25</v>
      </c>
      <c r="V55" s="3">
        <f t="shared" si="7"/>
        <v>4.875</v>
      </c>
      <c r="W55" s="3">
        <f t="shared" si="8"/>
        <v>21.125</v>
      </c>
      <c r="X55" s="3" t="str">
        <f t="shared" si="9"/>
        <v/>
      </c>
    </row>
    <row r="56" spans="1:24" ht="15" customHeight="1" x14ac:dyDescent="0.2">
      <c r="A56" s="70">
        <v>35</v>
      </c>
      <c r="B56" s="84"/>
      <c r="C56" s="85" t="s">
        <v>252</v>
      </c>
      <c r="D56" s="85"/>
      <c r="E56" s="85" t="s">
        <v>225</v>
      </c>
      <c r="F56" s="85" t="s">
        <v>206</v>
      </c>
      <c r="G56" s="51">
        <v>34.18</v>
      </c>
      <c r="H56" s="51"/>
      <c r="I56" s="86"/>
      <c r="J56" s="70" t="s">
        <v>279</v>
      </c>
      <c r="K56" s="70" t="s">
        <v>142</v>
      </c>
      <c r="L56" s="31">
        <f>VLOOKUP(K56,Reinigungstage!A10:G31,7,FALSE)</f>
        <v>1</v>
      </c>
      <c r="M56" s="31">
        <f t="shared" si="0"/>
        <v>34.18</v>
      </c>
      <c r="N56" s="87">
        <f t="shared" si="1"/>
        <v>0</v>
      </c>
      <c r="O56" s="31">
        <f ca="1">IF('SVS GrundRG'!H61="",0,'SVS GrundRG'!H61)</f>
        <v>0</v>
      </c>
      <c r="P56" s="31">
        <f t="shared" si="2"/>
        <v>0</v>
      </c>
      <c r="Q56" s="31">
        <f t="shared" si="3"/>
        <v>0</v>
      </c>
      <c r="R56" s="31">
        <f t="shared" si="4"/>
        <v>0</v>
      </c>
      <c r="S56" s="3" t="str">
        <f t="shared" si="5"/>
        <v>Leistungswert eintragen</v>
      </c>
      <c r="U56" s="3">
        <f t="shared" si="6"/>
        <v>15.375</v>
      </c>
      <c r="V56" s="3">
        <f t="shared" si="7"/>
        <v>4.6124999999999998</v>
      </c>
      <c r="W56" s="3">
        <f t="shared" si="8"/>
        <v>19.987500000000001</v>
      </c>
      <c r="X56" s="3" t="str">
        <f t="shared" si="9"/>
        <v/>
      </c>
    </row>
    <row r="57" spans="1:24" ht="24.95" customHeight="1" x14ac:dyDescent="0.2">
      <c r="A57" s="70">
        <v>36</v>
      </c>
      <c r="B57" s="84"/>
      <c r="C57" s="85" t="s">
        <v>252</v>
      </c>
      <c r="D57" s="85" t="s">
        <v>293</v>
      </c>
      <c r="E57" s="85" t="s">
        <v>294</v>
      </c>
      <c r="F57" s="85" t="s">
        <v>295</v>
      </c>
      <c r="G57" s="51">
        <v>34.299999999999997</v>
      </c>
      <c r="H57" s="51"/>
      <c r="I57" s="86"/>
      <c r="J57" s="70" t="s">
        <v>279</v>
      </c>
      <c r="K57" s="70" t="s">
        <v>142</v>
      </c>
      <c r="L57" s="31">
        <f>VLOOKUP(K57,Reinigungstage!A10:G31,7,FALSE)</f>
        <v>1</v>
      </c>
      <c r="M57" s="31">
        <f t="shared" si="0"/>
        <v>34.299999999999997</v>
      </c>
      <c r="N57" s="87">
        <f t="shared" si="1"/>
        <v>0</v>
      </c>
      <c r="O57" s="31">
        <f ca="1">IF('SVS GrundRG'!H61="",0,'SVS GrundRG'!H61)</f>
        <v>0</v>
      </c>
      <c r="P57" s="31">
        <f t="shared" si="2"/>
        <v>0</v>
      </c>
      <c r="Q57" s="31">
        <f t="shared" si="3"/>
        <v>0</v>
      </c>
      <c r="R57" s="31">
        <f t="shared" si="4"/>
        <v>0</v>
      </c>
      <c r="S57" s="3" t="str">
        <f t="shared" si="5"/>
        <v>Leistungswert eintragen</v>
      </c>
      <c r="U57" s="3">
        <f t="shared" si="6"/>
        <v>15.375</v>
      </c>
      <c r="V57" s="3">
        <f t="shared" si="7"/>
        <v>4.6124999999999998</v>
      </c>
      <c r="W57" s="3">
        <f t="shared" si="8"/>
        <v>19.987500000000001</v>
      </c>
      <c r="X57" s="3" t="str">
        <f t="shared" si="9"/>
        <v/>
      </c>
    </row>
    <row r="58" spans="1:24" ht="15" customHeight="1" x14ac:dyDescent="0.2">
      <c r="A58" s="70">
        <v>37</v>
      </c>
      <c r="B58" s="84">
        <v>10</v>
      </c>
      <c r="C58" s="85" t="s">
        <v>296</v>
      </c>
      <c r="D58" s="85"/>
      <c r="E58" s="85" t="s">
        <v>297</v>
      </c>
      <c r="F58" s="85" t="s">
        <v>206</v>
      </c>
      <c r="G58" s="51">
        <v>11.6</v>
      </c>
      <c r="H58" s="51"/>
      <c r="I58" s="86"/>
      <c r="J58" s="70" t="s">
        <v>208</v>
      </c>
      <c r="K58" s="70" t="s">
        <v>142</v>
      </c>
      <c r="L58" s="31">
        <f>VLOOKUP(K58,Reinigungstage!A10:G31,7,FALSE)</f>
        <v>1</v>
      </c>
      <c r="M58" s="31">
        <f t="shared" si="0"/>
        <v>11.6</v>
      </c>
      <c r="N58" s="87">
        <f t="shared" si="1"/>
        <v>0</v>
      </c>
      <c r="O58" s="31">
        <f ca="1">IF('SVS GrundRG'!H61="",0,'SVS GrundRG'!H61)</f>
        <v>0</v>
      </c>
      <c r="P58" s="31">
        <f t="shared" si="2"/>
        <v>0</v>
      </c>
      <c r="Q58" s="31">
        <f t="shared" si="3"/>
        <v>0</v>
      </c>
      <c r="R58" s="31">
        <f t="shared" si="4"/>
        <v>0</v>
      </c>
      <c r="S58" s="3" t="str">
        <f t="shared" si="5"/>
        <v>Leistungswert eintragen</v>
      </c>
      <c r="U58" s="3">
        <f t="shared" si="6"/>
        <v>11.875</v>
      </c>
      <c r="V58" s="3">
        <f t="shared" si="7"/>
        <v>3.5625</v>
      </c>
      <c r="W58" s="3">
        <f t="shared" si="8"/>
        <v>15.4375</v>
      </c>
      <c r="X58" s="3" t="str">
        <f t="shared" si="9"/>
        <v/>
      </c>
    </row>
    <row r="59" spans="1:24" ht="15" customHeight="1" x14ac:dyDescent="0.2">
      <c r="A59" s="70">
        <v>38</v>
      </c>
      <c r="B59" s="84">
        <v>11</v>
      </c>
      <c r="C59" s="85" t="s">
        <v>296</v>
      </c>
      <c r="D59" s="85"/>
      <c r="E59" s="85" t="s">
        <v>289</v>
      </c>
      <c r="F59" s="85" t="s">
        <v>217</v>
      </c>
      <c r="G59" s="51">
        <v>8.3000000000000007</v>
      </c>
      <c r="H59" s="51"/>
      <c r="I59" s="86"/>
      <c r="J59" s="70" t="s">
        <v>276</v>
      </c>
      <c r="K59" s="70" t="s">
        <v>142</v>
      </c>
      <c r="L59" s="31">
        <f>VLOOKUP(K59,Reinigungstage!A10:G31,7,FALSE)</f>
        <v>1</v>
      </c>
      <c r="M59" s="31">
        <f t="shared" si="0"/>
        <v>8.3000000000000007</v>
      </c>
      <c r="N59" s="87">
        <f t="shared" si="1"/>
        <v>0</v>
      </c>
      <c r="O59" s="31">
        <f ca="1">IF('SVS GrundRG'!H61="",0,'SVS GrundRG'!H61)</f>
        <v>0</v>
      </c>
      <c r="P59" s="31">
        <f t="shared" si="2"/>
        <v>0</v>
      </c>
      <c r="Q59" s="31">
        <f t="shared" si="3"/>
        <v>0</v>
      </c>
      <c r="R59" s="31">
        <f t="shared" si="4"/>
        <v>0</v>
      </c>
      <c r="S59" s="3" t="str">
        <f t="shared" si="5"/>
        <v>Leistungswert eintragen</v>
      </c>
      <c r="U59" s="3">
        <f t="shared" si="6"/>
        <v>10.25</v>
      </c>
      <c r="V59" s="3">
        <f t="shared" si="7"/>
        <v>3.0749999999999997</v>
      </c>
      <c r="W59" s="3">
        <f t="shared" si="8"/>
        <v>13.324999999999999</v>
      </c>
      <c r="X59" s="3" t="str">
        <f t="shared" si="9"/>
        <v/>
      </c>
    </row>
    <row r="60" spans="1:24" ht="15" customHeight="1" x14ac:dyDescent="0.2">
      <c r="A60" s="70">
        <v>39</v>
      </c>
      <c r="B60" s="84"/>
      <c r="C60" s="85" t="s">
        <v>296</v>
      </c>
      <c r="D60" s="85"/>
      <c r="E60" s="85" t="s">
        <v>224</v>
      </c>
      <c r="F60" s="85" t="s">
        <v>206</v>
      </c>
      <c r="G60" s="51">
        <v>14.2</v>
      </c>
      <c r="H60" s="51"/>
      <c r="I60" s="86"/>
      <c r="J60" s="70" t="s">
        <v>278</v>
      </c>
      <c r="K60" s="70" t="s">
        <v>142</v>
      </c>
      <c r="L60" s="31">
        <f>VLOOKUP(K60,Reinigungstage!A10:G31,7,FALSE)</f>
        <v>1</v>
      </c>
      <c r="M60" s="31">
        <f t="shared" si="0"/>
        <v>14.2</v>
      </c>
      <c r="N60" s="87">
        <f t="shared" si="1"/>
        <v>0</v>
      </c>
      <c r="O60" s="31">
        <f ca="1">IF('SVS GrundRG'!H61="",0,'SVS GrundRG'!H61)</f>
        <v>0</v>
      </c>
      <c r="P60" s="31">
        <f t="shared" si="2"/>
        <v>0</v>
      </c>
      <c r="Q60" s="31">
        <f t="shared" si="3"/>
        <v>0</v>
      </c>
      <c r="R60" s="31">
        <f t="shared" si="4"/>
        <v>0</v>
      </c>
      <c r="S60" s="3" t="str">
        <f t="shared" si="5"/>
        <v>Leistungswert eintragen</v>
      </c>
      <c r="U60" s="3">
        <f t="shared" si="6"/>
        <v>16.25</v>
      </c>
      <c r="V60" s="3">
        <f t="shared" si="7"/>
        <v>4.875</v>
      </c>
      <c r="W60" s="3">
        <f t="shared" si="8"/>
        <v>21.125</v>
      </c>
      <c r="X60" s="3" t="str">
        <f t="shared" si="9"/>
        <v/>
      </c>
    </row>
    <row r="61" spans="1:24" ht="15" customHeight="1" x14ac:dyDescent="0.2">
      <c r="A61" s="70">
        <v>40</v>
      </c>
      <c r="B61" s="84"/>
      <c r="C61" s="85" t="s">
        <v>296</v>
      </c>
      <c r="D61" s="85"/>
      <c r="E61" s="85" t="s">
        <v>279</v>
      </c>
      <c r="F61" s="85" t="s">
        <v>206</v>
      </c>
      <c r="G61" s="51">
        <v>10.210000000000001</v>
      </c>
      <c r="H61" s="51"/>
      <c r="I61" s="86"/>
      <c r="J61" s="70" t="s">
        <v>279</v>
      </c>
      <c r="K61" s="70" t="s">
        <v>142</v>
      </c>
      <c r="L61" s="31">
        <f>VLOOKUP(K61,Reinigungstage!A10:G31,7,FALSE)</f>
        <v>1</v>
      </c>
      <c r="M61" s="31">
        <f t="shared" si="0"/>
        <v>10.210000000000001</v>
      </c>
      <c r="N61" s="87">
        <f t="shared" si="1"/>
        <v>0</v>
      </c>
      <c r="O61" s="31">
        <f ca="1">IF('SVS GrundRG'!H61="",0,'SVS GrundRG'!H61)</f>
        <v>0</v>
      </c>
      <c r="P61" s="31">
        <f t="shared" si="2"/>
        <v>0</v>
      </c>
      <c r="Q61" s="31">
        <f t="shared" si="3"/>
        <v>0</v>
      </c>
      <c r="R61" s="31">
        <f t="shared" si="4"/>
        <v>0</v>
      </c>
      <c r="S61" s="3" t="str">
        <f t="shared" si="5"/>
        <v>Leistungswert eintragen</v>
      </c>
      <c r="U61" s="3">
        <f t="shared" si="6"/>
        <v>15.375</v>
      </c>
      <c r="V61" s="3">
        <f t="shared" si="7"/>
        <v>4.6124999999999998</v>
      </c>
      <c r="W61" s="3">
        <f t="shared" si="8"/>
        <v>19.987500000000001</v>
      </c>
      <c r="X61" s="3" t="str">
        <f t="shared" si="9"/>
        <v/>
      </c>
    </row>
    <row r="62" spans="1:24" ht="15" customHeight="1" x14ac:dyDescent="0.2">
      <c r="A62" s="70">
        <v>41</v>
      </c>
      <c r="B62" s="84"/>
      <c r="C62" s="85" t="s">
        <v>296</v>
      </c>
      <c r="D62" s="85"/>
      <c r="E62" s="85" t="s">
        <v>300</v>
      </c>
      <c r="F62" s="85" t="s">
        <v>206</v>
      </c>
      <c r="G62" s="51">
        <v>1.9</v>
      </c>
      <c r="H62" s="51"/>
      <c r="I62" s="86"/>
      <c r="J62" s="70" t="s">
        <v>279</v>
      </c>
      <c r="K62" s="70" t="s">
        <v>142</v>
      </c>
      <c r="L62" s="31">
        <f>VLOOKUP(K62,Reinigungstage!A10:G31,7,FALSE)</f>
        <v>1</v>
      </c>
      <c r="M62" s="31">
        <f t="shared" si="0"/>
        <v>1.9</v>
      </c>
      <c r="N62" s="87">
        <f t="shared" si="1"/>
        <v>0</v>
      </c>
      <c r="O62" s="31">
        <f ca="1">IF('SVS GrundRG'!H61="",0,'SVS GrundRG'!H61)</f>
        <v>0</v>
      </c>
      <c r="P62" s="31">
        <f t="shared" si="2"/>
        <v>0</v>
      </c>
      <c r="Q62" s="31">
        <f t="shared" si="3"/>
        <v>0</v>
      </c>
      <c r="R62" s="31">
        <f t="shared" si="4"/>
        <v>0</v>
      </c>
      <c r="S62" s="3" t="str">
        <f t="shared" si="5"/>
        <v>Leistungswert eintragen</v>
      </c>
      <c r="U62" s="3">
        <f t="shared" si="6"/>
        <v>15.375</v>
      </c>
      <c r="V62" s="3">
        <f t="shared" si="7"/>
        <v>4.6124999999999998</v>
      </c>
      <c r="W62" s="3">
        <f t="shared" si="8"/>
        <v>19.987500000000001</v>
      </c>
      <c r="X62" s="3" t="str">
        <f t="shared" si="9"/>
        <v/>
      </c>
    </row>
    <row r="63" spans="1:24" ht="15" customHeight="1" x14ac:dyDescent="0.2">
      <c r="A63" s="70">
        <v>42</v>
      </c>
      <c r="B63" s="84"/>
      <c r="C63" s="85" t="s">
        <v>296</v>
      </c>
      <c r="D63" s="85"/>
      <c r="E63" s="85" t="s">
        <v>301</v>
      </c>
      <c r="F63" s="85" t="s">
        <v>206</v>
      </c>
      <c r="G63" s="51">
        <v>2.27</v>
      </c>
      <c r="H63" s="51"/>
      <c r="I63" s="86"/>
      <c r="J63" s="70" t="s">
        <v>278</v>
      </c>
      <c r="K63" s="70" t="s">
        <v>142</v>
      </c>
      <c r="L63" s="31">
        <f>VLOOKUP(K63,Reinigungstage!A10:G31,7,FALSE)</f>
        <v>1</v>
      </c>
      <c r="M63" s="31">
        <f t="shared" si="0"/>
        <v>2.27</v>
      </c>
      <c r="N63" s="87">
        <f t="shared" si="1"/>
        <v>0</v>
      </c>
      <c r="O63" s="31">
        <f ca="1">IF('SVS GrundRG'!H61="",0,'SVS GrundRG'!H61)</f>
        <v>0</v>
      </c>
      <c r="P63" s="31">
        <f t="shared" si="2"/>
        <v>0</v>
      </c>
      <c r="Q63" s="31">
        <f t="shared" si="3"/>
        <v>0</v>
      </c>
      <c r="R63" s="31">
        <f t="shared" si="4"/>
        <v>0</v>
      </c>
      <c r="S63" s="3" t="str">
        <f t="shared" si="5"/>
        <v>Leistungswert eintragen</v>
      </c>
      <c r="U63" s="3">
        <f t="shared" si="6"/>
        <v>16.25</v>
      </c>
      <c r="V63" s="3">
        <f t="shared" si="7"/>
        <v>4.875</v>
      </c>
      <c r="W63" s="3">
        <f t="shared" si="8"/>
        <v>21.125</v>
      </c>
      <c r="X63" s="3" t="str">
        <f t="shared" si="9"/>
        <v/>
      </c>
    </row>
  </sheetData>
  <sheetProtection algorithmName="SHA-512" hashValue="5aKPc1IP7qUdb95rZRz65kOtpgJMpQun3sXP2/J8IKn30TN773/9wcZc4KWDXkcIYjMwxAPs57v+0fzxqLAoTg==" saltValue="96E3lrihhaIVKqt1tWo07A=="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7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69" priority="5" operator="containsText" text="Bitte prüfen Sie diese.">
      <formula>NOT(ISERROR(SEARCH("Bitte prüfen Sie diese.",L9)))</formula>
    </cfRule>
  </conditionalFormatting>
  <conditionalFormatting sqref="L10">
    <cfRule type="containsText" dxfId="6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7" priority="3" operator="containsText" text="lediglich Fehleingaben vermeiden wollen.">
      <formula>NOT(ISERROR(SEARCH("lediglich Fehleingaben vermeiden wollen.",L11)))</formula>
    </cfRule>
  </conditionalFormatting>
  <conditionalFormatting sqref="M11">
    <cfRule type="containsText" dxfId="6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5" priority="7" operator="containsText" text="für die Objektart prüfen.">
      <formula>NOT(ISERROR(SEARCH("für die Objektart prüfen.",M12)))</formula>
    </cfRule>
  </conditionalFormatting>
  <conditionalFormatting sqref="N13">
    <cfRule type="expression" dxfId="64" priority="2" stopIfTrue="1">
      <formula>N13=0</formula>
    </cfRule>
  </conditionalFormatting>
  <conditionalFormatting sqref="N14">
    <cfRule type="expression" dxfId="63" priority="1">
      <formula>N14=0</formula>
    </cfRule>
  </conditionalFormatting>
  <conditionalFormatting sqref="N22:N63">
    <cfRule type="expression" dxfId="62" priority="11">
      <formula>X22=0</formula>
    </cfRule>
    <cfRule type="expression" dxfId="61" priority="12" stopIfTrue="1">
      <formula>X22=1</formula>
    </cfRule>
  </conditionalFormatting>
  <conditionalFormatting sqref="O13">
    <cfRule type="containsText" dxfId="6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59" priority="9" operator="containsText" text="Wert(e) prüfen.">
      <formula>NOT(ISERROR(SEARCH("Wert(e) prüfen.",O14)))</formula>
    </cfRule>
  </conditionalFormatting>
  <conditionalFormatting sqref="S22:S63">
    <cfRule type="containsText" dxfId="58" priority="13" stopIfTrue="1" operator="containsText" text="SVS prüfen">
      <formula>NOT(ISERROR(SEARCH("SVS prüfen",S22)))</formula>
    </cfRule>
    <cfRule type="containsText" dxfId="57" priority="14" stopIfTrue="1" operator="containsText" text="Leistungswert eintragen">
      <formula>NOT(ISERROR(SEARCH("Leistungswert eintragen",S22)))</formula>
    </cfRule>
  </conditionalFormatting>
  <hyperlinks>
    <hyperlink ref="M1" location="Inhaltsverzeichnis!A1" display="Zurück zum Inhaltsverzeichnis" xr:uid="{FC24DED6-6973-420F-9878-16F8028388D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Rathaus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161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161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162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E4DA-9B2E-493B-92C3-9FC300C71C8A}">
  <sheetPr codeName="Tabelle34">
    <tabColor indexed="40"/>
  </sheetPr>
  <dimension ref="A1:V63"/>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425781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9" t="s">
        <v>150</v>
      </c>
      <c r="B2" s="140"/>
      <c r="C2" s="140"/>
      <c r="D2" s="140" t="b">
        <v>0</v>
      </c>
      <c r="E2" s="141"/>
      <c r="G2" s="142" t="s">
        <v>163</v>
      </c>
      <c r="H2" s="142" t="s">
        <v>155</v>
      </c>
      <c r="I2" s="142" t="s">
        <v>156</v>
      </c>
      <c r="J2" s="142" t="s">
        <v>175</v>
      </c>
      <c r="M2" s="32" t="b">
        <v>0</v>
      </c>
      <c r="N2" s="10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0"/>
      <c r="P2" s="100"/>
      <c r="Q2" s="100"/>
    </row>
    <row r="3" spans="1:22" ht="21" customHeight="1" x14ac:dyDescent="0.2">
      <c r="A3" s="71" t="s">
        <v>151</v>
      </c>
      <c r="B3" s="72"/>
      <c r="C3" s="72"/>
      <c r="D3" s="72"/>
      <c r="E3" s="73"/>
      <c r="G3" s="143"/>
      <c r="H3" s="143" t="b">
        <v>0</v>
      </c>
      <c r="I3" s="143"/>
      <c r="J3" s="143"/>
      <c r="M3" s="32" t="b">
        <v>0</v>
      </c>
      <c r="N3" s="100"/>
      <c r="O3" s="100"/>
      <c r="P3" s="100"/>
      <c r="Q3" s="100"/>
    </row>
    <row r="4" spans="1:22" ht="15" customHeight="1" x14ac:dyDescent="0.2">
      <c r="A4" s="137" t="s">
        <v>91</v>
      </c>
      <c r="B4" s="125" t="str">
        <f>IF(Inhaltsverzeichnis!C3="","",Inhaltsverzeichnis!C3)</f>
        <v/>
      </c>
      <c r="C4" s="126"/>
      <c r="D4" s="126"/>
      <c r="E4" s="127"/>
      <c r="G4" s="70" t="s">
        <v>208</v>
      </c>
      <c r="H4" s="74"/>
      <c r="I4" s="75">
        <f ca="1">SUMIF('Kal Unter Verwaltung 1'!J22:M63,$G$4,'Kal Unter Verwaltung 1'!M22:M63)</f>
        <v>72707.87999999999</v>
      </c>
      <c r="J4" s="49">
        <f>COUNTIFS('Kal Unter Verwaltung 1'!J22:M63,$G$4)</f>
        <v>27</v>
      </c>
      <c r="M4" s="32" t="b">
        <v>0</v>
      </c>
      <c r="N4" s="100"/>
      <c r="O4" s="100"/>
      <c r="P4" s="100"/>
      <c r="Q4" s="100"/>
      <c r="U4" s="70" t="s">
        <v>208</v>
      </c>
      <c r="V4" s="3">
        <v>168.75</v>
      </c>
    </row>
    <row r="5" spans="1:22" ht="15" customHeight="1" x14ac:dyDescent="0.2">
      <c r="A5" s="138"/>
      <c r="B5" s="128"/>
      <c r="C5" s="129"/>
      <c r="D5" s="129"/>
      <c r="E5" s="130"/>
      <c r="G5" s="70" t="s">
        <v>275</v>
      </c>
      <c r="H5" s="74"/>
      <c r="I5" s="75">
        <f ca="1">SUMIF('Kal Unter Verwaltung 1'!J22:M63,$G$5,'Kal Unter Verwaltung 1'!M22:M63)</f>
        <v>4217.3899999999994</v>
      </c>
      <c r="J5" s="49">
        <f>COUNTIFS('Kal Unter Verwaltung 1'!J22:M63,$G$5)</f>
        <v>2</v>
      </c>
      <c r="M5" s="32" t="b">
        <v>0</v>
      </c>
      <c r="N5" s="100"/>
      <c r="O5" s="100"/>
      <c r="P5" s="100"/>
      <c r="Q5" s="100"/>
      <c r="U5" s="70" t="s">
        <v>275</v>
      </c>
      <c r="V5" s="3">
        <v>140</v>
      </c>
    </row>
    <row r="6" spans="1:22" ht="15" customHeight="1" x14ac:dyDescent="0.2">
      <c r="A6" s="76" t="s">
        <v>173</v>
      </c>
      <c r="B6" s="131" t="s">
        <v>190</v>
      </c>
      <c r="C6" s="132"/>
      <c r="D6" s="132"/>
      <c r="E6" s="133"/>
      <c r="G6" s="70" t="s">
        <v>276</v>
      </c>
      <c r="H6" s="74"/>
      <c r="I6" s="75">
        <f ca="1">SUMIF('Kal Unter Verwaltung 1'!J22:M63,$G$6,'Kal Unter Verwaltung 1'!M22:M63)</f>
        <v>2852.75</v>
      </c>
      <c r="J6" s="49">
        <f>COUNTIFS('Kal Unter Verwaltung 1'!J22:M63,$G$6)</f>
        <v>2</v>
      </c>
      <c r="U6" s="70" t="s">
        <v>276</v>
      </c>
      <c r="V6" s="3">
        <v>63.75</v>
      </c>
    </row>
    <row r="7" spans="1:22" ht="15" customHeight="1" x14ac:dyDescent="0.2">
      <c r="A7" s="77" t="s">
        <v>171</v>
      </c>
      <c r="B7" s="134" t="s">
        <v>197</v>
      </c>
      <c r="C7" s="132"/>
      <c r="D7" s="132"/>
      <c r="E7" s="133"/>
      <c r="G7" s="70" t="s">
        <v>280</v>
      </c>
      <c r="H7" s="74"/>
      <c r="I7" s="75">
        <f ca="1">SUMIF('Kal Unter Verwaltung 1'!J22:M63,$G$7,'Kal Unter Verwaltung 1'!M22:M63)</f>
        <v>56.8</v>
      </c>
      <c r="J7" s="49">
        <f>COUNTIFS('Kal Unter Verwaltung 1'!J22:M63,$G$7)</f>
        <v>1</v>
      </c>
      <c r="U7" s="70" t="s">
        <v>280</v>
      </c>
      <c r="V7" s="3">
        <v>262.5</v>
      </c>
    </row>
    <row r="8" spans="1:22" ht="15" customHeight="1" x14ac:dyDescent="0.2">
      <c r="A8" s="77" t="s">
        <v>172</v>
      </c>
      <c r="B8" s="131"/>
      <c r="C8" s="132"/>
      <c r="D8" s="132"/>
      <c r="E8" s="133"/>
      <c r="G8" s="70" t="s">
        <v>279</v>
      </c>
      <c r="H8" s="74"/>
      <c r="I8" s="75">
        <f ca="1">SUMIF('Kal Unter Verwaltung 1'!J22:M63,$G$8,'Kal Unter Verwaltung 1'!M22:M63)</f>
        <v>4292.51</v>
      </c>
      <c r="J8" s="49">
        <f>COUNTIFS('Kal Unter Verwaltung 1'!J22:M63,$G$8)</f>
        <v>3</v>
      </c>
      <c r="U8" s="70" t="s">
        <v>279</v>
      </c>
      <c r="V8" s="3">
        <v>138.75</v>
      </c>
    </row>
    <row r="9" spans="1:22" ht="15" customHeight="1" x14ac:dyDescent="0.2">
      <c r="A9" s="76" t="s">
        <v>170</v>
      </c>
      <c r="B9" s="135" t="s">
        <v>196</v>
      </c>
      <c r="C9" s="132"/>
      <c r="D9" s="132"/>
      <c r="E9" s="133"/>
      <c r="G9" s="70" t="s">
        <v>278</v>
      </c>
      <c r="H9" s="74"/>
      <c r="I9" s="75">
        <f ca="1">SUMIF('Kal Unter Verwaltung 1'!J22:M63,$G$9,'Kal Unter Verwaltung 1'!M22:M63)</f>
        <v>38877.93</v>
      </c>
      <c r="J9" s="49">
        <f>COUNTIFS('Kal Unter Verwaltung 1'!J22:M63,$G$9)</f>
        <v>4</v>
      </c>
      <c r="U9" s="70" t="s">
        <v>278</v>
      </c>
      <c r="V9" s="3">
        <v>300</v>
      </c>
    </row>
    <row r="10" spans="1:22" ht="15" customHeight="1" x14ac:dyDescent="0.2">
      <c r="A10" s="77" t="s">
        <v>152</v>
      </c>
      <c r="B10" s="131" t="s">
        <v>198</v>
      </c>
      <c r="C10" s="132"/>
      <c r="D10" s="132"/>
      <c r="E10" s="133"/>
      <c r="G10" s="70" t="s">
        <v>277</v>
      </c>
      <c r="H10" s="74"/>
      <c r="I10" s="75">
        <f ca="1">SUMIF('Kal Unter Verwaltung 1'!J22:M63,$G$10,'Kal Unter Verwaltung 1'!M22:M63)</f>
        <v>4658.01</v>
      </c>
      <c r="J10" s="49">
        <f>COUNTIFS('Kal Unter Verwaltung 1'!J22:M63,$G$10)</f>
        <v>3</v>
      </c>
      <c r="U10" s="70" t="s">
        <v>277</v>
      </c>
      <c r="V10" s="3">
        <v>88.75</v>
      </c>
    </row>
    <row r="11" spans="1:22" ht="15" customHeight="1" x14ac:dyDescent="0.2">
      <c r="A11" s="77" t="s">
        <v>153</v>
      </c>
      <c r="B11" s="136" t="s">
        <v>192</v>
      </c>
      <c r="C11" s="132"/>
      <c r="D11" s="132"/>
      <c r="E11" s="133"/>
      <c r="M11" s="3" t="str">
        <f>IF(N13&gt;0,"Bitte die Leistungswerte im Leistungsverzeichnis/ Tabellenblatt Leistungsrichtwerte","")</f>
        <v/>
      </c>
    </row>
    <row r="12" spans="1:22" ht="15" customHeight="1" x14ac:dyDescent="0.2">
      <c r="A12" s="77" t="s">
        <v>154</v>
      </c>
      <c r="B12" s="131" t="s">
        <v>193</v>
      </c>
      <c r="C12" s="132"/>
      <c r="D12" s="132"/>
      <c r="E12" s="133"/>
      <c r="M12" s="3" t="str">
        <f>IF(N13&gt;0,"für die Objektart prüfen.","")</f>
        <v/>
      </c>
    </row>
    <row r="13" spans="1:22" ht="15" customHeight="1" x14ac:dyDescent="0.2">
      <c r="A13" s="77" t="s">
        <v>157</v>
      </c>
      <c r="B13" s="122" t="str">
        <f>HYPERLINK("http://maps.google.de/maps?hl=de&amp;bav=on.2,or.r_qf.&amp;bvm=bv.44770516,d.Yms&amp;biw=1395&amp;bih=916&amp;um=1&amp;ie=UTF-8&amp;q="&amp;B7&amp;"+"&amp;B8&amp;"+"&amp;B10&amp;"+"&amp;B11&amp;"+"&amp;B12&amp;"","In Google-Maps anzeigen (wenn Internet verfügbar)")</f>
        <v>In Google-Maps anzeigen (wenn Internet verfügbar)</v>
      </c>
      <c r="C13" s="123"/>
      <c r="D13" s="123"/>
      <c r="E13" s="124"/>
      <c r="N13" s="78">
        <f>COUNTIF(V22:V$63,1)</f>
        <v>0</v>
      </c>
      <c r="O13" s="3" t="str">
        <f>IF(N13&gt;0,"Wert(e) überschritten, bitte mit dem Angebot plausibel darlegen.","")</f>
        <v/>
      </c>
    </row>
    <row r="14" spans="1:22" ht="15" customHeight="1" x14ac:dyDescent="0.2">
      <c r="N14" s="79">
        <f>COUNTIF(V22:V$63,0)</f>
        <v>42</v>
      </c>
      <c r="O14" s="3" t="str">
        <f>IF(N14&gt;0,"Wert(e) korrekt","")</f>
        <v>Wert(e) korrekt</v>
      </c>
      <c r="T14" s="80">
        <f>IF(COUNTA($T$22:$T$63)-COUNTBLANK($T$22:$T$63)=0,"",COUNTA($T$22:$T$63)-COUNTBLANK($T$22:$T$63))</f>
        <v>42</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1" t="s">
        <v>118</v>
      </c>
      <c r="B21" s="12"/>
      <c r="C21" s="12"/>
      <c r="D21" s="12"/>
      <c r="E21" s="12"/>
      <c r="F21" s="12"/>
      <c r="G21" s="82">
        <f>SUM($G$22:$G$63)</f>
        <v>1105.67</v>
      </c>
      <c r="H21" s="82">
        <f>SUM($H$22:$H$63)</f>
        <v>0</v>
      </c>
      <c r="I21" s="82">
        <f>SUM($I$22:$I$63)</f>
        <v>0</v>
      </c>
      <c r="J21" s="31"/>
      <c r="K21" s="31"/>
      <c r="L21" s="83">
        <f>MAX(L22:L63)</f>
        <v>151.5</v>
      </c>
      <c r="M21" s="82">
        <f>SUM($M$22:$M$63)</f>
        <v>127663.27000000002</v>
      </c>
      <c r="N21" s="31"/>
      <c r="O21" s="31"/>
      <c r="P21" s="82">
        <f>SUM($P$22:$P$63)</f>
        <v>0</v>
      </c>
      <c r="Q21" s="82">
        <f ca="1">SUM($Q$22:$Q$63)</f>
        <v>0</v>
      </c>
      <c r="R21" s="82">
        <f>ROUND(IF(L21=0,0,P21/L21),2)</f>
        <v>0</v>
      </c>
      <c r="S21" s="82">
        <f ca="1">ROUND(IF(L21=0,0,Q21/L21),2)</f>
        <v>0</v>
      </c>
    </row>
    <row r="22" spans="1:22" ht="15" customHeight="1" x14ac:dyDescent="0.2">
      <c r="A22" s="70">
        <v>1</v>
      </c>
      <c r="B22" s="84" t="s">
        <v>302</v>
      </c>
      <c r="C22" s="85" t="s">
        <v>281</v>
      </c>
      <c r="D22" s="85"/>
      <c r="E22" s="85" t="s">
        <v>303</v>
      </c>
      <c r="F22" s="85" t="s">
        <v>206</v>
      </c>
      <c r="G22" s="51">
        <v>20.100000000000001</v>
      </c>
      <c r="H22" s="51"/>
      <c r="I22" s="51"/>
      <c r="J22" s="70" t="s">
        <v>208</v>
      </c>
      <c r="K22" s="51">
        <v>2</v>
      </c>
      <c r="L22" s="31">
        <f>VLOOKUP(K22,Reinigungstage!A10:D31,4,FALSE)</f>
        <v>104.91</v>
      </c>
      <c r="M22" s="31">
        <f t="shared" ref="M22:M63" si="0">ROUND(IF(L22=0,0,L22*G22),2)</f>
        <v>2108.69</v>
      </c>
      <c r="N22" s="87">
        <f t="shared" ref="N22:N63" si="1">VLOOKUP(J22,$G$4:$H$10,2,FALSE)</f>
        <v>0</v>
      </c>
      <c r="O22" s="31">
        <f ca="1">IF('SVS UnterhaltsRG'!H61="",0,'SVS UnterhaltsRG'!H61)</f>
        <v>0</v>
      </c>
      <c r="P22" s="31">
        <f t="shared" ref="P22:P63" si="2">ROUND(IF(N22=0,0,M22/N22),2)</f>
        <v>0</v>
      </c>
      <c r="Q22" s="31">
        <f t="shared" ref="Q22:Q63" ca="1" si="3">IF(M22=0,0,IF(O22="",0,ROUND(P22*O22,2)))</f>
        <v>0</v>
      </c>
      <c r="R22" s="31">
        <f t="shared" ref="R22:R63" si="4">ROUND(IF(P22=0,0,P22/L22),2)</f>
        <v>0</v>
      </c>
      <c r="S22" s="31">
        <f t="shared" ref="S22:S63" ca="1" si="5">ROUND(IF(Q22=0,0,Q22/L22),2)</f>
        <v>0</v>
      </c>
      <c r="T22" s="3" t="str">
        <f t="shared" ref="T22:T63" si="6">IF(M22=0,"",IF(N22=0,"Leistungswert eintragen",IF(O22=0,"SVS prüfen","")))</f>
        <v>Leistungswert eintragen</v>
      </c>
      <c r="U22" s="3">
        <f t="shared" ref="U22:U63" si="7">VLOOKUP(J22,$U$4:$V$10,2,FALSE)</f>
        <v>168.75</v>
      </c>
      <c r="V22" s="3">
        <f t="shared" ref="V22:V63" si="8">IF(M22=0,0,IF(U22&lt;N22,1,IF(U22&gt;=N22,0,"")))</f>
        <v>0</v>
      </c>
    </row>
    <row r="23" spans="1:22" ht="15" customHeight="1" x14ac:dyDescent="0.2">
      <c r="A23" s="70">
        <v>2</v>
      </c>
      <c r="B23" s="84" t="s">
        <v>304</v>
      </c>
      <c r="C23" s="85" t="s">
        <v>281</v>
      </c>
      <c r="D23" s="85"/>
      <c r="E23" s="85" t="s">
        <v>303</v>
      </c>
      <c r="F23" s="85" t="s">
        <v>206</v>
      </c>
      <c r="G23" s="51">
        <v>20.6</v>
      </c>
      <c r="H23" s="51"/>
      <c r="I23" s="51"/>
      <c r="J23" s="70" t="s">
        <v>208</v>
      </c>
      <c r="K23" s="51">
        <v>2</v>
      </c>
      <c r="L23" s="31">
        <f>VLOOKUP(K23,Reinigungstage!A10:D31,4,FALSE)</f>
        <v>104.91</v>
      </c>
      <c r="M23" s="31">
        <f t="shared" si="0"/>
        <v>2161.15</v>
      </c>
      <c r="N23" s="87">
        <f t="shared" si="1"/>
        <v>0</v>
      </c>
      <c r="O23" s="31">
        <f ca="1">IF('SVS UnterhaltsRG'!H61="",0,'SVS UnterhaltsRG'!H61)</f>
        <v>0</v>
      </c>
      <c r="P23" s="31">
        <f t="shared" si="2"/>
        <v>0</v>
      </c>
      <c r="Q23" s="31">
        <f t="shared" ca="1" si="3"/>
        <v>0</v>
      </c>
      <c r="R23" s="31">
        <f t="shared" si="4"/>
        <v>0</v>
      </c>
      <c r="S23" s="31">
        <f t="shared" ca="1" si="5"/>
        <v>0</v>
      </c>
      <c r="T23" s="3" t="str">
        <f t="shared" si="6"/>
        <v>Leistungswert eintragen</v>
      </c>
      <c r="U23" s="3">
        <f t="shared" si="7"/>
        <v>168.75</v>
      </c>
      <c r="V23" s="3">
        <f t="shared" si="8"/>
        <v>0</v>
      </c>
    </row>
    <row r="24" spans="1:22" ht="15" customHeight="1" x14ac:dyDescent="0.2">
      <c r="A24" s="70">
        <v>3</v>
      </c>
      <c r="B24" s="84" t="s">
        <v>305</v>
      </c>
      <c r="C24" s="85" t="s">
        <v>281</v>
      </c>
      <c r="D24" s="85"/>
      <c r="E24" s="85" t="s">
        <v>303</v>
      </c>
      <c r="F24" s="85" t="s">
        <v>206</v>
      </c>
      <c r="G24" s="51">
        <v>16.399999999999999</v>
      </c>
      <c r="H24" s="51"/>
      <c r="I24" s="51"/>
      <c r="J24" s="70" t="s">
        <v>208</v>
      </c>
      <c r="K24" s="51">
        <v>2</v>
      </c>
      <c r="L24" s="31">
        <f>VLOOKUP(K24,Reinigungstage!A10:D31,4,FALSE)</f>
        <v>104.91</v>
      </c>
      <c r="M24" s="31">
        <f t="shared" si="0"/>
        <v>1720.52</v>
      </c>
      <c r="N24" s="87">
        <f t="shared" si="1"/>
        <v>0</v>
      </c>
      <c r="O24" s="31">
        <f ca="1">IF('SVS UnterhaltsRG'!H61="",0,'SVS UnterhaltsRG'!H61)</f>
        <v>0</v>
      </c>
      <c r="P24" s="31">
        <f t="shared" si="2"/>
        <v>0</v>
      </c>
      <c r="Q24" s="31">
        <f t="shared" ca="1" si="3"/>
        <v>0</v>
      </c>
      <c r="R24" s="31">
        <f t="shared" si="4"/>
        <v>0</v>
      </c>
      <c r="S24" s="31">
        <f t="shared" ca="1" si="5"/>
        <v>0</v>
      </c>
      <c r="T24" s="3" t="str">
        <f t="shared" si="6"/>
        <v>Leistungswert eintragen</v>
      </c>
      <c r="U24" s="3">
        <f t="shared" si="7"/>
        <v>168.75</v>
      </c>
      <c r="V24" s="3">
        <f t="shared" si="8"/>
        <v>0</v>
      </c>
    </row>
    <row r="25" spans="1:22" ht="15" customHeight="1" x14ac:dyDescent="0.2">
      <c r="A25" s="70">
        <v>4</v>
      </c>
      <c r="B25" s="84" t="s">
        <v>306</v>
      </c>
      <c r="C25" s="85" t="s">
        <v>281</v>
      </c>
      <c r="D25" s="85"/>
      <c r="E25" s="85" t="s">
        <v>303</v>
      </c>
      <c r="F25" s="85" t="s">
        <v>206</v>
      </c>
      <c r="G25" s="51">
        <v>15.8</v>
      </c>
      <c r="H25" s="51"/>
      <c r="I25" s="51"/>
      <c r="J25" s="70" t="s">
        <v>208</v>
      </c>
      <c r="K25" s="51">
        <v>2</v>
      </c>
      <c r="L25" s="31">
        <f>VLOOKUP(K25,Reinigungstage!A10:D31,4,FALSE)</f>
        <v>104.91</v>
      </c>
      <c r="M25" s="31">
        <f t="shared" si="0"/>
        <v>1657.58</v>
      </c>
      <c r="N25" s="87">
        <f t="shared" si="1"/>
        <v>0</v>
      </c>
      <c r="O25" s="31">
        <f ca="1">IF('SVS UnterhaltsRG'!H61="",0,'SVS UnterhaltsRG'!H61)</f>
        <v>0</v>
      </c>
      <c r="P25" s="31">
        <f t="shared" si="2"/>
        <v>0</v>
      </c>
      <c r="Q25" s="31">
        <f t="shared" ca="1" si="3"/>
        <v>0</v>
      </c>
      <c r="R25" s="31">
        <f t="shared" si="4"/>
        <v>0</v>
      </c>
      <c r="S25" s="31">
        <f t="shared" ca="1" si="5"/>
        <v>0</v>
      </c>
      <c r="T25" s="3" t="str">
        <f t="shared" si="6"/>
        <v>Leistungswert eintragen</v>
      </c>
      <c r="U25" s="3">
        <f t="shared" si="7"/>
        <v>168.75</v>
      </c>
      <c r="V25" s="3">
        <f t="shared" si="8"/>
        <v>0</v>
      </c>
    </row>
    <row r="26" spans="1:22" ht="15" customHeight="1" x14ac:dyDescent="0.2">
      <c r="A26" s="70">
        <v>5</v>
      </c>
      <c r="B26" s="84" t="s">
        <v>307</v>
      </c>
      <c r="C26" s="85" t="s">
        <v>281</v>
      </c>
      <c r="D26" s="85"/>
      <c r="E26" s="85" t="s">
        <v>283</v>
      </c>
      <c r="F26" s="85" t="s">
        <v>206</v>
      </c>
      <c r="G26" s="51">
        <v>16.5</v>
      </c>
      <c r="H26" s="51"/>
      <c r="I26" s="51"/>
      <c r="J26" s="70" t="s">
        <v>275</v>
      </c>
      <c r="K26" s="51">
        <v>2</v>
      </c>
      <c r="L26" s="31">
        <f>VLOOKUP(K26,Reinigungstage!A10:D31,4,FALSE)</f>
        <v>104.91</v>
      </c>
      <c r="M26" s="31">
        <f t="shared" si="0"/>
        <v>1731.02</v>
      </c>
      <c r="N26" s="87">
        <f t="shared" si="1"/>
        <v>0</v>
      </c>
      <c r="O26" s="31">
        <f ca="1">IF('SVS UnterhaltsRG'!H61="",0,'SVS UnterhaltsRG'!H61)</f>
        <v>0</v>
      </c>
      <c r="P26" s="31">
        <f t="shared" si="2"/>
        <v>0</v>
      </c>
      <c r="Q26" s="31">
        <f t="shared" ca="1" si="3"/>
        <v>0</v>
      </c>
      <c r="R26" s="31">
        <f t="shared" si="4"/>
        <v>0</v>
      </c>
      <c r="S26" s="31">
        <f t="shared" ca="1" si="5"/>
        <v>0</v>
      </c>
      <c r="T26" s="3" t="str">
        <f t="shared" si="6"/>
        <v>Leistungswert eintragen</v>
      </c>
      <c r="U26" s="3">
        <f t="shared" si="7"/>
        <v>140</v>
      </c>
      <c r="V26" s="3">
        <f t="shared" si="8"/>
        <v>0</v>
      </c>
    </row>
    <row r="27" spans="1:22" ht="15" customHeight="1" x14ac:dyDescent="0.2">
      <c r="A27" s="70">
        <v>6</v>
      </c>
      <c r="B27" s="84" t="s">
        <v>308</v>
      </c>
      <c r="C27" s="85" t="s">
        <v>281</v>
      </c>
      <c r="D27" s="85"/>
      <c r="E27" s="85" t="s">
        <v>303</v>
      </c>
      <c r="F27" s="85" t="s">
        <v>206</v>
      </c>
      <c r="G27" s="51">
        <v>20.2</v>
      </c>
      <c r="H27" s="51"/>
      <c r="I27" s="51"/>
      <c r="J27" s="70" t="s">
        <v>208</v>
      </c>
      <c r="K27" s="51">
        <v>2</v>
      </c>
      <c r="L27" s="31">
        <f>VLOOKUP(K27,Reinigungstage!A10:D31,4,FALSE)</f>
        <v>104.91</v>
      </c>
      <c r="M27" s="31">
        <f t="shared" si="0"/>
        <v>2119.1799999999998</v>
      </c>
      <c r="N27" s="87">
        <f t="shared" si="1"/>
        <v>0</v>
      </c>
      <c r="O27" s="31">
        <f ca="1">IF('SVS UnterhaltsRG'!H61="",0,'SVS UnterhaltsRG'!H61)</f>
        <v>0</v>
      </c>
      <c r="P27" s="31">
        <f t="shared" si="2"/>
        <v>0</v>
      </c>
      <c r="Q27" s="31">
        <f t="shared" ca="1" si="3"/>
        <v>0</v>
      </c>
      <c r="R27" s="31">
        <f t="shared" si="4"/>
        <v>0</v>
      </c>
      <c r="S27" s="31">
        <f t="shared" ca="1" si="5"/>
        <v>0</v>
      </c>
      <c r="T27" s="3" t="str">
        <f t="shared" si="6"/>
        <v>Leistungswert eintragen</v>
      </c>
      <c r="U27" s="3">
        <f t="shared" si="7"/>
        <v>168.75</v>
      </c>
      <c r="V27" s="3">
        <f t="shared" si="8"/>
        <v>0</v>
      </c>
    </row>
    <row r="28" spans="1:22" ht="15" customHeight="1" x14ac:dyDescent="0.2">
      <c r="A28" s="70">
        <v>7</v>
      </c>
      <c r="B28" s="84" t="s">
        <v>309</v>
      </c>
      <c r="C28" s="85" t="s">
        <v>281</v>
      </c>
      <c r="D28" s="85"/>
      <c r="E28" s="85" t="s">
        <v>282</v>
      </c>
      <c r="F28" s="85" t="s">
        <v>206</v>
      </c>
      <c r="G28" s="51">
        <v>13.7</v>
      </c>
      <c r="H28" s="51"/>
      <c r="I28" s="51"/>
      <c r="J28" s="70" t="s">
        <v>277</v>
      </c>
      <c r="K28" s="51">
        <v>2</v>
      </c>
      <c r="L28" s="31">
        <f>VLOOKUP(K28,Reinigungstage!A10:D31,4,FALSE)</f>
        <v>104.91</v>
      </c>
      <c r="M28" s="31">
        <f t="shared" si="0"/>
        <v>1437.27</v>
      </c>
      <c r="N28" s="87">
        <f t="shared" si="1"/>
        <v>0</v>
      </c>
      <c r="O28" s="31">
        <f ca="1">IF('SVS UnterhaltsRG'!H61="",0,'SVS UnterhaltsRG'!H61)</f>
        <v>0</v>
      </c>
      <c r="P28" s="31">
        <f t="shared" si="2"/>
        <v>0</v>
      </c>
      <c r="Q28" s="31">
        <f t="shared" ca="1" si="3"/>
        <v>0</v>
      </c>
      <c r="R28" s="31">
        <f t="shared" si="4"/>
        <v>0</v>
      </c>
      <c r="S28" s="31">
        <f t="shared" ca="1" si="5"/>
        <v>0</v>
      </c>
      <c r="T28" s="3" t="str">
        <f t="shared" si="6"/>
        <v>Leistungswert eintragen</v>
      </c>
      <c r="U28" s="3">
        <f t="shared" si="7"/>
        <v>88.75</v>
      </c>
      <c r="V28" s="3">
        <f t="shared" si="8"/>
        <v>0</v>
      </c>
    </row>
    <row r="29" spans="1:22" ht="15" customHeight="1" x14ac:dyDescent="0.2">
      <c r="A29" s="70">
        <v>8</v>
      </c>
      <c r="B29" s="84" t="s">
        <v>310</v>
      </c>
      <c r="C29" s="85" t="s">
        <v>281</v>
      </c>
      <c r="D29" s="85"/>
      <c r="E29" s="85" t="s">
        <v>303</v>
      </c>
      <c r="F29" s="85" t="s">
        <v>206</v>
      </c>
      <c r="G29" s="51">
        <v>16.399999999999999</v>
      </c>
      <c r="H29" s="51"/>
      <c r="I29" s="51"/>
      <c r="J29" s="70" t="s">
        <v>208</v>
      </c>
      <c r="K29" s="51">
        <v>2</v>
      </c>
      <c r="L29" s="31">
        <f>VLOOKUP(K29,Reinigungstage!A10:D31,4,FALSE)</f>
        <v>104.91</v>
      </c>
      <c r="M29" s="31">
        <f t="shared" si="0"/>
        <v>1720.52</v>
      </c>
      <c r="N29" s="87">
        <f t="shared" si="1"/>
        <v>0</v>
      </c>
      <c r="O29" s="31">
        <f ca="1">IF('SVS UnterhaltsRG'!H61="",0,'SVS UnterhaltsRG'!H61)</f>
        <v>0</v>
      </c>
      <c r="P29" s="31">
        <f t="shared" si="2"/>
        <v>0</v>
      </c>
      <c r="Q29" s="31">
        <f t="shared" ca="1" si="3"/>
        <v>0</v>
      </c>
      <c r="R29" s="31">
        <f t="shared" si="4"/>
        <v>0</v>
      </c>
      <c r="S29" s="31">
        <f t="shared" ca="1" si="5"/>
        <v>0</v>
      </c>
      <c r="T29" s="3" t="str">
        <f t="shared" si="6"/>
        <v>Leistungswert eintragen</v>
      </c>
      <c r="U29" s="3">
        <f t="shared" si="7"/>
        <v>168.75</v>
      </c>
      <c r="V29" s="3">
        <f t="shared" si="8"/>
        <v>0</v>
      </c>
    </row>
    <row r="30" spans="1:22" ht="15" customHeight="1" x14ac:dyDescent="0.2">
      <c r="A30" s="70">
        <v>9</v>
      </c>
      <c r="B30" s="84" t="s">
        <v>311</v>
      </c>
      <c r="C30" s="85" t="s">
        <v>281</v>
      </c>
      <c r="D30" s="85"/>
      <c r="E30" s="85" t="s">
        <v>303</v>
      </c>
      <c r="F30" s="85" t="s">
        <v>206</v>
      </c>
      <c r="G30" s="51">
        <v>15.4</v>
      </c>
      <c r="H30" s="51"/>
      <c r="I30" s="51"/>
      <c r="J30" s="70" t="s">
        <v>208</v>
      </c>
      <c r="K30" s="51">
        <v>2</v>
      </c>
      <c r="L30" s="31">
        <f>VLOOKUP(K30,Reinigungstage!A10:D31,4,FALSE)</f>
        <v>104.91</v>
      </c>
      <c r="M30" s="31">
        <f t="shared" si="0"/>
        <v>1615.61</v>
      </c>
      <c r="N30" s="87">
        <f t="shared" si="1"/>
        <v>0</v>
      </c>
      <c r="O30" s="31">
        <f ca="1">IF('SVS UnterhaltsRG'!H61="",0,'SVS UnterhaltsRG'!H61)</f>
        <v>0</v>
      </c>
      <c r="P30" s="31">
        <f t="shared" si="2"/>
        <v>0</v>
      </c>
      <c r="Q30" s="31">
        <f t="shared" ca="1" si="3"/>
        <v>0</v>
      </c>
      <c r="R30" s="31">
        <f t="shared" si="4"/>
        <v>0</v>
      </c>
      <c r="S30" s="31">
        <f t="shared" ca="1" si="5"/>
        <v>0</v>
      </c>
      <c r="T30" s="3" t="str">
        <f t="shared" si="6"/>
        <v>Leistungswert eintragen</v>
      </c>
      <c r="U30" s="3">
        <f t="shared" si="7"/>
        <v>168.75</v>
      </c>
      <c r="V30" s="3">
        <f t="shared" si="8"/>
        <v>0</v>
      </c>
    </row>
    <row r="31" spans="1:22" ht="15" customHeight="1" x14ac:dyDescent="0.2">
      <c r="A31" s="70">
        <v>10</v>
      </c>
      <c r="B31" s="84" t="s">
        <v>312</v>
      </c>
      <c r="C31" s="85" t="s">
        <v>281</v>
      </c>
      <c r="D31" s="85"/>
      <c r="E31" s="85" t="s">
        <v>303</v>
      </c>
      <c r="F31" s="85" t="s">
        <v>206</v>
      </c>
      <c r="G31" s="51">
        <v>14</v>
      </c>
      <c r="H31" s="51"/>
      <c r="I31" s="51"/>
      <c r="J31" s="70" t="s">
        <v>208</v>
      </c>
      <c r="K31" s="51">
        <v>2</v>
      </c>
      <c r="L31" s="31">
        <f>VLOOKUP(K31,Reinigungstage!A10:D31,4,FALSE)</f>
        <v>104.91</v>
      </c>
      <c r="M31" s="31">
        <f t="shared" si="0"/>
        <v>1468.74</v>
      </c>
      <c r="N31" s="87">
        <f t="shared" si="1"/>
        <v>0</v>
      </c>
      <c r="O31" s="31">
        <f ca="1">IF('SVS UnterhaltsRG'!H61="",0,'SVS UnterhaltsRG'!H61)</f>
        <v>0</v>
      </c>
      <c r="P31" s="31">
        <f t="shared" si="2"/>
        <v>0</v>
      </c>
      <c r="Q31" s="31">
        <f t="shared" ca="1" si="3"/>
        <v>0</v>
      </c>
      <c r="R31" s="31">
        <f t="shared" si="4"/>
        <v>0</v>
      </c>
      <c r="S31" s="31">
        <f t="shared" ca="1" si="5"/>
        <v>0</v>
      </c>
      <c r="T31" s="3" t="str">
        <f t="shared" si="6"/>
        <v>Leistungswert eintragen</v>
      </c>
      <c r="U31" s="3">
        <f t="shared" si="7"/>
        <v>168.75</v>
      </c>
      <c r="V31" s="3">
        <f t="shared" si="8"/>
        <v>0</v>
      </c>
    </row>
    <row r="32" spans="1:22" ht="15" customHeight="1" x14ac:dyDescent="0.2">
      <c r="A32" s="70">
        <v>11</v>
      </c>
      <c r="B32" s="84" t="s">
        <v>313</v>
      </c>
      <c r="C32" s="85" t="s">
        <v>281</v>
      </c>
      <c r="D32" s="85"/>
      <c r="E32" s="85" t="s">
        <v>303</v>
      </c>
      <c r="F32" s="85" t="s">
        <v>206</v>
      </c>
      <c r="G32" s="51">
        <v>21.5</v>
      </c>
      <c r="H32" s="51"/>
      <c r="I32" s="51"/>
      <c r="J32" s="70" t="s">
        <v>208</v>
      </c>
      <c r="K32" s="51">
        <v>2</v>
      </c>
      <c r="L32" s="31">
        <f>VLOOKUP(K32,Reinigungstage!A10:D31,4,FALSE)</f>
        <v>104.91</v>
      </c>
      <c r="M32" s="31">
        <f t="shared" si="0"/>
        <v>2255.5700000000002</v>
      </c>
      <c r="N32" s="87">
        <f t="shared" si="1"/>
        <v>0</v>
      </c>
      <c r="O32" s="31">
        <f ca="1">IF('SVS UnterhaltsRG'!H61="",0,'SVS UnterhaltsRG'!H61)</f>
        <v>0</v>
      </c>
      <c r="P32" s="31">
        <f t="shared" si="2"/>
        <v>0</v>
      </c>
      <c r="Q32" s="31">
        <f t="shared" ca="1" si="3"/>
        <v>0</v>
      </c>
      <c r="R32" s="31">
        <f t="shared" si="4"/>
        <v>0</v>
      </c>
      <c r="S32" s="31">
        <f t="shared" ca="1" si="5"/>
        <v>0</v>
      </c>
      <c r="T32" s="3" t="str">
        <f t="shared" si="6"/>
        <v>Leistungswert eintragen</v>
      </c>
      <c r="U32" s="3">
        <f t="shared" si="7"/>
        <v>168.75</v>
      </c>
      <c r="V32" s="3">
        <f t="shared" si="8"/>
        <v>0</v>
      </c>
    </row>
    <row r="33" spans="1:22" ht="15" customHeight="1" x14ac:dyDescent="0.2">
      <c r="A33" s="70">
        <v>12</v>
      </c>
      <c r="B33" s="84" t="s">
        <v>314</v>
      </c>
      <c r="C33" s="85" t="s">
        <v>281</v>
      </c>
      <c r="D33" s="85"/>
      <c r="E33" s="85" t="s">
        <v>303</v>
      </c>
      <c r="F33" s="85" t="s">
        <v>206</v>
      </c>
      <c r="G33" s="51">
        <v>13</v>
      </c>
      <c r="H33" s="51"/>
      <c r="I33" s="51"/>
      <c r="J33" s="70" t="s">
        <v>208</v>
      </c>
      <c r="K33" s="51">
        <v>2</v>
      </c>
      <c r="L33" s="31">
        <f>VLOOKUP(K33,Reinigungstage!A10:D31,4,FALSE)</f>
        <v>104.91</v>
      </c>
      <c r="M33" s="31">
        <f t="shared" si="0"/>
        <v>1363.83</v>
      </c>
      <c r="N33" s="87">
        <f t="shared" si="1"/>
        <v>0</v>
      </c>
      <c r="O33" s="31">
        <f ca="1">IF('SVS UnterhaltsRG'!H61="",0,'SVS UnterhaltsRG'!H61)</f>
        <v>0</v>
      </c>
      <c r="P33" s="31">
        <f t="shared" si="2"/>
        <v>0</v>
      </c>
      <c r="Q33" s="31">
        <f t="shared" ca="1" si="3"/>
        <v>0</v>
      </c>
      <c r="R33" s="31">
        <f t="shared" si="4"/>
        <v>0</v>
      </c>
      <c r="S33" s="31">
        <f t="shared" ca="1" si="5"/>
        <v>0</v>
      </c>
      <c r="T33" s="3" t="str">
        <f t="shared" si="6"/>
        <v>Leistungswert eintragen</v>
      </c>
      <c r="U33" s="3">
        <f t="shared" si="7"/>
        <v>168.75</v>
      </c>
      <c r="V33" s="3">
        <f t="shared" si="8"/>
        <v>0</v>
      </c>
    </row>
    <row r="34" spans="1:22" ht="15" customHeight="1" x14ac:dyDescent="0.2">
      <c r="A34" s="70">
        <v>13</v>
      </c>
      <c r="B34" s="84" t="s">
        <v>315</v>
      </c>
      <c r="C34" s="85" t="s">
        <v>281</v>
      </c>
      <c r="D34" s="85"/>
      <c r="E34" s="85" t="s">
        <v>303</v>
      </c>
      <c r="F34" s="85" t="s">
        <v>206</v>
      </c>
      <c r="G34" s="51">
        <v>20.7</v>
      </c>
      <c r="H34" s="51"/>
      <c r="I34" s="51"/>
      <c r="J34" s="70" t="s">
        <v>208</v>
      </c>
      <c r="K34" s="51">
        <v>2</v>
      </c>
      <c r="L34" s="31">
        <f>VLOOKUP(K34,Reinigungstage!A10:D31,4,FALSE)</f>
        <v>104.91</v>
      </c>
      <c r="M34" s="31">
        <f t="shared" si="0"/>
        <v>2171.64</v>
      </c>
      <c r="N34" s="87">
        <f t="shared" si="1"/>
        <v>0</v>
      </c>
      <c r="O34" s="31">
        <f ca="1">IF('SVS UnterhaltsRG'!H61="",0,'SVS UnterhaltsRG'!H61)</f>
        <v>0</v>
      </c>
      <c r="P34" s="31">
        <f t="shared" si="2"/>
        <v>0</v>
      </c>
      <c r="Q34" s="31">
        <f t="shared" ca="1" si="3"/>
        <v>0</v>
      </c>
      <c r="R34" s="31">
        <f t="shared" si="4"/>
        <v>0</v>
      </c>
      <c r="S34" s="31">
        <f t="shared" ca="1" si="5"/>
        <v>0</v>
      </c>
      <c r="T34" s="3" t="str">
        <f t="shared" si="6"/>
        <v>Leistungswert eintragen</v>
      </c>
      <c r="U34" s="3">
        <f t="shared" si="7"/>
        <v>168.75</v>
      </c>
      <c r="V34" s="3">
        <f t="shared" si="8"/>
        <v>0</v>
      </c>
    </row>
    <row r="35" spans="1:22" ht="15" customHeight="1" x14ac:dyDescent="0.2">
      <c r="A35" s="70">
        <v>14</v>
      </c>
      <c r="B35" s="84"/>
      <c r="C35" s="85" t="s">
        <v>281</v>
      </c>
      <c r="D35" s="85"/>
      <c r="E35" s="85" t="s">
        <v>224</v>
      </c>
      <c r="F35" s="85" t="s">
        <v>206</v>
      </c>
      <c r="G35" s="51">
        <v>48</v>
      </c>
      <c r="H35" s="51"/>
      <c r="I35" s="51"/>
      <c r="J35" s="70" t="s">
        <v>278</v>
      </c>
      <c r="K35" s="51">
        <v>3</v>
      </c>
      <c r="L35" s="31">
        <f>VLOOKUP(K35,Reinigungstage!A10:D31,4,FALSE)</f>
        <v>151.5</v>
      </c>
      <c r="M35" s="31">
        <f t="shared" si="0"/>
        <v>7272</v>
      </c>
      <c r="N35" s="87">
        <f t="shared" si="1"/>
        <v>0</v>
      </c>
      <c r="O35" s="31">
        <f ca="1">IF('SVS UnterhaltsRG'!H61="",0,'SVS UnterhaltsRG'!H61)</f>
        <v>0</v>
      </c>
      <c r="P35" s="31">
        <f t="shared" si="2"/>
        <v>0</v>
      </c>
      <c r="Q35" s="31">
        <f t="shared" ca="1" si="3"/>
        <v>0</v>
      </c>
      <c r="R35" s="31">
        <f t="shared" si="4"/>
        <v>0</v>
      </c>
      <c r="S35" s="31">
        <f t="shared" ca="1" si="5"/>
        <v>0</v>
      </c>
      <c r="T35" s="3" t="str">
        <f t="shared" si="6"/>
        <v>Leistungswert eintragen</v>
      </c>
      <c r="U35" s="3">
        <f t="shared" si="7"/>
        <v>300</v>
      </c>
      <c r="V35" s="3">
        <f t="shared" si="8"/>
        <v>0</v>
      </c>
    </row>
    <row r="36" spans="1:22" ht="15" customHeight="1" x14ac:dyDescent="0.2">
      <c r="A36" s="70">
        <v>15</v>
      </c>
      <c r="B36" s="84"/>
      <c r="C36" s="85" t="s">
        <v>281</v>
      </c>
      <c r="D36" s="85" t="s">
        <v>316</v>
      </c>
      <c r="E36" s="85" t="s">
        <v>279</v>
      </c>
      <c r="F36" s="85" t="s">
        <v>317</v>
      </c>
      <c r="G36" s="51">
        <v>10.9</v>
      </c>
      <c r="H36" s="51"/>
      <c r="I36" s="51"/>
      <c r="J36" s="70" t="s">
        <v>279</v>
      </c>
      <c r="K36" s="70" t="s">
        <v>136</v>
      </c>
      <c r="L36" s="31">
        <f>VLOOKUP(K36,Reinigungstage!A10:D31,4,FALSE)</f>
        <v>12</v>
      </c>
      <c r="M36" s="31">
        <f t="shared" si="0"/>
        <v>130.80000000000001</v>
      </c>
      <c r="N36" s="87">
        <f t="shared" si="1"/>
        <v>0</v>
      </c>
      <c r="O36" s="31">
        <f ca="1">IF('SVS UnterhaltsRG'!H61="",0,'SVS UnterhaltsRG'!H61)</f>
        <v>0</v>
      </c>
      <c r="P36" s="31">
        <f t="shared" si="2"/>
        <v>0</v>
      </c>
      <c r="Q36" s="31">
        <f t="shared" ca="1" si="3"/>
        <v>0</v>
      </c>
      <c r="R36" s="31">
        <f t="shared" si="4"/>
        <v>0</v>
      </c>
      <c r="S36" s="31">
        <f t="shared" ca="1" si="5"/>
        <v>0</v>
      </c>
      <c r="T36" s="3" t="str">
        <f t="shared" si="6"/>
        <v>Leistungswert eintragen</v>
      </c>
      <c r="U36" s="3">
        <f t="shared" si="7"/>
        <v>138.75</v>
      </c>
      <c r="V36" s="3">
        <f t="shared" si="8"/>
        <v>0</v>
      </c>
    </row>
    <row r="37" spans="1:22" ht="15" customHeight="1" x14ac:dyDescent="0.2">
      <c r="A37" s="70">
        <v>16</v>
      </c>
      <c r="B37" s="84">
        <v>101</v>
      </c>
      <c r="C37" s="85" t="s">
        <v>284</v>
      </c>
      <c r="D37" s="85"/>
      <c r="E37" s="85" t="s">
        <v>303</v>
      </c>
      <c r="F37" s="85" t="s">
        <v>206</v>
      </c>
      <c r="G37" s="51">
        <v>20.2</v>
      </c>
      <c r="H37" s="51"/>
      <c r="I37" s="51"/>
      <c r="J37" s="70" t="s">
        <v>208</v>
      </c>
      <c r="K37" s="51">
        <v>2</v>
      </c>
      <c r="L37" s="31">
        <f>VLOOKUP(K37,Reinigungstage!A10:D31,4,FALSE)</f>
        <v>104.91</v>
      </c>
      <c r="M37" s="31">
        <f t="shared" si="0"/>
        <v>2119.1799999999998</v>
      </c>
      <c r="N37" s="87">
        <f t="shared" si="1"/>
        <v>0</v>
      </c>
      <c r="O37" s="31">
        <f ca="1">IF('SVS UnterhaltsRG'!H61="",0,'SVS UnterhaltsRG'!H61)</f>
        <v>0</v>
      </c>
      <c r="P37" s="31">
        <f t="shared" si="2"/>
        <v>0</v>
      </c>
      <c r="Q37" s="31">
        <f t="shared" ca="1" si="3"/>
        <v>0</v>
      </c>
      <c r="R37" s="31">
        <f t="shared" si="4"/>
        <v>0</v>
      </c>
      <c r="S37" s="31">
        <f t="shared" ca="1" si="5"/>
        <v>0</v>
      </c>
      <c r="T37" s="3" t="str">
        <f t="shared" si="6"/>
        <v>Leistungswert eintragen</v>
      </c>
      <c r="U37" s="3">
        <f t="shared" si="7"/>
        <v>168.75</v>
      </c>
      <c r="V37" s="3">
        <f t="shared" si="8"/>
        <v>0</v>
      </c>
    </row>
    <row r="38" spans="1:22" ht="15" customHeight="1" x14ac:dyDescent="0.2">
      <c r="A38" s="70">
        <v>17</v>
      </c>
      <c r="B38" s="84">
        <v>102</v>
      </c>
      <c r="C38" s="85" t="s">
        <v>284</v>
      </c>
      <c r="D38" s="85"/>
      <c r="E38" s="85" t="s">
        <v>303</v>
      </c>
      <c r="F38" s="85" t="s">
        <v>206</v>
      </c>
      <c r="G38" s="51">
        <v>16.5</v>
      </c>
      <c r="H38" s="51"/>
      <c r="I38" s="51"/>
      <c r="J38" s="70" t="s">
        <v>208</v>
      </c>
      <c r="K38" s="51">
        <v>2</v>
      </c>
      <c r="L38" s="31">
        <f>VLOOKUP(K38,Reinigungstage!A10:D31,4,FALSE)</f>
        <v>104.91</v>
      </c>
      <c r="M38" s="31">
        <f t="shared" si="0"/>
        <v>1731.02</v>
      </c>
      <c r="N38" s="87">
        <f t="shared" si="1"/>
        <v>0</v>
      </c>
      <c r="O38" s="31">
        <f ca="1">IF('SVS UnterhaltsRG'!H61="",0,'SVS UnterhaltsRG'!H61)</f>
        <v>0</v>
      </c>
      <c r="P38" s="31">
        <f t="shared" si="2"/>
        <v>0</v>
      </c>
      <c r="Q38" s="31">
        <f t="shared" ca="1" si="3"/>
        <v>0</v>
      </c>
      <c r="R38" s="31">
        <f t="shared" si="4"/>
        <v>0</v>
      </c>
      <c r="S38" s="31">
        <f t="shared" ca="1" si="5"/>
        <v>0</v>
      </c>
      <c r="T38" s="3" t="str">
        <f t="shared" si="6"/>
        <v>Leistungswert eintragen</v>
      </c>
      <c r="U38" s="3">
        <f t="shared" si="7"/>
        <v>168.75</v>
      </c>
      <c r="V38" s="3">
        <f t="shared" si="8"/>
        <v>0</v>
      </c>
    </row>
    <row r="39" spans="1:22" ht="15" customHeight="1" x14ac:dyDescent="0.2">
      <c r="A39" s="70">
        <v>18</v>
      </c>
      <c r="B39" s="84">
        <v>103</v>
      </c>
      <c r="C39" s="85" t="s">
        <v>284</v>
      </c>
      <c r="D39" s="85"/>
      <c r="E39" s="85" t="s">
        <v>303</v>
      </c>
      <c r="F39" s="85" t="s">
        <v>206</v>
      </c>
      <c r="G39" s="51">
        <v>16.5</v>
      </c>
      <c r="H39" s="51"/>
      <c r="I39" s="51"/>
      <c r="J39" s="70" t="s">
        <v>208</v>
      </c>
      <c r="K39" s="51">
        <v>2</v>
      </c>
      <c r="L39" s="31">
        <f>VLOOKUP(K39,Reinigungstage!A10:D31,4,FALSE)</f>
        <v>104.91</v>
      </c>
      <c r="M39" s="31">
        <f t="shared" si="0"/>
        <v>1731.02</v>
      </c>
      <c r="N39" s="87">
        <f t="shared" si="1"/>
        <v>0</v>
      </c>
      <c r="O39" s="31">
        <f ca="1">IF('SVS UnterhaltsRG'!H61="",0,'SVS UnterhaltsRG'!H61)</f>
        <v>0</v>
      </c>
      <c r="P39" s="31">
        <f t="shared" si="2"/>
        <v>0</v>
      </c>
      <c r="Q39" s="31">
        <f t="shared" ca="1" si="3"/>
        <v>0</v>
      </c>
      <c r="R39" s="31">
        <f t="shared" si="4"/>
        <v>0</v>
      </c>
      <c r="S39" s="31">
        <f t="shared" ca="1" si="5"/>
        <v>0</v>
      </c>
      <c r="T39" s="3" t="str">
        <f t="shared" si="6"/>
        <v>Leistungswert eintragen</v>
      </c>
      <c r="U39" s="3">
        <f t="shared" si="7"/>
        <v>168.75</v>
      </c>
      <c r="V39" s="3">
        <f t="shared" si="8"/>
        <v>0</v>
      </c>
    </row>
    <row r="40" spans="1:22" ht="15" customHeight="1" x14ac:dyDescent="0.2">
      <c r="A40" s="70">
        <v>19</v>
      </c>
      <c r="B40" s="84">
        <v>104</v>
      </c>
      <c r="C40" s="85" t="s">
        <v>284</v>
      </c>
      <c r="D40" s="85"/>
      <c r="E40" s="85" t="s">
        <v>303</v>
      </c>
      <c r="F40" s="85" t="s">
        <v>206</v>
      </c>
      <c r="G40" s="51">
        <v>20.100000000000001</v>
      </c>
      <c r="H40" s="51"/>
      <c r="I40" s="51"/>
      <c r="J40" s="70" t="s">
        <v>208</v>
      </c>
      <c r="K40" s="51">
        <v>2</v>
      </c>
      <c r="L40" s="31">
        <f>VLOOKUP(K40,Reinigungstage!A10:D31,4,FALSE)</f>
        <v>104.91</v>
      </c>
      <c r="M40" s="31">
        <f t="shared" si="0"/>
        <v>2108.69</v>
      </c>
      <c r="N40" s="87">
        <f t="shared" si="1"/>
        <v>0</v>
      </c>
      <c r="O40" s="31">
        <f ca="1">IF('SVS UnterhaltsRG'!H61="",0,'SVS UnterhaltsRG'!H61)</f>
        <v>0</v>
      </c>
      <c r="P40" s="31">
        <f t="shared" si="2"/>
        <v>0</v>
      </c>
      <c r="Q40" s="31">
        <f t="shared" ca="1" si="3"/>
        <v>0</v>
      </c>
      <c r="R40" s="31">
        <f t="shared" si="4"/>
        <v>0</v>
      </c>
      <c r="S40" s="31">
        <f t="shared" ca="1" si="5"/>
        <v>0</v>
      </c>
      <c r="T40" s="3" t="str">
        <f t="shared" si="6"/>
        <v>Leistungswert eintragen</v>
      </c>
      <c r="U40" s="3">
        <f t="shared" si="7"/>
        <v>168.75</v>
      </c>
      <c r="V40" s="3">
        <f t="shared" si="8"/>
        <v>0</v>
      </c>
    </row>
    <row r="41" spans="1:22" ht="15" customHeight="1" x14ac:dyDescent="0.2">
      <c r="A41" s="70">
        <v>20</v>
      </c>
      <c r="B41" s="84" t="s">
        <v>318</v>
      </c>
      <c r="C41" s="85" t="s">
        <v>284</v>
      </c>
      <c r="D41" s="85"/>
      <c r="E41" s="85" t="s">
        <v>303</v>
      </c>
      <c r="F41" s="85" t="s">
        <v>206</v>
      </c>
      <c r="G41" s="51">
        <v>13.1</v>
      </c>
      <c r="H41" s="51"/>
      <c r="I41" s="51"/>
      <c r="J41" s="70" t="s">
        <v>208</v>
      </c>
      <c r="K41" s="51">
        <v>2</v>
      </c>
      <c r="L41" s="31">
        <f>VLOOKUP(K41,Reinigungstage!A10:D31,4,FALSE)</f>
        <v>104.91</v>
      </c>
      <c r="M41" s="31">
        <f t="shared" si="0"/>
        <v>1374.32</v>
      </c>
      <c r="N41" s="87">
        <f t="shared" si="1"/>
        <v>0</v>
      </c>
      <c r="O41" s="31">
        <f ca="1">IF('SVS UnterhaltsRG'!H61="",0,'SVS UnterhaltsRG'!H61)</f>
        <v>0</v>
      </c>
      <c r="P41" s="31">
        <f t="shared" si="2"/>
        <v>0</v>
      </c>
      <c r="Q41" s="31">
        <f t="shared" ca="1" si="3"/>
        <v>0</v>
      </c>
      <c r="R41" s="31">
        <f t="shared" si="4"/>
        <v>0</v>
      </c>
      <c r="S41" s="31">
        <f t="shared" ca="1" si="5"/>
        <v>0</v>
      </c>
      <c r="T41" s="3" t="str">
        <f t="shared" si="6"/>
        <v>Leistungswert eintragen</v>
      </c>
      <c r="U41" s="3">
        <f t="shared" si="7"/>
        <v>168.75</v>
      </c>
      <c r="V41" s="3">
        <f t="shared" si="8"/>
        <v>0</v>
      </c>
    </row>
    <row r="42" spans="1:22" ht="15" customHeight="1" x14ac:dyDescent="0.2">
      <c r="A42" s="70">
        <v>21</v>
      </c>
      <c r="B42" s="84">
        <v>105</v>
      </c>
      <c r="C42" s="85" t="s">
        <v>284</v>
      </c>
      <c r="D42" s="85"/>
      <c r="E42" s="85" t="s">
        <v>303</v>
      </c>
      <c r="F42" s="85" t="s">
        <v>206</v>
      </c>
      <c r="G42" s="51">
        <v>16.3</v>
      </c>
      <c r="H42" s="51"/>
      <c r="I42" s="51"/>
      <c r="J42" s="70" t="s">
        <v>208</v>
      </c>
      <c r="K42" s="51">
        <v>2</v>
      </c>
      <c r="L42" s="31">
        <f>VLOOKUP(K42,Reinigungstage!A10:D31,4,FALSE)</f>
        <v>104.91</v>
      </c>
      <c r="M42" s="31">
        <f t="shared" si="0"/>
        <v>1710.03</v>
      </c>
      <c r="N42" s="87">
        <f t="shared" si="1"/>
        <v>0</v>
      </c>
      <c r="O42" s="31">
        <f ca="1">IF('SVS UnterhaltsRG'!H61="",0,'SVS UnterhaltsRG'!H61)</f>
        <v>0</v>
      </c>
      <c r="P42" s="31">
        <f t="shared" si="2"/>
        <v>0</v>
      </c>
      <c r="Q42" s="31">
        <f t="shared" ca="1" si="3"/>
        <v>0</v>
      </c>
      <c r="R42" s="31">
        <f t="shared" si="4"/>
        <v>0</v>
      </c>
      <c r="S42" s="31">
        <f t="shared" ca="1" si="5"/>
        <v>0</v>
      </c>
      <c r="T42" s="3" t="str">
        <f t="shared" si="6"/>
        <v>Leistungswert eintragen</v>
      </c>
      <c r="U42" s="3">
        <f t="shared" si="7"/>
        <v>168.75</v>
      </c>
      <c r="V42" s="3">
        <f t="shared" si="8"/>
        <v>0</v>
      </c>
    </row>
    <row r="43" spans="1:22" ht="15" customHeight="1" x14ac:dyDescent="0.2">
      <c r="A43" s="70">
        <v>22</v>
      </c>
      <c r="B43" s="84">
        <v>106</v>
      </c>
      <c r="C43" s="85" t="s">
        <v>284</v>
      </c>
      <c r="D43" s="85"/>
      <c r="E43" s="85" t="s">
        <v>303</v>
      </c>
      <c r="F43" s="85" t="s">
        <v>206</v>
      </c>
      <c r="G43" s="51">
        <v>15.5</v>
      </c>
      <c r="H43" s="51"/>
      <c r="I43" s="51"/>
      <c r="J43" s="70" t="s">
        <v>208</v>
      </c>
      <c r="K43" s="51">
        <v>2</v>
      </c>
      <c r="L43" s="31">
        <f>VLOOKUP(K43,Reinigungstage!A10:D31,4,FALSE)</f>
        <v>104.91</v>
      </c>
      <c r="M43" s="31">
        <f t="shared" si="0"/>
        <v>1626.11</v>
      </c>
      <c r="N43" s="87">
        <f t="shared" si="1"/>
        <v>0</v>
      </c>
      <c r="O43" s="31">
        <f ca="1">IF('SVS UnterhaltsRG'!H61="",0,'SVS UnterhaltsRG'!H61)</f>
        <v>0</v>
      </c>
      <c r="P43" s="31">
        <f t="shared" si="2"/>
        <v>0</v>
      </c>
      <c r="Q43" s="31">
        <f t="shared" ca="1" si="3"/>
        <v>0</v>
      </c>
      <c r="R43" s="31">
        <f t="shared" si="4"/>
        <v>0</v>
      </c>
      <c r="S43" s="31">
        <f t="shared" ca="1" si="5"/>
        <v>0</v>
      </c>
      <c r="T43" s="3" t="str">
        <f t="shared" si="6"/>
        <v>Leistungswert eintragen</v>
      </c>
      <c r="U43" s="3">
        <f t="shared" si="7"/>
        <v>168.75</v>
      </c>
      <c r="V43" s="3">
        <f t="shared" si="8"/>
        <v>0</v>
      </c>
    </row>
    <row r="44" spans="1:22" ht="15" customHeight="1" x14ac:dyDescent="0.2">
      <c r="A44" s="70">
        <v>23</v>
      </c>
      <c r="B44" s="84">
        <v>107</v>
      </c>
      <c r="C44" s="85" t="s">
        <v>284</v>
      </c>
      <c r="D44" s="85"/>
      <c r="E44" s="85" t="s">
        <v>303</v>
      </c>
      <c r="F44" s="85" t="s">
        <v>206</v>
      </c>
      <c r="G44" s="51">
        <v>13.3</v>
      </c>
      <c r="H44" s="51"/>
      <c r="I44" s="51"/>
      <c r="J44" s="70" t="s">
        <v>208</v>
      </c>
      <c r="K44" s="51">
        <v>2</v>
      </c>
      <c r="L44" s="31">
        <f>VLOOKUP(K44,Reinigungstage!A10:D31,4,FALSE)</f>
        <v>104.91</v>
      </c>
      <c r="M44" s="31">
        <f t="shared" si="0"/>
        <v>1395.3</v>
      </c>
      <c r="N44" s="87">
        <f t="shared" si="1"/>
        <v>0</v>
      </c>
      <c r="O44" s="31">
        <f ca="1">IF('SVS UnterhaltsRG'!H61="",0,'SVS UnterhaltsRG'!H61)</f>
        <v>0</v>
      </c>
      <c r="P44" s="31">
        <f t="shared" si="2"/>
        <v>0</v>
      </c>
      <c r="Q44" s="31">
        <f t="shared" ca="1" si="3"/>
        <v>0</v>
      </c>
      <c r="R44" s="31">
        <f t="shared" si="4"/>
        <v>0</v>
      </c>
      <c r="S44" s="31">
        <f t="shared" ca="1" si="5"/>
        <v>0</v>
      </c>
      <c r="T44" s="3" t="str">
        <f t="shared" si="6"/>
        <v>Leistungswert eintragen</v>
      </c>
      <c r="U44" s="3">
        <f t="shared" si="7"/>
        <v>168.75</v>
      </c>
      <c r="V44" s="3">
        <f t="shared" si="8"/>
        <v>0</v>
      </c>
    </row>
    <row r="45" spans="1:22" ht="15" customHeight="1" x14ac:dyDescent="0.2">
      <c r="A45" s="70">
        <v>24</v>
      </c>
      <c r="B45" s="84" t="s">
        <v>319</v>
      </c>
      <c r="C45" s="85" t="s">
        <v>284</v>
      </c>
      <c r="D45" s="85"/>
      <c r="E45" s="85" t="s">
        <v>320</v>
      </c>
      <c r="F45" s="85" t="s">
        <v>206</v>
      </c>
      <c r="G45" s="51">
        <v>23.7</v>
      </c>
      <c r="H45" s="51"/>
      <c r="I45" s="51"/>
      <c r="J45" s="70" t="s">
        <v>275</v>
      </c>
      <c r="K45" s="51">
        <v>2</v>
      </c>
      <c r="L45" s="31">
        <f>VLOOKUP(K45,Reinigungstage!A10:D31,4,FALSE)</f>
        <v>104.91</v>
      </c>
      <c r="M45" s="31">
        <f t="shared" si="0"/>
        <v>2486.37</v>
      </c>
      <c r="N45" s="87">
        <f t="shared" si="1"/>
        <v>0</v>
      </c>
      <c r="O45" s="31">
        <f ca="1">IF('SVS UnterhaltsRG'!H61="",0,'SVS UnterhaltsRG'!H61)</f>
        <v>0</v>
      </c>
      <c r="P45" s="31">
        <f t="shared" si="2"/>
        <v>0</v>
      </c>
      <c r="Q45" s="31">
        <f t="shared" ca="1" si="3"/>
        <v>0</v>
      </c>
      <c r="R45" s="31">
        <f t="shared" si="4"/>
        <v>0</v>
      </c>
      <c r="S45" s="31">
        <f t="shared" ca="1" si="5"/>
        <v>0</v>
      </c>
      <c r="T45" s="3" t="str">
        <f t="shared" si="6"/>
        <v>Leistungswert eintragen</v>
      </c>
      <c r="U45" s="3">
        <f t="shared" si="7"/>
        <v>140</v>
      </c>
      <c r="V45" s="3">
        <f t="shared" si="8"/>
        <v>0</v>
      </c>
    </row>
    <row r="46" spans="1:22" ht="15" customHeight="1" x14ac:dyDescent="0.2">
      <c r="A46" s="70">
        <v>25</v>
      </c>
      <c r="B46" s="84">
        <v>108</v>
      </c>
      <c r="C46" s="85" t="s">
        <v>284</v>
      </c>
      <c r="D46" s="85"/>
      <c r="E46" s="85" t="s">
        <v>303</v>
      </c>
      <c r="F46" s="85" t="s">
        <v>206</v>
      </c>
      <c r="G46" s="51">
        <v>15.6</v>
      </c>
      <c r="H46" s="51"/>
      <c r="I46" s="51"/>
      <c r="J46" s="70" t="s">
        <v>208</v>
      </c>
      <c r="K46" s="51">
        <v>2</v>
      </c>
      <c r="L46" s="31">
        <f>VLOOKUP(K46,Reinigungstage!A10:D31,4,FALSE)</f>
        <v>104.91</v>
      </c>
      <c r="M46" s="31">
        <f t="shared" si="0"/>
        <v>1636.6</v>
      </c>
      <c r="N46" s="87">
        <f t="shared" si="1"/>
        <v>0</v>
      </c>
      <c r="O46" s="31">
        <f ca="1">IF('SVS UnterhaltsRG'!H61="",0,'SVS UnterhaltsRG'!H61)</f>
        <v>0</v>
      </c>
      <c r="P46" s="31">
        <f t="shared" si="2"/>
        <v>0</v>
      </c>
      <c r="Q46" s="31">
        <f t="shared" ca="1" si="3"/>
        <v>0</v>
      </c>
      <c r="R46" s="31">
        <f t="shared" si="4"/>
        <v>0</v>
      </c>
      <c r="S46" s="31">
        <f t="shared" ca="1" si="5"/>
        <v>0</v>
      </c>
      <c r="T46" s="3" t="str">
        <f t="shared" si="6"/>
        <v>Leistungswert eintragen</v>
      </c>
      <c r="U46" s="3">
        <f t="shared" si="7"/>
        <v>168.75</v>
      </c>
      <c r="V46" s="3">
        <f t="shared" si="8"/>
        <v>0</v>
      </c>
    </row>
    <row r="47" spans="1:22" ht="15" customHeight="1" x14ac:dyDescent="0.2">
      <c r="A47" s="70">
        <v>26</v>
      </c>
      <c r="B47" s="84">
        <v>109</v>
      </c>
      <c r="C47" s="85" t="s">
        <v>284</v>
      </c>
      <c r="D47" s="85"/>
      <c r="E47" s="85" t="s">
        <v>303</v>
      </c>
      <c r="F47" s="85" t="s">
        <v>206</v>
      </c>
      <c r="G47" s="51">
        <v>20.7</v>
      </c>
      <c r="H47" s="51"/>
      <c r="I47" s="51"/>
      <c r="J47" s="70" t="s">
        <v>208</v>
      </c>
      <c r="K47" s="51">
        <v>2</v>
      </c>
      <c r="L47" s="31">
        <f>VLOOKUP(K47,Reinigungstage!A10:D31,4,FALSE)</f>
        <v>104.91</v>
      </c>
      <c r="M47" s="31">
        <f t="shared" si="0"/>
        <v>2171.64</v>
      </c>
      <c r="N47" s="87">
        <f t="shared" si="1"/>
        <v>0</v>
      </c>
      <c r="O47" s="31">
        <f ca="1">IF('SVS UnterhaltsRG'!H61="",0,'SVS UnterhaltsRG'!H61)</f>
        <v>0</v>
      </c>
      <c r="P47" s="31">
        <f t="shared" si="2"/>
        <v>0</v>
      </c>
      <c r="Q47" s="31">
        <f t="shared" ca="1" si="3"/>
        <v>0</v>
      </c>
      <c r="R47" s="31">
        <f t="shared" si="4"/>
        <v>0</v>
      </c>
      <c r="S47" s="31">
        <f t="shared" ca="1" si="5"/>
        <v>0</v>
      </c>
      <c r="T47" s="3" t="str">
        <f t="shared" si="6"/>
        <v>Leistungswert eintragen</v>
      </c>
      <c r="U47" s="3">
        <f t="shared" si="7"/>
        <v>168.75</v>
      </c>
      <c r="V47" s="3">
        <f t="shared" si="8"/>
        <v>0</v>
      </c>
    </row>
    <row r="48" spans="1:22" ht="15" customHeight="1" x14ac:dyDescent="0.2">
      <c r="A48" s="70">
        <v>27</v>
      </c>
      <c r="B48" s="84" t="s">
        <v>321</v>
      </c>
      <c r="C48" s="85" t="s">
        <v>284</v>
      </c>
      <c r="D48" s="85"/>
      <c r="E48" s="85" t="s">
        <v>303</v>
      </c>
      <c r="F48" s="85" t="s">
        <v>206</v>
      </c>
      <c r="G48" s="51">
        <v>23.4</v>
      </c>
      <c r="H48" s="51"/>
      <c r="I48" s="51"/>
      <c r="J48" s="70" t="s">
        <v>208</v>
      </c>
      <c r="K48" s="51">
        <v>2</v>
      </c>
      <c r="L48" s="31">
        <f>VLOOKUP(K48,Reinigungstage!A10:D31,4,FALSE)</f>
        <v>104.91</v>
      </c>
      <c r="M48" s="31">
        <f t="shared" si="0"/>
        <v>2454.89</v>
      </c>
      <c r="N48" s="87">
        <f t="shared" si="1"/>
        <v>0</v>
      </c>
      <c r="O48" s="31">
        <f ca="1">IF('SVS UnterhaltsRG'!H61="",0,'SVS UnterhaltsRG'!H61)</f>
        <v>0</v>
      </c>
      <c r="P48" s="31">
        <f t="shared" si="2"/>
        <v>0</v>
      </c>
      <c r="Q48" s="31">
        <f t="shared" ca="1" si="3"/>
        <v>0</v>
      </c>
      <c r="R48" s="31">
        <f t="shared" si="4"/>
        <v>0</v>
      </c>
      <c r="S48" s="31">
        <f t="shared" ca="1" si="5"/>
        <v>0</v>
      </c>
      <c r="T48" s="3" t="str">
        <f t="shared" si="6"/>
        <v>Leistungswert eintragen</v>
      </c>
      <c r="U48" s="3">
        <f t="shared" si="7"/>
        <v>168.75</v>
      </c>
      <c r="V48" s="3">
        <f t="shared" si="8"/>
        <v>0</v>
      </c>
    </row>
    <row r="49" spans="1:22" ht="15" customHeight="1" x14ac:dyDescent="0.2">
      <c r="A49" s="70">
        <v>28</v>
      </c>
      <c r="B49" s="84" t="s">
        <v>322</v>
      </c>
      <c r="C49" s="85" t="s">
        <v>284</v>
      </c>
      <c r="D49" s="85"/>
      <c r="E49" s="85" t="s">
        <v>303</v>
      </c>
      <c r="F49" s="85" t="s">
        <v>206</v>
      </c>
      <c r="G49" s="51">
        <v>25.6</v>
      </c>
      <c r="H49" s="51"/>
      <c r="I49" s="51"/>
      <c r="J49" s="70" t="s">
        <v>208</v>
      </c>
      <c r="K49" s="51">
        <v>2</v>
      </c>
      <c r="L49" s="31">
        <f>VLOOKUP(K49,Reinigungstage!A10:D31,4,FALSE)</f>
        <v>104.91</v>
      </c>
      <c r="M49" s="31">
        <f t="shared" si="0"/>
        <v>2685.7</v>
      </c>
      <c r="N49" s="87">
        <f t="shared" si="1"/>
        <v>0</v>
      </c>
      <c r="O49" s="31">
        <f ca="1">IF('SVS UnterhaltsRG'!H61="",0,'SVS UnterhaltsRG'!H61)</f>
        <v>0</v>
      </c>
      <c r="P49" s="31">
        <f t="shared" si="2"/>
        <v>0</v>
      </c>
      <c r="Q49" s="31">
        <f t="shared" ca="1" si="3"/>
        <v>0</v>
      </c>
      <c r="R49" s="31">
        <f t="shared" si="4"/>
        <v>0</v>
      </c>
      <c r="S49" s="31">
        <f t="shared" ca="1" si="5"/>
        <v>0</v>
      </c>
      <c r="T49" s="3" t="str">
        <f t="shared" si="6"/>
        <v>Leistungswert eintragen</v>
      </c>
      <c r="U49" s="3">
        <f t="shared" si="7"/>
        <v>168.75</v>
      </c>
      <c r="V49" s="3">
        <f t="shared" si="8"/>
        <v>0</v>
      </c>
    </row>
    <row r="50" spans="1:22" ht="15" customHeight="1" x14ac:dyDescent="0.2">
      <c r="A50" s="70">
        <v>29</v>
      </c>
      <c r="B50" s="84" t="s">
        <v>323</v>
      </c>
      <c r="C50" s="85" t="s">
        <v>284</v>
      </c>
      <c r="D50" s="85"/>
      <c r="E50" s="85" t="s">
        <v>303</v>
      </c>
      <c r="F50" s="85" t="s">
        <v>206</v>
      </c>
      <c r="G50" s="51">
        <v>27.4</v>
      </c>
      <c r="H50" s="51"/>
      <c r="I50" s="51"/>
      <c r="J50" s="70" t="s">
        <v>208</v>
      </c>
      <c r="K50" s="51">
        <v>2</v>
      </c>
      <c r="L50" s="31">
        <f>VLOOKUP(K50,Reinigungstage!A10:D31,4,FALSE)</f>
        <v>104.91</v>
      </c>
      <c r="M50" s="31">
        <f t="shared" si="0"/>
        <v>2874.53</v>
      </c>
      <c r="N50" s="87">
        <f t="shared" si="1"/>
        <v>0</v>
      </c>
      <c r="O50" s="31">
        <f ca="1">IF('SVS UnterhaltsRG'!H61="",0,'SVS UnterhaltsRG'!H61)</f>
        <v>0</v>
      </c>
      <c r="P50" s="31">
        <f t="shared" si="2"/>
        <v>0</v>
      </c>
      <c r="Q50" s="31">
        <f t="shared" ca="1" si="3"/>
        <v>0</v>
      </c>
      <c r="R50" s="31">
        <f t="shared" si="4"/>
        <v>0</v>
      </c>
      <c r="S50" s="31">
        <f t="shared" ca="1" si="5"/>
        <v>0</v>
      </c>
      <c r="T50" s="3" t="str">
        <f t="shared" si="6"/>
        <v>Leistungswert eintragen</v>
      </c>
      <c r="U50" s="3">
        <f t="shared" si="7"/>
        <v>168.75</v>
      </c>
      <c r="V50" s="3">
        <f t="shared" si="8"/>
        <v>0</v>
      </c>
    </row>
    <row r="51" spans="1:22" ht="15" customHeight="1" x14ac:dyDescent="0.2">
      <c r="A51" s="70">
        <v>30</v>
      </c>
      <c r="B51" s="84" t="s">
        <v>324</v>
      </c>
      <c r="C51" s="85" t="s">
        <v>284</v>
      </c>
      <c r="D51" s="85"/>
      <c r="E51" s="85" t="s">
        <v>303</v>
      </c>
      <c r="F51" s="85" t="s">
        <v>206</v>
      </c>
      <c r="G51" s="51">
        <v>14.1</v>
      </c>
      <c r="H51" s="51"/>
      <c r="I51" s="51"/>
      <c r="J51" s="70" t="s">
        <v>208</v>
      </c>
      <c r="K51" s="51">
        <v>2</v>
      </c>
      <c r="L51" s="31">
        <f>VLOOKUP(K51,Reinigungstage!A10:D31,4,FALSE)</f>
        <v>104.91</v>
      </c>
      <c r="M51" s="31">
        <f t="shared" si="0"/>
        <v>1479.23</v>
      </c>
      <c r="N51" s="87">
        <f t="shared" si="1"/>
        <v>0</v>
      </c>
      <c r="O51" s="31">
        <f ca="1">IF('SVS UnterhaltsRG'!H61="",0,'SVS UnterhaltsRG'!H61)</f>
        <v>0</v>
      </c>
      <c r="P51" s="31">
        <f t="shared" si="2"/>
        <v>0</v>
      </c>
      <c r="Q51" s="31">
        <f t="shared" ca="1" si="3"/>
        <v>0</v>
      </c>
      <c r="R51" s="31">
        <f t="shared" si="4"/>
        <v>0</v>
      </c>
      <c r="S51" s="31">
        <f t="shared" ca="1" si="5"/>
        <v>0</v>
      </c>
      <c r="T51" s="3" t="str">
        <f t="shared" si="6"/>
        <v>Leistungswert eintragen</v>
      </c>
      <c r="U51" s="3">
        <f t="shared" si="7"/>
        <v>168.75</v>
      </c>
      <c r="V51" s="3">
        <f t="shared" si="8"/>
        <v>0</v>
      </c>
    </row>
    <row r="52" spans="1:22" ht="15" customHeight="1" x14ac:dyDescent="0.2">
      <c r="A52" s="70">
        <v>31</v>
      </c>
      <c r="B52" s="84" t="s">
        <v>325</v>
      </c>
      <c r="C52" s="85" t="s">
        <v>284</v>
      </c>
      <c r="D52" s="85"/>
      <c r="E52" s="85" t="s">
        <v>231</v>
      </c>
      <c r="F52" s="85" t="s">
        <v>206</v>
      </c>
      <c r="G52" s="51">
        <v>14.2</v>
      </c>
      <c r="H52" s="51"/>
      <c r="I52" s="51"/>
      <c r="J52" s="70" t="s">
        <v>280</v>
      </c>
      <c r="K52" s="70" t="s">
        <v>139</v>
      </c>
      <c r="L52" s="31">
        <f>VLOOKUP(K52,Reinigungstage!A10:D31,4,FALSE)</f>
        <v>4</v>
      </c>
      <c r="M52" s="31">
        <f t="shared" si="0"/>
        <v>56.8</v>
      </c>
      <c r="N52" s="87">
        <f t="shared" si="1"/>
        <v>0</v>
      </c>
      <c r="O52" s="31">
        <f ca="1">IF('SVS UnterhaltsRG'!H61="",0,'SVS UnterhaltsRG'!H61)</f>
        <v>0</v>
      </c>
      <c r="P52" s="31">
        <f t="shared" si="2"/>
        <v>0</v>
      </c>
      <c r="Q52" s="31">
        <f t="shared" ca="1" si="3"/>
        <v>0</v>
      </c>
      <c r="R52" s="31">
        <f t="shared" si="4"/>
        <v>0</v>
      </c>
      <c r="S52" s="31">
        <f t="shared" ca="1" si="5"/>
        <v>0</v>
      </c>
      <c r="T52" s="3" t="str">
        <f t="shared" si="6"/>
        <v>Leistungswert eintragen</v>
      </c>
      <c r="U52" s="3">
        <f t="shared" si="7"/>
        <v>262.5</v>
      </c>
      <c r="V52" s="3">
        <f t="shared" si="8"/>
        <v>0</v>
      </c>
    </row>
    <row r="53" spans="1:22" ht="15" customHeight="1" x14ac:dyDescent="0.2">
      <c r="A53" s="70">
        <v>32</v>
      </c>
      <c r="B53" s="84" t="s">
        <v>326</v>
      </c>
      <c r="C53" s="85" t="s">
        <v>284</v>
      </c>
      <c r="D53" s="85"/>
      <c r="E53" s="85" t="s">
        <v>327</v>
      </c>
      <c r="F53" s="85" t="s">
        <v>206</v>
      </c>
      <c r="G53" s="51">
        <v>21</v>
      </c>
      <c r="H53" s="51"/>
      <c r="I53" s="51"/>
      <c r="J53" s="70" t="s">
        <v>277</v>
      </c>
      <c r="K53" s="51">
        <v>2</v>
      </c>
      <c r="L53" s="31">
        <f>VLOOKUP(K53,Reinigungstage!A10:D31,4,FALSE)</f>
        <v>104.91</v>
      </c>
      <c r="M53" s="31">
        <f t="shared" si="0"/>
        <v>2203.11</v>
      </c>
      <c r="N53" s="87">
        <f t="shared" si="1"/>
        <v>0</v>
      </c>
      <c r="O53" s="31">
        <f ca="1">IF('SVS UnterhaltsRG'!H61="",0,'SVS UnterhaltsRG'!H61)</f>
        <v>0</v>
      </c>
      <c r="P53" s="31">
        <f t="shared" si="2"/>
        <v>0</v>
      </c>
      <c r="Q53" s="31">
        <f t="shared" ca="1" si="3"/>
        <v>0</v>
      </c>
      <c r="R53" s="31">
        <f t="shared" si="4"/>
        <v>0</v>
      </c>
      <c r="S53" s="31">
        <f t="shared" ca="1" si="5"/>
        <v>0</v>
      </c>
      <c r="T53" s="3" t="str">
        <f t="shared" si="6"/>
        <v>Leistungswert eintragen</v>
      </c>
      <c r="U53" s="3">
        <f t="shared" si="7"/>
        <v>88.75</v>
      </c>
      <c r="V53" s="3">
        <f t="shared" si="8"/>
        <v>0</v>
      </c>
    </row>
    <row r="54" spans="1:22" ht="15" customHeight="1" x14ac:dyDescent="0.2">
      <c r="A54" s="70">
        <v>33</v>
      </c>
      <c r="B54" s="84"/>
      <c r="C54" s="85" t="s">
        <v>284</v>
      </c>
      <c r="D54" s="85"/>
      <c r="E54" s="85" t="s">
        <v>328</v>
      </c>
      <c r="F54" s="85" t="s">
        <v>206</v>
      </c>
      <c r="G54" s="51">
        <v>128.80000000000001</v>
      </c>
      <c r="H54" s="51"/>
      <c r="I54" s="51"/>
      <c r="J54" s="70" t="s">
        <v>278</v>
      </c>
      <c r="K54" s="51">
        <v>3</v>
      </c>
      <c r="L54" s="31">
        <f>VLOOKUP(K54,Reinigungstage!A10:D31,4,FALSE)</f>
        <v>151.5</v>
      </c>
      <c r="M54" s="31">
        <f t="shared" si="0"/>
        <v>19513.2</v>
      </c>
      <c r="N54" s="87">
        <f t="shared" si="1"/>
        <v>0</v>
      </c>
      <c r="O54" s="31">
        <f ca="1">IF('SVS UnterhaltsRG'!H61="",0,'SVS UnterhaltsRG'!H61)</f>
        <v>0</v>
      </c>
      <c r="P54" s="31">
        <f t="shared" si="2"/>
        <v>0</v>
      </c>
      <c r="Q54" s="31">
        <f t="shared" ca="1" si="3"/>
        <v>0</v>
      </c>
      <c r="R54" s="31">
        <f t="shared" si="4"/>
        <v>0</v>
      </c>
      <c r="S54" s="31">
        <f t="shared" ca="1" si="5"/>
        <v>0</v>
      </c>
      <c r="T54" s="3" t="str">
        <f t="shared" si="6"/>
        <v>Leistungswert eintragen</v>
      </c>
      <c r="U54" s="3">
        <f t="shared" si="7"/>
        <v>300</v>
      </c>
      <c r="V54" s="3">
        <f t="shared" si="8"/>
        <v>0</v>
      </c>
    </row>
    <row r="55" spans="1:22" ht="15" customHeight="1" x14ac:dyDescent="0.2">
      <c r="A55" s="70">
        <v>34</v>
      </c>
      <c r="B55" s="84"/>
      <c r="C55" s="85" t="s">
        <v>284</v>
      </c>
      <c r="D55" s="85"/>
      <c r="E55" s="85" t="s">
        <v>289</v>
      </c>
      <c r="F55" s="85" t="s">
        <v>217</v>
      </c>
      <c r="G55" s="51">
        <v>7.3</v>
      </c>
      <c r="H55" s="51"/>
      <c r="I55" s="51"/>
      <c r="J55" s="70" t="s">
        <v>276</v>
      </c>
      <c r="K55" s="51">
        <v>3</v>
      </c>
      <c r="L55" s="31">
        <f>VLOOKUP(K55,Reinigungstage!A10:D31,4,FALSE)</f>
        <v>151.5</v>
      </c>
      <c r="M55" s="31">
        <f t="shared" si="0"/>
        <v>1105.95</v>
      </c>
      <c r="N55" s="87">
        <f t="shared" si="1"/>
        <v>0</v>
      </c>
      <c r="O55" s="31">
        <f ca="1">IF('SVS UnterhaltsRG'!H61="",0,'SVS UnterhaltsRG'!H61)</f>
        <v>0</v>
      </c>
      <c r="P55" s="31">
        <f t="shared" si="2"/>
        <v>0</v>
      </c>
      <c r="Q55" s="31">
        <f t="shared" ca="1" si="3"/>
        <v>0</v>
      </c>
      <c r="R55" s="31">
        <f t="shared" si="4"/>
        <v>0</v>
      </c>
      <c r="S55" s="31">
        <f t="shared" ca="1" si="5"/>
        <v>0</v>
      </c>
      <c r="T55" s="3" t="str">
        <f t="shared" si="6"/>
        <v>Leistungswert eintragen</v>
      </c>
      <c r="U55" s="3">
        <f t="shared" si="7"/>
        <v>63.75</v>
      </c>
      <c r="V55" s="3">
        <f t="shared" si="8"/>
        <v>0</v>
      </c>
    </row>
    <row r="56" spans="1:22" ht="15" customHeight="1" x14ac:dyDescent="0.2">
      <c r="A56" s="70">
        <v>35</v>
      </c>
      <c r="B56" s="84"/>
      <c r="C56" s="85" t="s">
        <v>284</v>
      </c>
      <c r="D56" s="85"/>
      <c r="E56" s="85" t="s">
        <v>279</v>
      </c>
      <c r="F56" s="85" t="s">
        <v>206</v>
      </c>
      <c r="G56" s="51">
        <v>13.4</v>
      </c>
      <c r="H56" s="51"/>
      <c r="I56" s="51"/>
      <c r="J56" s="70" t="s">
        <v>279</v>
      </c>
      <c r="K56" s="51">
        <v>3</v>
      </c>
      <c r="L56" s="31">
        <f>VLOOKUP(K56,Reinigungstage!A10:D31,4,FALSE)</f>
        <v>151.5</v>
      </c>
      <c r="M56" s="31">
        <f t="shared" si="0"/>
        <v>2030.1</v>
      </c>
      <c r="N56" s="87">
        <f t="shared" si="1"/>
        <v>0</v>
      </c>
      <c r="O56" s="31">
        <f ca="1">IF('SVS UnterhaltsRG'!H61="",0,'SVS UnterhaltsRG'!H61)</f>
        <v>0</v>
      </c>
      <c r="P56" s="31">
        <f t="shared" si="2"/>
        <v>0</v>
      </c>
      <c r="Q56" s="31">
        <f t="shared" ca="1" si="3"/>
        <v>0</v>
      </c>
      <c r="R56" s="31">
        <f t="shared" si="4"/>
        <v>0</v>
      </c>
      <c r="S56" s="31">
        <f t="shared" ca="1" si="5"/>
        <v>0</v>
      </c>
      <c r="T56" s="3" t="str">
        <f t="shared" si="6"/>
        <v>Leistungswert eintragen</v>
      </c>
      <c r="U56" s="3">
        <f t="shared" si="7"/>
        <v>138.75</v>
      </c>
      <c r="V56" s="3">
        <f t="shared" si="8"/>
        <v>0</v>
      </c>
    </row>
    <row r="57" spans="1:22" ht="15" customHeight="1" x14ac:dyDescent="0.2">
      <c r="A57" s="70">
        <v>36</v>
      </c>
      <c r="B57" s="84"/>
      <c r="C57" s="85" t="s">
        <v>252</v>
      </c>
      <c r="D57" s="85"/>
      <c r="E57" s="85" t="s">
        <v>303</v>
      </c>
      <c r="F57" s="85" t="s">
        <v>206</v>
      </c>
      <c r="G57" s="51">
        <v>78.3</v>
      </c>
      <c r="H57" s="51"/>
      <c r="I57" s="51"/>
      <c r="J57" s="70" t="s">
        <v>208</v>
      </c>
      <c r="K57" s="51">
        <v>2</v>
      </c>
      <c r="L57" s="31">
        <f>VLOOKUP(K57,Reinigungstage!A10:D31,4,FALSE)</f>
        <v>104.91</v>
      </c>
      <c r="M57" s="31">
        <f t="shared" si="0"/>
        <v>8214.4500000000007</v>
      </c>
      <c r="N57" s="87">
        <f t="shared" si="1"/>
        <v>0</v>
      </c>
      <c r="O57" s="31">
        <f ca="1">IF('SVS UnterhaltsRG'!H61="",0,'SVS UnterhaltsRG'!H61)</f>
        <v>0</v>
      </c>
      <c r="P57" s="31">
        <f t="shared" si="2"/>
        <v>0</v>
      </c>
      <c r="Q57" s="31">
        <f t="shared" ca="1" si="3"/>
        <v>0</v>
      </c>
      <c r="R57" s="31">
        <f t="shared" si="4"/>
        <v>0</v>
      </c>
      <c r="S57" s="31">
        <f t="shared" ca="1" si="5"/>
        <v>0</v>
      </c>
      <c r="T57" s="3" t="str">
        <f t="shared" si="6"/>
        <v>Leistungswert eintragen</v>
      </c>
      <c r="U57" s="3">
        <f t="shared" si="7"/>
        <v>168.75</v>
      </c>
      <c r="V57" s="3">
        <f t="shared" si="8"/>
        <v>0</v>
      </c>
    </row>
    <row r="58" spans="1:22" ht="15" customHeight="1" x14ac:dyDescent="0.2">
      <c r="A58" s="70">
        <v>37</v>
      </c>
      <c r="B58" s="84"/>
      <c r="C58" s="85" t="s">
        <v>252</v>
      </c>
      <c r="D58" s="85"/>
      <c r="E58" s="85" t="s">
        <v>329</v>
      </c>
      <c r="F58" s="85" t="s">
        <v>206</v>
      </c>
      <c r="G58" s="51">
        <v>162.35</v>
      </c>
      <c r="H58" s="51"/>
      <c r="I58" s="51"/>
      <c r="J58" s="70" t="s">
        <v>208</v>
      </c>
      <c r="K58" s="51">
        <v>2</v>
      </c>
      <c r="L58" s="31">
        <f>VLOOKUP(K58,Reinigungstage!A10:D31,4,FALSE)</f>
        <v>104.91</v>
      </c>
      <c r="M58" s="31">
        <f t="shared" si="0"/>
        <v>17032.14</v>
      </c>
      <c r="N58" s="87">
        <f t="shared" si="1"/>
        <v>0</v>
      </c>
      <c r="O58" s="31">
        <f ca="1">IF('SVS UnterhaltsRG'!H61="",0,'SVS UnterhaltsRG'!H61)</f>
        <v>0</v>
      </c>
      <c r="P58" s="31">
        <f t="shared" si="2"/>
        <v>0</v>
      </c>
      <c r="Q58" s="31">
        <f t="shared" ca="1" si="3"/>
        <v>0</v>
      </c>
      <c r="R58" s="31">
        <f t="shared" si="4"/>
        <v>0</v>
      </c>
      <c r="S58" s="31">
        <f t="shared" ca="1" si="5"/>
        <v>0</v>
      </c>
      <c r="T58" s="3" t="str">
        <f t="shared" si="6"/>
        <v>Leistungswert eintragen</v>
      </c>
      <c r="U58" s="3">
        <f t="shared" si="7"/>
        <v>168.75</v>
      </c>
      <c r="V58" s="3">
        <f t="shared" si="8"/>
        <v>0</v>
      </c>
    </row>
    <row r="59" spans="1:22" ht="15" customHeight="1" x14ac:dyDescent="0.2">
      <c r="A59" s="70">
        <v>38</v>
      </c>
      <c r="B59" s="84"/>
      <c r="C59" s="85" t="s">
        <v>252</v>
      </c>
      <c r="D59" s="85"/>
      <c r="E59" s="85" t="s">
        <v>330</v>
      </c>
      <c r="F59" s="85" t="s">
        <v>206</v>
      </c>
      <c r="G59" s="51">
        <v>9.6999999999999993</v>
      </c>
      <c r="H59" s="51"/>
      <c r="I59" s="51"/>
      <c r="J59" s="70" t="s">
        <v>277</v>
      </c>
      <c r="K59" s="51">
        <v>2</v>
      </c>
      <c r="L59" s="31">
        <f>VLOOKUP(K59,Reinigungstage!A10:D31,4,FALSE)</f>
        <v>104.91</v>
      </c>
      <c r="M59" s="31">
        <f t="shared" si="0"/>
        <v>1017.63</v>
      </c>
      <c r="N59" s="87">
        <f t="shared" si="1"/>
        <v>0</v>
      </c>
      <c r="O59" s="31">
        <f ca="1">IF('SVS UnterhaltsRG'!H61="",0,'SVS UnterhaltsRG'!H61)</f>
        <v>0</v>
      </c>
      <c r="P59" s="31">
        <f t="shared" si="2"/>
        <v>0</v>
      </c>
      <c r="Q59" s="31">
        <f t="shared" ca="1" si="3"/>
        <v>0</v>
      </c>
      <c r="R59" s="31">
        <f t="shared" si="4"/>
        <v>0</v>
      </c>
      <c r="S59" s="31">
        <f t="shared" ca="1" si="5"/>
        <v>0</v>
      </c>
      <c r="T59" s="3" t="str">
        <f t="shared" si="6"/>
        <v>Leistungswert eintragen</v>
      </c>
      <c r="U59" s="3">
        <f t="shared" si="7"/>
        <v>88.75</v>
      </c>
      <c r="V59" s="3">
        <f t="shared" si="8"/>
        <v>0</v>
      </c>
    </row>
    <row r="60" spans="1:22" ht="15" customHeight="1" x14ac:dyDescent="0.2">
      <c r="A60" s="70">
        <v>39</v>
      </c>
      <c r="B60" s="84"/>
      <c r="C60" s="85" t="s">
        <v>252</v>
      </c>
      <c r="D60" s="85"/>
      <c r="E60" s="85" t="s">
        <v>224</v>
      </c>
      <c r="F60" s="85" t="s">
        <v>206</v>
      </c>
      <c r="G60" s="51">
        <v>31.9</v>
      </c>
      <c r="H60" s="51"/>
      <c r="I60" s="51"/>
      <c r="J60" s="70" t="s">
        <v>278</v>
      </c>
      <c r="K60" s="51">
        <v>3</v>
      </c>
      <c r="L60" s="31">
        <f>VLOOKUP(K60,Reinigungstage!A10:D31,4,FALSE)</f>
        <v>151.5</v>
      </c>
      <c r="M60" s="31">
        <f t="shared" si="0"/>
        <v>4832.8500000000004</v>
      </c>
      <c r="N60" s="87">
        <f t="shared" si="1"/>
        <v>0</v>
      </c>
      <c r="O60" s="31">
        <f ca="1">IF('SVS UnterhaltsRG'!H61="",0,'SVS UnterhaltsRG'!H61)</f>
        <v>0</v>
      </c>
      <c r="P60" s="31">
        <f t="shared" si="2"/>
        <v>0</v>
      </c>
      <c r="Q60" s="31">
        <f t="shared" ca="1" si="3"/>
        <v>0</v>
      </c>
      <c r="R60" s="31">
        <f t="shared" si="4"/>
        <v>0</v>
      </c>
      <c r="S60" s="31">
        <f t="shared" ca="1" si="5"/>
        <v>0</v>
      </c>
      <c r="T60" s="3" t="str">
        <f t="shared" si="6"/>
        <v>Leistungswert eintragen</v>
      </c>
      <c r="U60" s="3">
        <f t="shared" si="7"/>
        <v>300</v>
      </c>
      <c r="V60" s="3">
        <f t="shared" si="8"/>
        <v>0</v>
      </c>
    </row>
    <row r="61" spans="1:22" ht="15" customHeight="1" x14ac:dyDescent="0.2">
      <c r="A61" s="70">
        <v>40</v>
      </c>
      <c r="B61" s="84"/>
      <c r="C61" s="85" t="s">
        <v>252</v>
      </c>
      <c r="D61" s="85"/>
      <c r="E61" s="85" t="s">
        <v>331</v>
      </c>
      <c r="F61" s="85" t="s">
        <v>217</v>
      </c>
      <c r="G61" s="51">
        <v>47.92</v>
      </c>
      <c r="H61" s="51"/>
      <c r="I61" s="51"/>
      <c r="J61" s="70" t="s">
        <v>278</v>
      </c>
      <c r="K61" s="51">
        <v>3</v>
      </c>
      <c r="L61" s="31">
        <f>VLOOKUP(K61,Reinigungstage!A10:D31,4,FALSE)</f>
        <v>151.5</v>
      </c>
      <c r="M61" s="31">
        <f t="shared" si="0"/>
        <v>7259.88</v>
      </c>
      <c r="N61" s="87">
        <f t="shared" si="1"/>
        <v>0</v>
      </c>
      <c r="O61" s="31">
        <f ca="1">IF('SVS UnterhaltsRG'!H61="",0,'SVS UnterhaltsRG'!H61)</f>
        <v>0</v>
      </c>
      <c r="P61" s="31">
        <f t="shared" si="2"/>
        <v>0</v>
      </c>
      <c r="Q61" s="31">
        <f t="shared" ca="1" si="3"/>
        <v>0</v>
      </c>
      <c r="R61" s="31">
        <f t="shared" si="4"/>
        <v>0</v>
      </c>
      <c r="S61" s="31">
        <f t="shared" ca="1" si="5"/>
        <v>0</v>
      </c>
      <c r="T61" s="3" t="str">
        <f t="shared" si="6"/>
        <v>Leistungswert eintragen</v>
      </c>
      <c r="U61" s="3">
        <f t="shared" si="7"/>
        <v>300</v>
      </c>
      <c r="V61" s="3">
        <f t="shared" si="8"/>
        <v>0</v>
      </c>
    </row>
    <row r="62" spans="1:22" ht="15" customHeight="1" x14ac:dyDescent="0.2">
      <c r="A62" s="70">
        <v>41</v>
      </c>
      <c r="B62" s="84"/>
      <c r="C62" s="85" t="s">
        <v>252</v>
      </c>
      <c r="D62" s="85"/>
      <c r="E62" s="85" t="s">
        <v>289</v>
      </c>
      <c r="F62" s="85" t="s">
        <v>217</v>
      </c>
      <c r="G62" s="51">
        <v>11.53</v>
      </c>
      <c r="H62" s="51"/>
      <c r="I62" s="51"/>
      <c r="J62" s="70" t="s">
        <v>276</v>
      </c>
      <c r="K62" s="51">
        <v>3</v>
      </c>
      <c r="L62" s="31">
        <f>VLOOKUP(K62,Reinigungstage!A10:D31,4,FALSE)</f>
        <v>151.5</v>
      </c>
      <c r="M62" s="31">
        <f t="shared" si="0"/>
        <v>1746.8</v>
      </c>
      <c r="N62" s="87">
        <f t="shared" si="1"/>
        <v>0</v>
      </c>
      <c r="O62" s="31">
        <f ca="1">IF('SVS UnterhaltsRG'!H61="",0,'SVS UnterhaltsRG'!H61)</f>
        <v>0</v>
      </c>
      <c r="P62" s="31">
        <f t="shared" si="2"/>
        <v>0</v>
      </c>
      <c r="Q62" s="31">
        <f t="shared" ca="1" si="3"/>
        <v>0</v>
      </c>
      <c r="R62" s="31">
        <f t="shared" si="4"/>
        <v>0</v>
      </c>
      <c r="S62" s="31">
        <f t="shared" ca="1" si="5"/>
        <v>0</v>
      </c>
      <c r="T62" s="3" t="str">
        <f t="shared" si="6"/>
        <v>Leistungswert eintragen</v>
      </c>
      <c r="U62" s="3">
        <f t="shared" si="7"/>
        <v>63.75</v>
      </c>
      <c r="V62" s="3">
        <f t="shared" si="8"/>
        <v>0</v>
      </c>
    </row>
    <row r="63" spans="1:22" ht="15" customHeight="1" x14ac:dyDescent="0.2">
      <c r="A63" s="70">
        <v>42</v>
      </c>
      <c r="B63" s="84"/>
      <c r="C63" s="85" t="s">
        <v>252</v>
      </c>
      <c r="D63" s="85"/>
      <c r="E63" s="85" t="s">
        <v>332</v>
      </c>
      <c r="F63" s="85" t="s">
        <v>206</v>
      </c>
      <c r="G63" s="51">
        <v>14.07</v>
      </c>
      <c r="H63" s="51"/>
      <c r="I63" s="51"/>
      <c r="J63" s="70" t="s">
        <v>279</v>
      </c>
      <c r="K63" s="51">
        <v>3</v>
      </c>
      <c r="L63" s="31">
        <f>VLOOKUP(K63,Reinigungstage!A10:D31,4,FALSE)</f>
        <v>151.5</v>
      </c>
      <c r="M63" s="31">
        <f t="shared" si="0"/>
        <v>2131.61</v>
      </c>
      <c r="N63" s="87">
        <f t="shared" si="1"/>
        <v>0</v>
      </c>
      <c r="O63" s="31">
        <f ca="1">IF('SVS UnterhaltsRG'!H61="",0,'SVS UnterhaltsRG'!H61)</f>
        <v>0</v>
      </c>
      <c r="P63" s="31">
        <f t="shared" si="2"/>
        <v>0</v>
      </c>
      <c r="Q63" s="31">
        <f t="shared" ca="1" si="3"/>
        <v>0</v>
      </c>
      <c r="R63" s="31">
        <f t="shared" si="4"/>
        <v>0</v>
      </c>
      <c r="S63" s="31">
        <f t="shared" ca="1" si="5"/>
        <v>0</v>
      </c>
      <c r="T63" s="3" t="str">
        <f t="shared" si="6"/>
        <v>Leistungswert eintragen</v>
      </c>
      <c r="U63" s="3">
        <f t="shared" si="7"/>
        <v>138.75</v>
      </c>
      <c r="V63" s="3">
        <f t="shared" si="8"/>
        <v>0</v>
      </c>
    </row>
  </sheetData>
  <sheetProtection algorithmName="SHA-512" hashValue="BeJH0nlKcYEBGjBXr7vLWQ3bGmgsFKZHGRP/I6WvlqXvN2DuwrDBoJ4aFrs7er+5sIHb/cVYJVQ6jyCNr55WCg==" saltValue="TvLJBHXmkR1EEWIKG/hWpw==" spinCount="100000" sheet="1" objects="1" scenarios="1"/>
  <sortState xmlns:xlrd2="http://schemas.microsoft.com/office/spreadsheetml/2017/richdata2" ref="U4:U10">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5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5" priority="5" operator="containsText" text="Bitte prüfen Sie diese.">
      <formula>NOT(ISERROR(SEARCH("Bitte prüfen Sie diese.",L9)))</formula>
    </cfRule>
  </conditionalFormatting>
  <conditionalFormatting sqref="L10">
    <cfRule type="containsText" dxfId="5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3" priority="3" operator="containsText" text="lediglich Fehleingaben vermeiden wollen.">
      <formula>NOT(ISERROR(SEARCH("lediglich Fehleingaben vermeiden wollen.",L11)))</formula>
    </cfRule>
  </conditionalFormatting>
  <conditionalFormatting sqref="M11">
    <cfRule type="containsText" dxfId="5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1" priority="7" operator="containsText" text="für die Objektart prüfen.">
      <formula>NOT(ISERROR(SEARCH("für die Objektart prüfen.",M12)))</formula>
    </cfRule>
  </conditionalFormatting>
  <conditionalFormatting sqref="N13">
    <cfRule type="expression" dxfId="50" priority="2" stopIfTrue="1">
      <formula>N13=0</formula>
    </cfRule>
  </conditionalFormatting>
  <conditionalFormatting sqref="N14">
    <cfRule type="expression" dxfId="49" priority="1">
      <formula>N14=0</formula>
    </cfRule>
  </conditionalFormatting>
  <conditionalFormatting sqref="N22:N63">
    <cfRule type="expression" dxfId="48" priority="11">
      <formula>V22=0</formula>
    </cfRule>
    <cfRule type="expression" dxfId="47" priority="12" stopIfTrue="1">
      <formula>V22=1</formula>
    </cfRule>
  </conditionalFormatting>
  <conditionalFormatting sqref="O13">
    <cfRule type="containsText" dxfId="4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5" priority="9" operator="containsText" text="Wert(e) prüfen.">
      <formula>NOT(ISERROR(SEARCH("Wert(e) prüfen.",O14)))</formula>
    </cfRule>
  </conditionalFormatting>
  <conditionalFormatting sqref="T22:T63">
    <cfRule type="containsText" dxfId="44" priority="13" stopIfTrue="1" operator="containsText" text="SVS prüfen">
      <formula>NOT(ISERROR(SEARCH("SVS prüfen",T22)))</formula>
    </cfRule>
    <cfRule type="containsText" dxfId="43" priority="14" stopIfTrue="1" operator="containsText" text="Leistungswert eintragen">
      <formula>NOT(ISERROR(SEARCH("Leistungswert eintragen",T22)))</formula>
    </cfRule>
  </conditionalFormatting>
  <hyperlinks>
    <hyperlink ref="M1" location="Inhaltsverzeichnis!A1" display="Zurück zum Inhaltsverzeichnis" xr:uid="{1023D086-600B-4C74-BB49-5A1389EC26CB}"/>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Verwaltung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23</vt:i4>
      </vt:variant>
    </vt:vector>
  </HeadingPairs>
  <TitlesOfParts>
    <vt:vector size="37" baseType="lpstr">
      <vt:lpstr>Inhaltsverzeichnis</vt:lpstr>
      <vt:lpstr>Preisübersicht</vt:lpstr>
      <vt:lpstr>SVS UnterhaltsRG</vt:lpstr>
      <vt:lpstr>SVS GrundRG</vt:lpstr>
      <vt:lpstr>Kal Unter Haus am See</vt:lpstr>
      <vt:lpstr>Kal Grund Haus am See</vt:lpstr>
      <vt:lpstr>Kal Unter Rathaus</vt:lpstr>
      <vt:lpstr>Kal Grund Rathaus</vt:lpstr>
      <vt:lpstr>Kal Unter Verwaltung 1</vt:lpstr>
      <vt:lpstr>Kal Grund Verwaltung 1</vt:lpstr>
      <vt:lpstr>Kal Unter Verwaltung 2</vt:lpstr>
      <vt:lpstr>Kal Grund Verwaltung 2</vt:lpstr>
      <vt:lpstr>Kal Verbrauch Gesamt</vt:lpstr>
      <vt:lpstr>Reinigungstage</vt:lpstr>
      <vt:lpstr>Inhaltsverzeichnis!Druckbereich</vt:lpstr>
      <vt:lpstr>'Kal Grund Haus am See'!Druckbereich</vt:lpstr>
      <vt:lpstr>'Kal Grund Rathaus'!Druckbereich</vt:lpstr>
      <vt:lpstr>'Kal Grund Verwaltung 1'!Druckbereich</vt:lpstr>
      <vt:lpstr>'Kal Grund Verwaltung 2'!Druckbereich</vt:lpstr>
      <vt:lpstr>'Kal Unter Haus am See'!Druckbereich</vt:lpstr>
      <vt:lpstr>'Kal Unter Rathaus'!Druckbereich</vt:lpstr>
      <vt:lpstr>'Kal Unter Verwaltung 1'!Druckbereich</vt:lpstr>
      <vt:lpstr>'Kal Unter Verwaltung 2'!Druckbereich</vt:lpstr>
      <vt:lpstr>'Kal Verbrauch Gesamt'!Druckbereich</vt:lpstr>
      <vt:lpstr>Preisübersicht!Druckbereich</vt:lpstr>
      <vt:lpstr>Reinigungstage!Druckbereich</vt:lpstr>
      <vt:lpstr>'SVS GrundRG'!Druckbereich</vt:lpstr>
      <vt:lpstr>'SVS UnterhaltsRG'!Druckbereich</vt:lpstr>
      <vt:lpstr>'Kal Grund Haus am See'!Drucktitel</vt:lpstr>
      <vt:lpstr>'Kal Grund Rathaus'!Drucktitel</vt:lpstr>
      <vt:lpstr>'Kal Grund Verwaltung 1'!Drucktitel</vt:lpstr>
      <vt:lpstr>'Kal Grund Verwaltung 2'!Drucktitel</vt:lpstr>
      <vt:lpstr>'Kal Unter Haus am See'!Drucktitel</vt:lpstr>
      <vt:lpstr>'Kal Unter Rathaus'!Drucktitel</vt:lpstr>
      <vt:lpstr>'Kal Unter Verwaltung 1'!Drucktitel</vt:lpstr>
      <vt:lpstr>'Kal Unter Verwaltung 2'!Drucktitel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2026-03-17T11:13:19Z</cp:lastPrinted>
  <dcterms:created xsi:type="dcterms:W3CDTF">2012-06-08T19:50:39Z</dcterms:created>
  <dcterms:modified xsi:type="dcterms:W3CDTF">2026-03-24T10:33:00Z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