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8.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10.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11.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1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4.xml" ContentType="application/vnd.openxmlformats-officedocument.drawing+xml"/>
  <Override PartName="/xl/ctrlProps/ctrlProp42.xml" ContentType="application/vnd.ms-excel.controlproperties+xml"/>
  <Override PartName="/xl/drawings/drawing15.xml" ContentType="application/vnd.openxmlformats-officedocument.drawing+xml"/>
  <Override PartName="/xl/ctrlProps/ctrlProp4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E2B35585-86C9-4713-B1A7-16A86CF4F3E6}" xr6:coauthVersionLast="47" xr6:coauthVersionMax="47" xr10:uidLastSave="{00000000-0000-0000-0000-000000000000}"/>
  <workbookProtection workbookAlgorithmName="SHA-512" workbookHashValue="qGXk5zNVB8EsZx/isuUBf8IR5rePu4i9SuE0TY1bzGxvsqlwUbYRSp1Iu95/RkZgFDBRtJ+EOpzu1r7xQG8MQg==" workbookSaltValue="tvtaqFyODZ84XY/uhuOXXA=="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Preisübersicht (nach Bedarf)" sheetId="23" r:id="rId3"/>
    <sheet name="SVS UnterhaltsRG" sheetId="38" r:id="rId4"/>
    <sheet name="SVS GrundRG" sheetId="29" r:id="rId5"/>
    <sheet name="Kal Unter GS Uhland" sheetId="62" r:id="rId6"/>
    <sheet name="Kal Grund GS Uhland" sheetId="65" r:id="rId7"/>
    <sheet name="Kal Unter Fer GS Uhland" sheetId="68" r:id="rId8"/>
    <sheet name="Kal Unter Bed GS Uhland" sheetId="69" r:id="rId9"/>
    <sheet name="Kal Unter JC Leo Treff" sheetId="63" r:id="rId10"/>
    <sheet name="Kal Grund JC Leo Treff" sheetId="66" r:id="rId11"/>
    <sheet name="Kal Unter Luther SH" sheetId="64" r:id="rId12"/>
    <sheet name="Kal Grund Luther SH" sheetId="67" r:id="rId13"/>
    <sheet name="Kal Verbrauch Gesamt" sheetId="26" r:id="rId14"/>
    <sheet name="Reinigungstage" sheetId="46" r:id="rId15"/>
  </sheets>
  <definedNames>
    <definedName name="berAuftragskosten" localSheetId="6">SVS #REF!</definedName>
    <definedName name="berAuftragskosten" localSheetId="10">SVS #REF!</definedName>
    <definedName name="berAuftragskosten" localSheetId="12">SVS #REF!</definedName>
    <definedName name="berAuftragskosten" localSheetId="8">SVS #REF!</definedName>
    <definedName name="berAuftragskosten" localSheetId="7">SVS #REF!</definedName>
    <definedName name="berAuftragskosten" localSheetId="5">SVS #REF!</definedName>
    <definedName name="berAuftragskosten" localSheetId="9">SVS #REF!</definedName>
    <definedName name="berAuftragskosten" localSheetId="11">SVS #REF!</definedName>
    <definedName name="berAuftragskosten">SVS #REF!</definedName>
    <definedName name="BereichSVSGrundWC">#REF!</definedName>
    <definedName name="berRGTageObjekt">#REF!</definedName>
    <definedName name="_xlnm.Print_Area" localSheetId="0">Inhaltsverzeichnis!$A$1:$L$23</definedName>
    <definedName name="_xlnm.Print_Area" localSheetId="6">'Kal Grund GS Uhland'!$A$1:$R$99</definedName>
    <definedName name="_xlnm.Print_Area" localSheetId="10">'Kal Grund JC Leo Treff'!$A$1:$R$30</definedName>
    <definedName name="_xlnm.Print_Area" localSheetId="12">'Kal Grund Luther SH'!$A$1:$R$32</definedName>
    <definedName name="_xlnm.Print_Area" localSheetId="8">'Kal Unter Bed GS Uhland'!$A$1:$S$22</definedName>
    <definedName name="_xlnm.Print_Area" localSheetId="7">'Kal Unter Fer GS Uhland'!$A$1:$S$41</definedName>
    <definedName name="_xlnm.Print_Area" localSheetId="5">'Kal Unter GS Uhland'!$A$1:$S$102</definedName>
    <definedName name="_xlnm.Print_Area" localSheetId="9">'Kal Unter JC Leo Treff'!$A$1:$S$31</definedName>
    <definedName name="_xlnm.Print_Area" localSheetId="11">'Kal Unter Luther SH'!$A$1:$S$35</definedName>
    <definedName name="_xlnm.Print_Area" localSheetId="13">'Kal Verbrauch Gesamt'!$A$1:$G$19</definedName>
    <definedName name="_xlnm.Print_Area" localSheetId="1">Preisübersicht!$A$1:$I$9</definedName>
    <definedName name="_xlnm.Print_Area" localSheetId="2">'Preisübersicht (nach Bedarf)'!$A$1:$E$6</definedName>
    <definedName name="_xlnm.Print_Area" localSheetId="14">Reinigungstage!$A$1:$I$31</definedName>
    <definedName name="_xlnm.Print_Area" localSheetId="4">'SVS GrundRG'!$A$1:$I$79</definedName>
    <definedName name="_xlnm.Print_Area" localSheetId="3">'SVS UnterhaltsRG'!$A$1:$I$79</definedName>
    <definedName name="_xlnm.Print_Titles" localSheetId="6">'Kal Grund GS Uhland'!$20:$21</definedName>
    <definedName name="_xlnm.Print_Titles" localSheetId="10">'Kal Grund JC Leo Treff'!$20:$21</definedName>
    <definedName name="_xlnm.Print_Titles" localSheetId="12">'Kal Grund Luther SH'!$20:$21</definedName>
    <definedName name="_xlnm.Print_Titles" localSheetId="8">'Kal Unter Bed GS Uhland'!$20:$21</definedName>
    <definedName name="_xlnm.Print_Titles" localSheetId="7">'Kal Unter Fer GS Uhland'!$20:$21</definedName>
    <definedName name="_xlnm.Print_Titles" localSheetId="5">'Kal Unter GS Uhland'!$20:$21</definedName>
    <definedName name="_xlnm.Print_Titles" localSheetId="9">'Kal Unter JC Leo Treff'!$20:$21</definedName>
    <definedName name="_xlnm.Print_Titles" localSheetId="11">'Kal Unter Luther SH'!$20:$21</definedName>
    <definedName name="_xlnm.Print_Titles" localSheetId="1">Preisübersicht!$1:$5</definedName>
    <definedName name="_xlnm.Print_Titles" localSheetId="2">'Preisübersicht (nach Bedarf)'!$1:$5</definedName>
    <definedName name="Ferien">#REF!</definedName>
    <definedName name="sAuftragskosten" localSheetId="6">SVS #REF!</definedName>
    <definedName name="sAuftragskosten" localSheetId="10">SVS #REF!</definedName>
    <definedName name="sAuftragskosten" localSheetId="12">SVS #REF!</definedName>
    <definedName name="sAuftragskosten" localSheetId="8">SVS #REF!</definedName>
    <definedName name="sAuftragskosten" localSheetId="7">SVS #REF!</definedName>
    <definedName name="sAuftragskosten" localSheetId="5">SVS #REF!</definedName>
    <definedName name="sAuftragskosten" localSheetId="9">SVS #REF!</definedName>
    <definedName name="sAuftragskosten" localSheetId="11">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3" l="1"/>
  <c r="E21" i="1"/>
  <c r="L21" i="67"/>
  <c r="L21" i="64"/>
  <c r="L21" i="66"/>
  <c r="L21" i="63"/>
  <c r="L21" i="69"/>
  <c r="L21" i="68"/>
  <c r="L21" i="65"/>
  <c r="L21" i="62"/>
  <c r="I21" i="1"/>
  <c r="E23" i="1"/>
  <c r="E22" i="1"/>
  <c r="F6" i="1"/>
  <c r="F6" i="3"/>
  <c r="H3" i="26"/>
  <c r="H7" i="26"/>
  <c r="G7" i="26"/>
  <c r="H6" i="26"/>
  <c r="G6" i="26"/>
  <c r="H5" i="26"/>
  <c r="G5" i="26"/>
  <c r="U22" i="69"/>
  <c r="N22" i="69"/>
  <c r="P22" i="69" s="1"/>
  <c r="R22" i="69" s="1"/>
  <c r="I21" i="69"/>
  <c r="H21" i="69"/>
  <c r="G21" i="69"/>
  <c r="U41" i="68"/>
  <c r="U40" i="68"/>
  <c r="U39" i="68"/>
  <c r="U38" i="68"/>
  <c r="U37" i="68"/>
  <c r="U36" i="68"/>
  <c r="U35" i="68"/>
  <c r="U34" i="68"/>
  <c r="U33" i="68"/>
  <c r="U32" i="68"/>
  <c r="U31" i="68"/>
  <c r="U30" i="68"/>
  <c r="U29" i="68"/>
  <c r="U28" i="68"/>
  <c r="U27" i="68"/>
  <c r="U26" i="68"/>
  <c r="U25" i="68"/>
  <c r="U24" i="68"/>
  <c r="U23" i="68"/>
  <c r="U22" i="68"/>
  <c r="N41" i="68"/>
  <c r="P41" i="68" s="1"/>
  <c r="R41" i="68" s="1"/>
  <c r="N40" i="68"/>
  <c r="P40" i="68" s="1"/>
  <c r="R40" i="68" s="1"/>
  <c r="N39" i="68"/>
  <c r="P39" i="68" s="1"/>
  <c r="R39" i="68" s="1"/>
  <c r="N38" i="68"/>
  <c r="P38" i="68" s="1"/>
  <c r="R38" i="68" s="1"/>
  <c r="N37" i="68"/>
  <c r="P37" i="68" s="1"/>
  <c r="R37" i="68" s="1"/>
  <c r="N36" i="68"/>
  <c r="P36" i="68" s="1"/>
  <c r="R36" i="68" s="1"/>
  <c r="N35" i="68"/>
  <c r="P35" i="68" s="1"/>
  <c r="R35" i="68" s="1"/>
  <c r="N34" i="68"/>
  <c r="P34" i="68" s="1"/>
  <c r="R34" i="68" s="1"/>
  <c r="N33" i="68"/>
  <c r="P33" i="68" s="1"/>
  <c r="R33" i="68" s="1"/>
  <c r="N32" i="68"/>
  <c r="P32" i="68" s="1"/>
  <c r="R32" i="68" s="1"/>
  <c r="N31" i="68"/>
  <c r="P31" i="68" s="1"/>
  <c r="R31" i="68" s="1"/>
  <c r="N30" i="68"/>
  <c r="P30" i="68" s="1"/>
  <c r="R30" i="68" s="1"/>
  <c r="N29" i="68"/>
  <c r="P29" i="68" s="1"/>
  <c r="R29" i="68" s="1"/>
  <c r="N28" i="68"/>
  <c r="P28" i="68" s="1"/>
  <c r="R28" i="68" s="1"/>
  <c r="N27" i="68"/>
  <c r="P27" i="68" s="1"/>
  <c r="R27" i="68" s="1"/>
  <c r="N26" i="68"/>
  <c r="P26" i="68" s="1"/>
  <c r="R26" i="68" s="1"/>
  <c r="N25" i="68"/>
  <c r="P25" i="68" s="1"/>
  <c r="R25" i="68" s="1"/>
  <c r="N24" i="68"/>
  <c r="P24" i="68" s="1"/>
  <c r="R24" i="68" s="1"/>
  <c r="N23" i="68"/>
  <c r="P23" i="68" s="1"/>
  <c r="R23" i="68" s="1"/>
  <c r="N22" i="68"/>
  <c r="P22" i="68" s="1"/>
  <c r="R22" i="68" s="1"/>
  <c r="I21" i="68"/>
  <c r="H21" i="68"/>
  <c r="G21" i="68"/>
  <c r="U32" i="67"/>
  <c r="U31" i="67"/>
  <c r="U30" i="67"/>
  <c r="U29" i="67"/>
  <c r="U28" i="67"/>
  <c r="U27" i="67"/>
  <c r="U26" i="67"/>
  <c r="U25" i="67"/>
  <c r="U24" i="67"/>
  <c r="U23" i="67"/>
  <c r="U22" i="67"/>
  <c r="N32" i="67"/>
  <c r="P32" i="67" s="1"/>
  <c r="N31" i="67"/>
  <c r="P31" i="67" s="1"/>
  <c r="N30" i="67"/>
  <c r="P30" i="67" s="1"/>
  <c r="N29" i="67"/>
  <c r="P29" i="67" s="1"/>
  <c r="N28" i="67"/>
  <c r="N27" i="67"/>
  <c r="P27" i="67" s="1"/>
  <c r="N26" i="67"/>
  <c r="P26" i="67" s="1"/>
  <c r="N25" i="67"/>
  <c r="P25" i="67" s="1"/>
  <c r="N24" i="67"/>
  <c r="P24" i="67" s="1"/>
  <c r="N23" i="67"/>
  <c r="N22" i="67"/>
  <c r="I21" i="67"/>
  <c r="H21" i="67"/>
  <c r="G21" i="67"/>
  <c r="V32" i="67"/>
  <c r="W32" i="67" s="1"/>
  <c r="V31" i="67"/>
  <c r="W31" i="67" s="1"/>
  <c r="V30" i="67"/>
  <c r="W30" i="67" s="1"/>
  <c r="V29" i="67"/>
  <c r="W29" i="67" s="1"/>
  <c r="V28" i="67"/>
  <c r="W28" i="67" s="1"/>
  <c r="V27" i="67"/>
  <c r="W27" i="67" s="1"/>
  <c r="V26" i="67"/>
  <c r="W26" i="67" s="1"/>
  <c r="V25" i="67"/>
  <c r="W25" i="67" s="1"/>
  <c r="V24" i="67"/>
  <c r="W24" i="67" s="1"/>
  <c r="V23" i="67"/>
  <c r="W23" i="67" s="1"/>
  <c r="V22" i="67"/>
  <c r="W22" i="67" s="1"/>
  <c r="U30" i="66"/>
  <c r="U29" i="66"/>
  <c r="U28" i="66"/>
  <c r="U27" i="66"/>
  <c r="U26" i="66"/>
  <c r="V26" i="66" s="1"/>
  <c r="W26" i="66" s="1"/>
  <c r="U25" i="66"/>
  <c r="V25" i="66" s="1"/>
  <c r="W25" i="66" s="1"/>
  <c r="U24" i="66"/>
  <c r="U23" i="66"/>
  <c r="U22" i="66"/>
  <c r="V22" i="66" s="1"/>
  <c r="W22" i="66" s="1"/>
  <c r="N30" i="66"/>
  <c r="N29" i="66"/>
  <c r="N28" i="66"/>
  <c r="N27" i="66"/>
  <c r="N26" i="66"/>
  <c r="N25" i="66"/>
  <c r="N24" i="66"/>
  <c r="N23" i="66"/>
  <c r="N22" i="66"/>
  <c r="I21" i="66"/>
  <c r="H21" i="66"/>
  <c r="G21" i="66"/>
  <c r="V30" i="66"/>
  <c r="W30" i="66" s="1"/>
  <c r="X30" i="66" s="1"/>
  <c r="P30" i="66"/>
  <c r="V29" i="66"/>
  <c r="W29" i="66" s="1"/>
  <c r="X29" i="66" s="1"/>
  <c r="P29" i="66"/>
  <c r="V28" i="66"/>
  <c r="W28" i="66" s="1"/>
  <c r="V27" i="66"/>
  <c r="W27" i="66" s="1"/>
  <c r="X27" i="66" s="1"/>
  <c r="P27" i="66"/>
  <c r="P26" i="66"/>
  <c r="P25" i="66"/>
  <c r="X24" i="66"/>
  <c r="V24" i="66"/>
  <c r="W24" i="66" s="1"/>
  <c r="P24" i="66"/>
  <c r="X23" i="66"/>
  <c r="V23" i="66"/>
  <c r="W23" i="66" s="1"/>
  <c r="P23" i="66"/>
  <c r="X22" i="66"/>
  <c r="P22" i="66"/>
  <c r="U99" i="65"/>
  <c r="U98" i="65"/>
  <c r="U97" i="65"/>
  <c r="U96" i="65"/>
  <c r="U95" i="65"/>
  <c r="U94" i="65"/>
  <c r="U93" i="65"/>
  <c r="U92" i="65"/>
  <c r="U91" i="65"/>
  <c r="U90" i="65"/>
  <c r="U89" i="65"/>
  <c r="U88" i="65"/>
  <c r="U87" i="65"/>
  <c r="U86" i="65"/>
  <c r="U85" i="65"/>
  <c r="U84" i="65"/>
  <c r="U83" i="65"/>
  <c r="U82" i="65"/>
  <c r="U81" i="65"/>
  <c r="U80" i="65"/>
  <c r="V80" i="65" s="1"/>
  <c r="U79" i="65"/>
  <c r="V79" i="65" s="1"/>
  <c r="W79" i="65" s="1"/>
  <c r="U78" i="65"/>
  <c r="V78" i="65" s="1"/>
  <c r="W78" i="65" s="1"/>
  <c r="U77" i="65"/>
  <c r="U76" i="65"/>
  <c r="U75" i="65"/>
  <c r="U74" i="65"/>
  <c r="V74" i="65" s="1"/>
  <c r="U73" i="65"/>
  <c r="V73" i="65" s="1"/>
  <c r="W73" i="65" s="1"/>
  <c r="U72" i="65"/>
  <c r="U71" i="65"/>
  <c r="V71" i="65" s="1"/>
  <c r="W71" i="65" s="1"/>
  <c r="U70" i="65"/>
  <c r="U69" i="65"/>
  <c r="V69" i="65" s="1"/>
  <c r="W69" i="65" s="1"/>
  <c r="U68" i="65"/>
  <c r="V68" i="65" s="1"/>
  <c r="W68" i="65" s="1"/>
  <c r="U67" i="65"/>
  <c r="U66" i="65"/>
  <c r="U65" i="65"/>
  <c r="U64" i="65"/>
  <c r="V64" i="65" s="1"/>
  <c r="U63" i="65"/>
  <c r="U62" i="65"/>
  <c r="U61" i="65"/>
  <c r="U60" i="65"/>
  <c r="U59" i="65"/>
  <c r="U58" i="65"/>
  <c r="U57" i="65"/>
  <c r="U56" i="65"/>
  <c r="V56" i="65" s="1"/>
  <c r="W56" i="65" s="1"/>
  <c r="U55" i="65"/>
  <c r="V55" i="65" s="1"/>
  <c r="U54" i="65"/>
  <c r="U53" i="65"/>
  <c r="V53" i="65" s="1"/>
  <c r="U52" i="65"/>
  <c r="U51" i="65"/>
  <c r="U50" i="65"/>
  <c r="V50" i="65" s="1"/>
  <c r="U49" i="65"/>
  <c r="V49" i="65" s="1"/>
  <c r="W49" i="65" s="1"/>
  <c r="U48" i="65"/>
  <c r="U47" i="65"/>
  <c r="U46" i="65"/>
  <c r="U45" i="65"/>
  <c r="V45" i="65" s="1"/>
  <c r="U44" i="65"/>
  <c r="U43" i="65"/>
  <c r="U42" i="65"/>
  <c r="V42" i="65" s="1"/>
  <c r="W42" i="65" s="1"/>
  <c r="U41" i="65"/>
  <c r="U40" i="65"/>
  <c r="U39" i="65"/>
  <c r="U38" i="65"/>
  <c r="U37" i="65"/>
  <c r="U36" i="65"/>
  <c r="V36" i="65" s="1"/>
  <c r="W36" i="65" s="1"/>
  <c r="U35" i="65"/>
  <c r="V35" i="65" s="1"/>
  <c r="W35" i="65" s="1"/>
  <c r="U34" i="65"/>
  <c r="U33" i="65"/>
  <c r="V33" i="65" s="1"/>
  <c r="W33" i="65" s="1"/>
  <c r="U32" i="65"/>
  <c r="U31" i="65"/>
  <c r="U30" i="65"/>
  <c r="V30" i="65" s="1"/>
  <c r="W30" i="65" s="1"/>
  <c r="U29" i="65"/>
  <c r="U28" i="65"/>
  <c r="U27" i="65"/>
  <c r="U26" i="65"/>
  <c r="U25" i="65"/>
  <c r="U24" i="65"/>
  <c r="U23" i="65"/>
  <c r="U22" i="65"/>
  <c r="N99" i="65"/>
  <c r="P99" i="65" s="1"/>
  <c r="N98" i="65"/>
  <c r="P98" i="65" s="1"/>
  <c r="N97" i="65"/>
  <c r="P97" i="65" s="1"/>
  <c r="N96" i="65"/>
  <c r="P96" i="65" s="1"/>
  <c r="N95" i="65"/>
  <c r="P95" i="65" s="1"/>
  <c r="N94" i="65"/>
  <c r="P94" i="65" s="1"/>
  <c r="N93" i="65"/>
  <c r="P93" i="65" s="1"/>
  <c r="N92" i="65"/>
  <c r="P92" i="65" s="1"/>
  <c r="N91" i="65"/>
  <c r="P91" i="65" s="1"/>
  <c r="N90" i="65"/>
  <c r="P90" i="65" s="1"/>
  <c r="N89" i="65"/>
  <c r="P89" i="65" s="1"/>
  <c r="N88" i="65"/>
  <c r="P88" i="65" s="1"/>
  <c r="N87" i="65"/>
  <c r="P87" i="65" s="1"/>
  <c r="N86" i="65"/>
  <c r="N85" i="65"/>
  <c r="P85" i="65" s="1"/>
  <c r="N84" i="65"/>
  <c r="P84" i="65" s="1"/>
  <c r="N83" i="65"/>
  <c r="N82" i="65"/>
  <c r="P82" i="65" s="1"/>
  <c r="N81" i="65"/>
  <c r="P81" i="65" s="1"/>
  <c r="N80" i="65"/>
  <c r="P80" i="65" s="1"/>
  <c r="N79" i="65"/>
  <c r="P79" i="65" s="1"/>
  <c r="N78" i="65"/>
  <c r="N77" i="65"/>
  <c r="N76" i="65"/>
  <c r="N75" i="65"/>
  <c r="N74" i="65"/>
  <c r="N73" i="65"/>
  <c r="P73" i="65" s="1"/>
  <c r="N72" i="65"/>
  <c r="N71" i="65"/>
  <c r="P71" i="65" s="1"/>
  <c r="N70" i="65"/>
  <c r="N69" i="65"/>
  <c r="N68" i="65"/>
  <c r="P68" i="65" s="1"/>
  <c r="N67" i="65"/>
  <c r="N66" i="65"/>
  <c r="P66" i="65" s="1"/>
  <c r="N65" i="65"/>
  <c r="N64" i="65"/>
  <c r="P64" i="65" s="1"/>
  <c r="N63" i="65"/>
  <c r="N62" i="65"/>
  <c r="N61" i="65"/>
  <c r="N60" i="65"/>
  <c r="P60" i="65" s="1"/>
  <c r="N59" i="65"/>
  <c r="P59" i="65" s="1"/>
  <c r="N58" i="65"/>
  <c r="N57" i="65"/>
  <c r="P57" i="65" s="1"/>
  <c r="N56" i="65"/>
  <c r="N55" i="65"/>
  <c r="N54" i="65"/>
  <c r="P54" i="65" s="1"/>
  <c r="N53" i="65"/>
  <c r="N52" i="65"/>
  <c r="P52" i="65" s="1"/>
  <c r="N51" i="65"/>
  <c r="N50" i="65"/>
  <c r="P50" i="65" s="1"/>
  <c r="N49" i="65"/>
  <c r="N48" i="65"/>
  <c r="P48" i="65" s="1"/>
  <c r="N47" i="65"/>
  <c r="N46" i="65"/>
  <c r="N45" i="65"/>
  <c r="N44" i="65"/>
  <c r="N43" i="65"/>
  <c r="N42" i="65"/>
  <c r="N41" i="65"/>
  <c r="N40" i="65"/>
  <c r="N39" i="65"/>
  <c r="N38" i="65"/>
  <c r="N37" i="65"/>
  <c r="N36" i="65"/>
  <c r="N35" i="65"/>
  <c r="N34" i="65"/>
  <c r="N33" i="65"/>
  <c r="N32" i="65"/>
  <c r="N31" i="65"/>
  <c r="N30" i="65"/>
  <c r="N29" i="65"/>
  <c r="N28" i="65"/>
  <c r="N27" i="65"/>
  <c r="N26" i="65"/>
  <c r="N25" i="65"/>
  <c r="P25" i="65" s="1"/>
  <c r="N24" i="65"/>
  <c r="N23" i="65"/>
  <c r="N22" i="65"/>
  <c r="I21" i="65"/>
  <c r="H21" i="65"/>
  <c r="G21" i="65"/>
  <c r="V96" i="65"/>
  <c r="W96" i="65" s="1"/>
  <c r="V95" i="65"/>
  <c r="V94" i="65"/>
  <c r="W94" i="65" s="1"/>
  <c r="V90" i="65"/>
  <c r="V89" i="65"/>
  <c r="W89" i="65" s="1"/>
  <c r="V88" i="65"/>
  <c r="W88" i="65" s="1"/>
  <c r="V82" i="65"/>
  <c r="W82" i="65" s="1"/>
  <c r="U35" i="64"/>
  <c r="U34" i="64"/>
  <c r="U33" i="64"/>
  <c r="U32" i="64"/>
  <c r="U31" i="64"/>
  <c r="U30" i="64"/>
  <c r="U29" i="64"/>
  <c r="U28" i="64"/>
  <c r="U27" i="64"/>
  <c r="U26" i="64"/>
  <c r="U25" i="64"/>
  <c r="U24" i="64"/>
  <c r="U23" i="64"/>
  <c r="U22" i="64"/>
  <c r="N35" i="64"/>
  <c r="N34" i="64"/>
  <c r="N33" i="64"/>
  <c r="N32" i="64"/>
  <c r="N31" i="64"/>
  <c r="N30" i="64"/>
  <c r="N29" i="64"/>
  <c r="N28" i="64"/>
  <c r="P28" i="64" s="1"/>
  <c r="R28" i="64" s="1"/>
  <c r="N27" i="64"/>
  <c r="P27" i="64" s="1"/>
  <c r="R27" i="64" s="1"/>
  <c r="N26" i="64"/>
  <c r="P26" i="64" s="1"/>
  <c r="R26" i="64" s="1"/>
  <c r="N25" i="64"/>
  <c r="P25" i="64" s="1"/>
  <c r="R25" i="64" s="1"/>
  <c r="N24" i="64"/>
  <c r="N23" i="64"/>
  <c r="P23" i="64" s="1"/>
  <c r="R23" i="64" s="1"/>
  <c r="N22" i="64"/>
  <c r="I21" i="64"/>
  <c r="H21" i="64"/>
  <c r="G21" i="64"/>
  <c r="P35" i="64"/>
  <c r="R35" i="64" s="1"/>
  <c r="P34" i="64"/>
  <c r="R34" i="64" s="1"/>
  <c r="P33" i="64"/>
  <c r="R33" i="64" s="1"/>
  <c r="P32" i="64"/>
  <c r="R32" i="64" s="1"/>
  <c r="P31" i="64"/>
  <c r="R31" i="64" s="1"/>
  <c r="P30" i="64"/>
  <c r="R30" i="64" s="1"/>
  <c r="P29" i="64"/>
  <c r="R29" i="64" s="1"/>
  <c r="P24" i="64"/>
  <c r="R24" i="64" s="1"/>
  <c r="P22" i="64"/>
  <c r="U31" i="63"/>
  <c r="U30" i="63"/>
  <c r="U29" i="63"/>
  <c r="U28" i="63"/>
  <c r="U27" i="63"/>
  <c r="U26" i="63"/>
  <c r="U25" i="63"/>
  <c r="U24" i="63"/>
  <c r="U23" i="63"/>
  <c r="U22" i="63"/>
  <c r="N31" i="63"/>
  <c r="N30" i="63"/>
  <c r="N29" i="63"/>
  <c r="N28" i="63"/>
  <c r="P28" i="63" s="1"/>
  <c r="R28" i="63" s="1"/>
  <c r="N27" i="63"/>
  <c r="P27" i="63" s="1"/>
  <c r="R27" i="63" s="1"/>
  <c r="N26" i="63"/>
  <c r="N25" i="63"/>
  <c r="N24" i="63"/>
  <c r="N23" i="63"/>
  <c r="N22" i="63"/>
  <c r="I21" i="63"/>
  <c r="H21" i="63"/>
  <c r="G21" i="63"/>
  <c r="P31" i="63"/>
  <c r="R31" i="63" s="1"/>
  <c r="P30" i="63"/>
  <c r="R30" i="63" s="1"/>
  <c r="P29" i="63"/>
  <c r="R29" i="63" s="1"/>
  <c r="P26" i="63"/>
  <c r="R26" i="63" s="1"/>
  <c r="P25" i="63"/>
  <c r="R25" i="63" s="1"/>
  <c r="P24" i="63"/>
  <c r="R24" i="63" s="1"/>
  <c r="P23" i="63"/>
  <c r="R23" i="63" s="1"/>
  <c r="P22" i="63"/>
  <c r="U102" i="62"/>
  <c r="U101" i="62"/>
  <c r="U100" i="62"/>
  <c r="U99" i="62"/>
  <c r="U98" i="62"/>
  <c r="U97" i="62"/>
  <c r="U96" i="62"/>
  <c r="U95" i="62"/>
  <c r="U94" i="62"/>
  <c r="U93" i="62"/>
  <c r="U92" i="62"/>
  <c r="U91" i="62"/>
  <c r="U90" i="62"/>
  <c r="U89" i="62"/>
  <c r="U88" i="62"/>
  <c r="U87" i="62"/>
  <c r="U86" i="62"/>
  <c r="U85" i="62"/>
  <c r="U84" i="62"/>
  <c r="U83" i="62"/>
  <c r="U82" i="62"/>
  <c r="U81" i="62"/>
  <c r="U80" i="62"/>
  <c r="U79" i="62"/>
  <c r="U78" i="62"/>
  <c r="U77" i="62"/>
  <c r="U76" i="62"/>
  <c r="U75" i="62"/>
  <c r="U74" i="62"/>
  <c r="U73" i="62"/>
  <c r="U72" i="62"/>
  <c r="U71" i="62"/>
  <c r="U70" i="62"/>
  <c r="U69" i="62"/>
  <c r="U68" i="62"/>
  <c r="U67" i="62"/>
  <c r="U66" i="62"/>
  <c r="U65" i="62"/>
  <c r="U64" i="62"/>
  <c r="U63" i="62"/>
  <c r="U62" i="62"/>
  <c r="U61" i="62"/>
  <c r="U60" i="62"/>
  <c r="U59" i="62"/>
  <c r="U58" i="62"/>
  <c r="U57" i="62"/>
  <c r="U56" i="62"/>
  <c r="U55" i="62"/>
  <c r="U54" i="62"/>
  <c r="U53" i="62"/>
  <c r="U52" i="62"/>
  <c r="U51" i="62"/>
  <c r="U50" i="62"/>
  <c r="U49" i="62"/>
  <c r="U48" i="62"/>
  <c r="U47" i="62"/>
  <c r="U46" i="62"/>
  <c r="U45" i="62"/>
  <c r="U44" i="62"/>
  <c r="U43" i="62"/>
  <c r="U42" i="62"/>
  <c r="U41" i="62"/>
  <c r="U40" i="62"/>
  <c r="U39" i="62"/>
  <c r="U38" i="62"/>
  <c r="U37" i="62"/>
  <c r="U36" i="62"/>
  <c r="U35" i="62"/>
  <c r="U34" i="62"/>
  <c r="U33" i="62"/>
  <c r="U32" i="62"/>
  <c r="U31" i="62"/>
  <c r="U30" i="62"/>
  <c r="U29" i="62"/>
  <c r="U28" i="62"/>
  <c r="U27" i="62"/>
  <c r="U26" i="62"/>
  <c r="U25" i="62"/>
  <c r="U24" i="62"/>
  <c r="U23" i="62"/>
  <c r="U22" i="62"/>
  <c r="N102" i="62"/>
  <c r="N101" i="62"/>
  <c r="P101" i="62" s="1"/>
  <c r="R101" i="62" s="1"/>
  <c r="N100" i="62"/>
  <c r="P100" i="62" s="1"/>
  <c r="R100" i="62" s="1"/>
  <c r="N99" i="62"/>
  <c r="N98" i="62"/>
  <c r="N97" i="62"/>
  <c r="N96" i="62"/>
  <c r="N95" i="62"/>
  <c r="N94" i="62"/>
  <c r="N93" i="62"/>
  <c r="N92" i="62"/>
  <c r="N91" i="62"/>
  <c r="P91" i="62" s="1"/>
  <c r="R91" i="62" s="1"/>
  <c r="N90" i="62"/>
  <c r="N89" i="62"/>
  <c r="N88" i="62"/>
  <c r="P88" i="62" s="1"/>
  <c r="R88" i="62" s="1"/>
  <c r="N87" i="62"/>
  <c r="N86" i="62"/>
  <c r="N85" i="62"/>
  <c r="P85" i="62" s="1"/>
  <c r="R85" i="62" s="1"/>
  <c r="N84" i="62"/>
  <c r="N83" i="62"/>
  <c r="N82" i="62"/>
  <c r="P82" i="62" s="1"/>
  <c r="R82" i="62" s="1"/>
  <c r="N81" i="62"/>
  <c r="N80" i="62"/>
  <c r="P80" i="62" s="1"/>
  <c r="R80" i="62" s="1"/>
  <c r="N79" i="62"/>
  <c r="N78" i="62"/>
  <c r="N77" i="62"/>
  <c r="P77" i="62" s="1"/>
  <c r="R77" i="62" s="1"/>
  <c r="N76" i="62"/>
  <c r="P76" i="62" s="1"/>
  <c r="R76" i="62" s="1"/>
  <c r="N75" i="62"/>
  <c r="P75" i="62" s="1"/>
  <c r="R75" i="62" s="1"/>
  <c r="N74" i="62"/>
  <c r="N73" i="62"/>
  <c r="P73" i="62" s="1"/>
  <c r="R73" i="62" s="1"/>
  <c r="N72" i="62"/>
  <c r="P72" i="62" s="1"/>
  <c r="R72" i="62" s="1"/>
  <c r="N71" i="62"/>
  <c r="N70" i="62"/>
  <c r="N69" i="62"/>
  <c r="P69" i="62" s="1"/>
  <c r="R69" i="62" s="1"/>
  <c r="N68" i="62"/>
  <c r="P68" i="62" s="1"/>
  <c r="R68" i="62" s="1"/>
  <c r="N67" i="62"/>
  <c r="P67" i="62" s="1"/>
  <c r="R67" i="62" s="1"/>
  <c r="N66" i="62"/>
  <c r="N65" i="62"/>
  <c r="N64" i="62"/>
  <c r="P64" i="62" s="1"/>
  <c r="R64" i="62" s="1"/>
  <c r="N63" i="62"/>
  <c r="P63" i="62" s="1"/>
  <c r="R63" i="62" s="1"/>
  <c r="N62" i="62"/>
  <c r="P62" i="62" s="1"/>
  <c r="R62" i="62" s="1"/>
  <c r="N61" i="62"/>
  <c r="P61" i="62" s="1"/>
  <c r="R61" i="62" s="1"/>
  <c r="N60" i="62"/>
  <c r="P60" i="62" s="1"/>
  <c r="R60" i="62" s="1"/>
  <c r="N59" i="62"/>
  <c r="P59" i="62" s="1"/>
  <c r="R59" i="62" s="1"/>
  <c r="N58" i="62"/>
  <c r="P58" i="62" s="1"/>
  <c r="R58" i="62" s="1"/>
  <c r="N57" i="62"/>
  <c r="P57" i="62" s="1"/>
  <c r="R57" i="62" s="1"/>
  <c r="N56" i="62"/>
  <c r="P56" i="62" s="1"/>
  <c r="R56" i="62" s="1"/>
  <c r="N55" i="62"/>
  <c r="P55" i="62" s="1"/>
  <c r="R55" i="62" s="1"/>
  <c r="N54" i="62"/>
  <c r="P54" i="62" s="1"/>
  <c r="R54" i="62" s="1"/>
  <c r="N53" i="62"/>
  <c r="P53" i="62" s="1"/>
  <c r="R53" i="62" s="1"/>
  <c r="N52" i="62"/>
  <c r="P52" i="62" s="1"/>
  <c r="R52" i="62" s="1"/>
  <c r="N51" i="62"/>
  <c r="P51" i="62" s="1"/>
  <c r="R51" i="62" s="1"/>
  <c r="N50" i="62"/>
  <c r="P50" i="62" s="1"/>
  <c r="R50" i="62" s="1"/>
  <c r="N49" i="62"/>
  <c r="P49" i="62" s="1"/>
  <c r="R49" i="62" s="1"/>
  <c r="N48" i="62"/>
  <c r="P48" i="62" s="1"/>
  <c r="R48" i="62" s="1"/>
  <c r="N47" i="62"/>
  <c r="P47" i="62" s="1"/>
  <c r="R47" i="62" s="1"/>
  <c r="N46" i="62"/>
  <c r="P46" i="62" s="1"/>
  <c r="R46" i="62" s="1"/>
  <c r="N45" i="62"/>
  <c r="P45" i="62" s="1"/>
  <c r="R45" i="62" s="1"/>
  <c r="N44" i="62"/>
  <c r="P44" i="62" s="1"/>
  <c r="R44" i="62" s="1"/>
  <c r="N43" i="62"/>
  <c r="P43" i="62" s="1"/>
  <c r="R43" i="62" s="1"/>
  <c r="N42" i="62"/>
  <c r="P42" i="62" s="1"/>
  <c r="R42" i="62" s="1"/>
  <c r="N41" i="62"/>
  <c r="P41" i="62" s="1"/>
  <c r="R41" i="62" s="1"/>
  <c r="N40" i="62"/>
  <c r="P40" i="62" s="1"/>
  <c r="R40" i="62" s="1"/>
  <c r="N39" i="62"/>
  <c r="P39" i="62" s="1"/>
  <c r="R39" i="62" s="1"/>
  <c r="N38" i="62"/>
  <c r="P38" i="62" s="1"/>
  <c r="R38" i="62" s="1"/>
  <c r="N37" i="62"/>
  <c r="P37" i="62" s="1"/>
  <c r="R37" i="62" s="1"/>
  <c r="N36" i="62"/>
  <c r="P36" i="62" s="1"/>
  <c r="R36" i="62" s="1"/>
  <c r="N35" i="62"/>
  <c r="P35" i="62" s="1"/>
  <c r="R35" i="62" s="1"/>
  <c r="N34" i="62"/>
  <c r="P34" i="62" s="1"/>
  <c r="R34" i="62" s="1"/>
  <c r="N33" i="62"/>
  <c r="P33" i="62" s="1"/>
  <c r="R33" i="62" s="1"/>
  <c r="N32" i="62"/>
  <c r="P32" i="62" s="1"/>
  <c r="R32" i="62" s="1"/>
  <c r="N31" i="62"/>
  <c r="P31" i="62" s="1"/>
  <c r="R31" i="62" s="1"/>
  <c r="N30" i="62"/>
  <c r="P30" i="62" s="1"/>
  <c r="R30" i="62" s="1"/>
  <c r="N29" i="62"/>
  <c r="P29" i="62" s="1"/>
  <c r="R29" i="62" s="1"/>
  <c r="N28" i="62"/>
  <c r="P28" i="62" s="1"/>
  <c r="R28" i="62" s="1"/>
  <c r="N27" i="62"/>
  <c r="P27" i="62" s="1"/>
  <c r="R27" i="62" s="1"/>
  <c r="N26" i="62"/>
  <c r="P26" i="62" s="1"/>
  <c r="R26" i="62" s="1"/>
  <c r="N25" i="62"/>
  <c r="P25" i="62" s="1"/>
  <c r="R25" i="62" s="1"/>
  <c r="N24" i="62"/>
  <c r="P24" i="62" s="1"/>
  <c r="R24" i="62" s="1"/>
  <c r="N23" i="62"/>
  <c r="P23" i="62" s="1"/>
  <c r="R23" i="62" s="1"/>
  <c r="N22" i="62"/>
  <c r="P22" i="62" s="1"/>
  <c r="I21" i="62"/>
  <c r="H21" i="62"/>
  <c r="G21" i="62"/>
  <c r="P102" i="62"/>
  <c r="R102" i="62" s="1"/>
  <c r="P99" i="62"/>
  <c r="R99" i="62" s="1"/>
  <c r="P98" i="62"/>
  <c r="R98" i="62" s="1"/>
  <c r="P97" i="62"/>
  <c r="R97" i="62" s="1"/>
  <c r="P96" i="62"/>
  <c r="R96" i="62" s="1"/>
  <c r="P95" i="62"/>
  <c r="R95" i="62" s="1"/>
  <c r="P94" i="62"/>
  <c r="R94" i="62" s="1"/>
  <c r="P93" i="62"/>
  <c r="R93" i="62" s="1"/>
  <c r="P92" i="62"/>
  <c r="R92" i="62" s="1"/>
  <c r="P90" i="62"/>
  <c r="R90" i="62" s="1"/>
  <c r="P89" i="62"/>
  <c r="R89" i="62" s="1"/>
  <c r="P87" i="62"/>
  <c r="R87" i="62" s="1"/>
  <c r="P86" i="62"/>
  <c r="R86" i="62" s="1"/>
  <c r="P84" i="62"/>
  <c r="R84" i="62" s="1"/>
  <c r="P83" i="62"/>
  <c r="R83" i="62" s="1"/>
  <c r="P81" i="62"/>
  <c r="R81" i="62" s="1"/>
  <c r="P79" i="62"/>
  <c r="R79" i="62" s="1"/>
  <c r="P78" i="62"/>
  <c r="R78" i="62" s="1"/>
  <c r="P74" i="62"/>
  <c r="R74" i="62" s="1"/>
  <c r="P71" i="62"/>
  <c r="R71" i="62" s="1"/>
  <c r="P70" i="62"/>
  <c r="R70" i="62" s="1"/>
  <c r="P66" i="62"/>
  <c r="R66" i="62" s="1"/>
  <c r="P65" i="62"/>
  <c r="R65" i="62" s="1"/>
  <c r="L22" i="69"/>
  <c r="M22" i="69" s="1"/>
  <c r="L40" i="68"/>
  <c r="M40" i="68" s="1"/>
  <c r="L39" i="68"/>
  <c r="M39" i="68" s="1"/>
  <c r="L38" i="68"/>
  <c r="M38" i="68" s="1"/>
  <c r="L37" i="68"/>
  <c r="M37" i="68" s="1"/>
  <c r="L36" i="68"/>
  <c r="M36" i="68" s="1"/>
  <c r="L35" i="68"/>
  <c r="M35" i="68" s="1"/>
  <c r="L34" i="68"/>
  <c r="M34" i="68" s="1"/>
  <c r="L33" i="68"/>
  <c r="M33" i="68" s="1"/>
  <c r="L32" i="68"/>
  <c r="M32" i="68" s="1"/>
  <c r="L31" i="68"/>
  <c r="M31" i="68" s="1"/>
  <c r="L30" i="68"/>
  <c r="M30" i="68" s="1"/>
  <c r="L29" i="68"/>
  <c r="M29" i="68" s="1"/>
  <c r="L28" i="68"/>
  <c r="M28" i="68" s="1"/>
  <c r="L27" i="68"/>
  <c r="M27" i="68" s="1"/>
  <c r="L26" i="68"/>
  <c r="M26" i="68" s="1"/>
  <c r="L25" i="68"/>
  <c r="M25" i="68" s="1"/>
  <c r="L24" i="68"/>
  <c r="M24" i="68" s="1"/>
  <c r="L23" i="68"/>
  <c r="M23" i="68" s="1"/>
  <c r="L22" i="68"/>
  <c r="M22" i="68" s="1"/>
  <c r="L32" i="67"/>
  <c r="M32" i="67" s="1"/>
  <c r="L31" i="67"/>
  <c r="M31" i="67" s="1"/>
  <c r="L30" i="67"/>
  <c r="M30" i="67" s="1"/>
  <c r="L29" i="67"/>
  <c r="M29" i="67" s="1"/>
  <c r="L28" i="67"/>
  <c r="M28" i="67" s="1"/>
  <c r="L27" i="67"/>
  <c r="M27" i="67" s="1"/>
  <c r="L26" i="67"/>
  <c r="M26" i="67" s="1"/>
  <c r="L25" i="67"/>
  <c r="M25" i="67" s="1"/>
  <c r="L24" i="67"/>
  <c r="M24" i="67" s="1"/>
  <c r="L23" i="67"/>
  <c r="M23" i="67" s="1"/>
  <c r="L22" i="67"/>
  <c r="M22" i="67" s="1"/>
  <c r="L30" i="66"/>
  <c r="M30" i="66" s="1"/>
  <c r="L29" i="66"/>
  <c r="M29" i="66" s="1"/>
  <c r="L28" i="66"/>
  <c r="M28" i="66" s="1"/>
  <c r="L27" i="66"/>
  <c r="M27" i="66" s="1"/>
  <c r="L26" i="66"/>
  <c r="M26" i="66" s="1"/>
  <c r="L25" i="66"/>
  <c r="M25" i="66" s="1"/>
  <c r="L24" i="66"/>
  <c r="M24" i="66" s="1"/>
  <c r="L23" i="66"/>
  <c r="M23" i="66" s="1"/>
  <c r="L22" i="66"/>
  <c r="M22" i="66" s="1"/>
  <c r="L99" i="65"/>
  <c r="M99" i="65" s="1"/>
  <c r="L98" i="65"/>
  <c r="M98" i="65" s="1"/>
  <c r="L97" i="65"/>
  <c r="M97" i="65" s="1"/>
  <c r="L96" i="65"/>
  <c r="M96" i="65" s="1"/>
  <c r="L95" i="65"/>
  <c r="M95" i="65" s="1"/>
  <c r="L94" i="65"/>
  <c r="M94" i="65" s="1"/>
  <c r="L93" i="65"/>
  <c r="M93" i="65" s="1"/>
  <c r="L92" i="65"/>
  <c r="M92" i="65" s="1"/>
  <c r="L91" i="65"/>
  <c r="M91" i="65" s="1"/>
  <c r="L90" i="65"/>
  <c r="M90" i="65" s="1"/>
  <c r="L89" i="65"/>
  <c r="M89" i="65" s="1"/>
  <c r="L88" i="65"/>
  <c r="M88" i="65" s="1"/>
  <c r="L87" i="65"/>
  <c r="M87" i="65" s="1"/>
  <c r="L86" i="65"/>
  <c r="M86" i="65" s="1"/>
  <c r="L85" i="65"/>
  <c r="M85" i="65" s="1"/>
  <c r="L84" i="65"/>
  <c r="M84" i="65" s="1"/>
  <c r="L83" i="65"/>
  <c r="M83" i="65" s="1"/>
  <c r="L82" i="65"/>
  <c r="M82" i="65" s="1"/>
  <c r="L81" i="65"/>
  <c r="M81" i="65" s="1"/>
  <c r="L80" i="65"/>
  <c r="M80" i="65" s="1"/>
  <c r="L79" i="65"/>
  <c r="M79" i="65" s="1"/>
  <c r="L78" i="65"/>
  <c r="M78" i="65" s="1"/>
  <c r="L77" i="65"/>
  <c r="M77" i="65" s="1"/>
  <c r="L76" i="65"/>
  <c r="M76" i="65" s="1"/>
  <c r="L75" i="65"/>
  <c r="M75" i="65" s="1"/>
  <c r="L74" i="65"/>
  <c r="M74" i="65" s="1"/>
  <c r="L73" i="65"/>
  <c r="M73" i="65" s="1"/>
  <c r="L72" i="65"/>
  <c r="M72" i="65" s="1"/>
  <c r="L71" i="65"/>
  <c r="M71" i="65" s="1"/>
  <c r="L70" i="65"/>
  <c r="M70" i="65" s="1"/>
  <c r="L69" i="65"/>
  <c r="M69" i="65" s="1"/>
  <c r="L68" i="65"/>
  <c r="M68" i="65" s="1"/>
  <c r="L67" i="65"/>
  <c r="M67" i="65" s="1"/>
  <c r="L66" i="65"/>
  <c r="M66" i="65" s="1"/>
  <c r="L65" i="65"/>
  <c r="M65" i="65" s="1"/>
  <c r="L64" i="65"/>
  <c r="M64" i="65" s="1"/>
  <c r="L63" i="65"/>
  <c r="M63" i="65" s="1"/>
  <c r="L62" i="65"/>
  <c r="M62" i="65" s="1"/>
  <c r="L61" i="65"/>
  <c r="M61" i="65" s="1"/>
  <c r="L60" i="65"/>
  <c r="M60" i="65" s="1"/>
  <c r="L59" i="65"/>
  <c r="M59" i="65" s="1"/>
  <c r="L58" i="65"/>
  <c r="M58" i="65" s="1"/>
  <c r="L57" i="65"/>
  <c r="M57" i="65" s="1"/>
  <c r="L56" i="65"/>
  <c r="M56" i="65" s="1"/>
  <c r="L55" i="65"/>
  <c r="M55" i="65" s="1"/>
  <c r="L54" i="65"/>
  <c r="M54" i="65" s="1"/>
  <c r="L53" i="65"/>
  <c r="M53" i="65" s="1"/>
  <c r="L52" i="65"/>
  <c r="M52" i="65" s="1"/>
  <c r="L51" i="65"/>
  <c r="M51" i="65" s="1"/>
  <c r="L50" i="65"/>
  <c r="M50" i="65" s="1"/>
  <c r="L49" i="65"/>
  <c r="M49" i="65" s="1"/>
  <c r="L48" i="65"/>
  <c r="M48" i="65" s="1"/>
  <c r="L47" i="65"/>
  <c r="M47" i="65" s="1"/>
  <c r="L46" i="65"/>
  <c r="M46" i="65" s="1"/>
  <c r="L45" i="65"/>
  <c r="M45" i="65" s="1"/>
  <c r="L44" i="65"/>
  <c r="M44" i="65" s="1"/>
  <c r="L43" i="65"/>
  <c r="M43" i="65" s="1"/>
  <c r="L42" i="65"/>
  <c r="M42" i="65" s="1"/>
  <c r="L41" i="65"/>
  <c r="M41" i="65" s="1"/>
  <c r="L40" i="65"/>
  <c r="M40" i="65" s="1"/>
  <c r="L39" i="65"/>
  <c r="M39" i="65" s="1"/>
  <c r="L38" i="65"/>
  <c r="M38" i="65" s="1"/>
  <c r="L37" i="65"/>
  <c r="M37" i="65" s="1"/>
  <c r="L36" i="65"/>
  <c r="M36" i="65" s="1"/>
  <c r="L35" i="65"/>
  <c r="M35" i="65" s="1"/>
  <c r="L34" i="65"/>
  <c r="M34" i="65" s="1"/>
  <c r="L33" i="65"/>
  <c r="M33" i="65" s="1"/>
  <c r="L32" i="65"/>
  <c r="M32" i="65" s="1"/>
  <c r="L31" i="65"/>
  <c r="M31" i="65" s="1"/>
  <c r="L30" i="65"/>
  <c r="M30" i="65" s="1"/>
  <c r="L29" i="65"/>
  <c r="M29" i="65" s="1"/>
  <c r="L28" i="65"/>
  <c r="M28" i="65" s="1"/>
  <c r="L27" i="65"/>
  <c r="M27" i="65" s="1"/>
  <c r="L26" i="65"/>
  <c r="M26" i="65" s="1"/>
  <c r="L25" i="65"/>
  <c r="M25" i="65" s="1"/>
  <c r="L24" i="65"/>
  <c r="M24" i="65" s="1"/>
  <c r="L23" i="65"/>
  <c r="M23" i="65" s="1"/>
  <c r="L22" i="65"/>
  <c r="M22" i="65" s="1"/>
  <c r="L35" i="64"/>
  <c r="M35" i="64" s="1"/>
  <c r="L34" i="64"/>
  <c r="M34" i="64" s="1"/>
  <c r="L33" i="64"/>
  <c r="M33" i="64" s="1"/>
  <c r="L32" i="64"/>
  <c r="M32" i="64" s="1"/>
  <c r="L31" i="64"/>
  <c r="M31" i="64" s="1"/>
  <c r="L30" i="64"/>
  <c r="M30" i="64" s="1"/>
  <c r="L29" i="64"/>
  <c r="M29" i="64" s="1"/>
  <c r="L28" i="64"/>
  <c r="M28" i="64" s="1"/>
  <c r="L27" i="64"/>
  <c r="M27" i="64" s="1"/>
  <c r="L31" i="63"/>
  <c r="M31" i="63" s="1"/>
  <c r="L30" i="63"/>
  <c r="M30" i="63" s="1"/>
  <c r="L29" i="63"/>
  <c r="M29" i="63" s="1"/>
  <c r="L28" i="63"/>
  <c r="M28" i="63" s="1"/>
  <c r="L27" i="63"/>
  <c r="M27" i="63" s="1"/>
  <c r="L26" i="63"/>
  <c r="M26" i="63" s="1"/>
  <c r="L25" i="63"/>
  <c r="M25" i="63" s="1"/>
  <c r="L24" i="63"/>
  <c r="M24" i="63" s="1"/>
  <c r="L23" i="63"/>
  <c r="M23" i="63" s="1"/>
  <c r="L22" i="63"/>
  <c r="M22" i="63" s="1"/>
  <c r="L102" i="62"/>
  <c r="M102" i="62" s="1"/>
  <c r="L101" i="62"/>
  <c r="M101" i="62" s="1"/>
  <c r="L100" i="62"/>
  <c r="M100" i="62" s="1"/>
  <c r="L99" i="62"/>
  <c r="M99" i="62" s="1"/>
  <c r="L98" i="62"/>
  <c r="M98" i="62" s="1"/>
  <c r="L97" i="62"/>
  <c r="M97" i="62" s="1"/>
  <c r="L96" i="62"/>
  <c r="M96" i="62" s="1"/>
  <c r="L95" i="62"/>
  <c r="M95" i="62" s="1"/>
  <c r="L94" i="62"/>
  <c r="M94" i="62" s="1"/>
  <c r="L93" i="62"/>
  <c r="M93" i="62" s="1"/>
  <c r="L92" i="62"/>
  <c r="M92" i="62" s="1"/>
  <c r="L91" i="62"/>
  <c r="M91" i="62" s="1"/>
  <c r="L90" i="62"/>
  <c r="M90" i="62" s="1"/>
  <c r="L89" i="62"/>
  <c r="M89" i="62" s="1"/>
  <c r="L88" i="62"/>
  <c r="M88" i="62" s="1"/>
  <c r="L87" i="62"/>
  <c r="M87" i="62" s="1"/>
  <c r="L86" i="62"/>
  <c r="M86" i="62" s="1"/>
  <c r="L85" i="62"/>
  <c r="M85" i="62" s="1"/>
  <c r="L84" i="62"/>
  <c r="M84" i="62" s="1"/>
  <c r="L83" i="62"/>
  <c r="M83" i="62" s="1"/>
  <c r="L82" i="62"/>
  <c r="M82" i="62" s="1"/>
  <c r="L81" i="62"/>
  <c r="M81" i="62" s="1"/>
  <c r="L80" i="62"/>
  <c r="M80" i="62" s="1"/>
  <c r="L79" i="62"/>
  <c r="M79" i="62" s="1"/>
  <c r="L78" i="62"/>
  <c r="M78" i="62" s="1"/>
  <c r="L77" i="62"/>
  <c r="M77" i="62" s="1"/>
  <c r="L76" i="62"/>
  <c r="M76" i="62" s="1"/>
  <c r="L75" i="62"/>
  <c r="M75" i="62" s="1"/>
  <c r="L74" i="62"/>
  <c r="M74" i="62" s="1"/>
  <c r="L73" i="62"/>
  <c r="M73" i="62" s="1"/>
  <c r="L72" i="62"/>
  <c r="M72" i="62" s="1"/>
  <c r="L71" i="62"/>
  <c r="M71" i="62" s="1"/>
  <c r="L70" i="62"/>
  <c r="M70" i="62" s="1"/>
  <c r="L69" i="62"/>
  <c r="M69" i="62" s="1"/>
  <c r="L68" i="62"/>
  <c r="M68" i="62" s="1"/>
  <c r="L67" i="62"/>
  <c r="M67" i="62" s="1"/>
  <c r="L66" i="62"/>
  <c r="M66" i="62" s="1"/>
  <c r="L65" i="62"/>
  <c r="M65" i="62" s="1"/>
  <c r="L64" i="62"/>
  <c r="M64" i="62" s="1"/>
  <c r="L63" i="62"/>
  <c r="M63" i="62" s="1"/>
  <c r="L62" i="62"/>
  <c r="M62" i="62" s="1"/>
  <c r="L61" i="62"/>
  <c r="M61" i="62" s="1"/>
  <c r="L60" i="62"/>
  <c r="M60" i="62" s="1"/>
  <c r="L59" i="62"/>
  <c r="M59" i="62" s="1"/>
  <c r="L58" i="62"/>
  <c r="M58" i="62" s="1"/>
  <c r="L57" i="62"/>
  <c r="M57" i="62" s="1"/>
  <c r="L56" i="62"/>
  <c r="M56" i="62" s="1"/>
  <c r="L55" i="62"/>
  <c r="M55" i="62" s="1"/>
  <c r="L54" i="62"/>
  <c r="M54" i="62" s="1"/>
  <c r="L53" i="62"/>
  <c r="M53" i="62" s="1"/>
  <c r="L52" i="62"/>
  <c r="M52" i="62" s="1"/>
  <c r="L51" i="62"/>
  <c r="M51" i="62" s="1"/>
  <c r="L50" i="62"/>
  <c r="M50" i="62" s="1"/>
  <c r="L49" i="62"/>
  <c r="M49" i="62" s="1"/>
  <c r="L48" i="62"/>
  <c r="M48" i="62" s="1"/>
  <c r="L47" i="62"/>
  <c r="M47" i="62" s="1"/>
  <c r="L46" i="62"/>
  <c r="M46" i="62" s="1"/>
  <c r="L45" i="62"/>
  <c r="M45" i="62" s="1"/>
  <c r="L44" i="62"/>
  <c r="M44" i="62" s="1"/>
  <c r="L43" i="62"/>
  <c r="M43" i="62" s="1"/>
  <c r="L42" i="62"/>
  <c r="M42" i="62" s="1"/>
  <c r="L41" i="62"/>
  <c r="M41" i="62" s="1"/>
  <c r="L40" i="62"/>
  <c r="M40" i="62" s="1"/>
  <c r="L39" i="62"/>
  <c r="M39" i="62" s="1"/>
  <c r="L38" i="62"/>
  <c r="M38" i="62" s="1"/>
  <c r="L37" i="62"/>
  <c r="M37" i="62" s="1"/>
  <c r="L36" i="62"/>
  <c r="M36" i="62" s="1"/>
  <c r="L35" i="62"/>
  <c r="M35" i="62" s="1"/>
  <c r="L34" i="62"/>
  <c r="M34" i="62" s="1"/>
  <c r="L33" i="62"/>
  <c r="M33" i="62" s="1"/>
  <c r="L32" i="62"/>
  <c r="M32" i="62" s="1"/>
  <c r="L31" i="62"/>
  <c r="M31" i="62" s="1"/>
  <c r="L30" i="62"/>
  <c r="M30" i="62" s="1"/>
  <c r="L29" i="62"/>
  <c r="M29" i="62" s="1"/>
  <c r="L28" i="62"/>
  <c r="M28" i="62" s="1"/>
  <c r="L27" i="62"/>
  <c r="M27" i="62" s="1"/>
  <c r="L26" i="62"/>
  <c r="M26" i="62" s="1"/>
  <c r="L25" i="62"/>
  <c r="M25" i="62" s="1"/>
  <c r="L24" i="62"/>
  <c r="M24" i="62" s="1"/>
  <c r="L23" i="62"/>
  <c r="M23" i="62" s="1"/>
  <c r="L22" i="62"/>
  <c r="M22" i="62" s="1"/>
  <c r="I31" i="46"/>
  <c r="I22" i="46"/>
  <c r="I21" i="46"/>
  <c r="I20" i="46"/>
  <c r="I19" i="46"/>
  <c r="I18" i="46"/>
  <c r="I17" i="46"/>
  <c r="I16" i="46"/>
  <c r="I15" i="46"/>
  <c r="I14" i="46"/>
  <c r="I13" i="46"/>
  <c r="I12" i="46"/>
  <c r="I11" i="46"/>
  <c r="I10" i="46"/>
  <c r="H20" i="46"/>
  <c r="H19" i="46"/>
  <c r="H18" i="46"/>
  <c r="H17" i="46"/>
  <c r="H16" i="46"/>
  <c r="L41" i="68" s="1"/>
  <c r="M41" i="68" s="1"/>
  <c r="H15" i="46"/>
  <c r="H14" i="46"/>
  <c r="H13" i="46"/>
  <c r="H12" i="46"/>
  <c r="H11" i="46"/>
  <c r="H10" i="46"/>
  <c r="G22" i="46"/>
  <c r="G21" i="46"/>
  <c r="F22" i="46"/>
  <c r="F21" i="46"/>
  <c r="E22" i="46"/>
  <c r="E21" i="46"/>
  <c r="D22" i="46"/>
  <c r="D21" i="46"/>
  <c r="D20" i="46"/>
  <c r="D19" i="46"/>
  <c r="D18" i="46"/>
  <c r="D17" i="46"/>
  <c r="D16" i="46"/>
  <c r="D15" i="46"/>
  <c r="D14" i="46"/>
  <c r="D13" i="46"/>
  <c r="D12" i="46"/>
  <c r="D11" i="46"/>
  <c r="D10" i="46"/>
  <c r="C22" i="46"/>
  <c r="C21" i="46"/>
  <c r="C20" i="46"/>
  <c r="C19" i="46"/>
  <c r="C18" i="46"/>
  <c r="C17" i="46"/>
  <c r="C16" i="46"/>
  <c r="C15" i="46"/>
  <c r="C14" i="46"/>
  <c r="C13" i="46"/>
  <c r="C12" i="46"/>
  <c r="C11" i="46"/>
  <c r="C10" i="46"/>
  <c r="B22" i="46"/>
  <c r="B21" i="46"/>
  <c r="B20" i="46"/>
  <c r="B19" i="46"/>
  <c r="B18" i="46"/>
  <c r="B17" i="46"/>
  <c r="B16" i="46"/>
  <c r="B15" i="46"/>
  <c r="B14" i="46"/>
  <c r="B13" i="46"/>
  <c r="B12" i="46"/>
  <c r="B11" i="46"/>
  <c r="B10" i="46"/>
  <c r="B13" i="69"/>
  <c r="B4" i="69"/>
  <c r="N2" i="69"/>
  <c r="B13" i="68"/>
  <c r="B4" i="68"/>
  <c r="N2" i="68"/>
  <c r="B13" i="67"/>
  <c r="B4" i="67"/>
  <c r="N2" i="67"/>
  <c r="B13" i="66"/>
  <c r="B4" i="66"/>
  <c r="N2" i="66"/>
  <c r="B13" i="65"/>
  <c r="B4" i="65"/>
  <c r="N2" i="65"/>
  <c r="B13" i="64"/>
  <c r="B4" i="64"/>
  <c r="N2" i="64"/>
  <c r="B13" i="63"/>
  <c r="B4" i="63"/>
  <c r="N2" i="63"/>
  <c r="B13" i="62"/>
  <c r="B4" i="62"/>
  <c r="N2" i="62"/>
  <c r="X27" i="67" l="1"/>
  <c r="X26" i="67"/>
  <c r="X25" i="67"/>
  <c r="X24" i="67"/>
  <c r="X31" i="67"/>
  <c r="X30" i="67"/>
  <c r="X29" i="67"/>
  <c r="X32" i="67"/>
  <c r="R21" i="64"/>
  <c r="R21" i="63"/>
  <c r="R21" i="62"/>
  <c r="X25" i="66"/>
  <c r="X26" i="66"/>
  <c r="X71" i="65"/>
  <c r="X68" i="65"/>
  <c r="X79" i="65"/>
  <c r="X73" i="65"/>
  <c r="X96" i="65"/>
  <c r="X94" i="65"/>
  <c r="X89" i="65"/>
  <c r="X88" i="65"/>
  <c r="X82" i="65"/>
  <c r="V57" i="65"/>
  <c r="W57" i="65" s="1"/>
  <c r="X57" i="65" s="1"/>
  <c r="X28" i="67"/>
  <c r="P28" i="67"/>
  <c r="X23" i="67"/>
  <c r="P23" i="67"/>
  <c r="X28" i="66"/>
  <c r="N14" i="66" s="1"/>
  <c r="P28" i="66"/>
  <c r="P21" i="66" s="1"/>
  <c r="S24" i="66"/>
  <c r="S23" i="66"/>
  <c r="W80" i="65"/>
  <c r="X80" i="65" s="1"/>
  <c r="W64" i="65"/>
  <c r="X64" i="65" s="1"/>
  <c r="W55" i="65"/>
  <c r="W90" i="65"/>
  <c r="X90" i="65" s="1"/>
  <c r="W45" i="65"/>
  <c r="W95" i="65"/>
  <c r="X95" i="65" s="1"/>
  <c r="W53" i="65"/>
  <c r="W50" i="65"/>
  <c r="X50" i="65" s="1"/>
  <c r="W74" i="65"/>
  <c r="V47" i="65"/>
  <c r="W47" i="65" s="1"/>
  <c r="X47" i="65" s="1"/>
  <c r="V46" i="65"/>
  <c r="W46" i="65" s="1"/>
  <c r="X46" i="65" s="1"/>
  <c r="V41" i="65"/>
  <c r="W41" i="65" s="1"/>
  <c r="X41" i="65" s="1"/>
  <c r="P43" i="65"/>
  <c r="P29" i="65"/>
  <c r="P24" i="65"/>
  <c r="L26" i="64"/>
  <c r="M26" i="64" s="1"/>
  <c r="L25" i="64"/>
  <c r="M25" i="64" s="1"/>
  <c r="L24" i="64"/>
  <c r="M24" i="64" s="1"/>
  <c r="L23" i="64"/>
  <c r="M23" i="64" s="1"/>
  <c r="L22" i="64"/>
  <c r="M22" i="64" s="1"/>
  <c r="V86" i="62"/>
  <c r="V22" i="69"/>
  <c r="V41" i="68"/>
  <c r="V40" i="68"/>
  <c r="V39" i="68"/>
  <c r="V38" i="68"/>
  <c r="V37" i="68"/>
  <c r="V36" i="68"/>
  <c r="V35" i="68"/>
  <c r="V34" i="68"/>
  <c r="V33" i="68"/>
  <c r="V32" i="68"/>
  <c r="V31" i="68"/>
  <c r="V30" i="68"/>
  <c r="V29" i="68"/>
  <c r="V28" i="68"/>
  <c r="V27" i="68"/>
  <c r="V26" i="68"/>
  <c r="V25" i="68"/>
  <c r="V24" i="68"/>
  <c r="V23" i="68"/>
  <c r="V22" i="68"/>
  <c r="J4" i="68"/>
  <c r="M21" i="68"/>
  <c r="I4" i="68"/>
  <c r="I5" i="68"/>
  <c r="J5" i="68"/>
  <c r="I6" i="68"/>
  <c r="J6" i="68"/>
  <c r="I7" i="68"/>
  <c r="J7" i="68"/>
  <c r="I8" i="68"/>
  <c r="J8" i="68"/>
  <c r="M21" i="67"/>
  <c r="I5" i="67"/>
  <c r="I6" i="67"/>
  <c r="J6" i="67"/>
  <c r="I8" i="67"/>
  <c r="I4" i="67"/>
  <c r="J4" i="67"/>
  <c r="I7" i="67"/>
  <c r="J8" i="67"/>
  <c r="J5" i="67"/>
  <c r="J7" i="67"/>
  <c r="M21" i="66"/>
  <c r="J7" i="66"/>
  <c r="I6" i="66"/>
  <c r="J6" i="66"/>
  <c r="J5" i="66"/>
  <c r="I5" i="66"/>
  <c r="I4" i="66"/>
  <c r="I7" i="66"/>
  <c r="J4" i="66"/>
  <c r="I5" i="65"/>
  <c r="M21" i="65"/>
  <c r="J6" i="65"/>
  <c r="I10" i="65"/>
  <c r="I4" i="65"/>
  <c r="J10" i="65"/>
  <c r="J9" i="65"/>
  <c r="J8" i="65"/>
  <c r="I7" i="65"/>
  <c r="J5" i="65"/>
  <c r="J4" i="65"/>
  <c r="I9" i="65"/>
  <c r="I8" i="65"/>
  <c r="J7" i="65"/>
  <c r="I6" i="65"/>
  <c r="V35" i="64"/>
  <c r="V34" i="64"/>
  <c r="V33" i="64"/>
  <c r="Q32" i="64"/>
  <c r="S32" i="64" s="1"/>
  <c r="T32" i="64"/>
  <c r="V32" i="64"/>
  <c r="V31" i="64"/>
  <c r="Q30" i="64"/>
  <c r="S30" i="64" s="1"/>
  <c r="T30" i="64"/>
  <c r="V30" i="64"/>
  <c r="V29" i="64"/>
  <c r="V28" i="64"/>
  <c r="V27" i="64"/>
  <c r="I8" i="64"/>
  <c r="J9" i="64"/>
  <c r="J6" i="64"/>
  <c r="I5" i="64"/>
  <c r="I9" i="64"/>
  <c r="J7" i="64"/>
  <c r="I4" i="64"/>
  <c r="I7" i="64"/>
  <c r="I6" i="64"/>
  <c r="J5" i="64"/>
  <c r="J8" i="64"/>
  <c r="J4" i="64"/>
  <c r="V31" i="63"/>
  <c r="V30" i="63"/>
  <c r="V29" i="63"/>
  <c r="V28" i="63"/>
  <c r="V27" i="63"/>
  <c r="V26" i="63"/>
  <c r="T25" i="63"/>
  <c r="Q25" i="63"/>
  <c r="S25" i="63" s="1"/>
  <c r="V25" i="63"/>
  <c r="T24" i="63"/>
  <c r="V24" i="63"/>
  <c r="T23" i="63"/>
  <c r="V23" i="63"/>
  <c r="V22" i="63"/>
  <c r="M21" i="63"/>
  <c r="J8" i="63"/>
  <c r="J4" i="63"/>
  <c r="I6" i="63"/>
  <c r="J6" i="63"/>
  <c r="J7" i="63"/>
  <c r="I7" i="63"/>
  <c r="I5" i="63"/>
  <c r="J5" i="63"/>
  <c r="I4" i="63"/>
  <c r="I8" i="63"/>
  <c r="V102" i="62"/>
  <c r="V101" i="62"/>
  <c r="V100" i="62"/>
  <c r="V99" i="62"/>
  <c r="V98" i="62"/>
  <c r="V97" i="62"/>
  <c r="V96" i="62"/>
  <c r="V95" i="62"/>
  <c r="V94" i="62"/>
  <c r="V93" i="62"/>
  <c r="V92" i="62"/>
  <c r="V91" i="62"/>
  <c r="V90" i="62"/>
  <c r="V89" i="62"/>
  <c r="V88" i="62"/>
  <c r="V87" i="62"/>
  <c r="V85" i="62"/>
  <c r="V84" i="62"/>
  <c r="V83" i="62"/>
  <c r="V82" i="62"/>
  <c r="V81" i="62"/>
  <c r="V80" i="62"/>
  <c r="V79" i="62"/>
  <c r="V78" i="62"/>
  <c r="V77" i="62"/>
  <c r="V76" i="62"/>
  <c r="V75" i="62"/>
  <c r="V74" i="62"/>
  <c r="V73" i="62"/>
  <c r="V72" i="62"/>
  <c r="V71" i="62"/>
  <c r="V70" i="62"/>
  <c r="V69" i="62"/>
  <c r="V68" i="62"/>
  <c r="V67" i="62"/>
  <c r="V66" i="62"/>
  <c r="V65" i="62"/>
  <c r="V64" i="62"/>
  <c r="V63" i="62"/>
  <c r="V62" i="62"/>
  <c r="V61" i="62"/>
  <c r="V60" i="62"/>
  <c r="V59" i="62"/>
  <c r="V58" i="62"/>
  <c r="V57" i="62"/>
  <c r="V56" i="62"/>
  <c r="V55" i="62"/>
  <c r="V54" i="62"/>
  <c r="V53" i="62"/>
  <c r="V52" i="62"/>
  <c r="V51" i="62"/>
  <c r="V50" i="62"/>
  <c r="V49" i="62"/>
  <c r="V48" i="62"/>
  <c r="V47" i="62"/>
  <c r="V46" i="62"/>
  <c r="V45" i="62"/>
  <c r="V44" i="62"/>
  <c r="V43" i="62"/>
  <c r="V42" i="62"/>
  <c r="V41" i="62"/>
  <c r="V40" i="62"/>
  <c r="V39" i="62"/>
  <c r="Q38" i="62"/>
  <c r="S38" i="62" s="1"/>
  <c r="T38" i="62"/>
  <c r="V38" i="62"/>
  <c r="V37" i="62"/>
  <c r="V36" i="62"/>
  <c r="V35" i="62"/>
  <c r="V34" i="62"/>
  <c r="V33" i="62"/>
  <c r="V32" i="62"/>
  <c r="V31" i="62"/>
  <c r="V30" i="62"/>
  <c r="V29" i="62"/>
  <c r="V28" i="62"/>
  <c r="V27" i="62"/>
  <c r="V26" i="62"/>
  <c r="V25" i="62"/>
  <c r="V24" i="62"/>
  <c r="V23" i="62"/>
  <c r="V22" i="62"/>
  <c r="I10" i="62"/>
  <c r="J8" i="62"/>
  <c r="M21" i="62"/>
  <c r="J10" i="62"/>
  <c r="I7" i="62"/>
  <c r="J7" i="62"/>
  <c r="I6" i="62"/>
  <c r="J5" i="62"/>
  <c r="J11" i="62"/>
  <c r="J9" i="62"/>
  <c r="I9" i="62"/>
  <c r="I8" i="62"/>
  <c r="I4" i="62"/>
  <c r="I11" i="62"/>
  <c r="J6" i="62"/>
  <c r="I5" i="62"/>
  <c r="J4" i="62"/>
  <c r="P21" i="69"/>
  <c r="R21" i="69" s="1"/>
  <c r="P21" i="68"/>
  <c r="R21" i="68" s="1"/>
  <c r="X22" i="67"/>
  <c r="N14" i="67" s="1"/>
  <c r="P22" i="67"/>
  <c r="R24" i="66"/>
  <c r="Q24" i="66"/>
  <c r="R23" i="66"/>
  <c r="Q23" i="66"/>
  <c r="V99" i="65"/>
  <c r="W99" i="65" s="1"/>
  <c r="X99" i="65" s="1"/>
  <c r="V98" i="65"/>
  <c r="W98" i="65" s="1"/>
  <c r="X98" i="65" s="1"/>
  <c r="V97" i="65"/>
  <c r="W97" i="65" s="1"/>
  <c r="X97" i="65" s="1"/>
  <c r="V93" i="65"/>
  <c r="W93" i="65" s="1"/>
  <c r="X93" i="65" s="1"/>
  <c r="V92" i="65"/>
  <c r="W92" i="65" s="1"/>
  <c r="X92" i="65" s="1"/>
  <c r="V91" i="65"/>
  <c r="W91" i="65" s="1"/>
  <c r="X91" i="65" s="1"/>
  <c r="V87" i="65"/>
  <c r="W87" i="65" s="1"/>
  <c r="X87" i="65" s="1"/>
  <c r="V86" i="65"/>
  <c r="W86" i="65" s="1"/>
  <c r="V85" i="65"/>
  <c r="W85" i="65" s="1"/>
  <c r="X85" i="65" s="1"/>
  <c r="V84" i="65"/>
  <c r="W84" i="65" s="1"/>
  <c r="V83" i="65"/>
  <c r="W83" i="65" s="1"/>
  <c r="V81" i="65"/>
  <c r="W81" i="65" s="1"/>
  <c r="X81" i="65" s="1"/>
  <c r="V77" i="65"/>
  <c r="W77" i="65" s="1"/>
  <c r="V76" i="65"/>
  <c r="W76" i="65" s="1"/>
  <c r="V75" i="65"/>
  <c r="W75" i="65" s="1"/>
  <c r="V72" i="65"/>
  <c r="W72" i="65" s="1"/>
  <c r="V70" i="65"/>
  <c r="W70" i="65" s="1"/>
  <c r="V67" i="65"/>
  <c r="W67" i="65" s="1"/>
  <c r="V66" i="65"/>
  <c r="W66" i="65" s="1"/>
  <c r="X66" i="65" s="1"/>
  <c r="V65" i="65"/>
  <c r="W65" i="65" s="1"/>
  <c r="V63" i="65"/>
  <c r="W63" i="65" s="1"/>
  <c r="V62" i="65"/>
  <c r="W62" i="65" s="1"/>
  <c r="X62" i="65" s="1"/>
  <c r="V61" i="65"/>
  <c r="W61" i="65" s="1"/>
  <c r="X61" i="65" s="1"/>
  <c r="V60" i="65"/>
  <c r="W60" i="65" s="1"/>
  <c r="X60" i="65" s="1"/>
  <c r="V59" i="65"/>
  <c r="W59" i="65" s="1"/>
  <c r="X59" i="65" s="1"/>
  <c r="V58" i="65"/>
  <c r="W58" i="65" s="1"/>
  <c r="X58" i="65" s="1"/>
  <c r="V54" i="65"/>
  <c r="W54" i="65" s="1"/>
  <c r="X54" i="65" s="1"/>
  <c r="V52" i="65"/>
  <c r="W52" i="65" s="1"/>
  <c r="X52" i="65" s="1"/>
  <c r="V51" i="65"/>
  <c r="W51" i="65" s="1"/>
  <c r="X51" i="65" s="1"/>
  <c r="V48" i="65"/>
  <c r="W48" i="65" s="1"/>
  <c r="X48" i="65" s="1"/>
  <c r="V44" i="65"/>
  <c r="W44" i="65" s="1"/>
  <c r="X44" i="65" s="1"/>
  <c r="V43" i="65"/>
  <c r="W43" i="65"/>
  <c r="X43" i="65" s="1"/>
  <c r="V40" i="65"/>
  <c r="W40" i="65" s="1"/>
  <c r="X40" i="65" s="1"/>
  <c r="V39" i="65"/>
  <c r="W39" i="65"/>
  <c r="X39" i="65" s="1"/>
  <c r="V38" i="65"/>
  <c r="W38" i="65" s="1"/>
  <c r="X38" i="65" s="1"/>
  <c r="V37" i="65"/>
  <c r="W37" i="65"/>
  <c r="X37" i="65" s="1"/>
  <c r="V34" i="65"/>
  <c r="W34" i="65" s="1"/>
  <c r="X34" i="65" s="1"/>
  <c r="V32" i="65"/>
  <c r="W32" i="65" s="1"/>
  <c r="X32" i="65" s="1"/>
  <c r="V31" i="65"/>
  <c r="W31" i="65" s="1"/>
  <c r="X31" i="65" s="1"/>
  <c r="V29" i="65"/>
  <c r="W29" i="65"/>
  <c r="X29" i="65" s="1"/>
  <c r="V28" i="65"/>
  <c r="W28" i="65" s="1"/>
  <c r="X28" i="65" s="1"/>
  <c r="V27" i="65"/>
  <c r="W27" i="65" s="1"/>
  <c r="X27" i="65" s="1"/>
  <c r="V26" i="65"/>
  <c r="W26" i="65" s="1"/>
  <c r="X26" i="65" s="1"/>
  <c r="V25" i="65"/>
  <c r="W25" i="65" s="1"/>
  <c r="X25" i="65" s="1"/>
  <c r="V24" i="65"/>
  <c r="W24" i="65" s="1"/>
  <c r="X24" i="65" s="1"/>
  <c r="V23" i="65"/>
  <c r="W23" i="65"/>
  <c r="X23" i="65" s="1"/>
  <c r="V22" i="65"/>
  <c r="W22" i="65"/>
  <c r="X22" i="65" s="1"/>
  <c r="X86" i="65"/>
  <c r="P86" i="65"/>
  <c r="X84" i="65"/>
  <c r="X83" i="65"/>
  <c r="P83" i="65"/>
  <c r="X78" i="65"/>
  <c r="P78" i="65"/>
  <c r="X77" i="65"/>
  <c r="P77" i="65"/>
  <c r="X76" i="65"/>
  <c r="P76" i="65"/>
  <c r="X75" i="65"/>
  <c r="P75" i="65"/>
  <c r="X74" i="65"/>
  <c r="P74" i="65"/>
  <c r="X72" i="65"/>
  <c r="P72" i="65"/>
  <c r="X70" i="65"/>
  <c r="P70" i="65"/>
  <c r="X69" i="65"/>
  <c r="P69" i="65"/>
  <c r="X67" i="65"/>
  <c r="P67" i="65"/>
  <c r="X65" i="65"/>
  <c r="P65" i="65"/>
  <c r="X63" i="65"/>
  <c r="P63" i="65"/>
  <c r="P62" i="65"/>
  <c r="P61" i="65"/>
  <c r="P58" i="65"/>
  <c r="P56" i="65"/>
  <c r="X56" i="65"/>
  <c r="P55" i="65"/>
  <c r="X55" i="65"/>
  <c r="X53" i="65"/>
  <c r="P53" i="65"/>
  <c r="P51" i="65"/>
  <c r="X49" i="65"/>
  <c r="P49" i="65"/>
  <c r="P47" i="65"/>
  <c r="P46" i="65"/>
  <c r="X45" i="65"/>
  <c r="P45" i="65"/>
  <c r="P44" i="65"/>
  <c r="X42" i="65"/>
  <c r="P42" i="65"/>
  <c r="P41" i="65"/>
  <c r="P40" i="65"/>
  <c r="P39" i="65"/>
  <c r="P38" i="65"/>
  <c r="P37" i="65"/>
  <c r="X36" i="65"/>
  <c r="P36" i="65"/>
  <c r="X35" i="65"/>
  <c r="P35" i="65"/>
  <c r="P34" i="65"/>
  <c r="P33" i="65"/>
  <c r="X33" i="65"/>
  <c r="P32" i="65"/>
  <c r="P31" i="65"/>
  <c r="X30" i="65"/>
  <c r="P30" i="65"/>
  <c r="P28" i="65"/>
  <c r="P27" i="65"/>
  <c r="P26" i="65"/>
  <c r="P23" i="65"/>
  <c r="P22" i="65"/>
  <c r="P21" i="64"/>
  <c r="R22" i="64"/>
  <c r="P21" i="63"/>
  <c r="R22" i="63"/>
  <c r="R22" i="62"/>
  <c r="P21" i="62"/>
  <c r="D17" i="29"/>
  <c r="D17" i="38"/>
  <c r="D18" i="38"/>
  <c r="F18" i="38" s="1"/>
  <c r="D19" i="38"/>
  <c r="D20" i="38"/>
  <c r="F20" i="38" s="1"/>
  <c r="D21" i="38"/>
  <c r="D22" i="38"/>
  <c r="F22" i="38"/>
  <c r="D76" i="29"/>
  <c r="N14" i="68" l="1"/>
  <c r="O14" i="68" s="1"/>
  <c r="N13" i="68"/>
  <c r="L8" i="66"/>
  <c r="L9" i="66"/>
  <c r="L10" i="66"/>
  <c r="L11" i="66"/>
  <c r="O14" i="66"/>
  <c r="V26" i="64"/>
  <c r="V25" i="64"/>
  <c r="V24" i="64"/>
  <c r="V23" i="64"/>
  <c r="V22" i="64"/>
  <c r="M21" i="64"/>
  <c r="M21" i="69"/>
  <c r="I4" i="69"/>
  <c r="J4" i="69"/>
  <c r="N14" i="63"/>
  <c r="O14" i="63" s="1"/>
  <c r="N13" i="63"/>
  <c r="N14" i="62"/>
  <c r="O14" i="62" s="1"/>
  <c r="N13" i="62"/>
  <c r="L9" i="67"/>
  <c r="L10" i="67"/>
  <c r="L11" i="67"/>
  <c r="O14" i="67"/>
  <c r="L8" i="67"/>
  <c r="P21" i="67"/>
  <c r="N14" i="65"/>
  <c r="P21" i="65"/>
  <c r="H18" i="38"/>
  <c r="H20" i="38"/>
  <c r="M12" i="68" l="1"/>
  <c r="M11" i="68"/>
  <c r="O13" i="68"/>
  <c r="N14" i="64"/>
  <c r="O14" i="64" s="1"/>
  <c r="N13" i="64"/>
  <c r="N13" i="69"/>
  <c r="N14" i="69"/>
  <c r="O14" i="69" s="1"/>
  <c r="O13" i="63"/>
  <c r="M11" i="63"/>
  <c r="M12" i="63"/>
  <c r="M12" i="62"/>
  <c r="M11" i="62"/>
  <c r="O13" i="62"/>
  <c r="L11" i="65"/>
  <c r="L8" i="65"/>
  <c r="L9" i="65"/>
  <c r="L10" i="65"/>
  <c r="O14" i="65"/>
  <c r="D76" i="38"/>
  <c r="D23" i="38" s="1"/>
  <c r="D24" i="38" s="1"/>
  <c r="F24" i="38" s="1"/>
  <c r="F57" i="29"/>
  <c r="F42" i="29"/>
  <c r="F34" i="29"/>
  <c r="F59" i="29" s="1"/>
  <c r="F57" i="38"/>
  <c r="F42" i="38"/>
  <c r="F34" i="38"/>
  <c r="F59" i="38" s="1"/>
  <c r="O13" i="64" l="1"/>
  <c r="M12" i="64"/>
  <c r="M11" i="64"/>
  <c r="M12" i="69"/>
  <c r="O13" i="69"/>
  <c r="M11" i="69"/>
  <c r="F28" i="29"/>
  <c r="D23" i="29"/>
  <c r="D21" i="29"/>
  <c r="D19" i="29"/>
  <c r="F28" i="38"/>
  <c r="B2" i="26" l="1"/>
  <c r="D2" i="26" l="1"/>
  <c r="C2" i="38" l="1"/>
  <c r="C2" i="29"/>
  <c r="C2" i="23" l="1"/>
  <c r="C2" i="3" l="1"/>
  <c r="E1" i="46" l="1"/>
  <c r="E1" i="29"/>
  <c r="E1" i="38"/>
  <c r="I2" i="1"/>
  <c r="B2" i="46" l="1"/>
  <c r="K68" i="29" l="1"/>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23"/>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32" i="67" s="1"/>
  <c r="Q32" i="67" l="1"/>
  <c r="R32" i="67" s="1"/>
  <c r="S32" i="67"/>
  <c r="O22" i="69"/>
  <c r="O41" i="68"/>
  <c r="O40" i="68"/>
  <c r="O38" i="68"/>
  <c r="O39" i="68"/>
  <c r="O36" i="68"/>
  <c r="O37" i="68"/>
  <c r="O34" i="68"/>
  <c r="O35" i="68"/>
  <c r="O33" i="68"/>
  <c r="O31" i="68"/>
  <c r="O32" i="68"/>
  <c r="O30" i="68"/>
  <c r="O28" i="68"/>
  <c r="O29" i="68"/>
  <c r="O26" i="68"/>
  <c r="O27" i="68"/>
  <c r="O24" i="68"/>
  <c r="O25" i="68"/>
  <c r="O23" i="68"/>
  <c r="O22" i="68"/>
  <c r="O35" i="64"/>
  <c r="O31" i="67"/>
  <c r="O30" i="67"/>
  <c r="O29" i="67"/>
  <c r="O27" i="67"/>
  <c r="O28" i="67"/>
  <c r="O25" i="67"/>
  <c r="O26" i="67"/>
  <c r="O23" i="67"/>
  <c r="O24" i="67"/>
  <c r="O30" i="66"/>
  <c r="O22" i="67"/>
  <c r="O28" i="66"/>
  <c r="O29" i="66"/>
  <c r="O26" i="66"/>
  <c r="O27" i="66"/>
  <c r="O25" i="66"/>
  <c r="O23" i="66"/>
  <c r="O24" i="66"/>
  <c r="O99" i="65"/>
  <c r="O22" i="66"/>
  <c r="O97" i="65"/>
  <c r="O98" i="65"/>
  <c r="O95" i="65"/>
  <c r="O96" i="65"/>
  <c r="O93" i="65"/>
  <c r="O94" i="65"/>
  <c r="O91" i="65"/>
  <c r="O92" i="65"/>
  <c r="O89" i="65"/>
  <c r="O90" i="65"/>
  <c r="O87" i="65"/>
  <c r="O88" i="65"/>
  <c r="O85" i="65"/>
  <c r="O86" i="65"/>
  <c r="O84" i="65"/>
  <c r="O82" i="65"/>
  <c r="O83" i="65"/>
  <c r="O80" i="65"/>
  <c r="O81" i="65"/>
  <c r="O78" i="65"/>
  <c r="O79" i="65"/>
  <c r="O76" i="65"/>
  <c r="O77" i="65"/>
  <c r="O74" i="65"/>
  <c r="O75" i="65"/>
  <c r="O72" i="65"/>
  <c r="O73" i="65"/>
  <c r="O70" i="65"/>
  <c r="O71" i="65"/>
  <c r="O68" i="65"/>
  <c r="O69" i="65"/>
  <c r="O66" i="65"/>
  <c r="O67" i="65"/>
  <c r="O64" i="65"/>
  <c r="O65" i="65"/>
  <c r="O62" i="65"/>
  <c r="O63" i="65"/>
  <c r="O60" i="65"/>
  <c r="O61" i="65"/>
  <c r="O58" i="65"/>
  <c r="O59" i="65"/>
  <c r="O56" i="65"/>
  <c r="O57" i="65"/>
  <c r="O54" i="65"/>
  <c r="O55" i="65"/>
  <c r="O52" i="65"/>
  <c r="O53" i="65"/>
  <c r="O50" i="65"/>
  <c r="O51" i="65"/>
  <c r="O48" i="65"/>
  <c r="O49" i="65"/>
  <c r="O46" i="65"/>
  <c r="O47" i="65"/>
  <c r="O44" i="65"/>
  <c r="O45" i="65"/>
  <c r="O42" i="65"/>
  <c r="O43" i="65"/>
  <c r="O40" i="65"/>
  <c r="O41" i="65"/>
  <c r="O39" i="65"/>
  <c r="O38" i="65"/>
  <c r="O36" i="65"/>
  <c r="O37" i="65"/>
  <c r="O34" i="65"/>
  <c r="O35" i="65"/>
  <c r="O32" i="65"/>
  <c r="O33" i="65"/>
  <c r="O30" i="65"/>
  <c r="O31" i="65"/>
  <c r="O28" i="65"/>
  <c r="O29" i="65"/>
  <c r="O26" i="65"/>
  <c r="O27" i="65"/>
  <c r="O24" i="65"/>
  <c r="O25" i="65"/>
  <c r="O22" i="65"/>
  <c r="O23" i="65"/>
  <c r="O33" i="64"/>
  <c r="O34" i="64"/>
  <c r="O31" i="64"/>
  <c r="O32" i="64"/>
  <c r="O29" i="64"/>
  <c r="O30" i="64"/>
  <c r="O27" i="64"/>
  <c r="O28" i="64"/>
  <c r="O25" i="64"/>
  <c r="O26" i="64"/>
  <c r="O23" i="64"/>
  <c r="O24" i="64"/>
  <c r="O31" i="63"/>
  <c r="O22" i="64"/>
  <c r="O29" i="63"/>
  <c r="O30" i="63"/>
  <c r="O27" i="63"/>
  <c r="O28" i="63"/>
  <c r="O25" i="63"/>
  <c r="O26" i="63"/>
  <c r="O23" i="63"/>
  <c r="Q23" i="63" s="1"/>
  <c r="S23" i="63" s="1"/>
  <c r="O24" i="63"/>
  <c r="Q24" i="63" s="1"/>
  <c r="S24" i="63" s="1"/>
  <c r="O102" i="62"/>
  <c r="O22" i="63"/>
  <c r="O100" i="62"/>
  <c r="O101" i="62"/>
  <c r="O98" i="62"/>
  <c r="O99" i="62"/>
  <c r="O96" i="62"/>
  <c r="O97" i="62"/>
  <c r="O94" i="62"/>
  <c r="O95" i="62"/>
  <c r="O92" i="62"/>
  <c r="O93" i="62"/>
  <c r="O90" i="62"/>
  <c r="O91" i="62"/>
  <c r="O88" i="62"/>
  <c r="O89" i="62"/>
  <c r="O86" i="62"/>
  <c r="O87" i="62"/>
  <c r="O84" i="62"/>
  <c r="O85" i="62"/>
  <c r="O82" i="62"/>
  <c r="O83" i="62"/>
  <c r="O80" i="62"/>
  <c r="O81" i="62"/>
  <c r="O78" i="62"/>
  <c r="O79" i="62"/>
  <c r="O76" i="62"/>
  <c r="O77" i="62"/>
  <c r="O74" i="62"/>
  <c r="O75" i="62"/>
  <c r="O72" i="62"/>
  <c r="O73" i="62"/>
  <c r="O70" i="62"/>
  <c r="O71" i="62"/>
  <c r="O68" i="62"/>
  <c r="O69" i="62"/>
  <c r="O66" i="62"/>
  <c r="O67" i="62"/>
  <c r="O64" i="62"/>
  <c r="O65" i="62"/>
  <c r="O62" i="62"/>
  <c r="O63" i="62"/>
  <c r="O60" i="62"/>
  <c r="O61" i="62"/>
  <c r="O58" i="62"/>
  <c r="O59" i="62"/>
  <c r="O56" i="62"/>
  <c r="O57" i="62"/>
  <c r="O54" i="62"/>
  <c r="O55" i="62"/>
  <c r="O52" i="62"/>
  <c r="O53" i="62"/>
  <c r="O50" i="62"/>
  <c r="O51" i="62"/>
  <c r="O48" i="62"/>
  <c r="O49" i="62"/>
  <c r="O46" i="62"/>
  <c r="O47" i="62"/>
  <c r="O44" i="62"/>
  <c r="O45" i="62"/>
  <c r="O42" i="62"/>
  <c r="O43" i="62"/>
  <c r="O40" i="62"/>
  <c r="O41" i="62"/>
  <c r="O38" i="62"/>
  <c r="O39" i="62"/>
  <c r="O36" i="62"/>
  <c r="O37" i="62"/>
  <c r="O34" i="62"/>
  <c r="O35" i="62"/>
  <c r="O32" i="62"/>
  <c r="O33" i="62"/>
  <c r="O30" i="62"/>
  <c r="O31" i="62"/>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Q27" i="67" l="1"/>
  <c r="R27" i="67" s="1"/>
  <c r="S27" i="67"/>
  <c r="Q29" i="67"/>
  <c r="R29" i="67" s="1"/>
  <c r="S29" i="67"/>
  <c r="Q28" i="67"/>
  <c r="R28" i="67" s="1"/>
  <c r="S28" i="67"/>
  <c r="S23" i="67"/>
  <c r="Q23" i="67"/>
  <c r="R23" i="67" s="1"/>
  <c r="S24" i="67"/>
  <c r="Q24" i="67"/>
  <c r="R24" i="67" s="1"/>
  <c r="S22" i="67"/>
  <c r="Q22" i="67"/>
  <c r="R22" i="67" s="1"/>
  <c r="S31" i="67"/>
  <c r="Q31" i="67"/>
  <c r="R31" i="67" s="1"/>
  <c r="Q30" i="67"/>
  <c r="R30" i="67" s="1"/>
  <c r="S30" i="67"/>
  <c r="S25" i="67"/>
  <c r="Q25" i="67"/>
  <c r="R25" i="67" s="1"/>
  <c r="Q26" i="67"/>
  <c r="S26" i="67"/>
  <c r="Q35" i="64"/>
  <c r="S35" i="64" s="1"/>
  <c r="T35" i="64"/>
  <c r="Q27" i="64"/>
  <c r="S27" i="64" s="1"/>
  <c r="T27" i="64"/>
  <c r="Q29" i="64"/>
  <c r="S29" i="64" s="1"/>
  <c r="T29" i="64"/>
  <c r="Q28" i="64"/>
  <c r="S28" i="64" s="1"/>
  <c r="T28" i="64"/>
  <c r="Q33" i="64"/>
  <c r="S33" i="64" s="1"/>
  <c r="T33" i="64"/>
  <c r="Q23" i="64"/>
  <c r="S23" i="64" s="1"/>
  <c r="T23" i="64"/>
  <c r="Q24" i="64"/>
  <c r="S24" i="64" s="1"/>
  <c r="T24" i="64"/>
  <c r="Q22" i="64"/>
  <c r="S22" i="64" s="1"/>
  <c r="T22" i="64"/>
  <c r="Q34" i="64"/>
  <c r="S34" i="64" s="1"/>
  <c r="T34" i="64"/>
  <c r="Q31" i="64"/>
  <c r="S31" i="64" s="1"/>
  <c r="T31" i="64"/>
  <c r="Q25" i="64"/>
  <c r="T25" i="64"/>
  <c r="Q26" i="64"/>
  <c r="S26" i="64" s="1"/>
  <c r="T26" i="64"/>
  <c r="T14" i="64" s="1"/>
  <c r="S26" i="66"/>
  <c r="Q26" i="66"/>
  <c r="R26" i="66" s="1"/>
  <c r="S30" i="66"/>
  <c r="Q30" i="66"/>
  <c r="R30" i="66" s="1"/>
  <c r="S28" i="66"/>
  <c r="Q28" i="66"/>
  <c r="R28" i="66" s="1"/>
  <c r="Q29" i="66"/>
  <c r="R29" i="66" s="1"/>
  <c r="S29" i="66"/>
  <c r="Q27" i="66"/>
  <c r="R27" i="66" s="1"/>
  <c r="S27" i="66"/>
  <c r="Q25" i="66"/>
  <c r="R25" i="66" s="1"/>
  <c r="S25" i="66"/>
  <c r="Q22" i="66"/>
  <c r="S22" i="66"/>
  <c r="Q27" i="63"/>
  <c r="S27" i="63" s="1"/>
  <c r="T27" i="63"/>
  <c r="Q31" i="63"/>
  <c r="S31" i="63" s="1"/>
  <c r="T31" i="63"/>
  <c r="Q29" i="63"/>
  <c r="S29" i="63" s="1"/>
  <c r="T29" i="63"/>
  <c r="Q30" i="63"/>
  <c r="S30" i="63" s="1"/>
  <c r="T30" i="63"/>
  <c r="Q28" i="63"/>
  <c r="S28" i="63" s="1"/>
  <c r="T28" i="63"/>
  <c r="Q26" i="63"/>
  <c r="S26" i="63" s="1"/>
  <c r="T26" i="63"/>
  <c r="Q22" i="63"/>
  <c r="T22" i="63"/>
  <c r="T14" i="63" s="1"/>
  <c r="Q22" i="69"/>
  <c r="T22" i="69"/>
  <c r="T14" i="69" s="1"/>
  <c r="Q31" i="68"/>
  <c r="S31" i="68" s="1"/>
  <c r="T31" i="68"/>
  <c r="Q30" i="68"/>
  <c r="S30" i="68" s="1"/>
  <c r="T30" i="68"/>
  <c r="Q28" i="68"/>
  <c r="S28" i="68" s="1"/>
  <c r="T28" i="68"/>
  <c r="Q29" i="68"/>
  <c r="S29" i="68" s="1"/>
  <c r="T29" i="68"/>
  <c r="Q26" i="68"/>
  <c r="S26" i="68" s="1"/>
  <c r="T26" i="68"/>
  <c r="Q27" i="68"/>
  <c r="S27" i="68" s="1"/>
  <c r="T27" i="68"/>
  <c r="Q24" i="68"/>
  <c r="S24" i="68" s="1"/>
  <c r="T24" i="68"/>
  <c r="Q25" i="68"/>
  <c r="S25" i="68" s="1"/>
  <c r="T25" i="68"/>
  <c r="Q23" i="68"/>
  <c r="S23" i="68" s="1"/>
  <c r="T23" i="68"/>
  <c r="Q34" i="68"/>
  <c r="S34" i="68" s="1"/>
  <c r="T34" i="68"/>
  <c r="Q32" i="68"/>
  <c r="S32" i="68" s="1"/>
  <c r="T32" i="68"/>
  <c r="Q33" i="68"/>
  <c r="S33" i="68" s="1"/>
  <c r="T33" i="68"/>
  <c r="Q22" i="68"/>
  <c r="S22" i="68" s="1"/>
  <c r="T22" i="68"/>
  <c r="Q40" i="68"/>
  <c r="S40" i="68" s="1"/>
  <c r="T40" i="68"/>
  <c r="Q38" i="68"/>
  <c r="S38" i="68" s="1"/>
  <c r="T38" i="68"/>
  <c r="Q39" i="68"/>
  <c r="S39" i="68" s="1"/>
  <c r="T39" i="68"/>
  <c r="Q36" i="68"/>
  <c r="S36" i="68" s="1"/>
  <c r="T36" i="68"/>
  <c r="Q37" i="68"/>
  <c r="S37" i="68" s="1"/>
  <c r="T37" i="68"/>
  <c r="Q35" i="68"/>
  <c r="S35" i="68" s="1"/>
  <c r="T35" i="68"/>
  <c r="Q41" i="68"/>
  <c r="T41" i="68"/>
  <c r="Q80" i="65"/>
  <c r="R80" i="65" s="1"/>
  <c r="S80" i="65"/>
  <c r="Q81" i="65"/>
  <c r="R81" i="65" s="1"/>
  <c r="S81" i="65"/>
  <c r="S76" i="65"/>
  <c r="Q76" i="65"/>
  <c r="R76" i="65" s="1"/>
  <c r="S77" i="65"/>
  <c r="Q77" i="65"/>
  <c r="R77" i="65" s="1"/>
  <c r="S74" i="65"/>
  <c r="Q74" i="65"/>
  <c r="R74" i="65" s="1"/>
  <c r="S75" i="65"/>
  <c r="Q75" i="65"/>
  <c r="R75" i="65" s="1"/>
  <c r="S72" i="65"/>
  <c r="Q72" i="65"/>
  <c r="R72" i="65" s="1"/>
  <c r="Q73" i="65"/>
  <c r="R73" i="65" s="1"/>
  <c r="S73" i="65"/>
  <c r="S70" i="65"/>
  <c r="Q70" i="65"/>
  <c r="R70" i="65" s="1"/>
  <c r="Q71" i="65"/>
  <c r="R71" i="65" s="1"/>
  <c r="S71" i="65"/>
  <c r="S98" i="65"/>
  <c r="Q98" i="65"/>
  <c r="R98" i="65" s="1"/>
  <c r="S84" i="65"/>
  <c r="Q84" i="65"/>
  <c r="R84" i="65" s="1"/>
  <c r="S82" i="65"/>
  <c r="Q82" i="65"/>
  <c r="R82" i="65" s="1"/>
  <c r="S69" i="65"/>
  <c r="Q69" i="65"/>
  <c r="R69" i="65" s="1"/>
  <c r="Q66" i="65"/>
  <c r="R66" i="65" s="1"/>
  <c r="S66" i="65"/>
  <c r="S52" i="65"/>
  <c r="Q52" i="65"/>
  <c r="R52" i="65" s="1"/>
  <c r="S49" i="65"/>
  <c r="Q49" i="65"/>
  <c r="R49" i="65" s="1"/>
  <c r="S47" i="65"/>
  <c r="Q47" i="65"/>
  <c r="R47" i="65" s="1"/>
  <c r="S33" i="65"/>
  <c r="Q33" i="65"/>
  <c r="R33" i="65" s="1"/>
  <c r="S31" i="65"/>
  <c r="Q31" i="65"/>
  <c r="R31" i="65" s="1"/>
  <c r="S28" i="65"/>
  <c r="Q28" i="65"/>
  <c r="R28" i="65" s="1"/>
  <c r="S95" i="65"/>
  <c r="Q95" i="65"/>
  <c r="R95" i="65" s="1"/>
  <c r="S96" i="65"/>
  <c r="Q96" i="65"/>
  <c r="R96" i="65" s="1"/>
  <c r="S93" i="65"/>
  <c r="Q93" i="65"/>
  <c r="R93" i="65" s="1"/>
  <c r="S94" i="65"/>
  <c r="Q94" i="65"/>
  <c r="R94" i="65" s="1"/>
  <c r="S91" i="65"/>
  <c r="Q91" i="65"/>
  <c r="R91" i="65" s="1"/>
  <c r="S58" i="65"/>
  <c r="Q58" i="65"/>
  <c r="R58" i="65" s="1"/>
  <c r="S51" i="65"/>
  <c r="Q51" i="65"/>
  <c r="R51" i="65" s="1"/>
  <c r="S46" i="65"/>
  <c r="Q46" i="65"/>
  <c r="R46" i="65" s="1"/>
  <c r="S44" i="65"/>
  <c r="Q44" i="65"/>
  <c r="R44" i="65" s="1"/>
  <c r="S45" i="65"/>
  <c r="Q45" i="65"/>
  <c r="R45" i="65" s="1"/>
  <c r="S42" i="65"/>
  <c r="Q42" i="65"/>
  <c r="R42" i="65" s="1"/>
  <c r="S43" i="65"/>
  <c r="Q43" i="65"/>
  <c r="R43" i="65" s="1"/>
  <c r="S39" i="65"/>
  <c r="Q39" i="65"/>
  <c r="R39" i="65" s="1"/>
  <c r="S34" i="65"/>
  <c r="Q34" i="65"/>
  <c r="R34" i="65" s="1"/>
  <c r="S30" i="65"/>
  <c r="Q30" i="65"/>
  <c r="R30" i="65" s="1"/>
  <c r="Q26" i="65"/>
  <c r="R26" i="65" s="1"/>
  <c r="S26" i="65"/>
  <c r="S27" i="65"/>
  <c r="Q27" i="65"/>
  <c r="R27" i="65" s="1"/>
  <c r="S24" i="65"/>
  <c r="Q24" i="65"/>
  <c r="R24" i="65" s="1"/>
  <c r="Q25" i="65"/>
  <c r="R25" i="65" s="1"/>
  <c r="S25" i="65"/>
  <c r="S23" i="65"/>
  <c r="Q23" i="65"/>
  <c r="R23" i="65" s="1"/>
  <c r="S99" i="65"/>
  <c r="Q99" i="65"/>
  <c r="R99" i="65" s="1"/>
  <c r="S83" i="65"/>
  <c r="Q83" i="65"/>
  <c r="R83" i="65" s="1"/>
  <c r="Q68" i="65"/>
  <c r="R68" i="65" s="1"/>
  <c r="S68" i="65"/>
  <c r="S67" i="65"/>
  <c r="Q67" i="65"/>
  <c r="R67" i="65" s="1"/>
  <c r="Q48" i="65"/>
  <c r="R48" i="65" s="1"/>
  <c r="S48" i="65"/>
  <c r="S40" i="65"/>
  <c r="Q40" i="65"/>
  <c r="R40" i="65" s="1"/>
  <c r="S41" i="65"/>
  <c r="Q41" i="65"/>
  <c r="R41" i="65" s="1"/>
  <c r="S29" i="65"/>
  <c r="Q29" i="65"/>
  <c r="R29" i="65" s="1"/>
  <c r="S22" i="65"/>
  <c r="Q22" i="65"/>
  <c r="R22" i="65" s="1"/>
  <c r="S89" i="65"/>
  <c r="Q89" i="65"/>
  <c r="R89" i="65" s="1"/>
  <c r="S90" i="65"/>
  <c r="Q90" i="65"/>
  <c r="R90" i="65" s="1"/>
  <c r="S87" i="65"/>
  <c r="Q87" i="65"/>
  <c r="R87" i="65" s="1"/>
  <c r="S88" i="65"/>
  <c r="Q88" i="65"/>
  <c r="R88" i="65" s="1"/>
  <c r="S85" i="65"/>
  <c r="Q85" i="65"/>
  <c r="R85" i="65" s="1"/>
  <c r="S86" i="65"/>
  <c r="Q86" i="65"/>
  <c r="R86" i="65" s="1"/>
  <c r="Q79" i="65"/>
  <c r="R79" i="65" s="1"/>
  <c r="S79" i="65"/>
  <c r="S56" i="65"/>
  <c r="Q56" i="65"/>
  <c r="R56" i="65" s="1"/>
  <c r="S57" i="65"/>
  <c r="Q57" i="65"/>
  <c r="R57" i="65" s="1"/>
  <c r="S54" i="65"/>
  <c r="Q54" i="65"/>
  <c r="R54" i="65" s="1"/>
  <c r="S55" i="65"/>
  <c r="Q55" i="65"/>
  <c r="R55" i="65" s="1"/>
  <c r="S53" i="65"/>
  <c r="Q53" i="65"/>
  <c r="R53" i="65" s="1"/>
  <c r="S36" i="65"/>
  <c r="Q36" i="65"/>
  <c r="R36" i="65" s="1"/>
  <c r="S37" i="65"/>
  <c r="Q37" i="65"/>
  <c r="R37" i="65" s="1"/>
  <c r="S35" i="65"/>
  <c r="Q35" i="65"/>
  <c r="R35" i="65" s="1"/>
  <c r="S97" i="65"/>
  <c r="Q97" i="65"/>
  <c r="R97" i="65" s="1"/>
  <c r="S65" i="65"/>
  <c r="Q65" i="65"/>
  <c r="R65" i="65" s="1"/>
  <c r="S60" i="65"/>
  <c r="Q60" i="65"/>
  <c r="R60" i="65" s="1"/>
  <c r="S61" i="65"/>
  <c r="Q61" i="65"/>
  <c r="R61" i="65" s="1"/>
  <c r="S50" i="65"/>
  <c r="Q50" i="65"/>
  <c r="R50" i="65" s="1"/>
  <c r="S32" i="65"/>
  <c r="Q32" i="65"/>
  <c r="R32" i="65" s="1"/>
  <c r="S92" i="65"/>
  <c r="Q92" i="65"/>
  <c r="R92" i="65" s="1"/>
  <c r="S78" i="65"/>
  <c r="Q78" i="65"/>
  <c r="R78" i="65" s="1"/>
  <c r="Q64" i="65"/>
  <c r="R64" i="65" s="1"/>
  <c r="S64" i="65"/>
  <c r="S62" i="65"/>
  <c r="Q62" i="65"/>
  <c r="R62" i="65" s="1"/>
  <c r="S63" i="65"/>
  <c r="Q63" i="65"/>
  <c r="R63" i="65" s="1"/>
  <c r="S59" i="65"/>
  <c r="Q59" i="65"/>
  <c r="R59" i="65" s="1"/>
  <c r="S38" i="65"/>
  <c r="Q38" i="65"/>
  <c r="Q82" i="62"/>
  <c r="S82" i="62" s="1"/>
  <c r="T82" i="62"/>
  <c r="Q83" i="62"/>
  <c r="S83" i="62" s="1"/>
  <c r="T83" i="62"/>
  <c r="Q78" i="62"/>
  <c r="S78" i="62" s="1"/>
  <c r="T78" i="62"/>
  <c r="Q79" i="62"/>
  <c r="S79" i="62" s="1"/>
  <c r="T79" i="62"/>
  <c r="Q76" i="62"/>
  <c r="S76" i="62" s="1"/>
  <c r="T76" i="62"/>
  <c r="Q77" i="62"/>
  <c r="S77" i="62" s="1"/>
  <c r="T77" i="62"/>
  <c r="Q74" i="62"/>
  <c r="S74" i="62" s="1"/>
  <c r="T74" i="62"/>
  <c r="Q75" i="62"/>
  <c r="S75" i="62" s="1"/>
  <c r="T75" i="62"/>
  <c r="Q72" i="62"/>
  <c r="S72" i="62" s="1"/>
  <c r="T72" i="62"/>
  <c r="Q73" i="62"/>
  <c r="S73" i="62" s="1"/>
  <c r="T73" i="62"/>
  <c r="Q101" i="62"/>
  <c r="S101" i="62" s="1"/>
  <c r="T101" i="62"/>
  <c r="Q87" i="62"/>
  <c r="S87" i="62" s="1"/>
  <c r="T87" i="62"/>
  <c r="Q84" i="62"/>
  <c r="S84" i="62" s="1"/>
  <c r="T84" i="62"/>
  <c r="Q71" i="62"/>
  <c r="S71" i="62" s="1"/>
  <c r="T71" i="62"/>
  <c r="Q68" i="62"/>
  <c r="S68" i="62" s="1"/>
  <c r="T68" i="62"/>
  <c r="Q54" i="62"/>
  <c r="S54" i="62" s="1"/>
  <c r="T54" i="62"/>
  <c r="Q51" i="62"/>
  <c r="S51" i="62" s="1"/>
  <c r="T51" i="62"/>
  <c r="Q49" i="62"/>
  <c r="S49" i="62" s="1"/>
  <c r="T49" i="62"/>
  <c r="Q33" i="62"/>
  <c r="S33" i="62" s="1"/>
  <c r="T33" i="62"/>
  <c r="Q31" i="62"/>
  <c r="S31" i="62" s="1"/>
  <c r="T31" i="62"/>
  <c r="Q28" i="62"/>
  <c r="S28" i="62" s="1"/>
  <c r="T28" i="62"/>
  <c r="Q98" i="62"/>
  <c r="S98" i="62" s="1"/>
  <c r="T98" i="62"/>
  <c r="Q99" i="62"/>
  <c r="S99" i="62" s="1"/>
  <c r="T99" i="62"/>
  <c r="Q96" i="62"/>
  <c r="S96" i="62" s="1"/>
  <c r="T96" i="62"/>
  <c r="Q97" i="62"/>
  <c r="S97" i="62" s="1"/>
  <c r="T97" i="62"/>
  <c r="Q94" i="62"/>
  <c r="S94" i="62" s="1"/>
  <c r="T94" i="62"/>
  <c r="Q60" i="62"/>
  <c r="S60" i="62" s="1"/>
  <c r="T60" i="62"/>
  <c r="Q53" i="62"/>
  <c r="S53" i="62" s="1"/>
  <c r="T53" i="62"/>
  <c r="Q48" i="62"/>
  <c r="S48" i="62" s="1"/>
  <c r="T48" i="62"/>
  <c r="Q46" i="62"/>
  <c r="S46" i="62" s="1"/>
  <c r="T46" i="62"/>
  <c r="Q47" i="62"/>
  <c r="S47" i="62" s="1"/>
  <c r="T47" i="62"/>
  <c r="Q44" i="62"/>
  <c r="S44" i="62" s="1"/>
  <c r="T44" i="62"/>
  <c r="Q45" i="62"/>
  <c r="S45" i="62" s="1"/>
  <c r="T45" i="62"/>
  <c r="Q40" i="62"/>
  <c r="S40" i="62" s="1"/>
  <c r="T40" i="62"/>
  <c r="Q34" i="62"/>
  <c r="S34" i="62" s="1"/>
  <c r="T34" i="62"/>
  <c r="Q30" i="62"/>
  <c r="S30" i="62" s="1"/>
  <c r="T30" i="62"/>
  <c r="Q26" i="62"/>
  <c r="S26" i="62" s="1"/>
  <c r="T26" i="62"/>
  <c r="Q27" i="62"/>
  <c r="S27" i="62" s="1"/>
  <c r="T27" i="62"/>
  <c r="Q24" i="62"/>
  <c r="S24" i="62" s="1"/>
  <c r="T24" i="62"/>
  <c r="Q25" i="62"/>
  <c r="S25" i="62" s="1"/>
  <c r="T25" i="62"/>
  <c r="Q23" i="62"/>
  <c r="S23" i="62" s="1"/>
  <c r="T23" i="62"/>
  <c r="Q102" i="62"/>
  <c r="S102" i="62" s="1"/>
  <c r="T102" i="62"/>
  <c r="Q85" i="62"/>
  <c r="S85" i="62" s="1"/>
  <c r="T85" i="62"/>
  <c r="Q70" i="62"/>
  <c r="S70" i="62" s="1"/>
  <c r="T70" i="62"/>
  <c r="Q69" i="62"/>
  <c r="S69" i="62" s="1"/>
  <c r="T69" i="62"/>
  <c r="Q50" i="62"/>
  <c r="S50" i="62" s="1"/>
  <c r="T50" i="62"/>
  <c r="Q42" i="62"/>
  <c r="S42" i="62" s="1"/>
  <c r="T42" i="62"/>
  <c r="Q43" i="62"/>
  <c r="S43" i="62" s="1"/>
  <c r="T43" i="62"/>
  <c r="Q29" i="62"/>
  <c r="S29" i="62" s="1"/>
  <c r="T29" i="62"/>
  <c r="Q22" i="62"/>
  <c r="S22" i="62" s="1"/>
  <c r="T22" i="62"/>
  <c r="Q86" i="62"/>
  <c r="S86" i="62" s="1"/>
  <c r="T86" i="62"/>
  <c r="Q41" i="62"/>
  <c r="S41" i="62" s="1"/>
  <c r="T41" i="62"/>
  <c r="Q92" i="62"/>
  <c r="S92" i="62" s="1"/>
  <c r="T92" i="62"/>
  <c r="Q93" i="62"/>
  <c r="S93" i="62" s="1"/>
  <c r="T93" i="62"/>
  <c r="Q90" i="62"/>
  <c r="S90" i="62" s="1"/>
  <c r="T90" i="62"/>
  <c r="Q91" i="62"/>
  <c r="S91" i="62" s="1"/>
  <c r="T91" i="62"/>
  <c r="Q88" i="62"/>
  <c r="S88" i="62" s="1"/>
  <c r="T88" i="62"/>
  <c r="Q89" i="62"/>
  <c r="S89" i="62" s="1"/>
  <c r="T89" i="62"/>
  <c r="Q81" i="62"/>
  <c r="S81" i="62" s="1"/>
  <c r="T81" i="62"/>
  <c r="Q58" i="62"/>
  <c r="S58" i="62" s="1"/>
  <c r="T58" i="62"/>
  <c r="Q59" i="62"/>
  <c r="S59" i="62" s="1"/>
  <c r="T59" i="62"/>
  <c r="Q56" i="62"/>
  <c r="S56" i="62" s="1"/>
  <c r="T56" i="62"/>
  <c r="Q57" i="62"/>
  <c r="S57" i="62" s="1"/>
  <c r="T57" i="62"/>
  <c r="Q55" i="62"/>
  <c r="S55" i="62" s="1"/>
  <c r="T55" i="62"/>
  <c r="Q36" i="62"/>
  <c r="S36" i="62" s="1"/>
  <c r="T36" i="62"/>
  <c r="Q37" i="62"/>
  <c r="S37" i="62" s="1"/>
  <c r="T37" i="62"/>
  <c r="Q35" i="62"/>
  <c r="S35" i="62" s="1"/>
  <c r="T35" i="62"/>
  <c r="Q100" i="62"/>
  <c r="S100" i="62" s="1"/>
  <c r="T100" i="62"/>
  <c r="Q67" i="62"/>
  <c r="S67" i="62" s="1"/>
  <c r="T67" i="62"/>
  <c r="Q62" i="62"/>
  <c r="S62" i="62" s="1"/>
  <c r="T62" i="62"/>
  <c r="Q63" i="62"/>
  <c r="S63" i="62" s="1"/>
  <c r="T63" i="62"/>
  <c r="Q52" i="62"/>
  <c r="S52" i="62" s="1"/>
  <c r="T52" i="62"/>
  <c r="Q32" i="62"/>
  <c r="S32" i="62" s="1"/>
  <c r="T32" i="62"/>
  <c r="Q95" i="62"/>
  <c r="S95" i="62" s="1"/>
  <c r="T95" i="62"/>
  <c r="Q80" i="62"/>
  <c r="S80" i="62" s="1"/>
  <c r="T80" i="62"/>
  <c r="Q66" i="62"/>
  <c r="S66" i="62" s="1"/>
  <c r="T66" i="62"/>
  <c r="Q64" i="62"/>
  <c r="S64" i="62" s="1"/>
  <c r="T64" i="62"/>
  <c r="Q65" i="62"/>
  <c r="S65" i="62" s="1"/>
  <c r="T65" i="62"/>
  <c r="Q61" i="62"/>
  <c r="S61" i="62" s="1"/>
  <c r="T61" i="62"/>
  <c r="Q39" i="62"/>
  <c r="T39" i="62"/>
  <c r="F29" i="29"/>
  <c r="K62" i="38"/>
  <c r="T14" i="68" l="1"/>
  <c r="S14" i="66"/>
  <c r="S14" i="67"/>
  <c r="Q21" i="67"/>
  <c r="R26" i="67"/>
  <c r="S25" i="64"/>
  <c r="Q21" i="64"/>
  <c r="S21" i="64" s="1"/>
  <c r="R22" i="66"/>
  <c r="Q21" i="66"/>
  <c r="Q21" i="63"/>
  <c r="S21" i="63" s="1"/>
  <c r="S22" i="63"/>
  <c r="S22" i="69"/>
  <c r="Q21" i="69"/>
  <c r="S21" i="69" s="1"/>
  <c r="S41" i="68"/>
  <c r="Q21" i="68"/>
  <c r="S21" i="68" s="1"/>
  <c r="S14" i="65"/>
  <c r="Q21" i="65"/>
  <c r="R38" i="65"/>
  <c r="S39" i="62"/>
  <c r="Q21" i="62"/>
  <c r="S21" i="62" s="1"/>
  <c r="T14" i="62"/>
  <c r="G23" i="1" l="1"/>
  <c r="R21" i="67"/>
  <c r="F23" i="1"/>
  <c r="C8" i="3"/>
  <c r="D7" i="3"/>
  <c r="G22" i="1"/>
  <c r="R21" i="66"/>
  <c r="C7" i="3"/>
  <c r="G7" i="3" s="1"/>
  <c r="I7" i="3" s="1"/>
  <c r="H7" i="3" s="1"/>
  <c r="F22" i="1"/>
  <c r="J21" i="1"/>
  <c r="C6" i="23"/>
  <c r="E6" i="23" s="1"/>
  <c r="D6" i="23" s="1"/>
  <c r="H21" i="1"/>
  <c r="E6" i="3"/>
  <c r="D6" i="3"/>
  <c r="G21" i="1"/>
  <c r="R21" i="65"/>
  <c r="F21" i="1"/>
  <c r="C6" i="3"/>
  <c r="K23" i="1" l="1"/>
  <c r="L23" i="1" s="1"/>
  <c r="G8" i="3"/>
  <c r="I8" i="3" s="1"/>
  <c r="K22" i="1"/>
  <c r="L22" i="1" s="1"/>
  <c r="K21" i="1"/>
  <c r="L21" i="1" s="1"/>
  <c r="G6" i="3"/>
  <c r="I6" i="3" l="1"/>
  <c r="G9" i="3"/>
  <c r="H8" i="3"/>
  <c r="H6" i="3" l="1"/>
  <c r="H9" i="3" s="1"/>
  <c r="I9" i="3"/>
</calcChain>
</file>

<file path=xl/sharedStrings.xml><?xml version="1.0" encoding="utf-8"?>
<sst xmlns="http://schemas.openxmlformats.org/spreadsheetml/2006/main" count="2187" uniqueCount="401">
  <si>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</si>
  <si>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</si>
  <si>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</si>
  <si>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</si>
  <si>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</si>
  <si>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</si>
  <si>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</si>
  <si>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</si>
  <si>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</si>
  <si>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</si>
  <si>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</si>
  <si>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</si>
  <si>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</si>
  <si>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</si>
  <si>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</si>
  <si>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</si>
  <si>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</si>
  <si>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</si>
  <si>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</si>
  <si>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</si>
  <si>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</si>
  <si>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</si>
  <si>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</si>
  <si>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</si>
  <si>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</si>
  <si>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</si>
  <si>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</si>
  <si>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</si>
  <si>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</si>
  <si>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</si>
  <si>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</si>
  <si>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</si>
  <si>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</si>
  <si>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</si>
  <si>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</si>
  <si>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</si>
  <si>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</si>
  <si>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</si>
  <si>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</si>
  <si>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</si>
  <si>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</si>
  <si>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</si>
  <si>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</si>
  <si>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</si>
  <si>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</si>
  <si>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</si>
  <si>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</si>
  <si>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</si>
  <si>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</si>
  <si>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</si>
  <si>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</si>
  <si>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</si>
  <si>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</si>
  <si>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</si>
  <si>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</si>
  <si>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</si>
  <si>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</si>
  <si>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</si>
  <si>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</si>
  <si>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</si>
  <si>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</si>
  <si>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</si>
  <si>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</si>
  <si>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</si>
  <si>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</si>
  <si>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</si>
  <si>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</si>
  <si>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</si>
  <si>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</si>
  <si>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</si>
  <si>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</si>
  <si>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</si>
  <si>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</si>
  <si>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</si>
  <si>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</si>
  <si>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</si>
  <si>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</si>
  <si>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</si>
  <si>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</si>
  <si>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</si>
  <si>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</si>
  <si>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</si>
  <si>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</si>
  <si>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</si>
  <si>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</si>
  <si>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</si>
  <si>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</si>
  <si>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</si>
  <si>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</si>
  <si>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</si>
  <si>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</si>
  <si>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</si>
  <si>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</si>
  <si>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</si>
  <si>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</si>
  <si>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</si>
  <si>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</si>
  <si>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</si>
  <si>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</si>
  <si>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</si>
  <si>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</si>
  <si>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</si>
  <si>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</si>
  <si>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</si>
  <si>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</si>
  <si>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</si>
  <si>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</si>
  <si>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</si>
  <si>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</si>
  <si>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</si>
  <si>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</si>
  <si>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</si>
  <si>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</si>
  <si>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</si>
  <si>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Reinigungs-
fläche 
(m²)</t>
  </si>
  <si>
    <t>Reinigungsart</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</si>
  <si>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</si>
  <si>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</si>
  <si>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</si>
  <si>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</si>
  <si>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</si>
  <si>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</si>
  <si>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</si>
  <si>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</si>
  <si>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</si>
  <si>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</si>
  <si>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</si>
  <si>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</si>
  <si>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</si>
  <si>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</si>
  <si>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</si>
  <si>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</si>
  <si>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</si>
  <si>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</si>
  <si>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</si>
  <si>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</si>
  <si>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</si>
  <si>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</si>
  <si>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</si>
  <si>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</si>
  <si>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</si>
  <si>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</si>
  <si>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</si>
  <si>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</si>
  <si>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</si>
  <si>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</si>
  <si>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Einheit</t>
  </si>
  <si>
    <t>Reinigungstage</t>
  </si>
  <si>
    <t>Nettopreis</t>
  </si>
  <si>
    <t>Bruttopreis</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</si>
  <si>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</si>
  <si>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</si>
  <si>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</si>
  <si>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</si>
  <si>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</si>
  <si>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</si>
  <si>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</si>
  <si>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</si>
  <si>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</si>
  <si>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</si>
  <si>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</si>
  <si>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</si>
  <si>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</si>
  <si>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</si>
  <si>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</si>
  <si>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</si>
  <si>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</si>
  <si>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</si>
  <si>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</si>
  <si>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</si>
  <si>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</si>
  <si>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</si>
  <si>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</si>
  <si>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</si>
  <si>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</si>
  <si>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</si>
  <si>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</si>
  <si>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rPr>
        <b/>
        <sz val="8"/>
        <rFont val="Verdana"/>
        <family val="2"/>
      </rPr>
      <t>Reinigungstage</t>
    </r>
    <r>
      <rPr>
        <sz val="8"/>
        <rFont val="Verdana"/>
        <family val="2"/>
      </rPr>
      <t xml:space="preserve"> pro Objekt und Reinigungsart</t>
    </r>
  </si>
  <si>
    <r>
      <rPr>
        <b/>
        <sz val="8"/>
        <rFont val="Verdana"/>
        <family val="2"/>
      </rPr>
      <t>Preisübersicht nach Bedarf</t>
    </r>
    <r>
      <rPr>
        <sz val="8"/>
        <rFont val="Verdana"/>
        <family val="2"/>
      </rPr>
      <t xml:space="preserve"> pro Jahr (in €)</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</si>
  <si>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</si>
  <si>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</si>
  <si>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</si>
  <si>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</si>
  <si>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</si>
  <si>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</si>
  <si>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</si>
  <si>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</si>
  <si>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</si>
  <si>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</si>
  <si>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</si>
  <si>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GS Uhland</t>
  </si>
  <si>
    <t>Los 3</t>
  </si>
  <si>
    <t>Grundschule Ludwig Uhland</t>
  </si>
  <si>
    <t>Schulgebäude</t>
  </si>
  <si>
    <t>Kirchplatz 1</t>
  </si>
  <si>
    <t>39418</t>
  </si>
  <si>
    <t>Staßfurt</t>
  </si>
  <si>
    <t>JC Leo Treff</t>
  </si>
  <si>
    <t>Jugendtreff "Leo-Treff"</t>
  </si>
  <si>
    <t>Kirchplatz 1</t>
  </si>
  <si>
    <t>Luther SH</t>
  </si>
  <si>
    <t>Luthersporthalle</t>
  </si>
  <si>
    <t>Turnhalle für die GS Uhland</t>
  </si>
  <si>
    <t>Kirchstraße 2</t>
  </si>
  <si>
    <t>Unterhaltsreinigung (Ferien)</t>
  </si>
  <si>
    <t>Unterhaltsreinigung (nach Bedarf)</t>
  </si>
  <si>
    <t>Kalkulation Verbrauchsmaterial</t>
  </si>
  <si>
    <t>2.01</t>
  </si>
  <si>
    <t>2. OG</t>
  </si>
  <si>
    <t>Treppenhaus</t>
  </si>
  <si>
    <t>Fliesen</t>
  </si>
  <si>
    <t>2.02</t>
  </si>
  <si>
    <t>Klassenraum</t>
  </si>
  <si>
    <t>Linoleum</t>
  </si>
  <si>
    <t>2.03</t>
  </si>
  <si>
    <t>2.04</t>
  </si>
  <si>
    <t>2.05</t>
  </si>
  <si>
    <t>Musikraum</t>
  </si>
  <si>
    <t>2.06</t>
  </si>
  <si>
    <t>2.07</t>
  </si>
  <si>
    <t>Flur 3/ Vorraum</t>
  </si>
  <si>
    <t>2.08</t>
  </si>
  <si>
    <t>2.09</t>
  </si>
  <si>
    <t>Flur</t>
  </si>
  <si>
    <t>Raum ZBV</t>
  </si>
  <si>
    <t>Flur/ Sanitär</t>
  </si>
  <si>
    <t>WC Mädchen</t>
  </si>
  <si>
    <t>2.16</t>
  </si>
  <si>
    <t>WC Jungen</t>
  </si>
  <si>
    <t>2.17</t>
  </si>
  <si>
    <t>Putzraum</t>
  </si>
  <si>
    <t>2.18</t>
  </si>
  <si>
    <t>Büro</t>
  </si>
  <si>
    <t>2.19</t>
  </si>
  <si>
    <t>Sachunterricht</t>
  </si>
  <si>
    <t>Lehrmittel</t>
  </si>
  <si>
    <t>1.01</t>
  </si>
  <si>
    <t>1. OG</t>
  </si>
  <si>
    <t>1.02</t>
  </si>
  <si>
    <t>1.03</t>
  </si>
  <si>
    <t>1.04</t>
  </si>
  <si>
    <t>1.05</t>
  </si>
  <si>
    <t>1.06</t>
  </si>
  <si>
    <t>1.07</t>
  </si>
  <si>
    <t>1.08</t>
  </si>
  <si>
    <t>1.09</t>
  </si>
  <si>
    <t>1.10</t>
  </si>
  <si>
    <t>Raum-ZBV</t>
  </si>
  <si>
    <t>1.11</t>
  </si>
  <si>
    <t>1.12</t>
  </si>
  <si>
    <t>1.13</t>
  </si>
  <si>
    <t>Flur 4/Sanitär</t>
  </si>
  <si>
    <t>1.14</t>
  </si>
  <si>
    <t>1.15</t>
  </si>
  <si>
    <t>1.16</t>
  </si>
  <si>
    <t>WC Lehrer (Herren)</t>
  </si>
  <si>
    <t>1.17</t>
  </si>
  <si>
    <t>WC Lehrer (Frauen)</t>
  </si>
  <si>
    <t>1.18</t>
  </si>
  <si>
    <t>1.19</t>
  </si>
  <si>
    <t>Lehrerzimmer</t>
  </si>
  <si>
    <t>1.20</t>
  </si>
  <si>
    <t>Erste-Hilfe-Raum</t>
  </si>
  <si>
    <t>1.21</t>
  </si>
  <si>
    <t>Beratungsraum</t>
  </si>
  <si>
    <t>1.22</t>
  </si>
  <si>
    <t>Schulleiter</t>
  </si>
  <si>
    <t>1.23</t>
  </si>
  <si>
    <t>Sekretariat</t>
  </si>
  <si>
    <t>1.24</t>
  </si>
  <si>
    <t>Stellvertretender Schulleiter</t>
  </si>
  <si>
    <t>1.25</t>
  </si>
  <si>
    <t>1.26</t>
  </si>
  <si>
    <t>Flur 5/ Vorraum</t>
  </si>
  <si>
    <t>1.27</t>
  </si>
  <si>
    <t>E.01</t>
  </si>
  <si>
    <t>EG</t>
  </si>
  <si>
    <t>E.02</t>
  </si>
  <si>
    <t>Vorraum Aufzug</t>
  </si>
  <si>
    <t>E.03.1</t>
  </si>
  <si>
    <t>Mensa/Aula</t>
  </si>
  <si>
    <t>E.03.2</t>
  </si>
  <si>
    <t>E.03.3</t>
  </si>
  <si>
    <t>E.03.4</t>
  </si>
  <si>
    <t>E.03.5</t>
  </si>
  <si>
    <t>E.03.6</t>
  </si>
  <si>
    <t>E.04.</t>
  </si>
  <si>
    <t>E.05</t>
  </si>
  <si>
    <t>Küche-Ausgabe</t>
  </si>
  <si>
    <t>E.06</t>
  </si>
  <si>
    <t>Küche Personal</t>
  </si>
  <si>
    <t>E.07</t>
  </si>
  <si>
    <t>Küche WC-Personal</t>
  </si>
  <si>
    <t>E.08</t>
  </si>
  <si>
    <t>Küche Schüler</t>
  </si>
  <si>
    <t>E.09</t>
  </si>
  <si>
    <t>Küche-Flur</t>
  </si>
  <si>
    <t>E.10</t>
  </si>
  <si>
    <t>Foyer/ Flur</t>
  </si>
  <si>
    <t>E.11</t>
  </si>
  <si>
    <t>E.12</t>
  </si>
  <si>
    <t>Stühle</t>
  </si>
  <si>
    <t>Lager</t>
  </si>
  <si>
    <t>E.13</t>
  </si>
  <si>
    <t>E.14</t>
  </si>
  <si>
    <t>E.15</t>
  </si>
  <si>
    <t>E.16</t>
  </si>
  <si>
    <t>WC Behinderten</t>
  </si>
  <si>
    <t>E.17</t>
  </si>
  <si>
    <t>WC Vorraum</t>
  </si>
  <si>
    <t>E.18</t>
  </si>
  <si>
    <t>WC Lehrer</t>
  </si>
  <si>
    <t>E.19</t>
  </si>
  <si>
    <t>WC Reinigungspersonal</t>
  </si>
  <si>
    <t>E.20</t>
  </si>
  <si>
    <t>E.21</t>
  </si>
  <si>
    <t>Pädagogische Mitarbeiter</t>
  </si>
  <si>
    <t>E.22</t>
  </si>
  <si>
    <t>Sachunterricht, Werken u. Gestalten</t>
  </si>
  <si>
    <t>E.23</t>
  </si>
  <si>
    <t>Werkraum</t>
  </si>
  <si>
    <t>E.24</t>
  </si>
  <si>
    <t>E.25</t>
  </si>
  <si>
    <t>E.26</t>
  </si>
  <si>
    <t>Raum-ZBV/Lager</t>
  </si>
  <si>
    <t>E.27</t>
  </si>
  <si>
    <t>E.28</t>
  </si>
  <si>
    <t>Treppe</t>
  </si>
  <si>
    <t>Unterricht</t>
  </si>
  <si>
    <t>Verkehr</t>
  </si>
  <si>
    <t>Funktion</t>
  </si>
  <si>
    <t>Sanitär</t>
  </si>
  <si>
    <t>Technik</t>
  </si>
  <si>
    <t>Versorgung</t>
  </si>
  <si>
    <t>WC Barrierefrei</t>
  </si>
  <si>
    <t>PVC</t>
  </si>
  <si>
    <t>Gruppenraum</t>
  </si>
  <si>
    <t>HA-Raum</t>
  </si>
  <si>
    <t>Küche</t>
  </si>
  <si>
    <t>Vorraum</t>
  </si>
  <si>
    <t>Windfang</t>
  </si>
  <si>
    <t>Gruppe</t>
  </si>
  <si>
    <t>1</t>
  </si>
  <si>
    <t>Halle</t>
  </si>
  <si>
    <t>2</t>
  </si>
  <si>
    <t>Sportraum</t>
  </si>
  <si>
    <t>3</t>
  </si>
  <si>
    <t>4</t>
  </si>
  <si>
    <t>5</t>
  </si>
  <si>
    <t>6</t>
  </si>
  <si>
    <t>7</t>
  </si>
  <si>
    <t>Herren</t>
  </si>
  <si>
    <t>Umkleide</t>
  </si>
  <si>
    <t>8</t>
  </si>
  <si>
    <t>Damen</t>
  </si>
  <si>
    <t>9</t>
  </si>
  <si>
    <t>Abstellraum</t>
  </si>
  <si>
    <t>ohne</t>
  </si>
  <si>
    <t>10</t>
  </si>
  <si>
    <t>WC/Dusche</t>
  </si>
  <si>
    <t>11</t>
  </si>
  <si>
    <t>Heizung</t>
  </si>
  <si>
    <t>12</t>
  </si>
  <si>
    <t>Geräteraum</t>
  </si>
  <si>
    <t>13</t>
  </si>
  <si>
    <t>14</t>
  </si>
  <si>
    <t>Sport</t>
  </si>
  <si>
    <t>Papierhandtücher, 
Recyclingpapier natur
2-lagig,
Blattgröße ca. 24,5 cm x 23 cm,
5. 000 Blatt pro Einheit</t>
  </si>
  <si>
    <t>Karton</t>
  </si>
  <si>
    <t>Recycling-Tissue-Toilettenpapier, 
2 lagig, 
Blattgröße 11x9,4 cm,
250 Blatt pro Rolle, 
100% Altpapier,
64 Rollen pro Einheit</t>
  </si>
  <si>
    <t>Paket</t>
  </si>
  <si>
    <t>* Waschlotion</t>
  </si>
  <si>
    <t>Liter</t>
  </si>
  <si>
    <t>Schule</t>
  </si>
  <si>
    <t>UnterhaltsRG</t>
  </si>
  <si>
    <t>Reinigungs-häufigkeit</t>
  </si>
  <si>
    <t>Verwaltung</t>
  </si>
  <si>
    <t>GrundRG</t>
  </si>
  <si>
    <t>UnterhaltsRG (Ferien)</t>
  </si>
  <si>
    <t>UnterhaltsRG (nach Bedarf)</t>
  </si>
  <si>
    <t>Verbrauch</t>
  </si>
  <si>
    <t>Preiszusammenstellung Los 3</t>
  </si>
  <si>
    <t>Preiszusammenstellung nach Bedarf</t>
  </si>
  <si>
    <t>MwSt.</t>
  </si>
  <si>
    <t>Jahrespreis in €</t>
  </si>
  <si>
    <t>Jahrespreis Reinigung</t>
  </si>
  <si>
    <t>Preisübersicht (nach Bedarf)</t>
  </si>
  <si>
    <t>SVS UnterhaltsRG</t>
  </si>
  <si>
    <t>SVS GrundRG</t>
  </si>
  <si>
    <t>Wertungspreis (netto) in €</t>
  </si>
  <si>
    <t>Wertungspreis (brutto) in €</t>
  </si>
  <si>
    <t>Reinigungstage 
 maximal
 (UnterhaltsRG,
 UnterhaltsRG (Ferien))</t>
  </si>
  <si>
    <t>Sachsen-Anhalt</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</si>
  <si>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</si>
  <si>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</si>
  <si>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</si>
  <si>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 Da die Produktbeschreibungen nicht vollständig vorliegen, gilt folgende Festlegung: Der Auftragnehmer liefert das benötigte Verbrauchsmaterial.</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</si>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</sst>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s>
  <cellStyleXfs count="6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cellStyleXfs>
  <cellXfs count="155">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36" fillId="0" borderId="0" xfId="0" applyFont="1" applyAlignment="1">
      <alignment vertical="center"/>
    </xf>
    <xf numFmtId="0" fontId="4" fillId="0" borderId="0" xfId="55" applyFont="1" applyAlignment="1">
      <alignment vertical="center"/>
    </xf>
    <xf numFmtId="0" fontId="4" fillId="0" borderId="0" xfId="55" applyFont="1"/>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4" fillId="0" borderId="0" xfId="0" applyFont="1" applyAlignment="1" applyProtection="1">
      <alignment vertical="center"/>
      <protection locked="0"/>
    </xf>
    <xf numFmtId="0" fontId="4" fillId="0" borderId="11" xfId="0" applyFont="1" applyBorder="1" applyAlignment="1">
      <alignment vertical="center"/>
    </xf>
    <xf numFmtId="0" fontId="4" fillId="0" borderId="11" xfId="0" applyFont="1" applyBorder="1" applyAlignment="1">
      <alignment horizontal="left" vertical="center"/>
    </xf>
    <xf numFmtId="0" fontId="6" fillId="0" borderId="0" xfId="55" applyFont="1" applyAlignment="1">
      <alignment vertical="center"/>
    </xf>
    <xf numFmtId="0" fontId="10" fillId="0" borderId="0" xfId="59"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2" fillId="0" borderId="0" xfId="55" applyFont="1" applyAlignment="1">
      <alignment vertical="center"/>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10" fillId="0" borderId="0" xfId="39" applyFont="1" applyAlignment="1" applyProtection="1">
      <alignment horizontal="left" vertical="center"/>
    </xf>
    <xf numFmtId="4" fontId="10" fillId="0" borderId="23" xfId="39" applyNumberFormat="1" applyFont="1" applyBorder="1" applyAlignment="1" applyProtection="1">
      <alignment vertical="center" wrapText="1"/>
    </xf>
    <xf numFmtId="4" fontId="4" fillId="0" borderId="10" xfId="0" applyNumberFormat="1" applyFont="1" applyBorder="1" applyAlignment="1">
      <alignment vertical="center" wrapText="1"/>
    </xf>
    <xf numFmtId="3" fontId="4" fillId="0" borderId="10" xfId="0" applyNumberFormat="1" applyFont="1" applyBorder="1" applyAlignment="1">
      <alignment horizontal="center" vertical="center" wrapText="1"/>
    </xf>
    <xf numFmtId="4" fontId="4" fillId="30" borderId="10" xfId="0" applyNumberFormat="1" applyFont="1" applyFill="1" applyBorder="1" applyAlignment="1">
      <alignment vertical="center" wrapText="1"/>
    </xf>
    <xf numFmtId="0" fontId="4" fillId="24" borderId="24" xfId="0" applyFont="1" applyFill="1" applyBorder="1" applyAlignment="1">
      <alignment horizontal="center" vertical="center" wrapText="1"/>
    </xf>
    <xf numFmtId="0" fontId="4" fillId="0" borderId="24" xfId="0" applyFont="1" applyBorder="1" applyAlignment="1">
      <alignment vertical="center" wrapText="1"/>
    </xf>
    <xf numFmtId="4" fontId="4" fillId="0" borderId="24" xfId="0" applyNumberFormat="1" applyFont="1" applyBorder="1" applyAlignment="1">
      <alignment vertical="center" wrapText="1"/>
    </xf>
    <xf numFmtId="3" fontId="4" fillId="0" borderId="24" xfId="0" applyNumberFormat="1" applyFont="1" applyBorder="1" applyAlignment="1">
      <alignment horizontal="center" vertical="center" wrapText="1"/>
    </xf>
    <xf numFmtId="0" fontId="4" fillId="0" borderId="0" xfId="55" applyFont="1" applyAlignment="1">
      <alignment horizontal="left" vertical="center"/>
    </xf>
    <xf numFmtId="0" fontId="4" fillId="0" borderId="10" xfId="55" applyFont="1" applyBorder="1" applyAlignment="1">
      <alignment horizontal="center" vertical="center" wrapText="1"/>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24" borderId="23" xfId="0" applyFont="1" applyFill="1" applyBorder="1" applyAlignment="1">
      <alignment horizontal="center" vertical="center" wrapText="1"/>
    </xf>
    <xf numFmtId="0" fontId="4" fillId="0" borderId="23" xfId="44" applyFont="1" applyBorder="1" applyAlignment="1">
      <alignment vertical="center" wrapText="1"/>
    </xf>
    <xf numFmtId="4" fontId="4" fillId="0" borderId="23" xfId="0" applyNumberFormat="1" applyFont="1" applyBorder="1" applyAlignment="1">
      <alignment horizontal="center" vertical="center" wrapText="1"/>
    </xf>
    <xf numFmtId="4" fontId="4" fillId="0" borderId="23" xfId="0" applyNumberFormat="1" applyFont="1" applyBorder="1" applyAlignment="1">
      <alignment vertical="center" wrapText="1"/>
    </xf>
    <xf numFmtId="0" fontId="4" fillId="30" borderId="23" xfId="0" applyFont="1" applyFill="1" applyBorder="1" applyAlignment="1">
      <alignment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4" fontId="4" fillId="0" borderId="0" xfId="0" applyNumberFormat="1"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0"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 fillId="30"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4" fontId="4" fillId="26" borderId="10" xfId="55" applyNumberFormat="1" applyFont="1" applyFill="1" applyBorder="1" applyAlignment="1" applyProtection="1">
      <alignment horizontal="right" vertical="center" wrapText="1"/>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24" borderId="24" xfId="0" applyFont="1" applyFill="1" applyBorder="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0" borderId="0" xfId="55" applyFont="1" applyAlignment="1">
      <alignment horizontal="left" vertical="center" wrapText="1"/>
    </xf>
    <xf numFmtId="0" fontId="4" fillId="0" borderId="11" xfId="55" applyFont="1" applyBorder="1" applyAlignment="1">
      <alignment horizontal="left" vertical="center" wrapText="1"/>
    </xf>
  </cellXfs>
  <cellStyles count="60">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Komma 2" xfId="38" xr:uid="{00000000-0005-0000-0000-000026000000}"/>
    <cellStyle name="Link" xfId="39" builtinId="8"/>
    <cellStyle name="Link 2" xfId="59"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115">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14"/>
      <tableStyleElement type="headerRow" dxfId="113"/>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M2" lockText="1"/>
</file>

<file path=xl/ctrlProps/ctrlProp11.xml><?xml version="1.0" encoding="utf-8"?>
<formControlPr xmlns="http://schemas.microsoft.com/office/spreadsheetml/2009/9/main" objectType="CheckBox" fmlaLink="M3" lockText="1"/>
</file>

<file path=xl/ctrlProps/ctrlProp12.xml><?xml version="1.0" encoding="utf-8"?>
<formControlPr xmlns="http://schemas.microsoft.com/office/spreadsheetml/2009/9/main" objectType="CheckBox" fmlaLink="M4" lockText="1"/>
</file>

<file path=xl/ctrlProps/ctrlProp13.xml><?xml version="1.0" encoding="utf-8"?>
<formControlPr xmlns="http://schemas.microsoft.com/office/spreadsheetml/2009/9/main" objectType="CheckBox" fmlaLink="M5" lockText="1"/>
</file>

<file path=xl/ctrlProps/ctrlProp14.xml><?xml version="1.0" encoding="utf-8"?>
<formControlPr xmlns="http://schemas.microsoft.com/office/spreadsheetml/2009/9/main" objectType="CheckBox" fmlaLink="M2" lockText="1"/>
</file>

<file path=xl/ctrlProps/ctrlProp15.xml><?xml version="1.0" encoding="utf-8"?>
<formControlPr xmlns="http://schemas.microsoft.com/office/spreadsheetml/2009/9/main" objectType="CheckBox" fmlaLink="M3" lockText="1"/>
</file>

<file path=xl/ctrlProps/ctrlProp16.xml><?xml version="1.0" encoding="utf-8"?>
<formControlPr xmlns="http://schemas.microsoft.com/office/spreadsheetml/2009/9/main" objectType="CheckBox" fmlaLink="M4" lockText="1"/>
</file>

<file path=xl/ctrlProps/ctrlProp17.xml><?xml version="1.0" encoding="utf-8"?>
<formControlPr xmlns="http://schemas.microsoft.com/office/spreadsheetml/2009/9/main" objectType="CheckBox" fmlaLink="M5" lockText="1"/>
</file>

<file path=xl/ctrlProps/ctrlProp18.xml><?xml version="1.0" encoding="utf-8"?>
<formControlPr xmlns="http://schemas.microsoft.com/office/spreadsheetml/2009/9/main" objectType="CheckBox" fmlaLink="M2" lockText="1"/>
</file>

<file path=xl/ctrlProps/ctrlProp19.xml><?xml version="1.0" encoding="utf-8"?>
<formControlPr xmlns="http://schemas.microsoft.com/office/spreadsheetml/2009/9/main" objectType="CheckBox" fmlaLink="M3"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M4" lockText="1"/>
</file>

<file path=xl/ctrlProps/ctrlProp21.xml><?xml version="1.0" encoding="utf-8"?>
<formControlPr xmlns="http://schemas.microsoft.com/office/spreadsheetml/2009/9/main" objectType="CheckBox" fmlaLink="M5" lockText="1"/>
</file>

<file path=xl/ctrlProps/ctrlProp22.xml><?xml version="1.0" encoding="utf-8"?>
<formControlPr xmlns="http://schemas.microsoft.com/office/spreadsheetml/2009/9/main" objectType="CheckBox" fmlaLink="M2" lockText="1"/>
</file>

<file path=xl/ctrlProps/ctrlProp23.xml><?xml version="1.0" encoding="utf-8"?>
<formControlPr xmlns="http://schemas.microsoft.com/office/spreadsheetml/2009/9/main" objectType="CheckBox" fmlaLink="M3" lockText="1"/>
</file>

<file path=xl/ctrlProps/ctrlProp24.xml><?xml version="1.0" encoding="utf-8"?>
<formControlPr xmlns="http://schemas.microsoft.com/office/spreadsheetml/2009/9/main" objectType="CheckBox" fmlaLink="M4" lockText="1"/>
</file>

<file path=xl/ctrlProps/ctrlProp25.xml><?xml version="1.0" encoding="utf-8"?>
<formControlPr xmlns="http://schemas.microsoft.com/office/spreadsheetml/2009/9/main" objectType="CheckBox" fmlaLink="M5" lockText="1"/>
</file>

<file path=xl/ctrlProps/ctrlProp26.xml><?xml version="1.0" encoding="utf-8"?>
<formControlPr xmlns="http://schemas.microsoft.com/office/spreadsheetml/2009/9/main" objectType="CheckBox" fmlaLink="M2" lockText="1"/>
</file>

<file path=xl/ctrlProps/ctrlProp27.xml><?xml version="1.0" encoding="utf-8"?>
<formControlPr xmlns="http://schemas.microsoft.com/office/spreadsheetml/2009/9/main" objectType="CheckBox" fmlaLink="M3" lockText="1"/>
</file>

<file path=xl/ctrlProps/ctrlProp28.xml><?xml version="1.0" encoding="utf-8"?>
<formControlPr xmlns="http://schemas.microsoft.com/office/spreadsheetml/2009/9/main" objectType="CheckBox" fmlaLink="M4" lockText="1"/>
</file>

<file path=xl/ctrlProps/ctrlProp29.xml><?xml version="1.0" encoding="utf-8"?>
<formControlPr xmlns="http://schemas.microsoft.com/office/spreadsheetml/2009/9/main" objectType="CheckBox" fmlaLink="M5" lockText="1"/>
</file>

<file path=xl/ctrlProps/ctrlProp3.xml><?xml version="1.0" encoding="utf-8"?>
<formControlPr xmlns="http://schemas.microsoft.com/office/spreadsheetml/2009/9/main" objectType="CheckBox" fmlaLink="$H$5" lockText="1"/>
</file>

<file path=xl/ctrlProps/ctrlProp30.xml><?xml version="1.0" encoding="utf-8"?>
<formControlPr xmlns="http://schemas.microsoft.com/office/spreadsheetml/2009/9/main" objectType="CheckBox" fmlaLink="M2" lockText="1"/>
</file>

<file path=xl/ctrlProps/ctrlProp31.xml><?xml version="1.0" encoding="utf-8"?>
<formControlPr xmlns="http://schemas.microsoft.com/office/spreadsheetml/2009/9/main" objectType="CheckBox" fmlaLink="M3" lockText="1"/>
</file>

<file path=xl/ctrlProps/ctrlProp32.xml><?xml version="1.0" encoding="utf-8"?>
<formControlPr xmlns="http://schemas.microsoft.com/office/spreadsheetml/2009/9/main" objectType="CheckBox" fmlaLink="M4" lockText="1"/>
</file>

<file path=xl/ctrlProps/ctrlProp33.xml><?xml version="1.0" encoding="utf-8"?>
<formControlPr xmlns="http://schemas.microsoft.com/office/spreadsheetml/2009/9/main" objectType="CheckBox" fmlaLink="M5" lockText="1"/>
</file>

<file path=xl/ctrlProps/ctrlProp34.xml><?xml version="1.0" encoding="utf-8"?>
<formControlPr xmlns="http://schemas.microsoft.com/office/spreadsheetml/2009/9/main" objectType="CheckBox" fmlaLink="M2" lockText="1"/>
</file>

<file path=xl/ctrlProps/ctrlProp35.xml><?xml version="1.0" encoding="utf-8"?>
<formControlPr xmlns="http://schemas.microsoft.com/office/spreadsheetml/2009/9/main" objectType="CheckBox" fmlaLink="M3" lockText="1"/>
</file>

<file path=xl/ctrlProps/ctrlProp36.xml><?xml version="1.0" encoding="utf-8"?>
<formControlPr xmlns="http://schemas.microsoft.com/office/spreadsheetml/2009/9/main" objectType="CheckBox" fmlaLink="M4" lockText="1"/>
</file>

<file path=xl/ctrlProps/ctrlProp37.xml><?xml version="1.0" encoding="utf-8"?>
<formControlPr xmlns="http://schemas.microsoft.com/office/spreadsheetml/2009/9/main" objectType="CheckBox" fmlaLink="M5" lockText="1"/>
</file>

<file path=xl/ctrlProps/ctrlProp38.xml><?xml version="1.0" encoding="utf-8"?>
<formControlPr xmlns="http://schemas.microsoft.com/office/spreadsheetml/2009/9/main" objectType="CheckBox" fmlaLink="M2" lockText="1"/>
</file>

<file path=xl/ctrlProps/ctrlProp39.xml><?xml version="1.0" encoding="utf-8"?>
<formControlPr xmlns="http://schemas.microsoft.com/office/spreadsheetml/2009/9/main" objectType="CheckBox" fmlaLink="M3" lockText="1"/>
</file>

<file path=xl/ctrlProps/ctrlProp4.xml><?xml version="1.0" encoding="utf-8"?>
<formControlPr xmlns="http://schemas.microsoft.com/office/spreadsheetml/2009/9/main" objectType="CheckBox" fmlaLink="B2" lockText="1"/>
</file>

<file path=xl/ctrlProps/ctrlProp40.xml><?xml version="1.0" encoding="utf-8"?>
<formControlPr xmlns="http://schemas.microsoft.com/office/spreadsheetml/2009/9/main" objectType="CheckBox" fmlaLink="M4" lockText="1"/>
</file>

<file path=xl/ctrlProps/ctrlProp41.xml><?xml version="1.0" encoding="utf-8"?>
<formControlPr xmlns="http://schemas.microsoft.com/office/spreadsheetml/2009/9/main" objectType="CheckBox" fmlaLink="M5" lockText="1"/>
</file>

<file path=xl/ctrlProps/ctrlProp42.xml><?xml version="1.0" encoding="utf-8"?>
<formControlPr xmlns="http://schemas.microsoft.com/office/spreadsheetml/2009/9/main" objectType="CheckBox" fmlaLink="C2" lockText="1"/>
</file>

<file path=xl/ctrlProps/ctrlProp43.xml><?xml version="1.0" encoding="utf-8"?>
<formControlPr xmlns="http://schemas.microsoft.com/office/spreadsheetml/2009/9/main" objectType="CheckBox" fmlaLink="D1" lockText="1"/>
</file>

<file path=xl/ctrlProps/ctrlProp5.xml><?xml version="1.0" encoding="utf-8"?>
<formControlPr xmlns="http://schemas.microsoft.com/office/spreadsheetml/2009/9/main" objectType="CheckBox" fmlaLink="B2" lockText="1"/>
</file>

<file path=xl/ctrlProps/ctrlProp6.xml><?xml version="1.0" encoding="utf-8"?>
<formControlPr xmlns="http://schemas.microsoft.com/office/spreadsheetml/2009/9/main" objectType="CheckBox" fmlaLink="D1" lockText="1"/>
</file>

<file path=xl/ctrlProps/ctrlProp7.xml><?xml version="1.0" encoding="utf-8"?>
<formControlPr xmlns="http://schemas.microsoft.com/office/spreadsheetml/2009/9/main" objectType="CheckBox" fmlaLink="D2" lockText="1"/>
</file>

<file path=xl/ctrlProps/ctrlProp8.xml><?xml version="1.0" encoding="utf-8"?>
<formControlPr xmlns="http://schemas.microsoft.com/office/spreadsheetml/2009/9/main" objectType="CheckBox" fmlaLink="D1" lockText="1"/>
</file>

<file path=xl/ctrlProps/ctrlProp9.xml><?xml version="1.0" encoding="utf-8"?>
<formControlPr xmlns="http://schemas.microsoft.com/office/spreadsheetml/2009/9/main" objectType="CheckBox" fmlaLink="D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9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9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9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9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A00-000001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0594" name="Check Box 2" descr="Hinweis 2" hidden="1">
              <a:extLst>
                <a:ext uri="{63B3BB69-23CF-44E3-9099-C40C66FF867C}">
                  <a14:compatExt spid="_x0000_s110594"/>
                </a:ext>
                <a:ext uri="{FF2B5EF4-FFF2-40B4-BE49-F238E27FC236}">
                  <a16:creationId xmlns:a16="http://schemas.microsoft.com/office/drawing/2014/main" id="{00000000-0008-0000-0A00-000002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0595" name="Check Box 3" descr="Hinweis 3" hidden="1">
              <a:extLst>
                <a:ext uri="{63B3BB69-23CF-44E3-9099-C40C66FF867C}">
                  <a14:compatExt spid="_x0000_s110595"/>
                </a:ext>
                <a:ext uri="{FF2B5EF4-FFF2-40B4-BE49-F238E27FC236}">
                  <a16:creationId xmlns:a16="http://schemas.microsoft.com/office/drawing/2014/main" id="{00000000-0008-0000-0A00-000003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0596" name="Check Box 4" descr="Hinweis 3" hidden="1">
              <a:extLst>
                <a:ext uri="{63B3BB69-23CF-44E3-9099-C40C66FF867C}">
                  <a14:compatExt spid="_x0000_s110596"/>
                </a:ext>
                <a:ext uri="{FF2B5EF4-FFF2-40B4-BE49-F238E27FC236}">
                  <a16:creationId xmlns:a16="http://schemas.microsoft.com/office/drawing/2014/main" id="{00000000-0008-0000-0A00-000004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B00-000001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8546" name="Check Box 2" descr="Hinweis 2" hidden="1">
              <a:extLst>
                <a:ext uri="{63B3BB69-23CF-44E3-9099-C40C66FF867C}">
                  <a14:compatExt spid="_x0000_s108546"/>
                </a:ext>
                <a:ext uri="{FF2B5EF4-FFF2-40B4-BE49-F238E27FC236}">
                  <a16:creationId xmlns:a16="http://schemas.microsoft.com/office/drawing/2014/main" id="{00000000-0008-0000-0B00-000002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8547" name="Check Box 3" descr="Hinweis 3" hidden="1">
              <a:extLst>
                <a:ext uri="{63B3BB69-23CF-44E3-9099-C40C66FF867C}">
                  <a14:compatExt spid="_x0000_s108547"/>
                </a:ext>
                <a:ext uri="{FF2B5EF4-FFF2-40B4-BE49-F238E27FC236}">
                  <a16:creationId xmlns:a16="http://schemas.microsoft.com/office/drawing/2014/main" id="{00000000-0008-0000-0B00-000003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8548" name="Check Box 4" descr="Hinweis 3" hidden="1">
              <a:extLst>
                <a:ext uri="{63B3BB69-23CF-44E3-9099-C40C66FF867C}">
                  <a14:compatExt spid="_x0000_s108548"/>
                </a:ext>
                <a:ext uri="{FF2B5EF4-FFF2-40B4-BE49-F238E27FC236}">
                  <a16:creationId xmlns:a16="http://schemas.microsoft.com/office/drawing/2014/main" id="{00000000-0008-0000-0B00-000004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C00-000001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1618" name="Check Box 2" descr="Hinweis 2" hidden="1">
              <a:extLst>
                <a:ext uri="{63B3BB69-23CF-44E3-9099-C40C66FF867C}">
                  <a14:compatExt spid="_x0000_s111618"/>
                </a:ext>
                <a:ext uri="{FF2B5EF4-FFF2-40B4-BE49-F238E27FC236}">
                  <a16:creationId xmlns:a16="http://schemas.microsoft.com/office/drawing/2014/main" id="{00000000-0008-0000-0C00-000002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1619" name="Check Box 3" descr="Hinweis 3" hidden="1">
              <a:extLst>
                <a:ext uri="{63B3BB69-23CF-44E3-9099-C40C66FF867C}">
                  <a14:compatExt spid="_x0000_s111619"/>
                </a:ext>
                <a:ext uri="{FF2B5EF4-FFF2-40B4-BE49-F238E27FC236}">
                  <a16:creationId xmlns:a16="http://schemas.microsoft.com/office/drawing/2014/main" id="{00000000-0008-0000-0C00-000003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1620" name="Check Box 4" descr="Hinweis 3" hidden="1">
              <a:extLst>
                <a:ext uri="{63B3BB69-23CF-44E3-9099-C40C66FF867C}">
                  <a14:compatExt spid="_x0000_s111620"/>
                </a:ext>
                <a:ext uri="{FF2B5EF4-FFF2-40B4-BE49-F238E27FC236}">
                  <a16:creationId xmlns:a16="http://schemas.microsoft.com/office/drawing/2014/main" id="{00000000-0008-0000-0C00-000004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D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19050</xdr:rowOff>
        </xdr:from>
        <xdr:to>
          <xdr:col>1</xdr:col>
          <xdr:colOff>971550</xdr:colOff>
          <xdr:row>1</xdr:row>
          <xdr:rowOff>276225</xdr:rowOff>
        </xdr:to>
        <xdr:sp macro="" textlink="">
          <xdr:nvSpPr>
            <xdr:cNvPr id="3073" name="Check Box 1" descr="Hinweis"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5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5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5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5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600-000001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9570" name="Check Box 2" descr="Hinweis 2" hidden="1">
              <a:extLst>
                <a:ext uri="{63B3BB69-23CF-44E3-9099-C40C66FF867C}">
                  <a14:compatExt spid="_x0000_s109570"/>
                </a:ext>
                <a:ext uri="{FF2B5EF4-FFF2-40B4-BE49-F238E27FC236}">
                  <a16:creationId xmlns:a16="http://schemas.microsoft.com/office/drawing/2014/main" id="{00000000-0008-0000-0600-000002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9571" name="Check Box 3" descr="Hinweis 3" hidden="1">
              <a:extLst>
                <a:ext uri="{63B3BB69-23CF-44E3-9099-C40C66FF867C}">
                  <a14:compatExt spid="_x0000_s109571"/>
                </a:ext>
                <a:ext uri="{FF2B5EF4-FFF2-40B4-BE49-F238E27FC236}">
                  <a16:creationId xmlns:a16="http://schemas.microsoft.com/office/drawing/2014/main" id="{00000000-0008-0000-0600-000003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9572" name="Check Box 4" descr="Hinweis 3" hidden="1">
              <a:extLst>
                <a:ext uri="{63B3BB69-23CF-44E3-9099-C40C66FF867C}">
                  <a14:compatExt spid="_x0000_s109572"/>
                </a:ext>
                <a:ext uri="{FF2B5EF4-FFF2-40B4-BE49-F238E27FC236}">
                  <a16:creationId xmlns:a16="http://schemas.microsoft.com/office/drawing/2014/main" id="{00000000-0008-0000-0600-000004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0700-000001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12642" name="Check Box 2" descr="Hinweis 2" hidden="1">
              <a:extLst>
                <a:ext uri="{63B3BB69-23CF-44E3-9099-C40C66FF867C}">
                  <a14:compatExt spid="_x0000_s112642"/>
                </a:ext>
                <a:ext uri="{FF2B5EF4-FFF2-40B4-BE49-F238E27FC236}">
                  <a16:creationId xmlns:a16="http://schemas.microsoft.com/office/drawing/2014/main" id="{00000000-0008-0000-0700-000002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12643" name="Check Box 3" descr="Hinweis 3" hidden="1">
              <a:extLst>
                <a:ext uri="{63B3BB69-23CF-44E3-9099-C40C66FF867C}">
                  <a14:compatExt spid="_x0000_s112643"/>
                </a:ext>
                <a:ext uri="{FF2B5EF4-FFF2-40B4-BE49-F238E27FC236}">
                  <a16:creationId xmlns:a16="http://schemas.microsoft.com/office/drawing/2014/main" id="{00000000-0008-0000-0700-000003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12644" name="Check Box 4" descr="Hinweis 3" hidden="1">
              <a:extLst>
                <a:ext uri="{63B3BB69-23CF-44E3-9099-C40C66FF867C}">
                  <a14:compatExt spid="_x0000_s112644"/>
                </a:ext>
                <a:ext uri="{FF2B5EF4-FFF2-40B4-BE49-F238E27FC236}">
                  <a16:creationId xmlns:a16="http://schemas.microsoft.com/office/drawing/2014/main" id="{00000000-0008-0000-0700-000004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0800-000001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13666" name="Check Box 2" descr="Hinweis 2" hidden="1">
              <a:extLst>
                <a:ext uri="{63B3BB69-23CF-44E3-9099-C40C66FF867C}">
                  <a14:compatExt spid="_x0000_s113666"/>
                </a:ext>
                <a:ext uri="{FF2B5EF4-FFF2-40B4-BE49-F238E27FC236}">
                  <a16:creationId xmlns:a16="http://schemas.microsoft.com/office/drawing/2014/main" id="{00000000-0008-0000-0800-000002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13667" name="Check Box 3" descr="Hinweis 3" hidden="1">
              <a:extLst>
                <a:ext uri="{63B3BB69-23CF-44E3-9099-C40C66FF867C}">
                  <a14:compatExt spid="_x0000_s113667"/>
                </a:ext>
                <a:ext uri="{FF2B5EF4-FFF2-40B4-BE49-F238E27FC236}">
                  <a16:creationId xmlns:a16="http://schemas.microsoft.com/office/drawing/2014/main" id="{00000000-0008-0000-0800-000003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13668" name="Check Box 4" descr="Hinweis 3" hidden="1">
              <a:extLst>
                <a:ext uri="{63B3BB69-23CF-44E3-9099-C40C66FF867C}">
                  <a14:compatExt spid="_x0000_s113668"/>
                </a:ext>
                <a:ext uri="{FF2B5EF4-FFF2-40B4-BE49-F238E27FC236}">
                  <a16:creationId xmlns:a16="http://schemas.microsoft.com/office/drawing/2014/main" id="{00000000-0008-0000-0800-000004B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3.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37.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41.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4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4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1.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5.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4.5703125" style="3" customWidth="1"/>
    <col min="5" max="5" width="15.28515625" style="17" customWidth="1"/>
    <col min="6" max="7" width="11.5703125" style="3" customWidth="1"/>
    <col min="8" max="8" width="12" style="3" customWidth="1"/>
    <col min="9" max="10" width="11.5703125" style="3" customWidth="1"/>
    <col min="11" max="12" width="12.7109375" style="3" customWidth="1"/>
    <col min="13" max="13" width="11.42578125" style="3" customWidth="1"/>
    <col min="14" max="16384" width="11.42578125" style="3"/>
  </cols>
  <sheetData>
    <row r="1" spans="1:12" x14ac:dyDescent="0.2">
      <c r="A1" s="49"/>
    </row>
    <row r="2" spans="1:12" ht="32.450000000000003" customHeight="1" x14ac:dyDescent="0.2">
      <c r="B2" s="50" t="s">
        <v>91</v>
      </c>
      <c r="G2" s="109" t="s">
        <v>185</v>
      </c>
      <c r="H2" s="109"/>
      <c r="I2" s="108"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08"/>
      <c r="K2" s="108"/>
      <c r="L2" s="108"/>
    </row>
    <row r="3" spans="1:12" ht="15" customHeight="1" x14ac:dyDescent="0.2">
      <c r="B3" s="51" t="s">
        <v>164</v>
      </c>
      <c r="C3" s="16"/>
      <c r="E3" s="51" t="s">
        <v>159</v>
      </c>
      <c r="F3" s="52">
        <v>46235</v>
      </c>
      <c r="G3" s="53"/>
      <c r="H3" s="20" t="b">
        <v>0</v>
      </c>
      <c r="I3" s="108"/>
      <c r="J3" s="108"/>
      <c r="K3" s="108"/>
      <c r="L3" s="108"/>
    </row>
    <row r="4" spans="1:12" ht="15" customHeight="1" x14ac:dyDescent="0.2">
      <c r="B4" s="51" t="s">
        <v>152</v>
      </c>
      <c r="C4" s="16"/>
      <c r="E4" s="51" t="s">
        <v>160</v>
      </c>
      <c r="F4" s="52">
        <v>47695</v>
      </c>
      <c r="G4" s="53"/>
      <c r="H4" s="20" t="b">
        <v>0</v>
      </c>
      <c r="I4" s="108"/>
      <c r="J4" s="108"/>
      <c r="K4" s="108"/>
      <c r="L4" s="108"/>
    </row>
    <row r="5" spans="1:12" ht="15" customHeight="1" x14ac:dyDescent="0.2">
      <c r="B5" s="51" t="s">
        <v>153</v>
      </c>
      <c r="C5" s="16"/>
      <c r="E5" s="51" t="s">
        <v>161</v>
      </c>
      <c r="F5" s="54">
        <v>2</v>
      </c>
      <c r="G5" s="53"/>
      <c r="H5" s="20" t="b">
        <v>0</v>
      </c>
      <c r="I5" s="108"/>
      <c r="J5" s="108"/>
      <c r="K5" s="108"/>
      <c r="L5" s="108"/>
    </row>
    <row r="6" spans="1:12" ht="15" customHeight="1" x14ac:dyDescent="0.2">
      <c r="B6" s="51" t="s">
        <v>154</v>
      </c>
      <c r="C6" s="16"/>
      <c r="E6" s="51" t="s">
        <v>162</v>
      </c>
      <c r="F6" s="52">
        <f>DATE(YEAR($F$4)+$F$5,MONTH($F$4),DAY($F$4))</f>
        <v>48426</v>
      </c>
      <c r="I6" s="108"/>
      <c r="J6" s="108"/>
      <c r="K6" s="108"/>
      <c r="L6" s="108"/>
    </row>
    <row r="7" spans="1:12" ht="15" customHeight="1" x14ac:dyDescent="0.2">
      <c r="B7" s="51" t="s">
        <v>165</v>
      </c>
      <c r="C7" s="16"/>
    </row>
    <row r="8" spans="1:12" ht="15" customHeight="1" x14ac:dyDescent="0.2">
      <c r="B8" s="51" t="s">
        <v>166</v>
      </c>
      <c r="C8" s="16"/>
    </row>
    <row r="9" spans="1:12" ht="15" customHeight="1" x14ac:dyDescent="0.2">
      <c r="B9" s="51" t="s">
        <v>167</v>
      </c>
      <c r="C9" s="16"/>
    </row>
    <row r="10" spans="1:12" ht="15" customHeight="1" x14ac:dyDescent="0.2">
      <c r="B10" s="51" t="s">
        <v>168</v>
      </c>
      <c r="C10" s="16"/>
    </row>
    <row r="11" spans="1:12" ht="15" customHeight="1" x14ac:dyDescent="0.2">
      <c r="B11" s="51" t="s">
        <v>169</v>
      </c>
      <c r="C11" s="16"/>
    </row>
    <row r="12" spans="1:12" ht="24.95" customHeight="1" x14ac:dyDescent="0.2"/>
    <row r="13" spans="1:12" ht="19.899999999999999" customHeight="1" x14ac:dyDescent="0.2">
      <c r="B13" s="4" t="s">
        <v>0</v>
      </c>
      <c r="C13" s="4" t="s">
        <v>191</v>
      </c>
      <c r="E13" s="3"/>
    </row>
    <row r="14" spans="1:12" ht="15" customHeight="1" x14ac:dyDescent="0.2">
      <c r="B14" s="31" t="s">
        <v>176</v>
      </c>
      <c r="E14" s="3"/>
    </row>
    <row r="15" spans="1:12" ht="15" customHeight="1" x14ac:dyDescent="0.2">
      <c r="B15" s="31" t="s">
        <v>386</v>
      </c>
      <c r="E15" s="3"/>
    </row>
    <row r="16" spans="1:12" ht="15" customHeight="1" x14ac:dyDescent="0.2">
      <c r="B16" s="31" t="s">
        <v>387</v>
      </c>
      <c r="E16" s="3"/>
    </row>
    <row r="17" spans="2:12" ht="15" customHeight="1" x14ac:dyDescent="0.2">
      <c r="B17" s="5" t="s">
        <v>388</v>
      </c>
      <c r="C17" s="3"/>
      <c r="E17" s="3"/>
    </row>
    <row r="18" spans="2:12" ht="15" customHeight="1" x14ac:dyDescent="0.2">
      <c r="B18" s="5" t="s">
        <v>147</v>
      </c>
      <c r="C18" s="3"/>
      <c r="E18" s="3"/>
    </row>
    <row r="19" spans="2:12" ht="15" customHeight="1" x14ac:dyDescent="0.2"/>
    <row r="20" spans="2:12" ht="90" customHeight="1" x14ac:dyDescent="0.2">
      <c r="B20" s="55" t="s">
        <v>170</v>
      </c>
      <c r="C20" s="55" t="s">
        <v>171</v>
      </c>
      <c r="D20" s="55" t="s">
        <v>172</v>
      </c>
      <c r="E20" s="55" t="s">
        <v>391</v>
      </c>
      <c r="F20" s="55" t="s">
        <v>374</v>
      </c>
      <c r="G20" s="55" t="s">
        <v>377</v>
      </c>
      <c r="H20" s="55" t="s">
        <v>378</v>
      </c>
      <c r="I20" s="55" t="s">
        <v>380</v>
      </c>
      <c r="J20" s="55" t="s">
        <v>379</v>
      </c>
      <c r="K20" s="55" t="s">
        <v>389</v>
      </c>
      <c r="L20" s="55" t="s">
        <v>390</v>
      </c>
    </row>
    <row r="21" spans="2:12" ht="15" customHeight="1" x14ac:dyDescent="0.2">
      <c r="B21" s="56" t="s">
        <v>190</v>
      </c>
      <c r="C21" s="56" t="s">
        <v>192</v>
      </c>
      <c r="D21" s="56" t="s">
        <v>193</v>
      </c>
      <c r="E21" s="57">
        <f>'Kal Unter GS Uhland'!L21+'Kal Unter Fer GS Uhland'!L21</f>
        <v>252.5</v>
      </c>
      <c r="F21" s="32">
        <f ca="1">'Kal Unter GS Uhland'!Q21</f>
        <v>0</v>
      </c>
      <c r="G21" s="32">
        <f>'Kal Grund GS Uhland'!Q21</f>
        <v>0</v>
      </c>
      <c r="H21" s="32">
        <f ca="1">'Kal Unter Fer GS Uhland'!Q21</f>
        <v>0</v>
      </c>
      <c r="I21" s="32">
        <f>SUMIF('Kal Verbrauch Gesamt'!$B$5:$B7,$B$21,'Kal Verbrauch Gesamt'!$G$5:$G7)</f>
        <v>0</v>
      </c>
      <c r="J21" s="32">
        <f ca="1">'Kal Unter Bed GS Uhland'!Q21</f>
        <v>0</v>
      </c>
      <c r="K21" s="58">
        <f ca="1">ROUND(SUM($F$21:$J$21),2)</f>
        <v>0</v>
      </c>
      <c r="L21" s="58">
        <f ca="1">ROUND($K$21* 1.19,2)</f>
        <v>0</v>
      </c>
    </row>
    <row r="22" spans="2:12" ht="15" customHeight="1" x14ac:dyDescent="0.2">
      <c r="B22" s="56" t="s">
        <v>197</v>
      </c>
      <c r="C22" s="56" t="s">
        <v>198</v>
      </c>
      <c r="D22" s="56" t="s">
        <v>186</v>
      </c>
      <c r="E22" s="57">
        <f>'Kal Unter JC Leo Treff'!L21</f>
        <v>104.91</v>
      </c>
      <c r="F22" s="32">
        <f ca="1">'Kal Unter JC Leo Treff'!Q21</f>
        <v>0</v>
      </c>
      <c r="G22" s="32">
        <f>'Kal Grund JC Leo Treff'!Q21</f>
        <v>0</v>
      </c>
      <c r="H22" s="59"/>
      <c r="I22" s="59"/>
      <c r="J22" s="59"/>
      <c r="K22" s="58">
        <f ca="1">ROUND(SUM($F$22:$J$22),2)</f>
        <v>0</v>
      </c>
      <c r="L22" s="58">
        <f ca="1">ROUND($K$22* 1.19,2)</f>
        <v>0</v>
      </c>
    </row>
    <row r="23" spans="2:12" ht="24.95" customHeight="1" x14ac:dyDescent="0.2">
      <c r="B23" s="56" t="s">
        <v>200</v>
      </c>
      <c r="C23" s="56" t="s">
        <v>201</v>
      </c>
      <c r="D23" s="56" t="s">
        <v>202</v>
      </c>
      <c r="E23" s="57">
        <f>'Kal Unter Luther SH'!L21</f>
        <v>187.5</v>
      </c>
      <c r="F23" s="32">
        <f ca="1">'Kal Unter Luther SH'!Q21</f>
        <v>0</v>
      </c>
      <c r="G23" s="32">
        <f>'Kal Grund Luther SH'!Q21</f>
        <v>0</v>
      </c>
      <c r="H23" s="59"/>
      <c r="I23" s="59"/>
      <c r="J23" s="59"/>
      <c r="K23" s="58">
        <f ca="1">ROUND(SUM($F$23:$J$23),2)</f>
        <v>0</v>
      </c>
      <c r="L23" s="58">
        <f ca="1">ROUND($K$23* 1.19,2)</f>
        <v>0</v>
      </c>
    </row>
    <row r="24" spans="2:12" ht="15" customHeight="1" x14ac:dyDescent="0.2"/>
    <row r="25" spans="2:12" ht="15" customHeight="1" x14ac:dyDescent="0.2"/>
    <row r="26" spans="2:12" ht="15" customHeight="1" x14ac:dyDescent="0.2"/>
    <row r="27" spans="2:12" ht="15" customHeight="1" x14ac:dyDescent="0.2"/>
    <row r="28" spans="2:12" ht="15" customHeight="1" x14ac:dyDescent="0.2"/>
    <row r="29" spans="2:12" ht="15" customHeight="1" x14ac:dyDescent="0.2"/>
    <row r="30" spans="2:12" ht="15" customHeight="1" x14ac:dyDescent="0.2"/>
    <row r="31" spans="2:12" ht="15" customHeight="1" x14ac:dyDescent="0.2"/>
    <row r="32" spans="2: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LroRk/46bJIZDGPTLLpE/IQXCZ0qDKfwoaH6rWYKHVYEpLNwP0vOXw0O91ds6BLve1/NR6A7riAoZOodUELrnw==" saltValue="sDt90NNcNnRcIFm3V86RvA==" spinCount="100000" sheet="1" objects="1" scenarios="1"/>
  <mergeCells count="2">
    <mergeCell ref="I2:L6"/>
    <mergeCell ref="G2:H2"/>
  </mergeCells>
  <phoneticPr fontId="3" type="noConversion"/>
  <hyperlinks>
    <hyperlink ref="B14" location="'Preisübersicht'!A1" display="Preisübersicht" xr:uid="{D4F8CD54-9A98-42A5-8D60-CA8190E854BC}"/>
    <hyperlink ref="B15" location="'Preisübersicht (nach Bedarf)'!A1" display="Preisübersicht (nach Bedarf)" xr:uid="{61D6756B-726A-462F-9699-78A5B5C25AB3}"/>
    <hyperlink ref="B16" location="'SVS UnterhaltsRG'!A1" display="SVS UnterhaltsRG" xr:uid="{DF5582DE-0ACD-49AF-BE9A-D227FC8FCA4B}"/>
    <hyperlink ref="B17" location="'SVS GrundRG'!A1" display="SVS GrundRG" xr:uid="{EB9ABECB-B342-4A47-8A43-56D7E9A50DE1}"/>
    <hyperlink ref="B18" location="'Reinigungstage'!A1" display="Reinigungstage" xr:uid="{C8033289-805A-4E06-A426-5861206AA1BB}"/>
    <hyperlink ref="F21" location="'Kal Unter GS Uhland'!$Q$21" display="'Kal Unter GS Uhland'!$Q$21" xr:uid="{666D6898-283F-47BF-9451-BF219FE04405}"/>
    <hyperlink ref="F22" location="'Kal Unter JC Leo Treff'!$Q$21" display="'Kal Unter JC Leo Treff'!$Q$21" xr:uid="{13F0F836-422D-43B9-AE21-4111E8C92324}"/>
    <hyperlink ref="F23" location="'Kal Unter Luther SH'!$Q$21" display="'Kal Unter Luther SH'!$Q$21" xr:uid="{101687A3-A713-4358-A0A6-E9666C66F934}"/>
    <hyperlink ref="G21" location="'Kal Grund GS Uhland'!$Q$21" display="'Kal Grund GS Uhland'!$Q$21" xr:uid="{C78F4647-12D2-4C92-8F22-7DBCA32F96F2}"/>
    <hyperlink ref="G22" location="'Kal Grund JC Leo Treff'!$Q$21" display="'Kal Grund JC Leo Treff'!$Q$21" xr:uid="{32FADD95-9A1B-424B-B014-F36B54884E6F}"/>
    <hyperlink ref="G23" location="'Kal Grund Luther SH'!$Q$21" display="'Kal Grund Luther SH'!$Q$21" xr:uid="{2AF6EBC0-1FF9-4689-A8D7-CC5E2ABFB227}"/>
    <hyperlink ref="H21" location="'Kal Unter Fer GS Uhland'!$Q$21" display="'Kal Unter Fer GS Uhland'!$Q$21" xr:uid="{70EF8C54-6A87-4192-8ED8-9F66FE8A9DD1}"/>
    <hyperlink ref="I21" location="'Kal Verbrauch Gesamt'!G5:G7" display="'Kal Verbrauch Gesamt'!G5:G7" xr:uid="{D0DCE270-A774-4E93-9666-1ED7D3CA1E96}"/>
    <hyperlink ref="J21" location="'Kal Unter Bed GS Uhland'!$Q$21" display="'Kal Unter Bed GS Uhland'!$Q$21" xr:uid="{A63DFE8C-093D-4FDA-A697-E1C05D727387}"/>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A279-A491-4EFB-A7C0-C37FF2C701CA}">
  <sheetPr codeName="Tabelle23">
    <tabColor indexed="40"/>
  </sheetPr>
  <dimension ref="A1:V3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8554687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33" t="s">
        <v>150</v>
      </c>
      <c r="B2" s="134"/>
      <c r="C2" s="134"/>
      <c r="D2" s="134" t="b">
        <v>0</v>
      </c>
      <c r="E2" s="135"/>
      <c r="G2" s="136" t="s">
        <v>163</v>
      </c>
      <c r="H2" s="136" t="s">
        <v>155</v>
      </c>
      <c r="I2" s="136" t="s">
        <v>156</v>
      </c>
      <c r="J2" s="136" t="s">
        <v>175</v>
      </c>
      <c r="M2" s="20"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1" customHeight="1" x14ac:dyDescent="0.2">
      <c r="A3" s="78" t="s">
        <v>151</v>
      </c>
      <c r="B3" s="79"/>
      <c r="C3" s="79"/>
      <c r="D3" s="79"/>
      <c r="E3" s="80"/>
      <c r="G3" s="137"/>
      <c r="H3" s="137" t="b">
        <v>0</v>
      </c>
      <c r="I3" s="137"/>
      <c r="J3" s="137"/>
      <c r="M3" s="20" t="b">
        <v>0</v>
      </c>
      <c r="N3" s="108"/>
      <c r="O3" s="108"/>
      <c r="P3" s="108"/>
      <c r="Q3" s="108"/>
    </row>
    <row r="4" spans="1:22" ht="15" customHeight="1" x14ac:dyDescent="0.2">
      <c r="A4" s="131" t="s">
        <v>91</v>
      </c>
      <c r="B4" s="141" t="str">
        <f>IF(Inhaltsverzeichnis!C3="","",Inhaltsverzeichnis!C3)</f>
        <v/>
      </c>
      <c r="C4" s="142"/>
      <c r="D4" s="142"/>
      <c r="E4" s="143"/>
      <c r="G4" s="77" t="s">
        <v>341</v>
      </c>
      <c r="H4" s="81"/>
      <c r="I4" s="82">
        <f ca="1">SUMIF('Kal Unter JC Leo Treff'!J22:M31,$G$4,'Kal Unter JC Leo Treff'!M22:M31)</f>
        <v>31567.42</v>
      </c>
      <c r="J4" s="54">
        <f>COUNTIFS('Kal Unter JC Leo Treff'!J22:M31,$G$4)</f>
        <v>2</v>
      </c>
      <c r="M4" s="20" t="b">
        <v>0</v>
      </c>
      <c r="N4" s="108"/>
      <c r="O4" s="108"/>
      <c r="P4" s="108"/>
      <c r="Q4" s="108"/>
      <c r="U4" s="77" t="s">
        <v>341</v>
      </c>
      <c r="V4" s="3">
        <v>132.5</v>
      </c>
    </row>
    <row r="5" spans="1:22" ht="15" customHeight="1" x14ac:dyDescent="0.2">
      <c r="A5" s="132"/>
      <c r="B5" s="144"/>
      <c r="C5" s="145"/>
      <c r="D5" s="145"/>
      <c r="E5" s="146"/>
      <c r="G5" s="77" t="s">
        <v>331</v>
      </c>
      <c r="H5" s="81"/>
      <c r="I5" s="82">
        <f ca="1">SUMIF('Kal Unter JC Leo Treff'!J22:M31,$G$5,'Kal Unter JC Leo Treff'!M22:M31)</f>
        <v>2778.02</v>
      </c>
      <c r="J5" s="54">
        <f>COUNTIFS('Kal Unter JC Leo Treff'!J22:M31,$G$5)</f>
        <v>4</v>
      </c>
      <c r="M5" s="20" t="b">
        <v>0</v>
      </c>
      <c r="N5" s="108"/>
      <c r="O5" s="108"/>
      <c r="P5" s="108"/>
      <c r="Q5" s="108"/>
      <c r="U5" s="77" t="s">
        <v>331</v>
      </c>
      <c r="V5" s="3">
        <v>63.75</v>
      </c>
    </row>
    <row r="6" spans="1:22" ht="15" customHeight="1" x14ac:dyDescent="0.2">
      <c r="A6" s="83" t="s">
        <v>173</v>
      </c>
      <c r="B6" s="147" t="s">
        <v>191</v>
      </c>
      <c r="C6" s="148"/>
      <c r="D6" s="148"/>
      <c r="E6" s="149"/>
      <c r="G6" s="77" t="s">
        <v>332</v>
      </c>
      <c r="H6" s="81"/>
      <c r="I6" s="82">
        <f ca="1">SUMIF('Kal Unter JC Leo Treff'!J22:M31,$G$6,'Kal Unter JC Leo Treff'!M22:M31)</f>
        <v>0</v>
      </c>
      <c r="J6" s="54">
        <f>COUNTIFS('Kal Unter JC Leo Treff'!J22:M31,$G$6)</f>
        <v>1</v>
      </c>
      <c r="U6" s="77" t="s">
        <v>332</v>
      </c>
      <c r="V6" s="3">
        <v>262.5</v>
      </c>
    </row>
    <row r="7" spans="1:22" ht="15" customHeight="1" x14ac:dyDescent="0.2">
      <c r="A7" s="84" t="s">
        <v>171</v>
      </c>
      <c r="B7" s="150" t="s">
        <v>198</v>
      </c>
      <c r="C7" s="148"/>
      <c r="D7" s="148"/>
      <c r="E7" s="149"/>
      <c r="G7" s="77" t="s">
        <v>329</v>
      </c>
      <c r="H7" s="81"/>
      <c r="I7" s="82">
        <f ca="1">SUMIF('Kal Unter JC Leo Treff'!J22:M31,$G$7,'Kal Unter JC Leo Treff'!M22:M31)</f>
        <v>2137.02</v>
      </c>
      <c r="J7" s="54">
        <f>COUNTIFS('Kal Unter JC Leo Treff'!J22:M31,$G$7)</f>
        <v>2</v>
      </c>
      <c r="U7" s="77" t="s">
        <v>329</v>
      </c>
      <c r="V7" s="3">
        <v>300</v>
      </c>
    </row>
    <row r="8" spans="1:22" ht="15" customHeight="1" x14ac:dyDescent="0.2">
      <c r="A8" s="84" t="s">
        <v>172</v>
      </c>
      <c r="B8" s="147"/>
      <c r="C8" s="148"/>
      <c r="D8" s="148"/>
      <c r="E8" s="149"/>
      <c r="G8" s="77" t="s">
        <v>333</v>
      </c>
      <c r="H8" s="81"/>
      <c r="I8" s="82">
        <f ca="1">SUMIF('Kal Unter JC Leo Treff'!J22:M31,$G$8,'Kal Unter JC Leo Treff'!M22:M31)</f>
        <v>2674.16</v>
      </c>
      <c r="J8" s="54">
        <f>COUNTIFS('Kal Unter JC Leo Treff'!J22:M31,$G$8)</f>
        <v>1</v>
      </c>
      <c r="U8" s="77" t="s">
        <v>333</v>
      </c>
      <c r="V8" s="3">
        <v>88.75</v>
      </c>
    </row>
    <row r="9" spans="1:22" ht="15" customHeight="1" x14ac:dyDescent="0.2">
      <c r="A9" s="83" t="s">
        <v>170</v>
      </c>
      <c r="B9" s="151" t="s">
        <v>197</v>
      </c>
      <c r="C9" s="148"/>
      <c r="D9" s="148"/>
      <c r="E9" s="149"/>
    </row>
    <row r="10" spans="1:22" ht="15" customHeight="1" x14ac:dyDescent="0.2">
      <c r="A10" s="84" t="s">
        <v>152</v>
      </c>
      <c r="B10" s="147" t="s">
        <v>199</v>
      </c>
      <c r="C10" s="148"/>
      <c r="D10" s="148"/>
      <c r="E10" s="149"/>
    </row>
    <row r="11" spans="1:22" ht="15" customHeight="1" x14ac:dyDescent="0.2">
      <c r="A11" s="84" t="s">
        <v>153</v>
      </c>
      <c r="B11" s="152" t="s">
        <v>195</v>
      </c>
      <c r="C11" s="148"/>
      <c r="D11" s="148"/>
      <c r="E11" s="149"/>
      <c r="M11" s="3" t="str">
        <f>IF(N13&gt;0,"Bitte die Leistungswerte im Leistungsverzeichnis/ Tabellenblatt Leistungsrichtwerte","")</f>
        <v/>
      </c>
    </row>
    <row r="12" spans="1:22" ht="15" customHeight="1" x14ac:dyDescent="0.2">
      <c r="A12" s="84" t="s">
        <v>154</v>
      </c>
      <c r="B12" s="147" t="s">
        <v>196</v>
      </c>
      <c r="C12" s="148"/>
      <c r="D12" s="148"/>
      <c r="E12" s="149"/>
      <c r="M12" s="3" t="str">
        <f>IF(N13&gt;0,"für die Objektart prüfen.","")</f>
        <v/>
      </c>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c r="N13" s="85">
        <f>COUNTIF(V22:V$31,1)</f>
        <v>0</v>
      </c>
      <c r="O13" s="3" t="str">
        <f>IF(N13&gt;0,"Wert(e) überschritten, bitte mit dem Angebot plausibel darlegen.","")</f>
        <v/>
      </c>
    </row>
    <row r="14" spans="1:22" ht="15" customHeight="1" x14ac:dyDescent="0.2">
      <c r="N14" s="86">
        <f>COUNTIF(V22:V$31,0)</f>
        <v>10</v>
      </c>
      <c r="O14" s="3" t="str">
        <f>IF(N14&gt;0,"Wert(e) korrekt","")</f>
        <v>Wert(e) korrekt</v>
      </c>
      <c r="T14" s="87">
        <f>IF(COUNTA($T$22:$T$31)-COUNTBLANK($T$22:$T$31)=0,"",COUNTA($T$22:$T$31)-COUNTBLANK($T$22:$T$31))</f>
        <v>9</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8" t="s">
        <v>118</v>
      </c>
      <c r="B21" s="12"/>
      <c r="C21" s="12"/>
      <c r="D21" s="12"/>
      <c r="E21" s="12"/>
      <c r="F21" s="12"/>
      <c r="G21" s="89">
        <f>SUM($G$22:$G$31)</f>
        <v>386.75</v>
      </c>
      <c r="H21" s="89">
        <f>SUM($H$22:$H$31)</f>
        <v>0</v>
      </c>
      <c r="I21" s="89">
        <f>SUM($I$22:$I$31)</f>
        <v>0</v>
      </c>
      <c r="J21" s="33"/>
      <c r="K21" s="33"/>
      <c r="L21" s="90">
        <f>MAX(L22:L31)</f>
        <v>104.91</v>
      </c>
      <c r="M21" s="89">
        <f>SUM($M$22:$M$31)</f>
        <v>39156.620000000003</v>
      </c>
      <c r="N21" s="33"/>
      <c r="O21" s="33"/>
      <c r="P21" s="89">
        <f>SUM($P$22:$P$31)</f>
        <v>0</v>
      </c>
      <c r="Q21" s="89">
        <f ca="1">SUM($Q$22:$Q$31)</f>
        <v>0</v>
      </c>
      <c r="R21" s="89">
        <f>ROUND(IF(L21=0,0,P21/L21),2)</f>
        <v>0</v>
      </c>
      <c r="S21" s="89">
        <f ca="1">ROUND(IF(L21=0,0,Q21/L21),2)</f>
        <v>0</v>
      </c>
    </row>
    <row r="22" spans="1:22" ht="15" customHeight="1" x14ac:dyDescent="0.2">
      <c r="A22" s="77">
        <v>1</v>
      </c>
      <c r="B22" s="91"/>
      <c r="C22" s="92" t="s">
        <v>276</v>
      </c>
      <c r="D22" s="92"/>
      <c r="E22" s="92" t="s">
        <v>334</v>
      </c>
      <c r="F22" s="92" t="s">
        <v>335</v>
      </c>
      <c r="G22" s="93">
        <v>7.96</v>
      </c>
      <c r="H22" s="93"/>
      <c r="I22" s="93"/>
      <c r="J22" s="77" t="s">
        <v>331</v>
      </c>
      <c r="K22" s="93">
        <v>2</v>
      </c>
      <c r="L22" s="33">
        <f>VLOOKUP(K22,Reinigungstage!A10:C31,3,FALSE)</f>
        <v>104.91</v>
      </c>
      <c r="M22" s="33">
        <f t="shared" ref="M22:M31" si="0">ROUND(IF(L22=0,0,L22*G22),2)</f>
        <v>835.08</v>
      </c>
      <c r="N22" s="94">
        <f t="shared" ref="N22:N31" si="1">VLOOKUP(J22,$G$4:$H$8,2,FALSE)</f>
        <v>0</v>
      </c>
      <c r="O22" s="33">
        <f ca="1">IF('SVS UnterhaltsRG'!H61="",0,'SVS UnterhaltsRG'!H61)</f>
        <v>0</v>
      </c>
      <c r="P22" s="33">
        <f t="shared" ref="P22:P31" si="2">ROUND(IF(N22=0,0,M22/N22),2)</f>
        <v>0</v>
      </c>
      <c r="Q22" s="33">
        <f t="shared" ref="Q22:Q31" ca="1" si="3">IF(M22=0,0,IF(O22="",0,ROUND(P22*O22,2)))</f>
        <v>0</v>
      </c>
      <c r="R22" s="33">
        <f t="shared" ref="R22:R31" si="4">ROUND(IF(P22=0,0,P22/L22),2)</f>
        <v>0</v>
      </c>
      <c r="S22" s="33">
        <f t="shared" ref="S22:S31" ca="1" si="5">ROUND(IF(Q22=0,0,Q22/L22),2)</f>
        <v>0</v>
      </c>
      <c r="T22" s="3" t="str">
        <f t="shared" ref="T22:T31" si="6">IF(M22=0,"",IF(N22=0,"Leistungswert eintragen",IF(O22=0,"SVS prüfen","")))</f>
        <v>Leistungswert eintragen</v>
      </c>
      <c r="U22" s="3">
        <f t="shared" ref="U22:U31" si="7">VLOOKUP(J22,$U$4:$V$8,2,FALSE)</f>
        <v>63.75</v>
      </c>
      <c r="V22" s="3">
        <f t="shared" ref="V22:V31" si="8">IF(M22=0,0,IF(U22&lt;N22,1,IF(U22&gt;=N22,0,"")))</f>
        <v>0</v>
      </c>
    </row>
    <row r="23" spans="1:22" ht="15" customHeight="1" x14ac:dyDescent="0.2">
      <c r="A23" s="77">
        <v>2</v>
      </c>
      <c r="B23" s="91"/>
      <c r="C23" s="92" t="s">
        <v>276</v>
      </c>
      <c r="D23" s="92">
        <v>1</v>
      </c>
      <c r="E23" s="92" t="s">
        <v>336</v>
      </c>
      <c r="F23" s="92" t="s">
        <v>213</v>
      </c>
      <c r="G23" s="93">
        <v>137.22</v>
      </c>
      <c r="H23" s="93"/>
      <c r="I23" s="93"/>
      <c r="J23" s="77" t="s">
        <v>341</v>
      </c>
      <c r="K23" s="93">
        <v>2</v>
      </c>
      <c r="L23" s="33">
        <f>VLOOKUP(K23,Reinigungstage!A10:C31,3,FALSE)</f>
        <v>104.91</v>
      </c>
      <c r="M23" s="33">
        <f t="shared" si="0"/>
        <v>14395.75</v>
      </c>
      <c r="N23" s="94">
        <f t="shared" si="1"/>
        <v>0</v>
      </c>
      <c r="O23" s="33">
        <f ca="1">IF('SVS UnterhaltsRG'!H61="",0,'SVS UnterhaltsRG'!H61)</f>
        <v>0</v>
      </c>
      <c r="P23" s="33">
        <f t="shared" si="2"/>
        <v>0</v>
      </c>
      <c r="Q23" s="33">
        <f t="shared" ca="1" si="3"/>
        <v>0</v>
      </c>
      <c r="R23" s="33">
        <f t="shared" si="4"/>
        <v>0</v>
      </c>
      <c r="S23" s="33">
        <f t="shared" ca="1" si="5"/>
        <v>0</v>
      </c>
      <c r="T23" s="3" t="str">
        <f t="shared" si="6"/>
        <v>Leistungswert eintragen</v>
      </c>
      <c r="U23" s="3">
        <f t="shared" si="7"/>
        <v>132.5</v>
      </c>
      <c r="V23" s="3">
        <f t="shared" si="8"/>
        <v>0</v>
      </c>
    </row>
    <row r="24" spans="1:22" ht="15" customHeight="1" x14ac:dyDescent="0.2">
      <c r="A24" s="77">
        <v>3</v>
      </c>
      <c r="B24" s="91"/>
      <c r="C24" s="92" t="s">
        <v>276</v>
      </c>
      <c r="D24" s="92">
        <v>2</v>
      </c>
      <c r="E24" s="92" t="s">
        <v>336</v>
      </c>
      <c r="F24" s="92" t="s">
        <v>213</v>
      </c>
      <c r="G24" s="93">
        <v>163.68</v>
      </c>
      <c r="H24" s="93"/>
      <c r="I24" s="93"/>
      <c r="J24" s="77" t="s">
        <v>341</v>
      </c>
      <c r="K24" s="93">
        <v>2</v>
      </c>
      <c r="L24" s="33">
        <f>VLOOKUP(K24,Reinigungstage!A10:C31,3,FALSE)</f>
        <v>104.91</v>
      </c>
      <c r="M24" s="33">
        <f t="shared" si="0"/>
        <v>17171.669999999998</v>
      </c>
      <c r="N24" s="94">
        <f t="shared" si="1"/>
        <v>0</v>
      </c>
      <c r="O24" s="33">
        <f ca="1">IF('SVS UnterhaltsRG'!H61="",0,'SVS UnterhaltsRG'!H61)</f>
        <v>0</v>
      </c>
      <c r="P24" s="33">
        <f t="shared" si="2"/>
        <v>0</v>
      </c>
      <c r="Q24" s="33">
        <f t="shared" ca="1" si="3"/>
        <v>0</v>
      </c>
      <c r="R24" s="33">
        <f t="shared" si="4"/>
        <v>0</v>
      </c>
      <c r="S24" s="33">
        <f t="shared" ca="1" si="5"/>
        <v>0</v>
      </c>
      <c r="T24" s="3" t="str">
        <f t="shared" si="6"/>
        <v>Leistungswert eintragen</v>
      </c>
      <c r="U24" s="3">
        <f t="shared" si="7"/>
        <v>132.5</v>
      </c>
      <c r="V24" s="3">
        <f t="shared" si="8"/>
        <v>0</v>
      </c>
    </row>
    <row r="25" spans="1:22" ht="15" customHeight="1" x14ac:dyDescent="0.2">
      <c r="A25" s="77">
        <v>4</v>
      </c>
      <c r="B25" s="91"/>
      <c r="C25" s="92" t="s">
        <v>276</v>
      </c>
      <c r="D25" s="92"/>
      <c r="E25" s="92" t="s">
        <v>337</v>
      </c>
      <c r="F25" s="92" t="s">
        <v>213</v>
      </c>
      <c r="G25" s="93">
        <v>13.51</v>
      </c>
      <c r="H25" s="93"/>
      <c r="I25" s="93"/>
      <c r="J25" s="77" t="s">
        <v>332</v>
      </c>
      <c r="K25" s="93">
        <v>0</v>
      </c>
      <c r="L25" s="33">
        <f>VLOOKUP(K25,Reinigungstage!A10:C31,3,FALSE)</f>
        <v>0</v>
      </c>
      <c r="M25" s="33">
        <f t="shared" si="0"/>
        <v>0</v>
      </c>
      <c r="N25" s="94">
        <f t="shared" si="1"/>
        <v>0</v>
      </c>
      <c r="O25" s="33">
        <f ca="1">IF('SVS UnterhaltsRG'!H61="",0,'SVS UnterhaltsRG'!H61)</f>
        <v>0</v>
      </c>
      <c r="P25" s="33">
        <f t="shared" si="2"/>
        <v>0</v>
      </c>
      <c r="Q25" s="33">
        <f t="shared" si="3"/>
        <v>0</v>
      </c>
      <c r="R25" s="33">
        <f t="shared" si="4"/>
        <v>0</v>
      </c>
      <c r="S25" s="33">
        <f t="shared" si="5"/>
        <v>0</v>
      </c>
      <c r="T25" s="3" t="str">
        <f t="shared" si="6"/>
        <v/>
      </c>
      <c r="U25" s="3">
        <f t="shared" si="7"/>
        <v>262.5</v>
      </c>
      <c r="V25" s="3">
        <f t="shared" si="8"/>
        <v>0</v>
      </c>
    </row>
    <row r="26" spans="1:22" ht="15" customHeight="1" x14ac:dyDescent="0.2">
      <c r="A26" s="77">
        <v>5</v>
      </c>
      <c r="B26" s="91"/>
      <c r="C26" s="92" t="s">
        <v>276</v>
      </c>
      <c r="D26" s="92"/>
      <c r="E26" s="92" t="s">
        <v>228</v>
      </c>
      <c r="F26" s="92" t="s">
        <v>335</v>
      </c>
      <c r="G26" s="93">
        <v>5.46</v>
      </c>
      <c r="H26" s="93"/>
      <c r="I26" s="93"/>
      <c r="J26" s="77" t="s">
        <v>331</v>
      </c>
      <c r="K26" s="93">
        <v>2</v>
      </c>
      <c r="L26" s="33">
        <f>VLOOKUP(K26,Reinigungstage!A10:C31,3,FALSE)</f>
        <v>104.91</v>
      </c>
      <c r="M26" s="33">
        <f t="shared" si="0"/>
        <v>572.80999999999995</v>
      </c>
      <c r="N26" s="94">
        <f t="shared" si="1"/>
        <v>0</v>
      </c>
      <c r="O26" s="33">
        <f ca="1">IF('SVS UnterhaltsRG'!H61="",0,'SVS UnterhaltsRG'!H61)</f>
        <v>0</v>
      </c>
      <c r="P26" s="33">
        <f t="shared" si="2"/>
        <v>0</v>
      </c>
      <c r="Q26" s="33">
        <f t="shared" ca="1" si="3"/>
        <v>0</v>
      </c>
      <c r="R26" s="33">
        <f t="shared" si="4"/>
        <v>0</v>
      </c>
      <c r="S26" s="33">
        <f t="shared" ca="1" si="5"/>
        <v>0</v>
      </c>
      <c r="T26" s="3" t="str">
        <f t="shared" si="6"/>
        <v>Leistungswert eintragen</v>
      </c>
      <c r="U26" s="3">
        <f t="shared" si="7"/>
        <v>63.75</v>
      </c>
      <c r="V26" s="3">
        <f t="shared" si="8"/>
        <v>0</v>
      </c>
    </row>
    <row r="27" spans="1:22" ht="15" customHeight="1" x14ac:dyDescent="0.2">
      <c r="A27" s="77">
        <v>6</v>
      </c>
      <c r="B27" s="91"/>
      <c r="C27" s="92" t="s">
        <v>276</v>
      </c>
      <c r="D27" s="92"/>
      <c r="E27" s="92" t="s">
        <v>338</v>
      </c>
      <c r="F27" s="92" t="s">
        <v>210</v>
      </c>
      <c r="G27" s="93">
        <v>25.49</v>
      </c>
      <c r="H27" s="93"/>
      <c r="I27" s="93"/>
      <c r="J27" s="77" t="s">
        <v>333</v>
      </c>
      <c r="K27" s="93">
        <v>2</v>
      </c>
      <c r="L27" s="33">
        <f>VLOOKUP(K27,Reinigungstage!A10:C31,3,FALSE)</f>
        <v>104.91</v>
      </c>
      <c r="M27" s="33">
        <f t="shared" si="0"/>
        <v>2674.16</v>
      </c>
      <c r="N27" s="94">
        <f t="shared" si="1"/>
        <v>0</v>
      </c>
      <c r="O27" s="33">
        <f ca="1">IF('SVS UnterhaltsRG'!H61="",0,'SVS UnterhaltsRG'!H61)</f>
        <v>0</v>
      </c>
      <c r="P27" s="33">
        <f t="shared" si="2"/>
        <v>0</v>
      </c>
      <c r="Q27" s="33">
        <f t="shared" ca="1" si="3"/>
        <v>0</v>
      </c>
      <c r="R27" s="33">
        <f t="shared" si="4"/>
        <v>0</v>
      </c>
      <c r="S27" s="33">
        <f t="shared" ca="1" si="5"/>
        <v>0</v>
      </c>
      <c r="T27" s="3" t="str">
        <f t="shared" si="6"/>
        <v>Leistungswert eintragen</v>
      </c>
      <c r="U27" s="3">
        <f t="shared" si="7"/>
        <v>88.75</v>
      </c>
      <c r="V27" s="3">
        <f t="shared" si="8"/>
        <v>0</v>
      </c>
    </row>
    <row r="28" spans="1:22" ht="15" customHeight="1" x14ac:dyDescent="0.2">
      <c r="A28" s="77">
        <v>7</v>
      </c>
      <c r="B28" s="91"/>
      <c r="C28" s="92" t="s">
        <v>276</v>
      </c>
      <c r="D28" s="92"/>
      <c r="E28" s="92" t="s">
        <v>226</v>
      </c>
      <c r="F28" s="92" t="s">
        <v>335</v>
      </c>
      <c r="G28" s="93">
        <v>5.46</v>
      </c>
      <c r="H28" s="93"/>
      <c r="I28" s="93"/>
      <c r="J28" s="77" t="s">
        <v>331</v>
      </c>
      <c r="K28" s="93">
        <v>2</v>
      </c>
      <c r="L28" s="33">
        <f>VLOOKUP(K28,Reinigungstage!A10:C31,3,FALSE)</f>
        <v>104.91</v>
      </c>
      <c r="M28" s="33">
        <f t="shared" si="0"/>
        <v>572.80999999999995</v>
      </c>
      <c r="N28" s="94">
        <f t="shared" si="1"/>
        <v>0</v>
      </c>
      <c r="O28" s="33">
        <f ca="1">IF('SVS UnterhaltsRG'!H61="",0,'SVS UnterhaltsRG'!H61)</f>
        <v>0</v>
      </c>
      <c r="P28" s="33">
        <f t="shared" si="2"/>
        <v>0</v>
      </c>
      <c r="Q28" s="33">
        <f t="shared" ca="1" si="3"/>
        <v>0</v>
      </c>
      <c r="R28" s="33">
        <f t="shared" si="4"/>
        <v>0</v>
      </c>
      <c r="S28" s="33">
        <f t="shared" ca="1" si="5"/>
        <v>0</v>
      </c>
      <c r="T28" s="3" t="str">
        <f t="shared" si="6"/>
        <v>Leistungswert eintragen</v>
      </c>
      <c r="U28" s="3">
        <f t="shared" si="7"/>
        <v>63.75</v>
      </c>
      <c r="V28" s="3">
        <f t="shared" si="8"/>
        <v>0</v>
      </c>
    </row>
    <row r="29" spans="1:22" ht="15" customHeight="1" x14ac:dyDescent="0.2">
      <c r="A29" s="77">
        <v>8</v>
      </c>
      <c r="B29" s="91"/>
      <c r="C29" s="92" t="s">
        <v>276</v>
      </c>
      <c r="D29" s="92"/>
      <c r="E29" s="92" t="s">
        <v>339</v>
      </c>
      <c r="F29" s="92" t="s">
        <v>213</v>
      </c>
      <c r="G29" s="93">
        <v>11.91</v>
      </c>
      <c r="H29" s="93"/>
      <c r="I29" s="93"/>
      <c r="J29" s="77" t="s">
        <v>329</v>
      </c>
      <c r="K29" s="93">
        <v>2</v>
      </c>
      <c r="L29" s="33">
        <f>VLOOKUP(K29,Reinigungstage!A10:C31,3,FALSE)</f>
        <v>104.91</v>
      </c>
      <c r="M29" s="33">
        <f t="shared" si="0"/>
        <v>1249.48</v>
      </c>
      <c r="N29" s="94">
        <f t="shared" si="1"/>
        <v>0</v>
      </c>
      <c r="O29" s="33">
        <f ca="1">IF('SVS UnterhaltsRG'!H61="",0,'SVS UnterhaltsRG'!H61)</f>
        <v>0</v>
      </c>
      <c r="P29" s="33">
        <f t="shared" si="2"/>
        <v>0</v>
      </c>
      <c r="Q29" s="33">
        <f t="shared" ca="1" si="3"/>
        <v>0</v>
      </c>
      <c r="R29" s="33">
        <f t="shared" si="4"/>
        <v>0</v>
      </c>
      <c r="S29" s="33">
        <f t="shared" ca="1" si="5"/>
        <v>0</v>
      </c>
      <c r="T29" s="3" t="str">
        <f t="shared" si="6"/>
        <v>Leistungswert eintragen</v>
      </c>
      <c r="U29" s="3">
        <f t="shared" si="7"/>
        <v>300</v>
      </c>
      <c r="V29" s="3">
        <f t="shared" si="8"/>
        <v>0</v>
      </c>
    </row>
    <row r="30" spans="1:22" ht="15" customHeight="1" x14ac:dyDescent="0.2">
      <c r="A30" s="77">
        <v>9</v>
      </c>
      <c r="B30" s="91"/>
      <c r="C30" s="92" t="s">
        <v>276</v>
      </c>
      <c r="D30" s="92"/>
      <c r="E30" s="92" t="s">
        <v>309</v>
      </c>
      <c r="F30" s="92" t="s">
        <v>335</v>
      </c>
      <c r="G30" s="93">
        <v>7.6</v>
      </c>
      <c r="H30" s="93"/>
      <c r="I30" s="93"/>
      <c r="J30" s="77" t="s">
        <v>331</v>
      </c>
      <c r="K30" s="93">
        <v>2</v>
      </c>
      <c r="L30" s="33">
        <f>VLOOKUP(K30,Reinigungstage!A10:C31,3,FALSE)</f>
        <v>104.91</v>
      </c>
      <c r="M30" s="33">
        <f t="shared" si="0"/>
        <v>797.32</v>
      </c>
      <c r="N30" s="94">
        <f t="shared" si="1"/>
        <v>0</v>
      </c>
      <c r="O30" s="33">
        <f ca="1">IF('SVS UnterhaltsRG'!H61="",0,'SVS UnterhaltsRG'!H61)</f>
        <v>0</v>
      </c>
      <c r="P30" s="33">
        <f t="shared" si="2"/>
        <v>0</v>
      </c>
      <c r="Q30" s="33">
        <f t="shared" ca="1" si="3"/>
        <v>0</v>
      </c>
      <c r="R30" s="33">
        <f t="shared" si="4"/>
        <v>0</v>
      </c>
      <c r="S30" s="33">
        <f t="shared" ca="1" si="5"/>
        <v>0</v>
      </c>
      <c r="T30" s="3" t="str">
        <f t="shared" si="6"/>
        <v>Leistungswert eintragen</v>
      </c>
      <c r="U30" s="3">
        <f t="shared" si="7"/>
        <v>63.75</v>
      </c>
      <c r="V30" s="3">
        <f t="shared" si="8"/>
        <v>0</v>
      </c>
    </row>
    <row r="31" spans="1:22" ht="15" customHeight="1" x14ac:dyDescent="0.2">
      <c r="A31" s="77">
        <v>10</v>
      </c>
      <c r="B31" s="91"/>
      <c r="C31" s="92" t="s">
        <v>276</v>
      </c>
      <c r="D31" s="92"/>
      <c r="E31" s="92" t="s">
        <v>340</v>
      </c>
      <c r="F31" s="92" t="s">
        <v>210</v>
      </c>
      <c r="G31" s="93">
        <v>8.4600000000000009</v>
      </c>
      <c r="H31" s="93"/>
      <c r="I31" s="93"/>
      <c r="J31" s="77" t="s">
        <v>329</v>
      </c>
      <c r="K31" s="93">
        <v>2</v>
      </c>
      <c r="L31" s="33">
        <f>VLOOKUP(K31,Reinigungstage!A10:C31,3,FALSE)</f>
        <v>104.91</v>
      </c>
      <c r="M31" s="33">
        <f t="shared" si="0"/>
        <v>887.54</v>
      </c>
      <c r="N31" s="94">
        <f t="shared" si="1"/>
        <v>0</v>
      </c>
      <c r="O31" s="33">
        <f ca="1">IF('SVS UnterhaltsRG'!H61="",0,'SVS UnterhaltsRG'!H61)</f>
        <v>0</v>
      </c>
      <c r="P31" s="33">
        <f t="shared" si="2"/>
        <v>0</v>
      </c>
      <c r="Q31" s="33">
        <f t="shared" ca="1" si="3"/>
        <v>0</v>
      </c>
      <c r="R31" s="33">
        <f t="shared" si="4"/>
        <v>0</v>
      </c>
      <c r="S31" s="33">
        <f t="shared" ca="1" si="5"/>
        <v>0</v>
      </c>
      <c r="T31" s="3" t="str">
        <f t="shared" si="6"/>
        <v>Leistungswert eintragen</v>
      </c>
      <c r="U31" s="3">
        <f t="shared" si="7"/>
        <v>300</v>
      </c>
      <c r="V31" s="3">
        <f t="shared" si="8"/>
        <v>0</v>
      </c>
    </row>
  </sheetData>
  <sheetProtection algorithmName="SHA-512" hashValue="w8lVVLQMDr0K7YQ3YwsrPRddRbeXEE4EIZRkUa+4tDvnKzDXOA8mapYMcBqcL2uTSZwzNi7FldULZEAtHPM+Bg==" saltValue="W7aqmANrgY5n/mCUns4ATg==" spinCount="100000" sheet="1" objects="1" scenarios="1"/>
  <sortState xmlns:xlrd2="http://schemas.microsoft.com/office/spreadsheetml/2017/richdata2" ref="U4:U8">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56"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55" priority="5" operator="containsText" text="Bitte prüfen Sie diese.">
      <formula>NOT(ISERROR(SEARCH("Bitte prüfen Sie diese.",L9)))</formula>
    </cfRule>
  </conditionalFormatting>
  <conditionalFormatting sqref="L10">
    <cfRule type="containsText" dxfId="54"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53" priority="3" operator="containsText" text="lediglich Fehleingaben vermeiden wollen.">
      <formula>NOT(ISERROR(SEARCH("lediglich Fehleingaben vermeiden wollen.",L11)))</formula>
    </cfRule>
  </conditionalFormatting>
  <conditionalFormatting sqref="M11">
    <cfRule type="containsText" dxfId="52"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51" priority="7" operator="containsText" text="für die Objektart prüfen.">
      <formula>NOT(ISERROR(SEARCH("für die Objektart prüfen.",M12)))</formula>
    </cfRule>
  </conditionalFormatting>
  <conditionalFormatting sqref="N13">
    <cfRule type="expression" dxfId="50" priority="2" stopIfTrue="1">
      <formula>N13=0</formula>
    </cfRule>
  </conditionalFormatting>
  <conditionalFormatting sqref="N14">
    <cfRule type="expression" dxfId="49" priority="1">
      <formula>N14=0</formula>
    </cfRule>
  </conditionalFormatting>
  <conditionalFormatting sqref="N22:N31">
    <cfRule type="expression" dxfId="48" priority="11">
      <formula>V22=0</formula>
    </cfRule>
    <cfRule type="expression" dxfId="47" priority="12" stopIfTrue="1">
      <formula>V22=1</formula>
    </cfRule>
  </conditionalFormatting>
  <conditionalFormatting sqref="O13">
    <cfRule type="containsText" dxfId="46"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5" priority="9" operator="containsText" text="Wert(e) prüfen.">
      <formula>NOT(ISERROR(SEARCH("Wert(e) prüfen.",O14)))</formula>
    </cfRule>
  </conditionalFormatting>
  <conditionalFormatting sqref="T22:T31">
    <cfRule type="containsText" dxfId="44" priority="13" stopIfTrue="1" operator="containsText" text="SVS prüfen">
      <formula>NOT(ISERROR(SEARCH("SVS prüfen",T22)))</formula>
    </cfRule>
    <cfRule type="containsText" dxfId="43" priority="14" stopIfTrue="1" operator="containsText" text="Leistungswert eintragen">
      <formula>NOT(ISERROR(SEARCH("Leistungswert eintragen",T22)))</formula>
    </cfRule>
  </conditionalFormatting>
  <hyperlinks>
    <hyperlink ref="M1" location="Inhaltsverzeichnis!A1" display="Zurück zum Inhaltsverzeichnis" xr:uid="{A2583B54-53FF-48F4-B302-5CE26145548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JC Leo Treff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4C4D-E5F8-485F-BCB2-6A3F52F22DD3}">
  <sheetPr codeName="Tabelle35">
    <tabColor indexed="40"/>
  </sheetPr>
  <dimension ref="A1:X30"/>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33" t="s">
        <v>150</v>
      </c>
      <c r="B2" s="134"/>
      <c r="C2" s="134"/>
      <c r="D2" s="134"/>
      <c r="E2" s="135"/>
      <c r="G2" s="136" t="s">
        <v>163</v>
      </c>
      <c r="H2" s="136" t="s">
        <v>155</v>
      </c>
      <c r="I2" s="136" t="s">
        <v>156</v>
      </c>
      <c r="J2" s="136" t="s">
        <v>175</v>
      </c>
      <c r="M2" s="76"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4" customHeight="1" x14ac:dyDescent="0.2">
      <c r="A3" s="78" t="s">
        <v>158</v>
      </c>
      <c r="B3" s="79"/>
      <c r="C3" s="79"/>
      <c r="D3" s="79"/>
      <c r="E3" s="80"/>
      <c r="G3" s="137"/>
      <c r="H3" s="137"/>
      <c r="I3" s="137"/>
      <c r="J3" s="137"/>
      <c r="M3" s="76" t="b">
        <v>0</v>
      </c>
      <c r="N3" s="108"/>
      <c r="O3" s="108"/>
      <c r="P3" s="108"/>
      <c r="Q3" s="108"/>
    </row>
    <row r="4" spans="1:22" ht="18.600000000000001" customHeight="1" x14ac:dyDescent="0.2">
      <c r="A4" s="131" t="s">
        <v>91</v>
      </c>
      <c r="B4" s="141" t="str">
        <f>IF(Inhaltsverzeichnis!C3="","",Inhaltsverzeichnis!C3)</f>
        <v/>
      </c>
      <c r="C4" s="142"/>
      <c r="D4" s="142"/>
      <c r="E4" s="143"/>
      <c r="G4" s="77" t="s">
        <v>341</v>
      </c>
      <c r="H4" s="81"/>
      <c r="I4" s="82">
        <f ca="1">SUMIF('Kal Grund JC Leo Treff'!J22:M30,$G$4,'Kal Grund JC Leo Treff'!M22:M30)</f>
        <v>300.89999999999998</v>
      </c>
      <c r="J4" s="54">
        <f>COUNTIFS('Kal Grund JC Leo Treff'!J22:M30,$G$4)</f>
        <v>2</v>
      </c>
      <c r="M4" s="76" t="b">
        <v>0</v>
      </c>
      <c r="N4" s="108"/>
      <c r="O4" s="108"/>
      <c r="P4" s="108"/>
      <c r="Q4" s="108"/>
      <c r="U4" s="77" t="s">
        <v>341</v>
      </c>
      <c r="V4" s="96">
        <v>15</v>
      </c>
    </row>
    <row r="5" spans="1:22" ht="15" customHeight="1" x14ac:dyDescent="0.2">
      <c r="A5" s="132"/>
      <c r="B5" s="144"/>
      <c r="C5" s="145"/>
      <c r="D5" s="145"/>
      <c r="E5" s="146"/>
      <c r="G5" s="77" t="s">
        <v>331</v>
      </c>
      <c r="H5" s="81"/>
      <c r="I5" s="82">
        <f ca="1">SUMIF('Kal Grund JC Leo Treff'!J22:M30,$G$5,'Kal Grund JC Leo Treff'!M22:M30)</f>
        <v>26.479999999999997</v>
      </c>
      <c r="J5" s="54">
        <f>COUNTIFS('Kal Grund JC Leo Treff'!J22:M30,$G$5)</f>
        <v>4</v>
      </c>
      <c r="M5" s="76" t="b">
        <v>0</v>
      </c>
      <c r="N5" s="108"/>
      <c r="O5" s="108"/>
      <c r="P5" s="108"/>
      <c r="Q5" s="108"/>
      <c r="U5" s="77" t="s">
        <v>331</v>
      </c>
      <c r="V5" s="3">
        <v>10.25</v>
      </c>
    </row>
    <row r="6" spans="1:22" ht="15" customHeight="1" x14ac:dyDescent="0.2">
      <c r="A6" s="83" t="s">
        <v>173</v>
      </c>
      <c r="B6" s="147" t="s">
        <v>191</v>
      </c>
      <c r="C6" s="148"/>
      <c r="D6" s="148"/>
      <c r="E6" s="149"/>
      <c r="G6" s="77" t="s">
        <v>329</v>
      </c>
      <c r="H6" s="81"/>
      <c r="I6" s="82">
        <f ca="1">SUMIF('Kal Grund JC Leo Treff'!J22:M30,$G$6,'Kal Grund JC Leo Treff'!M22:M30)</f>
        <v>20.37</v>
      </c>
      <c r="J6" s="54">
        <f>COUNTIFS('Kal Grund JC Leo Treff'!J22:M30,$G$6)</f>
        <v>2</v>
      </c>
      <c r="U6" s="77" t="s">
        <v>332</v>
      </c>
      <c r="V6" s="3">
        <v>15.875</v>
      </c>
    </row>
    <row r="7" spans="1:22" ht="15" customHeight="1" x14ac:dyDescent="0.2">
      <c r="A7" s="84" t="s">
        <v>171</v>
      </c>
      <c r="B7" s="150" t="s">
        <v>198</v>
      </c>
      <c r="C7" s="148"/>
      <c r="D7" s="148"/>
      <c r="E7" s="149"/>
      <c r="G7" s="77" t="s">
        <v>333</v>
      </c>
      <c r="H7" s="81"/>
      <c r="I7" s="82">
        <f ca="1">SUMIF('Kal Grund JC Leo Treff'!J22:M30,$G$7,'Kal Grund JC Leo Treff'!M22:M30)</f>
        <v>25.49</v>
      </c>
      <c r="J7" s="54">
        <f>COUNTIFS('Kal Grund JC Leo Treff'!J22:M30,$G$7)</f>
        <v>1</v>
      </c>
      <c r="U7" s="77" t="s">
        <v>329</v>
      </c>
      <c r="V7" s="3">
        <v>16.25</v>
      </c>
    </row>
    <row r="8" spans="1:22" ht="15" customHeight="1" x14ac:dyDescent="0.2">
      <c r="A8" s="84" t="s">
        <v>172</v>
      </c>
      <c r="B8" s="147"/>
      <c r="C8" s="148"/>
      <c r="D8" s="148"/>
      <c r="E8" s="149"/>
      <c r="L8" s="95" t="str">
        <f>IF(N14&gt;0,"Ihre Eintragungen der Leistungswerte liegen weit über den Erfahrungswerten aus der Preisschätzung.","")</f>
        <v/>
      </c>
      <c r="U8" s="77" t="s">
        <v>333</v>
      </c>
      <c r="V8" s="3">
        <v>15.375</v>
      </c>
    </row>
    <row r="9" spans="1:22" ht="15" customHeight="1" x14ac:dyDescent="0.2">
      <c r="A9" s="83" t="s">
        <v>170</v>
      </c>
      <c r="B9" s="151" t="s">
        <v>197</v>
      </c>
      <c r="C9" s="148"/>
      <c r="D9" s="148"/>
      <c r="E9" s="149"/>
      <c r="L9" s="95" t="str">
        <f>IF(N14&gt;0,"Bitte prüfen Sie diese.","")</f>
        <v/>
      </c>
    </row>
    <row r="10" spans="1:22" ht="15" customHeight="1" x14ac:dyDescent="0.2">
      <c r="A10" s="84" t="s">
        <v>152</v>
      </c>
      <c r="B10" s="147" t="s">
        <v>199</v>
      </c>
      <c r="C10" s="148"/>
      <c r="D10" s="148"/>
      <c r="E10" s="149"/>
      <c r="L10" s="95" t="str">
        <f>IF(N14&gt;0,"Beachten Sie, dass Sie frei in der Kalkulation dieser Leistungswerte sind und wir durch den Hinweis","")</f>
        <v/>
      </c>
    </row>
    <row r="11" spans="1:22" ht="15" customHeight="1" x14ac:dyDescent="0.2">
      <c r="A11" s="84" t="s">
        <v>153</v>
      </c>
      <c r="B11" s="152" t="s">
        <v>195</v>
      </c>
      <c r="C11" s="148"/>
      <c r="D11" s="148"/>
      <c r="E11" s="149"/>
      <c r="L11" s="95" t="str">
        <f>IF(N14&gt;0,"lediglich Fehleingaben vermeiden wollen.","")</f>
        <v/>
      </c>
    </row>
    <row r="12" spans="1:22" ht="15" customHeight="1" x14ac:dyDescent="0.2">
      <c r="A12" s="84" t="s">
        <v>154</v>
      </c>
      <c r="B12" s="147" t="s">
        <v>196</v>
      </c>
      <c r="C12" s="148"/>
      <c r="D12" s="148"/>
      <c r="E12" s="149"/>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row>
    <row r="14" spans="1:22" ht="15" customHeight="1" x14ac:dyDescent="0.2">
      <c r="N14" s="85">
        <f>COUNTIF(X22:X$30,1)</f>
        <v>0</v>
      </c>
      <c r="O14" s="3" t="str">
        <f>IF(N14&gt;0,"Wert(e) prüfen.","")</f>
        <v/>
      </c>
      <c r="S14" s="87">
        <f>IF(COUNTA($S$22:$S$30)-COUNTBLANK($S$22:$S$30)=0,"",COUNTA($S$22:$S$30)-COUNTBLANK($S$22:$S$30))</f>
        <v>9</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88" t="s">
        <v>118</v>
      </c>
      <c r="B21" s="12"/>
      <c r="C21" s="12"/>
      <c r="D21" s="12"/>
      <c r="E21" s="12"/>
      <c r="F21" s="12"/>
      <c r="G21" s="89">
        <f>SUM($G$22:$G$30)</f>
        <v>373.24</v>
      </c>
      <c r="H21" s="89">
        <f>SUM($H$22:$H$30)</f>
        <v>0</v>
      </c>
      <c r="I21" s="89">
        <f>SUM($I$22:$I$30)</f>
        <v>0</v>
      </c>
      <c r="J21" s="33"/>
      <c r="K21" s="33"/>
      <c r="L21" s="90">
        <f>MAX(L22:L30)</f>
        <v>1</v>
      </c>
      <c r="M21" s="89">
        <f>SUM($M$22:$M$30)</f>
        <v>373.24</v>
      </c>
      <c r="N21" s="33"/>
      <c r="O21" s="33"/>
      <c r="P21" s="89">
        <f>SUM($P$22:$P$30)</f>
        <v>0</v>
      </c>
      <c r="Q21" s="89">
        <f>SUM($Q$22:$Q$30)</f>
        <v>0</v>
      </c>
      <c r="R21" s="89">
        <f>ROUND(IF(Q21=0,0,Q21/L21),2)</f>
        <v>0</v>
      </c>
    </row>
    <row r="22" spans="1:24" ht="15" customHeight="1" x14ac:dyDescent="0.2">
      <c r="A22" s="77">
        <v>1</v>
      </c>
      <c r="B22" s="91"/>
      <c r="C22" s="92" t="s">
        <v>276</v>
      </c>
      <c r="D22" s="92"/>
      <c r="E22" s="92" t="s">
        <v>334</v>
      </c>
      <c r="F22" s="92" t="s">
        <v>335</v>
      </c>
      <c r="G22" s="93">
        <v>7.96</v>
      </c>
      <c r="H22" s="93"/>
      <c r="I22" s="93"/>
      <c r="J22" s="77" t="s">
        <v>331</v>
      </c>
      <c r="K22" s="77" t="s">
        <v>142</v>
      </c>
      <c r="L22" s="33">
        <f>VLOOKUP(K22,Reinigungstage!A10:F31,6,FALSE)</f>
        <v>1</v>
      </c>
      <c r="M22" s="33">
        <f t="shared" ref="M22:M30" si="0">ROUND(IF(L22=0,0,L22*G22),2)</f>
        <v>7.96</v>
      </c>
      <c r="N22" s="94">
        <f t="shared" ref="N22:N30" si="1">VLOOKUP(J22,$G$4:$H$7,2,FALSE)</f>
        <v>0</v>
      </c>
      <c r="O22" s="33">
        <f ca="1">IF('SVS GrundRG'!H61="",0,'SVS GrundRG'!H61)</f>
        <v>0</v>
      </c>
      <c r="P22" s="33">
        <f t="shared" ref="P22:P30" si="2">ROUND(IF(N22=0,0,M22/N22),2)</f>
        <v>0</v>
      </c>
      <c r="Q22" s="33">
        <f t="shared" ref="Q22:Q30" si="3">ROUND(IF(P22=0,0,P22*O22),2)</f>
        <v>0</v>
      </c>
      <c r="R22" s="33">
        <f t="shared" ref="R22:R30" si="4">ROUND(IF(P22=0,0,Q22/L22),2)</f>
        <v>0</v>
      </c>
      <c r="S22" s="3" t="str">
        <f t="shared" ref="S22:S30" si="5">IF(M22=0,"",IF(N22=0,"Leistungswert eintragen",IF(O22=0,"SVS prüfen","")))</f>
        <v>Leistungswert eintragen</v>
      </c>
      <c r="U22" s="3">
        <f t="shared" ref="U22:U30" si="6">VLOOKUP(J22,$U$4:$V$8,2,FALSE)</f>
        <v>10.25</v>
      </c>
      <c r="V22" s="3">
        <f t="shared" ref="V22:V30" si="7">U22*30%</f>
        <v>3.0749999999999997</v>
      </c>
      <c r="W22" s="3">
        <f t="shared" ref="W22:W30" si="8">SUM(U22:V22)</f>
        <v>13.324999999999999</v>
      </c>
      <c r="X22" s="3" t="str">
        <f t="shared" ref="X22:X30" si="9">IF(N22=0,"",IF(W22&lt;N22,1,IF(W22&gt;=N22,0,"")))</f>
        <v/>
      </c>
    </row>
    <row r="23" spans="1:24" ht="15" customHeight="1" x14ac:dyDescent="0.2">
      <c r="A23" s="77">
        <v>2</v>
      </c>
      <c r="B23" s="91"/>
      <c r="C23" s="92" t="s">
        <v>276</v>
      </c>
      <c r="D23" s="92">
        <v>1</v>
      </c>
      <c r="E23" s="92" t="s">
        <v>336</v>
      </c>
      <c r="F23" s="92" t="s">
        <v>213</v>
      </c>
      <c r="G23" s="93">
        <v>137.22</v>
      </c>
      <c r="H23" s="93"/>
      <c r="I23" s="93"/>
      <c r="J23" s="77" t="s">
        <v>341</v>
      </c>
      <c r="K23" s="77" t="s">
        <v>142</v>
      </c>
      <c r="L23" s="33">
        <f>VLOOKUP(K23,Reinigungstage!A10:F31,6,FALSE)</f>
        <v>1</v>
      </c>
      <c r="M23" s="33">
        <f t="shared" si="0"/>
        <v>137.22</v>
      </c>
      <c r="N23" s="94">
        <f t="shared" si="1"/>
        <v>0</v>
      </c>
      <c r="O23" s="33">
        <f ca="1">IF('SVS GrundRG'!H61="",0,'SVS GrundRG'!H61)</f>
        <v>0</v>
      </c>
      <c r="P23" s="33">
        <f t="shared" si="2"/>
        <v>0</v>
      </c>
      <c r="Q23" s="33">
        <f t="shared" si="3"/>
        <v>0</v>
      </c>
      <c r="R23" s="33">
        <f t="shared" si="4"/>
        <v>0</v>
      </c>
      <c r="S23" s="3" t="str">
        <f t="shared" si="5"/>
        <v>Leistungswert eintragen</v>
      </c>
      <c r="U23" s="3">
        <f t="shared" si="6"/>
        <v>15</v>
      </c>
      <c r="V23" s="3">
        <f t="shared" si="7"/>
        <v>4.5</v>
      </c>
      <c r="W23" s="3">
        <f t="shared" si="8"/>
        <v>19.5</v>
      </c>
      <c r="X23" s="3" t="str">
        <f t="shared" si="9"/>
        <v/>
      </c>
    </row>
    <row r="24" spans="1:24" ht="15" customHeight="1" x14ac:dyDescent="0.2">
      <c r="A24" s="77">
        <v>3</v>
      </c>
      <c r="B24" s="91"/>
      <c r="C24" s="92" t="s">
        <v>276</v>
      </c>
      <c r="D24" s="92">
        <v>2</v>
      </c>
      <c r="E24" s="92" t="s">
        <v>336</v>
      </c>
      <c r="F24" s="92" t="s">
        <v>213</v>
      </c>
      <c r="G24" s="93">
        <v>163.68</v>
      </c>
      <c r="H24" s="93"/>
      <c r="I24" s="93"/>
      <c r="J24" s="77" t="s">
        <v>341</v>
      </c>
      <c r="K24" s="77" t="s">
        <v>142</v>
      </c>
      <c r="L24" s="33">
        <f>VLOOKUP(K24,Reinigungstage!A10:F31,6,FALSE)</f>
        <v>1</v>
      </c>
      <c r="M24" s="33">
        <f t="shared" si="0"/>
        <v>163.68</v>
      </c>
      <c r="N24" s="94">
        <f t="shared" si="1"/>
        <v>0</v>
      </c>
      <c r="O24" s="33">
        <f ca="1">IF('SVS GrundRG'!H61="",0,'SVS GrundRG'!H61)</f>
        <v>0</v>
      </c>
      <c r="P24" s="33">
        <f t="shared" si="2"/>
        <v>0</v>
      </c>
      <c r="Q24" s="33">
        <f t="shared" si="3"/>
        <v>0</v>
      </c>
      <c r="R24" s="33">
        <f t="shared" si="4"/>
        <v>0</v>
      </c>
      <c r="S24" s="3" t="str">
        <f t="shared" si="5"/>
        <v>Leistungswert eintragen</v>
      </c>
      <c r="U24" s="3">
        <f t="shared" si="6"/>
        <v>15</v>
      </c>
      <c r="V24" s="3">
        <f t="shared" si="7"/>
        <v>4.5</v>
      </c>
      <c r="W24" s="3">
        <f t="shared" si="8"/>
        <v>19.5</v>
      </c>
      <c r="X24" s="3" t="str">
        <f t="shared" si="9"/>
        <v/>
      </c>
    </row>
    <row r="25" spans="1:24" ht="15" customHeight="1" x14ac:dyDescent="0.2">
      <c r="A25" s="77">
        <v>4</v>
      </c>
      <c r="B25" s="91"/>
      <c r="C25" s="92" t="s">
        <v>276</v>
      </c>
      <c r="D25" s="92"/>
      <c r="E25" s="92" t="s">
        <v>228</v>
      </c>
      <c r="F25" s="92" t="s">
        <v>335</v>
      </c>
      <c r="G25" s="93">
        <v>5.46</v>
      </c>
      <c r="H25" s="93"/>
      <c r="I25" s="93"/>
      <c r="J25" s="77" t="s">
        <v>331</v>
      </c>
      <c r="K25" s="77" t="s">
        <v>142</v>
      </c>
      <c r="L25" s="33">
        <f>VLOOKUP(K25,Reinigungstage!A10:F31,6,FALSE)</f>
        <v>1</v>
      </c>
      <c r="M25" s="33">
        <f t="shared" si="0"/>
        <v>5.46</v>
      </c>
      <c r="N25" s="94">
        <f t="shared" si="1"/>
        <v>0</v>
      </c>
      <c r="O25" s="33">
        <f ca="1">IF('SVS GrundRG'!H61="",0,'SVS GrundRG'!H61)</f>
        <v>0</v>
      </c>
      <c r="P25" s="33">
        <f t="shared" si="2"/>
        <v>0</v>
      </c>
      <c r="Q25" s="33">
        <f t="shared" si="3"/>
        <v>0</v>
      </c>
      <c r="R25" s="33">
        <f t="shared" si="4"/>
        <v>0</v>
      </c>
      <c r="S25" s="3" t="str">
        <f t="shared" si="5"/>
        <v>Leistungswert eintragen</v>
      </c>
      <c r="U25" s="3">
        <f t="shared" si="6"/>
        <v>10.25</v>
      </c>
      <c r="V25" s="3">
        <f t="shared" si="7"/>
        <v>3.0749999999999997</v>
      </c>
      <c r="W25" s="3">
        <f t="shared" si="8"/>
        <v>13.324999999999999</v>
      </c>
      <c r="X25" s="3" t="str">
        <f t="shared" si="9"/>
        <v/>
      </c>
    </row>
    <row r="26" spans="1:24" ht="15" customHeight="1" x14ac:dyDescent="0.2">
      <c r="A26" s="77">
        <v>5</v>
      </c>
      <c r="B26" s="91"/>
      <c r="C26" s="92" t="s">
        <v>276</v>
      </c>
      <c r="D26" s="92"/>
      <c r="E26" s="92" t="s">
        <v>338</v>
      </c>
      <c r="F26" s="92" t="s">
        <v>210</v>
      </c>
      <c r="G26" s="93">
        <v>25.49</v>
      </c>
      <c r="H26" s="93"/>
      <c r="I26" s="93"/>
      <c r="J26" s="77" t="s">
        <v>333</v>
      </c>
      <c r="K26" s="77" t="s">
        <v>142</v>
      </c>
      <c r="L26" s="33">
        <f>VLOOKUP(K26,Reinigungstage!A10:F31,6,FALSE)</f>
        <v>1</v>
      </c>
      <c r="M26" s="33">
        <f t="shared" si="0"/>
        <v>25.49</v>
      </c>
      <c r="N26" s="94">
        <f t="shared" si="1"/>
        <v>0</v>
      </c>
      <c r="O26" s="33">
        <f ca="1">IF('SVS GrundRG'!H61="",0,'SVS GrundRG'!H61)</f>
        <v>0</v>
      </c>
      <c r="P26" s="33">
        <f t="shared" si="2"/>
        <v>0</v>
      </c>
      <c r="Q26" s="33">
        <f t="shared" si="3"/>
        <v>0</v>
      </c>
      <c r="R26" s="33">
        <f t="shared" si="4"/>
        <v>0</v>
      </c>
      <c r="S26" s="3" t="str">
        <f t="shared" si="5"/>
        <v>Leistungswert eintragen</v>
      </c>
      <c r="U26" s="3">
        <f t="shared" si="6"/>
        <v>15.375</v>
      </c>
      <c r="V26" s="3">
        <f t="shared" si="7"/>
        <v>4.6124999999999998</v>
      </c>
      <c r="W26" s="3">
        <f t="shared" si="8"/>
        <v>19.987500000000001</v>
      </c>
      <c r="X26" s="3" t="str">
        <f t="shared" si="9"/>
        <v/>
      </c>
    </row>
    <row r="27" spans="1:24" ht="15" customHeight="1" x14ac:dyDescent="0.2">
      <c r="A27" s="77">
        <v>6</v>
      </c>
      <c r="B27" s="91"/>
      <c r="C27" s="92" t="s">
        <v>276</v>
      </c>
      <c r="D27" s="92"/>
      <c r="E27" s="92" t="s">
        <v>226</v>
      </c>
      <c r="F27" s="92" t="s">
        <v>335</v>
      </c>
      <c r="G27" s="93">
        <v>5.46</v>
      </c>
      <c r="H27" s="93"/>
      <c r="I27" s="93"/>
      <c r="J27" s="77" t="s">
        <v>331</v>
      </c>
      <c r="K27" s="77" t="s">
        <v>142</v>
      </c>
      <c r="L27" s="33">
        <f>VLOOKUP(K27,Reinigungstage!A10:F31,6,FALSE)</f>
        <v>1</v>
      </c>
      <c r="M27" s="33">
        <f t="shared" si="0"/>
        <v>5.46</v>
      </c>
      <c r="N27" s="94">
        <f t="shared" si="1"/>
        <v>0</v>
      </c>
      <c r="O27" s="33">
        <f ca="1">IF('SVS GrundRG'!H61="",0,'SVS GrundRG'!H61)</f>
        <v>0</v>
      </c>
      <c r="P27" s="33">
        <f t="shared" si="2"/>
        <v>0</v>
      </c>
      <c r="Q27" s="33">
        <f t="shared" si="3"/>
        <v>0</v>
      </c>
      <c r="R27" s="33">
        <f t="shared" si="4"/>
        <v>0</v>
      </c>
      <c r="S27" s="3" t="str">
        <f t="shared" si="5"/>
        <v>Leistungswert eintragen</v>
      </c>
      <c r="U27" s="3">
        <f t="shared" si="6"/>
        <v>10.25</v>
      </c>
      <c r="V27" s="3">
        <f t="shared" si="7"/>
        <v>3.0749999999999997</v>
      </c>
      <c r="W27" s="3">
        <f t="shared" si="8"/>
        <v>13.324999999999999</v>
      </c>
      <c r="X27" s="3" t="str">
        <f t="shared" si="9"/>
        <v/>
      </c>
    </row>
    <row r="28" spans="1:24" ht="15" customHeight="1" x14ac:dyDescent="0.2">
      <c r="A28" s="77">
        <v>7</v>
      </c>
      <c r="B28" s="91"/>
      <c r="C28" s="92" t="s">
        <v>276</v>
      </c>
      <c r="D28" s="92"/>
      <c r="E28" s="92" t="s">
        <v>339</v>
      </c>
      <c r="F28" s="92" t="s">
        <v>213</v>
      </c>
      <c r="G28" s="93">
        <v>11.91</v>
      </c>
      <c r="H28" s="93"/>
      <c r="I28" s="93"/>
      <c r="J28" s="77" t="s">
        <v>329</v>
      </c>
      <c r="K28" s="77" t="s">
        <v>142</v>
      </c>
      <c r="L28" s="33">
        <f>VLOOKUP(K28,Reinigungstage!A10:F31,6,FALSE)</f>
        <v>1</v>
      </c>
      <c r="M28" s="33">
        <f t="shared" si="0"/>
        <v>11.91</v>
      </c>
      <c r="N28" s="94">
        <f t="shared" si="1"/>
        <v>0</v>
      </c>
      <c r="O28" s="33">
        <f ca="1">IF('SVS GrundRG'!H61="",0,'SVS GrundRG'!H61)</f>
        <v>0</v>
      </c>
      <c r="P28" s="33">
        <f t="shared" si="2"/>
        <v>0</v>
      </c>
      <c r="Q28" s="33">
        <f t="shared" si="3"/>
        <v>0</v>
      </c>
      <c r="R28" s="33">
        <f t="shared" si="4"/>
        <v>0</v>
      </c>
      <c r="S28" s="3" t="str">
        <f t="shared" si="5"/>
        <v>Leistungswert eintragen</v>
      </c>
      <c r="U28" s="3">
        <f t="shared" si="6"/>
        <v>16.25</v>
      </c>
      <c r="V28" s="3">
        <f t="shared" si="7"/>
        <v>4.875</v>
      </c>
      <c r="W28" s="3">
        <f t="shared" si="8"/>
        <v>21.125</v>
      </c>
      <c r="X28" s="3" t="str">
        <f t="shared" si="9"/>
        <v/>
      </c>
    </row>
    <row r="29" spans="1:24" ht="15" customHeight="1" x14ac:dyDescent="0.2">
      <c r="A29" s="77">
        <v>8</v>
      </c>
      <c r="B29" s="91"/>
      <c r="C29" s="92" t="s">
        <v>276</v>
      </c>
      <c r="D29" s="92"/>
      <c r="E29" s="92" t="s">
        <v>309</v>
      </c>
      <c r="F29" s="92" t="s">
        <v>335</v>
      </c>
      <c r="G29" s="93">
        <v>7.6</v>
      </c>
      <c r="H29" s="93"/>
      <c r="I29" s="93"/>
      <c r="J29" s="77" t="s">
        <v>331</v>
      </c>
      <c r="K29" s="77" t="s">
        <v>142</v>
      </c>
      <c r="L29" s="33">
        <f>VLOOKUP(K29,Reinigungstage!A10:F31,6,FALSE)</f>
        <v>1</v>
      </c>
      <c r="M29" s="33">
        <f t="shared" si="0"/>
        <v>7.6</v>
      </c>
      <c r="N29" s="94">
        <f t="shared" si="1"/>
        <v>0</v>
      </c>
      <c r="O29" s="33">
        <f ca="1">IF('SVS GrundRG'!H61="",0,'SVS GrundRG'!H61)</f>
        <v>0</v>
      </c>
      <c r="P29" s="33">
        <f t="shared" si="2"/>
        <v>0</v>
      </c>
      <c r="Q29" s="33">
        <f t="shared" si="3"/>
        <v>0</v>
      </c>
      <c r="R29" s="33">
        <f t="shared" si="4"/>
        <v>0</v>
      </c>
      <c r="S29" s="3" t="str">
        <f t="shared" si="5"/>
        <v>Leistungswert eintragen</v>
      </c>
      <c r="U29" s="3">
        <f t="shared" si="6"/>
        <v>10.25</v>
      </c>
      <c r="V29" s="3">
        <f t="shared" si="7"/>
        <v>3.0749999999999997</v>
      </c>
      <c r="W29" s="3">
        <f t="shared" si="8"/>
        <v>13.324999999999999</v>
      </c>
      <c r="X29" s="3" t="str">
        <f t="shared" si="9"/>
        <v/>
      </c>
    </row>
    <row r="30" spans="1:24" ht="15" customHeight="1" x14ac:dyDescent="0.2">
      <c r="A30" s="77">
        <v>9</v>
      </c>
      <c r="B30" s="91"/>
      <c r="C30" s="92" t="s">
        <v>276</v>
      </c>
      <c r="D30" s="92"/>
      <c r="E30" s="92" t="s">
        <v>340</v>
      </c>
      <c r="F30" s="92" t="s">
        <v>210</v>
      </c>
      <c r="G30" s="93">
        <v>8.4600000000000009</v>
      </c>
      <c r="H30" s="93"/>
      <c r="I30" s="93"/>
      <c r="J30" s="77" t="s">
        <v>329</v>
      </c>
      <c r="K30" s="77" t="s">
        <v>142</v>
      </c>
      <c r="L30" s="33">
        <f>VLOOKUP(K30,Reinigungstage!A10:F31,6,FALSE)</f>
        <v>1</v>
      </c>
      <c r="M30" s="33">
        <f t="shared" si="0"/>
        <v>8.4600000000000009</v>
      </c>
      <c r="N30" s="94">
        <f t="shared" si="1"/>
        <v>0</v>
      </c>
      <c r="O30" s="33">
        <f ca="1">IF('SVS GrundRG'!H61="",0,'SVS GrundRG'!H61)</f>
        <v>0</v>
      </c>
      <c r="P30" s="33">
        <f t="shared" si="2"/>
        <v>0</v>
      </c>
      <c r="Q30" s="33">
        <f t="shared" si="3"/>
        <v>0</v>
      </c>
      <c r="R30" s="33">
        <f t="shared" si="4"/>
        <v>0</v>
      </c>
      <c r="S30" s="3" t="str">
        <f t="shared" si="5"/>
        <v>Leistungswert eintragen</v>
      </c>
      <c r="U30" s="3">
        <f t="shared" si="6"/>
        <v>16.25</v>
      </c>
      <c r="V30" s="3">
        <f t="shared" si="7"/>
        <v>4.875</v>
      </c>
      <c r="W30" s="3">
        <f t="shared" si="8"/>
        <v>21.125</v>
      </c>
      <c r="X30" s="3" t="str">
        <f t="shared" si="9"/>
        <v/>
      </c>
    </row>
  </sheetData>
  <sheetProtection algorithmName="SHA-512" hashValue="gmCD4L1i9LrGjQLOoJQnKYVI7tWniLA+g9jEZkC2EW5mpxwMTVzIRcuptSzsD4XvJl796lXtWEKyIxmFnsKzKw==" saltValue="xPRUZOx/BJQLc2qK2qaZ+g==" spinCount="100000" sheet="1" objects="1" scenarios="1"/>
  <sortState xmlns:xlrd2="http://schemas.microsoft.com/office/spreadsheetml/2017/richdata2" ref="U4:U8">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4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41" priority="5" operator="containsText" text="Bitte prüfen Sie diese.">
      <formula>NOT(ISERROR(SEARCH("Bitte prüfen Sie diese.",L9)))</formula>
    </cfRule>
  </conditionalFormatting>
  <conditionalFormatting sqref="L10">
    <cfRule type="containsText" dxfId="4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39" priority="3" operator="containsText" text="lediglich Fehleingaben vermeiden wollen.">
      <formula>NOT(ISERROR(SEARCH("lediglich Fehleingaben vermeiden wollen.",L11)))</formula>
    </cfRule>
  </conditionalFormatting>
  <conditionalFormatting sqref="M11">
    <cfRule type="containsText" dxfId="3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37" priority="7" operator="containsText" text="für die Objektart prüfen.">
      <formula>NOT(ISERROR(SEARCH("für die Objektart prüfen.",M12)))</formula>
    </cfRule>
  </conditionalFormatting>
  <conditionalFormatting sqref="N13">
    <cfRule type="expression" dxfId="36" priority="2" stopIfTrue="1">
      <formula>N13=0</formula>
    </cfRule>
  </conditionalFormatting>
  <conditionalFormatting sqref="N14">
    <cfRule type="expression" dxfId="35" priority="1">
      <formula>N14=0</formula>
    </cfRule>
  </conditionalFormatting>
  <conditionalFormatting sqref="N22:N30">
    <cfRule type="expression" dxfId="34" priority="11">
      <formula>X22=0</formula>
    </cfRule>
    <cfRule type="expression" dxfId="33" priority="12" stopIfTrue="1">
      <formula>X22=1</formula>
    </cfRule>
  </conditionalFormatting>
  <conditionalFormatting sqref="O13">
    <cfRule type="containsText" dxfId="3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1" priority="9" operator="containsText" text="Wert(e) prüfen.">
      <formula>NOT(ISERROR(SEARCH("Wert(e) prüfen.",O14)))</formula>
    </cfRule>
  </conditionalFormatting>
  <conditionalFormatting sqref="S22:S30">
    <cfRule type="containsText" dxfId="30" priority="13" stopIfTrue="1" operator="containsText" text="SVS prüfen">
      <formula>NOT(ISERROR(SEARCH("SVS prüfen",S22)))</formula>
    </cfRule>
    <cfRule type="containsText" dxfId="29" priority="14" stopIfTrue="1" operator="containsText" text="Leistungswert eintragen">
      <formula>NOT(ISERROR(SEARCH("Leistungswert eintragen",S22)))</formula>
    </cfRule>
  </conditionalFormatting>
  <hyperlinks>
    <hyperlink ref="M1" location="Inhaltsverzeichnis!A1" display="Zurück zum Inhaltsverzeichnis" xr:uid="{A06E4A1F-432A-467B-9F93-A8F438E53DE6}"/>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JC Leo Treff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0594"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0595"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0596"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11FD1-1E5C-4431-A677-E17BC1E933D2}">
  <sheetPr codeName="Tabelle33">
    <tabColor indexed="40"/>
  </sheetPr>
  <dimension ref="A1:V3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33" t="s">
        <v>150</v>
      </c>
      <c r="B2" s="134"/>
      <c r="C2" s="134"/>
      <c r="D2" s="134" t="b">
        <v>0</v>
      </c>
      <c r="E2" s="135"/>
      <c r="G2" s="136" t="s">
        <v>163</v>
      </c>
      <c r="H2" s="136" t="s">
        <v>155</v>
      </c>
      <c r="I2" s="136" t="s">
        <v>156</v>
      </c>
      <c r="J2" s="136" t="s">
        <v>175</v>
      </c>
      <c r="M2" s="20"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1" customHeight="1" x14ac:dyDescent="0.2">
      <c r="A3" s="78" t="s">
        <v>151</v>
      </c>
      <c r="B3" s="79"/>
      <c r="C3" s="79"/>
      <c r="D3" s="79"/>
      <c r="E3" s="80"/>
      <c r="G3" s="137"/>
      <c r="H3" s="137" t="b">
        <v>0</v>
      </c>
      <c r="I3" s="137"/>
      <c r="J3" s="137"/>
      <c r="M3" s="20" t="b">
        <v>0</v>
      </c>
      <c r="N3" s="108"/>
      <c r="O3" s="108"/>
      <c r="P3" s="108"/>
      <c r="Q3" s="108"/>
    </row>
    <row r="4" spans="1:22" ht="15" customHeight="1" x14ac:dyDescent="0.2">
      <c r="A4" s="131" t="s">
        <v>91</v>
      </c>
      <c r="B4" s="141" t="str">
        <f>IF(Inhaltsverzeichnis!C3="","",Inhaltsverzeichnis!C3)</f>
        <v/>
      </c>
      <c r="C4" s="142"/>
      <c r="D4" s="142"/>
      <c r="E4" s="143"/>
      <c r="G4" s="77" t="s">
        <v>232</v>
      </c>
      <c r="H4" s="81"/>
      <c r="I4" s="82">
        <f ca="1">SUMIF('Kal Unter Luther SH'!J22:M35,$G$4,'Kal Unter Luther SH'!M22:M35)</f>
        <v>779.1</v>
      </c>
      <c r="J4" s="54">
        <f>COUNTIFS('Kal Unter Luther SH'!J22:M35,$G$4)</f>
        <v>1</v>
      </c>
      <c r="M4" s="20" t="b">
        <v>0</v>
      </c>
      <c r="N4" s="108"/>
      <c r="O4" s="108"/>
      <c r="P4" s="108"/>
      <c r="Q4" s="108"/>
      <c r="U4" s="77" t="s">
        <v>232</v>
      </c>
      <c r="V4" s="3">
        <v>168.75</v>
      </c>
    </row>
    <row r="5" spans="1:22" ht="15" customHeight="1" x14ac:dyDescent="0.2">
      <c r="A5" s="132"/>
      <c r="B5" s="144"/>
      <c r="C5" s="145"/>
      <c r="D5" s="145"/>
      <c r="E5" s="146"/>
      <c r="G5" s="77" t="s">
        <v>331</v>
      </c>
      <c r="H5" s="81"/>
      <c r="I5" s="82">
        <f ca="1">SUMIF('Kal Unter Luther SH'!J22:M35,$G$5,'Kal Unter Luther SH'!M22:M35)</f>
        <v>4179.24</v>
      </c>
      <c r="J5" s="54">
        <f>COUNTIFS('Kal Unter Luther SH'!J22:M35,$G$5)</f>
        <v>3</v>
      </c>
      <c r="M5" s="20" t="b">
        <v>0</v>
      </c>
      <c r="N5" s="108"/>
      <c r="O5" s="108"/>
      <c r="P5" s="108"/>
      <c r="Q5" s="108"/>
      <c r="U5" s="77" t="s">
        <v>331</v>
      </c>
      <c r="V5" s="3">
        <v>63.75</v>
      </c>
    </row>
    <row r="6" spans="1:22" ht="15" customHeight="1" x14ac:dyDescent="0.2">
      <c r="A6" s="83" t="s">
        <v>173</v>
      </c>
      <c r="B6" s="147" t="s">
        <v>191</v>
      </c>
      <c r="C6" s="148"/>
      <c r="D6" s="148"/>
      <c r="E6" s="149"/>
      <c r="G6" s="77" t="s">
        <v>366</v>
      </c>
      <c r="H6" s="81"/>
      <c r="I6" s="82">
        <f ca="1">SUMIF('Kal Unter Luther SH'!J22:M35,$G$6,'Kal Unter Luther SH'!M22:M35)</f>
        <v>62086.879999999997</v>
      </c>
      <c r="J6" s="54">
        <f>COUNTIFS('Kal Unter Luther SH'!J22:M35,$G$6)</f>
        <v>3</v>
      </c>
      <c r="U6" s="77" t="s">
        <v>366</v>
      </c>
      <c r="V6" s="3">
        <v>300</v>
      </c>
    </row>
    <row r="7" spans="1:22" ht="15" customHeight="1" x14ac:dyDescent="0.2">
      <c r="A7" s="84" t="s">
        <v>171</v>
      </c>
      <c r="B7" s="150" t="s">
        <v>201</v>
      </c>
      <c r="C7" s="148"/>
      <c r="D7" s="148"/>
      <c r="E7" s="149"/>
      <c r="G7" s="77" t="s">
        <v>332</v>
      </c>
      <c r="H7" s="81"/>
      <c r="I7" s="82">
        <f ca="1">SUMIF('Kal Unter Luther SH'!J22:M35,$G$7,'Kal Unter Luther SH'!M22:M35)</f>
        <v>166.65</v>
      </c>
      <c r="J7" s="54">
        <f>COUNTIFS('Kal Unter Luther SH'!J22:M35,$G$7)</f>
        <v>3</v>
      </c>
      <c r="U7" s="77" t="s">
        <v>332</v>
      </c>
      <c r="V7" s="3">
        <v>262.5</v>
      </c>
    </row>
    <row r="8" spans="1:22" ht="15" customHeight="1" x14ac:dyDescent="0.2">
      <c r="A8" s="84" t="s">
        <v>172</v>
      </c>
      <c r="B8" s="147" t="s">
        <v>202</v>
      </c>
      <c r="C8" s="148"/>
      <c r="D8" s="148"/>
      <c r="E8" s="149"/>
      <c r="G8" s="77" t="s">
        <v>352</v>
      </c>
      <c r="H8" s="81"/>
      <c r="I8" s="82">
        <f ca="1">SUMIF('Kal Unter Luther SH'!J22:M35,$G$8,'Kal Unter Luther SH'!M22:M35)</f>
        <v>8008.13</v>
      </c>
      <c r="J8" s="54">
        <f>COUNTIFS('Kal Unter Luther SH'!J22:M35,$G$8)</f>
        <v>2</v>
      </c>
      <c r="U8" s="77" t="s">
        <v>352</v>
      </c>
      <c r="V8" s="3">
        <v>175</v>
      </c>
    </row>
    <row r="9" spans="1:22" ht="15" customHeight="1" x14ac:dyDescent="0.2">
      <c r="A9" s="83" t="s">
        <v>170</v>
      </c>
      <c r="B9" s="151" t="s">
        <v>200</v>
      </c>
      <c r="C9" s="148"/>
      <c r="D9" s="148"/>
      <c r="E9" s="149"/>
      <c r="G9" s="77" t="s">
        <v>329</v>
      </c>
      <c r="H9" s="81"/>
      <c r="I9" s="82">
        <f ca="1">SUMIF('Kal Unter Luther SH'!J22:M35,$G$9,'Kal Unter Luther SH'!M22:M35)</f>
        <v>5563.13</v>
      </c>
      <c r="J9" s="54">
        <f>COUNTIFS('Kal Unter Luther SH'!J22:M35,$G$9)</f>
        <v>2</v>
      </c>
      <c r="U9" s="77" t="s">
        <v>329</v>
      </c>
      <c r="V9" s="3">
        <v>300</v>
      </c>
    </row>
    <row r="10" spans="1:22" ht="15" customHeight="1" x14ac:dyDescent="0.2">
      <c r="A10" s="84" t="s">
        <v>152</v>
      </c>
      <c r="B10" s="147" t="s">
        <v>203</v>
      </c>
      <c r="C10" s="148"/>
      <c r="D10" s="148"/>
      <c r="E10" s="149"/>
    </row>
    <row r="11" spans="1:22" ht="15" customHeight="1" x14ac:dyDescent="0.2">
      <c r="A11" s="84" t="s">
        <v>153</v>
      </c>
      <c r="B11" s="152" t="s">
        <v>195</v>
      </c>
      <c r="C11" s="148"/>
      <c r="D11" s="148"/>
      <c r="E11" s="149"/>
      <c r="M11" s="3" t="str">
        <f>IF(N13&gt;0,"Bitte die Leistungswerte im Leistungsverzeichnis/ Tabellenblatt Leistungsrichtwerte","")</f>
        <v/>
      </c>
    </row>
    <row r="12" spans="1:22" ht="15" customHeight="1" x14ac:dyDescent="0.2">
      <c r="A12" s="84" t="s">
        <v>154</v>
      </c>
      <c r="B12" s="147" t="s">
        <v>196</v>
      </c>
      <c r="C12" s="148"/>
      <c r="D12" s="148"/>
      <c r="E12" s="149"/>
      <c r="M12" s="3" t="str">
        <f>IF(N13&gt;0,"für die Objektart prüfen.","")</f>
        <v/>
      </c>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c r="N13" s="85">
        <f>COUNTIF(V22:V$35,1)</f>
        <v>0</v>
      </c>
      <c r="O13" s="3" t="str">
        <f>IF(N13&gt;0,"Wert(e) überschritten, bitte mit dem Angebot plausibel darlegen.","")</f>
        <v/>
      </c>
    </row>
    <row r="14" spans="1:22" ht="15" customHeight="1" x14ac:dyDescent="0.2">
      <c r="N14" s="86">
        <f>COUNTIF(V22:V$35,0)</f>
        <v>14</v>
      </c>
      <c r="O14" s="3" t="str">
        <f>IF(N14&gt;0,"Wert(e) korrekt","")</f>
        <v>Wert(e) korrekt</v>
      </c>
      <c r="T14" s="87">
        <f>IF(COUNTA($T$22:$T$35)-COUNTBLANK($T$22:$T$35)=0,"",COUNTA($T$22:$T$35)-COUNTBLANK($T$22:$T$35))</f>
        <v>12</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8" t="s">
        <v>118</v>
      </c>
      <c r="B21" s="12"/>
      <c r="C21" s="12"/>
      <c r="D21" s="12"/>
      <c r="E21" s="12"/>
      <c r="F21" s="12"/>
      <c r="G21" s="89">
        <f>SUM($G$22:$G$35)</f>
        <v>464</v>
      </c>
      <c r="H21" s="89">
        <f>SUM($H$22:$H$35)</f>
        <v>0</v>
      </c>
      <c r="I21" s="89">
        <f>SUM($I$22:$I$35)</f>
        <v>0</v>
      </c>
      <c r="J21" s="33"/>
      <c r="K21" s="33"/>
      <c r="L21" s="90">
        <f>MAX(L22:L35)</f>
        <v>187.5</v>
      </c>
      <c r="M21" s="89">
        <f>SUM($M$22:$M$35)</f>
        <v>80783.13</v>
      </c>
      <c r="N21" s="33"/>
      <c r="O21" s="33"/>
      <c r="P21" s="89">
        <f>SUM($P$22:$P$35)</f>
        <v>0</v>
      </c>
      <c r="Q21" s="89">
        <f ca="1">SUM($Q$22:$Q$35)</f>
        <v>0</v>
      </c>
      <c r="R21" s="89">
        <f>ROUND(IF(L21=0,0,P21/L21),2)</f>
        <v>0</v>
      </c>
      <c r="S21" s="89">
        <f ca="1">ROUND(IF(L21=0,0,Q21/L21),2)</f>
        <v>0</v>
      </c>
    </row>
    <row r="22" spans="1:22" ht="15" customHeight="1" x14ac:dyDescent="0.2">
      <c r="A22" s="77">
        <v>1</v>
      </c>
      <c r="B22" s="91" t="s">
        <v>342</v>
      </c>
      <c r="C22" s="92" t="s">
        <v>276</v>
      </c>
      <c r="D22" s="92"/>
      <c r="E22" s="92" t="s">
        <v>343</v>
      </c>
      <c r="F22" s="92" t="s">
        <v>213</v>
      </c>
      <c r="G22" s="93">
        <v>271.99</v>
      </c>
      <c r="H22" s="93"/>
      <c r="I22" s="93"/>
      <c r="J22" s="77" t="s">
        <v>366</v>
      </c>
      <c r="K22" s="93">
        <v>5</v>
      </c>
      <c r="L22" s="33">
        <f>VLOOKUP(K22,Reinigungstage!A10:D31,4,FALSE)</f>
        <v>187.5</v>
      </c>
      <c r="M22" s="33">
        <f t="shared" ref="M22:M35" si="0">ROUND(IF(L22=0,0,L22*G22),2)</f>
        <v>50998.13</v>
      </c>
      <c r="N22" s="94">
        <f t="shared" ref="N22:N35" si="1">VLOOKUP(J22,$G$4:$H$9,2,FALSE)</f>
        <v>0</v>
      </c>
      <c r="O22" s="33">
        <f ca="1">IF('SVS UnterhaltsRG'!H61="",0,'SVS UnterhaltsRG'!H61)</f>
        <v>0</v>
      </c>
      <c r="P22" s="33">
        <f t="shared" ref="P22:P35" si="2">ROUND(IF(N22=0,0,M22/N22),2)</f>
        <v>0</v>
      </c>
      <c r="Q22" s="33">
        <f t="shared" ref="Q22:Q35" ca="1" si="3">IF(M22=0,0,IF(O22="",0,ROUND(P22*O22,2)))</f>
        <v>0</v>
      </c>
      <c r="R22" s="33">
        <f t="shared" ref="R22:R35" si="4">ROUND(IF(P22=0,0,P22/L22),2)</f>
        <v>0</v>
      </c>
      <c r="S22" s="33">
        <f t="shared" ref="S22:S35" ca="1" si="5">ROUND(IF(Q22=0,0,Q22/L22),2)</f>
        <v>0</v>
      </c>
      <c r="T22" s="3" t="str">
        <f t="shared" ref="T22:T35" si="6">IF(M22=0,"",IF(N22=0,"Leistungswert eintragen",IF(O22=0,"SVS prüfen","")))</f>
        <v>Leistungswert eintragen</v>
      </c>
      <c r="U22" s="3">
        <f t="shared" ref="U22:U35" si="7">VLOOKUP(J22,$U$4:$V$9,2,FALSE)</f>
        <v>300</v>
      </c>
      <c r="V22" s="3">
        <f t="shared" ref="V22:V35" si="8">IF(M22=0,0,IF(U22&lt;N22,1,IF(U22&gt;=N22,0,"")))</f>
        <v>0</v>
      </c>
    </row>
    <row r="23" spans="1:22" ht="15" customHeight="1" x14ac:dyDescent="0.2">
      <c r="A23" s="77">
        <v>2</v>
      </c>
      <c r="B23" s="91" t="s">
        <v>344</v>
      </c>
      <c r="C23" s="92" t="s">
        <v>276</v>
      </c>
      <c r="D23" s="92"/>
      <c r="E23" s="92" t="s">
        <v>345</v>
      </c>
      <c r="F23" s="92" t="s">
        <v>213</v>
      </c>
      <c r="G23" s="93">
        <v>22.86</v>
      </c>
      <c r="H23" s="93"/>
      <c r="I23" s="93"/>
      <c r="J23" s="77" t="s">
        <v>366</v>
      </c>
      <c r="K23" s="93">
        <v>5</v>
      </c>
      <c r="L23" s="33">
        <f>VLOOKUP(K23,Reinigungstage!A10:D31,4,FALSE)</f>
        <v>187.5</v>
      </c>
      <c r="M23" s="33">
        <f t="shared" si="0"/>
        <v>4286.25</v>
      </c>
      <c r="N23" s="94">
        <f t="shared" si="1"/>
        <v>0</v>
      </c>
      <c r="O23" s="33">
        <f ca="1">IF('SVS UnterhaltsRG'!H61="",0,'SVS UnterhaltsRG'!H61)</f>
        <v>0</v>
      </c>
      <c r="P23" s="33">
        <f t="shared" si="2"/>
        <v>0</v>
      </c>
      <c r="Q23" s="33">
        <f t="shared" ca="1" si="3"/>
        <v>0</v>
      </c>
      <c r="R23" s="33">
        <f t="shared" si="4"/>
        <v>0</v>
      </c>
      <c r="S23" s="33">
        <f t="shared" ca="1" si="5"/>
        <v>0</v>
      </c>
      <c r="T23" s="3" t="str">
        <f t="shared" si="6"/>
        <v>Leistungswert eintragen</v>
      </c>
      <c r="U23" s="3">
        <f t="shared" si="7"/>
        <v>300</v>
      </c>
      <c r="V23" s="3">
        <f t="shared" si="8"/>
        <v>0</v>
      </c>
    </row>
    <row r="24" spans="1:22" ht="15" customHeight="1" x14ac:dyDescent="0.2">
      <c r="A24" s="77">
        <v>3</v>
      </c>
      <c r="B24" s="91" t="s">
        <v>346</v>
      </c>
      <c r="C24" s="92" t="s">
        <v>276</v>
      </c>
      <c r="D24" s="92"/>
      <c r="E24" s="92" t="s">
        <v>345</v>
      </c>
      <c r="F24" s="92" t="s">
        <v>213</v>
      </c>
      <c r="G24" s="93">
        <v>36.28</v>
      </c>
      <c r="H24" s="93"/>
      <c r="I24" s="93"/>
      <c r="J24" s="77" t="s">
        <v>366</v>
      </c>
      <c r="K24" s="93">
        <v>5</v>
      </c>
      <c r="L24" s="33">
        <f>VLOOKUP(K24,Reinigungstage!A10:D31,4,FALSE)</f>
        <v>187.5</v>
      </c>
      <c r="M24" s="33">
        <f t="shared" si="0"/>
        <v>6802.5</v>
      </c>
      <c r="N24" s="94">
        <f t="shared" si="1"/>
        <v>0</v>
      </c>
      <c r="O24" s="33">
        <f ca="1">IF('SVS UnterhaltsRG'!H61="",0,'SVS UnterhaltsRG'!H61)</f>
        <v>0</v>
      </c>
      <c r="P24" s="33">
        <f t="shared" si="2"/>
        <v>0</v>
      </c>
      <c r="Q24" s="33">
        <f t="shared" ca="1" si="3"/>
        <v>0</v>
      </c>
      <c r="R24" s="33">
        <f t="shared" si="4"/>
        <v>0</v>
      </c>
      <c r="S24" s="33">
        <f t="shared" ca="1" si="5"/>
        <v>0</v>
      </c>
      <c r="T24" s="3" t="str">
        <f t="shared" si="6"/>
        <v>Leistungswert eintragen</v>
      </c>
      <c r="U24" s="3">
        <f t="shared" si="7"/>
        <v>300</v>
      </c>
      <c r="V24" s="3">
        <f t="shared" si="8"/>
        <v>0</v>
      </c>
    </row>
    <row r="25" spans="1:22" ht="15" customHeight="1" x14ac:dyDescent="0.2">
      <c r="A25" s="77">
        <v>4</v>
      </c>
      <c r="B25" s="91" t="s">
        <v>347</v>
      </c>
      <c r="C25" s="92" t="s">
        <v>276</v>
      </c>
      <c r="D25" s="92"/>
      <c r="E25" s="92" t="s">
        <v>334</v>
      </c>
      <c r="F25" s="92" t="s">
        <v>210</v>
      </c>
      <c r="G25" s="93">
        <v>7.17</v>
      </c>
      <c r="H25" s="93"/>
      <c r="I25" s="93"/>
      <c r="J25" s="77" t="s">
        <v>331</v>
      </c>
      <c r="K25" s="93">
        <v>2</v>
      </c>
      <c r="L25" s="33">
        <f>VLOOKUP(K25,Reinigungstage!A10:D31,4,FALSE)</f>
        <v>77.91</v>
      </c>
      <c r="M25" s="33">
        <f t="shared" si="0"/>
        <v>558.61</v>
      </c>
      <c r="N25" s="94">
        <f t="shared" si="1"/>
        <v>0</v>
      </c>
      <c r="O25" s="33">
        <f ca="1">IF('SVS UnterhaltsRG'!H61="",0,'SVS UnterhaltsRG'!H61)</f>
        <v>0</v>
      </c>
      <c r="P25" s="33">
        <f t="shared" si="2"/>
        <v>0</v>
      </c>
      <c r="Q25" s="33">
        <f t="shared" ca="1" si="3"/>
        <v>0</v>
      </c>
      <c r="R25" s="33">
        <f t="shared" si="4"/>
        <v>0</v>
      </c>
      <c r="S25" s="33">
        <f t="shared" ca="1" si="5"/>
        <v>0</v>
      </c>
      <c r="T25" s="3" t="str">
        <f t="shared" si="6"/>
        <v>Leistungswert eintragen</v>
      </c>
      <c r="U25" s="3">
        <f t="shared" si="7"/>
        <v>63.75</v>
      </c>
      <c r="V25" s="3">
        <f t="shared" si="8"/>
        <v>0</v>
      </c>
    </row>
    <row r="26" spans="1:22" ht="15" customHeight="1" x14ac:dyDescent="0.2">
      <c r="A26" s="77">
        <v>5</v>
      </c>
      <c r="B26" s="91" t="s">
        <v>348</v>
      </c>
      <c r="C26" s="92" t="s">
        <v>276</v>
      </c>
      <c r="D26" s="92"/>
      <c r="E26" s="92" t="s">
        <v>232</v>
      </c>
      <c r="F26" s="92" t="s">
        <v>213</v>
      </c>
      <c r="G26" s="93">
        <v>10</v>
      </c>
      <c r="H26" s="93"/>
      <c r="I26" s="93"/>
      <c r="J26" s="77" t="s">
        <v>232</v>
      </c>
      <c r="K26" s="93">
        <v>2</v>
      </c>
      <c r="L26" s="33">
        <f>VLOOKUP(K26,Reinigungstage!A10:D31,4,FALSE)</f>
        <v>77.91</v>
      </c>
      <c r="M26" s="33">
        <f t="shared" si="0"/>
        <v>779.1</v>
      </c>
      <c r="N26" s="94">
        <f t="shared" si="1"/>
        <v>0</v>
      </c>
      <c r="O26" s="33">
        <f ca="1">IF('SVS UnterhaltsRG'!H61="",0,'SVS UnterhaltsRG'!H61)</f>
        <v>0</v>
      </c>
      <c r="P26" s="33">
        <f t="shared" si="2"/>
        <v>0</v>
      </c>
      <c r="Q26" s="33">
        <f t="shared" ca="1" si="3"/>
        <v>0</v>
      </c>
      <c r="R26" s="33">
        <f t="shared" si="4"/>
        <v>0</v>
      </c>
      <c r="S26" s="33">
        <f t="shared" ca="1" si="5"/>
        <v>0</v>
      </c>
      <c r="T26" s="3" t="str">
        <f t="shared" si="6"/>
        <v>Leistungswert eintragen</v>
      </c>
      <c r="U26" s="3">
        <f t="shared" si="7"/>
        <v>168.75</v>
      </c>
      <c r="V26" s="3">
        <f t="shared" si="8"/>
        <v>0</v>
      </c>
    </row>
    <row r="27" spans="1:22" ht="15" customHeight="1" x14ac:dyDescent="0.2">
      <c r="A27" s="77">
        <v>6</v>
      </c>
      <c r="B27" s="91" t="s">
        <v>349</v>
      </c>
      <c r="C27" s="92" t="s">
        <v>276</v>
      </c>
      <c r="D27" s="92"/>
      <c r="E27" s="92" t="s">
        <v>223</v>
      </c>
      <c r="F27" s="92" t="s">
        <v>213</v>
      </c>
      <c r="G27" s="93">
        <v>25.3</v>
      </c>
      <c r="H27" s="93"/>
      <c r="I27" s="93"/>
      <c r="J27" s="77" t="s">
        <v>329</v>
      </c>
      <c r="K27" s="93">
        <v>5</v>
      </c>
      <c r="L27" s="33">
        <f>VLOOKUP(K27,Reinigungstage!A10:D31,4,FALSE)</f>
        <v>187.5</v>
      </c>
      <c r="M27" s="33">
        <f t="shared" si="0"/>
        <v>4743.75</v>
      </c>
      <c r="N27" s="94">
        <f t="shared" si="1"/>
        <v>0</v>
      </c>
      <c r="O27" s="33">
        <f ca="1">IF('SVS UnterhaltsRG'!H61="",0,'SVS UnterhaltsRG'!H61)</f>
        <v>0</v>
      </c>
      <c r="P27" s="33">
        <f t="shared" si="2"/>
        <v>0</v>
      </c>
      <c r="Q27" s="33">
        <f t="shared" ca="1" si="3"/>
        <v>0</v>
      </c>
      <c r="R27" s="33">
        <f t="shared" si="4"/>
        <v>0</v>
      </c>
      <c r="S27" s="33">
        <f t="shared" ca="1" si="5"/>
        <v>0</v>
      </c>
      <c r="T27" s="3" t="str">
        <f t="shared" si="6"/>
        <v>Leistungswert eintragen</v>
      </c>
      <c r="U27" s="3">
        <f t="shared" si="7"/>
        <v>300</v>
      </c>
      <c r="V27" s="3">
        <f t="shared" si="8"/>
        <v>0</v>
      </c>
    </row>
    <row r="28" spans="1:22" ht="15" customHeight="1" x14ac:dyDescent="0.2">
      <c r="A28" s="77">
        <v>7</v>
      </c>
      <c r="B28" s="91" t="s">
        <v>350</v>
      </c>
      <c r="C28" s="92" t="s">
        <v>276</v>
      </c>
      <c r="D28" s="92" t="s">
        <v>351</v>
      </c>
      <c r="E28" s="92" t="s">
        <v>352</v>
      </c>
      <c r="F28" s="92" t="s">
        <v>213</v>
      </c>
      <c r="G28" s="93">
        <v>18.940000000000001</v>
      </c>
      <c r="H28" s="93"/>
      <c r="I28" s="93"/>
      <c r="J28" s="77" t="s">
        <v>352</v>
      </c>
      <c r="K28" s="93">
        <v>5</v>
      </c>
      <c r="L28" s="33">
        <f>VLOOKUP(K28,Reinigungstage!A10:D31,4,FALSE)</f>
        <v>187.5</v>
      </c>
      <c r="M28" s="33">
        <f t="shared" si="0"/>
        <v>3551.25</v>
      </c>
      <c r="N28" s="94">
        <f t="shared" si="1"/>
        <v>0</v>
      </c>
      <c r="O28" s="33">
        <f ca="1">IF('SVS UnterhaltsRG'!H61="",0,'SVS UnterhaltsRG'!H61)</f>
        <v>0</v>
      </c>
      <c r="P28" s="33">
        <f t="shared" si="2"/>
        <v>0</v>
      </c>
      <c r="Q28" s="33">
        <f t="shared" ca="1" si="3"/>
        <v>0</v>
      </c>
      <c r="R28" s="33">
        <f t="shared" si="4"/>
        <v>0</v>
      </c>
      <c r="S28" s="33">
        <f t="shared" ca="1" si="5"/>
        <v>0</v>
      </c>
      <c r="T28" s="3" t="str">
        <f t="shared" si="6"/>
        <v>Leistungswert eintragen</v>
      </c>
      <c r="U28" s="3">
        <f t="shared" si="7"/>
        <v>175</v>
      </c>
      <c r="V28" s="3">
        <f t="shared" si="8"/>
        <v>0</v>
      </c>
    </row>
    <row r="29" spans="1:22" ht="15" customHeight="1" x14ac:dyDescent="0.2">
      <c r="A29" s="77">
        <v>8</v>
      </c>
      <c r="B29" s="91" t="s">
        <v>353</v>
      </c>
      <c r="C29" s="92" t="s">
        <v>276</v>
      </c>
      <c r="D29" s="92" t="s">
        <v>354</v>
      </c>
      <c r="E29" s="92" t="s">
        <v>352</v>
      </c>
      <c r="F29" s="92" t="s">
        <v>213</v>
      </c>
      <c r="G29" s="93">
        <v>23.77</v>
      </c>
      <c r="H29" s="93"/>
      <c r="I29" s="93"/>
      <c r="J29" s="77" t="s">
        <v>352</v>
      </c>
      <c r="K29" s="93">
        <v>5</v>
      </c>
      <c r="L29" s="33">
        <f>VLOOKUP(K29,Reinigungstage!A10:D31,4,FALSE)</f>
        <v>187.5</v>
      </c>
      <c r="M29" s="33">
        <f t="shared" si="0"/>
        <v>4456.88</v>
      </c>
      <c r="N29" s="94">
        <f t="shared" si="1"/>
        <v>0</v>
      </c>
      <c r="O29" s="33">
        <f ca="1">IF('SVS UnterhaltsRG'!H61="",0,'SVS UnterhaltsRG'!H61)</f>
        <v>0</v>
      </c>
      <c r="P29" s="33">
        <f t="shared" si="2"/>
        <v>0</v>
      </c>
      <c r="Q29" s="33">
        <f t="shared" ca="1" si="3"/>
        <v>0</v>
      </c>
      <c r="R29" s="33">
        <f t="shared" si="4"/>
        <v>0</v>
      </c>
      <c r="S29" s="33">
        <f t="shared" ca="1" si="5"/>
        <v>0</v>
      </c>
      <c r="T29" s="3" t="str">
        <f t="shared" si="6"/>
        <v>Leistungswert eintragen</v>
      </c>
      <c r="U29" s="3">
        <f t="shared" si="7"/>
        <v>175</v>
      </c>
      <c r="V29" s="3">
        <f t="shared" si="8"/>
        <v>0</v>
      </c>
    </row>
    <row r="30" spans="1:22" ht="15" customHeight="1" x14ac:dyDescent="0.2">
      <c r="A30" s="77">
        <v>9</v>
      </c>
      <c r="B30" s="91" t="s">
        <v>355</v>
      </c>
      <c r="C30" s="92" t="s">
        <v>276</v>
      </c>
      <c r="D30" s="92"/>
      <c r="E30" s="92" t="s">
        <v>356</v>
      </c>
      <c r="F30" s="92" t="s">
        <v>357</v>
      </c>
      <c r="G30" s="93">
        <v>4.91</v>
      </c>
      <c r="H30" s="93"/>
      <c r="I30" s="93"/>
      <c r="J30" s="77" t="s">
        <v>332</v>
      </c>
      <c r="K30" s="93">
        <v>0</v>
      </c>
      <c r="L30" s="33">
        <f>VLOOKUP(K30,Reinigungstage!A10:D31,4,FALSE)</f>
        <v>0</v>
      </c>
      <c r="M30" s="33">
        <f t="shared" si="0"/>
        <v>0</v>
      </c>
      <c r="N30" s="94">
        <f t="shared" si="1"/>
        <v>0</v>
      </c>
      <c r="O30" s="33">
        <f ca="1">IF('SVS UnterhaltsRG'!H61="",0,'SVS UnterhaltsRG'!H61)</f>
        <v>0</v>
      </c>
      <c r="P30" s="33">
        <f t="shared" si="2"/>
        <v>0</v>
      </c>
      <c r="Q30" s="33">
        <f t="shared" si="3"/>
        <v>0</v>
      </c>
      <c r="R30" s="33">
        <f t="shared" si="4"/>
        <v>0</v>
      </c>
      <c r="S30" s="33">
        <f t="shared" si="5"/>
        <v>0</v>
      </c>
      <c r="T30" s="3" t="str">
        <f t="shared" si="6"/>
        <v/>
      </c>
      <c r="U30" s="3">
        <f t="shared" si="7"/>
        <v>262.5</v>
      </c>
      <c r="V30" s="3">
        <f t="shared" si="8"/>
        <v>0</v>
      </c>
    </row>
    <row r="31" spans="1:22" ht="15" customHeight="1" x14ac:dyDescent="0.2">
      <c r="A31" s="77">
        <v>10</v>
      </c>
      <c r="B31" s="91" t="s">
        <v>358</v>
      </c>
      <c r="C31" s="92" t="s">
        <v>276</v>
      </c>
      <c r="D31" s="92" t="s">
        <v>354</v>
      </c>
      <c r="E31" s="92" t="s">
        <v>359</v>
      </c>
      <c r="F31" s="92" t="s">
        <v>210</v>
      </c>
      <c r="G31" s="93">
        <v>9.14</v>
      </c>
      <c r="H31" s="93"/>
      <c r="I31" s="93"/>
      <c r="J31" s="77" t="s">
        <v>331</v>
      </c>
      <c r="K31" s="93">
        <v>5</v>
      </c>
      <c r="L31" s="33">
        <f>VLOOKUP(K31,Reinigungstage!A10:D31,4,FALSE)</f>
        <v>187.5</v>
      </c>
      <c r="M31" s="33">
        <f t="shared" si="0"/>
        <v>1713.75</v>
      </c>
      <c r="N31" s="94">
        <f t="shared" si="1"/>
        <v>0</v>
      </c>
      <c r="O31" s="33">
        <f ca="1">IF('SVS UnterhaltsRG'!H61="",0,'SVS UnterhaltsRG'!H61)</f>
        <v>0</v>
      </c>
      <c r="P31" s="33">
        <f t="shared" si="2"/>
        <v>0</v>
      </c>
      <c r="Q31" s="33">
        <f t="shared" ca="1" si="3"/>
        <v>0</v>
      </c>
      <c r="R31" s="33">
        <f t="shared" si="4"/>
        <v>0</v>
      </c>
      <c r="S31" s="33">
        <f t="shared" ca="1" si="5"/>
        <v>0</v>
      </c>
      <c r="T31" s="3" t="str">
        <f t="shared" si="6"/>
        <v>Leistungswert eintragen</v>
      </c>
      <c r="U31" s="3">
        <f t="shared" si="7"/>
        <v>63.75</v>
      </c>
      <c r="V31" s="3">
        <f t="shared" si="8"/>
        <v>0</v>
      </c>
    </row>
    <row r="32" spans="1:22" ht="15" customHeight="1" x14ac:dyDescent="0.2">
      <c r="A32" s="77">
        <v>11</v>
      </c>
      <c r="B32" s="91" t="s">
        <v>360</v>
      </c>
      <c r="C32" s="92" t="s">
        <v>276</v>
      </c>
      <c r="D32" s="92"/>
      <c r="E32" s="92" t="s">
        <v>361</v>
      </c>
      <c r="F32" s="92" t="s">
        <v>357</v>
      </c>
      <c r="G32" s="93">
        <v>3.95</v>
      </c>
      <c r="H32" s="93"/>
      <c r="I32" s="93"/>
      <c r="J32" s="77" t="s">
        <v>332</v>
      </c>
      <c r="K32" s="93">
        <v>0</v>
      </c>
      <c r="L32" s="33">
        <f>VLOOKUP(K32,Reinigungstage!A10:D31,4,FALSE)</f>
        <v>0</v>
      </c>
      <c r="M32" s="33">
        <f t="shared" si="0"/>
        <v>0</v>
      </c>
      <c r="N32" s="94">
        <f t="shared" si="1"/>
        <v>0</v>
      </c>
      <c r="O32" s="33">
        <f ca="1">IF('SVS UnterhaltsRG'!H61="",0,'SVS UnterhaltsRG'!H61)</f>
        <v>0</v>
      </c>
      <c r="P32" s="33">
        <f t="shared" si="2"/>
        <v>0</v>
      </c>
      <c r="Q32" s="33">
        <f t="shared" si="3"/>
        <v>0</v>
      </c>
      <c r="R32" s="33">
        <f t="shared" si="4"/>
        <v>0</v>
      </c>
      <c r="S32" s="33">
        <f t="shared" si="5"/>
        <v>0</v>
      </c>
      <c r="T32" s="3" t="str">
        <f t="shared" si="6"/>
        <v/>
      </c>
      <c r="U32" s="3">
        <f t="shared" si="7"/>
        <v>262.5</v>
      </c>
      <c r="V32" s="3">
        <f t="shared" si="8"/>
        <v>0</v>
      </c>
    </row>
    <row r="33" spans="1:22" ht="15" customHeight="1" x14ac:dyDescent="0.2">
      <c r="A33" s="77">
        <v>12</v>
      </c>
      <c r="B33" s="91" t="s">
        <v>362</v>
      </c>
      <c r="C33" s="92" t="s">
        <v>276</v>
      </c>
      <c r="D33" s="92"/>
      <c r="E33" s="92" t="s">
        <v>363</v>
      </c>
      <c r="F33" s="92" t="s">
        <v>213</v>
      </c>
      <c r="G33" s="93">
        <v>15.15</v>
      </c>
      <c r="H33" s="93"/>
      <c r="I33" s="93"/>
      <c r="J33" s="77" t="s">
        <v>332</v>
      </c>
      <c r="K33" s="77" t="s">
        <v>136</v>
      </c>
      <c r="L33" s="33">
        <f>VLOOKUP(K33,Reinigungstage!A10:D31,4,FALSE)</f>
        <v>11</v>
      </c>
      <c r="M33" s="33">
        <f t="shared" si="0"/>
        <v>166.65</v>
      </c>
      <c r="N33" s="94">
        <f t="shared" si="1"/>
        <v>0</v>
      </c>
      <c r="O33" s="33">
        <f ca="1">IF('SVS UnterhaltsRG'!H61="",0,'SVS UnterhaltsRG'!H61)</f>
        <v>0</v>
      </c>
      <c r="P33" s="33">
        <f t="shared" si="2"/>
        <v>0</v>
      </c>
      <c r="Q33" s="33">
        <f t="shared" ca="1" si="3"/>
        <v>0</v>
      </c>
      <c r="R33" s="33">
        <f t="shared" si="4"/>
        <v>0</v>
      </c>
      <c r="S33" s="33">
        <f t="shared" ca="1" si="5"/>
        <v>0</v>
      </c>
      <c r="T33" s="3" t="str">
        <f t="shared" si="6"/>
        <v>Leistungswert eintragen</v>
      </c>
      <c r="U33" s="3">
        <f t="shared" si="7"/>
        <v>262.5</v>
      </c>
      <c r="V33" s="3">
        <f t="shared" si="8"/>
        <v>0</v>
      </c>
    </row>
    <row r="34" spans="1:22" ht="15" customHeight="1" x14ac:dyDescent="0.2">
      <c r="A34" s="77">
        <v>13</v>
      </c>
      <c r="B34" s="91" t="s">
        <v>364</v>
      </c>
      <c r="C34" s="92" t="s">
        <v>276</v>
      </c>
      <c r="D34" s="92" t="s">
        <v>351</v>
      </c>
      <c r="E34" s="92" t="s">
        <v>359</v>
      </c>
      <c r="F34" s="92" t="s">
        <v>210</v>
      </c>
      <c r="G34" s="93">
        <v>10.17</v>
      </c>
      <c r="H34" s="93"/>
      <c r="I34" s="93"/>
      <c r="J34" s="77" t="s">
        <v>331</v>
      </c>
      <c r="K34" s="93">
        <v>5</v>
      </c>
      <c r="L34" s="33">
        <f>VLOOKUP(K34,Reinigungstage!A10:D31,4,FALSE)</f>
        <v>187.5</v>
      </c>
      <c r="M34" s="33">
        <f t="shared" si="0"/>
        <v>1906.88</v>
      </c>
      <c r="N34" s="94">
        <f t="shared" si="1"/>
        <v>0</v>
      </c>
      <c r="O34" s="33">
        <f ca="1">IF('SVS UnterhaltsRG'!H61="",0,'SVS UnterhaltsRG'!H61)</f>
        <v>0</v>
      </c>
      <c r="P34" s="33">
        <f t="shared" si="2"/>
        <v>0</v>
      </c>
      <c r="Q34" s="33">
        <f t="shared" ca="1" si="3"/>
        <v>0</v>
      </c>
      <c r="R34" s="33">
        <f t="shared" si="4"/>
        <v>0</v>
      </c>
      <c r="S34" s="33">
        <f t="shared" ca="1" si="5"/>
        <v>0</v>
      </c>
      <c r="T34" s="3" t="str">
        <f t="shared" si="6"/>
        <v>Leistungswert eintragen</v>
      </c>
      <c r="U34" s="3">
        <f t="shared" si="7"/>
        <v>63.75</v>
      </c>
      <c r="V34" s="3">
        <f t="shared" si="8"/>
        <v>0</v>
      </c>
    </row>
    <row r="35" spans="1:22" ht="15" customHeight="1" x14ac:dyDescent="0.2">
      <c r="A35" s="77">
        <v>14</v>
      </c>
      <c r="B35" s="91" t="s">
        <v>365</v>
      </c>
      <c r="C35" s="92" t="s">
        <v>276</v>
      </c>
      <c r="D35" s="92"/>
      <c r="E35" s="92" t="s">
        <v>340</v>
      </c>
      <c r="F35" s="92" t="s">
        <v>213</v>
      </c>
      <c r="G35" s="93">
        <v>4.37</v>
      </c>
      <c r="H35" s="93"/>
      <c r="I35" s="93"/>
      <c r="J35" s="77" t="s">
        <v>329</v>
      </c>
      <c r="K35" s="93">
        <v>5</v>
      </c>
      <c r="L35" s="33">
        <f>VLOOKUP(K35,Reinigungstage!A10:D31,4,FALSE)</f>
        <v>187.5</v>
      </c>
      <c r="M35" s="33">
        <f t="shared" si="0"/>
        <v>819.38</v>
      </c>
      <c r="N35" s="94">
        <f t="shared" si="1"/>
        <v>0</v>
      </c>
      <c r="O35" s="33">
        <f ca="1">IF('SVS UnterhaltsRG'!H61="",0,'SVS UnterhaltsRG'!H61)</f>
        <v>0</v>
      </c>
      <c r="P35" s="33">
        <f t="shared" si="2"/>
        <v>0</v>
      </c>
      <c r="Q35" s="33">
        <f t="shared" ca="1" si="3"/>
        <v>0</v>
      </c>
      <c r="R35" s="33">
        <f t="shared" si="4"/>
        <v>0</v>
      </c>
      <c r="S35" s="33">
        <f t="shared" ca="1" si="5"/>
        <v>0</v>
      </c>
      <c r="T35" s="3" t="str">
        <f t="shared" si="6"/>
        <v>Leistungswert eintragen</v>
      </c>
      <c r="U35" s="3">
        <f t="shared" si="7"/>
        <v>300</v>
      </c>
      <c r="V35" s="3">
        <f t="shared" si="8"/>
        <v>0</v>
      </c>
    </row>
  </sheetData>
  <sheetProtection algorithmName="SHA-512" hashValue="iBHD35kXdhiAuooOR8xTyUc6pvHjUDy+u920H1tKftC1njRL27LspnpQvVad3F2jpcTd7heFLRQFfzAt/ACsNA==" saltValue="q+Yfa5EFCnsJkFmW65Xs+A==" spinCount="100000" sheet="1" objects="1" scenarios="1"/>
  <sortState xmlns:xlrd2="http://schemas.microsoft.com/office/spreadsheetml/2017/richdata2" ref="U4:U9">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2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7" priority="5" operator="containsText" text="Bitte prüfen Sie diese.">
      <formula>NOT(ISERROR(SEARCH("Bitte prüfen Sie diese.",L9)))</formula>
    </cfRule>
  </conditionalFormatting>
  <conditionalFormatting sqref="L10">
    <cfRule type="containsText" dxfId="2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5" priority="3" operator="containsText" text="lediglich Fehleingaben vermeiden wollen.">
      <formula>NOT(ISERROR(SEARCH("lediglich Fehleingaben vermeiden wollen.",L11)))</formula>
    </cfRule>
  </conditionalFormatting>
  <conditionalFormatting sqref="M11">
    <cfRule type="containsText" dxfId="2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3" priority="7" operator="containsText" text="für die Objektart prüfen.">
      <formula>NOT(ISERROR(SEARCH("für die Objektart prüfen.",M12)))</formula>
    </cfRule>
  </conditionalFormatting>
  <conditionalFormatting sqref="N13">
    <cfRule type="expression" dxfId="22" priority="2" stopIfTrue="1">
      <formula>N13=0</formula>
    </cfRule>
  </conditionalFormatting>
  <conditionalFormatting sqref="N14">
    <cfRule type="expression" dxfId="21" priority="1">
      <formula>N14=0</formula>
    </cfRule>
  </conditionalFormatting>
  <conditionalFormatting sqref="N22:N35">
    <cfRule type="expression" dxfId="20" priority="11">
      <formula>V22=0</formula>
    </cfRule>
    <cfRule type="expression" dxfId="19" priority="12" stopIfTrue="1">
      <formula>V22=1</formula>
    </cfRule>
  </conditionalFormatting>
  <conditionalFormatting sqref="O13">
    <cfRule type="containsText" dxfId="1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7" priority="9" operator="containsText" text="Wert(e) prüfen.">
      <formula>NOT(ISERROR(SEARCH("Wert(e) prüfen.",O14)))</formula>
    </cfRule>
  </conditionalFormatting>
  <conditionalFormatting sqref="T22:T35">
    <cfRule type="containsText" dxfId="16" priority="13" stopIfTrue="1" operator="containsText" text="SVS prüfen">
      <formula>NOT(ISERROR(SEARCH("SVS prüfen",T22)))</formula>
    </cfRule>
    <cfRule type="containsText" dxfId="15" priority="14" stopIfTrue="1" operator="containsText" text="Leistungswert eintragen">
      <formula>NOT(ISERROR(SEARCH("Leistungswert eintragen",T22)))</formula>
    </cfRule>
  </conditionalFormatting>
  <hyperlinks>
    <hyperlink ref="M1" location="Inhaltsverzeichnis!A1" display="Zurück zum Inhaltsverzeichnis" xr:uid="{1E0CF458-B583-4209-A470-D73048E04EF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Luther SH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8546"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8547"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8548"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4D79-17D3-4EC9-B02E-13CDAA2A938A}">
  <sheetPr codeName="Tabelle36">
    <tabColor indexed="40"/>
  </sheetPr>
  <dimension ref="A1:X3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33" t="s">
        <v>150</v>
      </c>
      <c r="B2" s="134"/>
      <c r="C2" s="134"/>
      <c r="D2" s="134"/>
      <c r="E2" s="135"/>
      <c r="G2" s="136" t="s">
        <v>163</v>
      </c>
      <c r="H2" s="136" t="s">
        <v>155</v>
      </c>
      <c r="I2" s="136" t="s">
        <v>156</v>
      </c>
      <c r="J2" s="136" t="s">
        <v>175</v>
      </c>
      <c r="M2" s="76"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4" customHeight="1" x14ac:dyDescent="0.2">
      <c r="A3" s="78" t="s">
        <v>158</v>
      </c>
      <c r="B3" s="79"/>
      <c r="C3" s="79"/>
      <c r="D3" s="79"/>
      <c r="E3" s="80"/>
      <c r="G3" s="137"/>
      <c r="H3" s="137"/>
      <c r="I3" s="137"/>
      <c r="J3" s="137"/>
      <c r="M3" s="76" t="b">
        <v>0</v>
      </c>
      <c r="N3" s="108"/>
      <c r="O3" s="108"/>
      <c r="P3" s="108"/>
      <c r="Q3" s="108"/>
    </row>
    <row r="4" spans="1:22" ht="18.600000000000001" customHeight="1" x14ac:dyDescent="0.2">
      <c r="A4" s="131" t="s">
        <v>91</v>
      </c>
      <c r="B4" s="141" t="str">
        <f>IF(Inhaltsverzeichnis!C3="","",Inhaltsverzeichnis!C3)</f>
        <v/>
      </c>
      <c r="C4" s="142"/>
      <c r="D4" s="142"/>
      <c r="E4" s="143"/>
      <c r="G4" s="77" t="s">
        <v>232</v>
      </c>
      <c r="H4" s="81"/>
      <c r="I4" s="82">
        <f ca="1">SUMIF('Kal Grund Luther SH'!J22:M32,$G$4,'Kal Grund Luther SH'!M22:M32)</f>
        <v>10</v>
      </c>
      <c r="J4" s="54">
        <f>COUNTIFS('Kal Grund Luther SH'!J22:M32,$G$4)</f>
        <v>1</v>
      </c>
      <c r="M4" s="76" t="b">
        <v>0</v>
      </c>
      <c r="N4" s="108"/>
      <c r="O4" s="108"/>
      <c r="P4" s="108"/>
      <c r="Q4" s="108"/>
      <c r="U4" s="77" t="s">
        <v>232</v>
      </c>
      <c r="V4" s="3">
        <v>11.5</v>
      </c>
    </row>
    <row r="5" spans="1:22" ht="15" customHeight="1" x14ac:dyDescent="0.2">
      <c r="A5" s="132"/>
      <c r="B5" s="144"/>
      <c r="C5" s="145"/>
      <c r="D5" s="145"/>
      <c r="E5" s="146"/>
      <c r="G5" s="77" t="s">
        <v>331</v>
      </c>
      <c r="H5" s="81"/>
      <c r="I5" s="82">
        <f ca="1">SUMIF('Kal Grund Luther SH'!J22:M32,$G$5,'Kal Grund Luther SH'!M22:M32)</f>
        <v>26.480000000000004</v>
      </c>
      <c r="J5" s="54">
        <f>COUNTIFS('Kal Grund Luther SH'!J22:M32,$G$5)</f>
        <v>3</v>
      </c>
      <c r="M5" s="76" t="b">
        <v>0</v>
      </c>
      <c r="N5" s="108"/>
      <c r="O5" s="108"/>
      <c r="P5" s="108"/>
      <c r="Q5" s="108"/>
      <c r="U5" s="77" t="s">
        <v>331</v>
      </c>
      <c r="V5" s="3">
        <v>6.25</v>
      </c>
    </row>
    <row r="6" spans="1:22" ht="15" customHeight="1" x14ac:dyDescent="0.2">
      <c r="A6" s="83" t="s">
        <v>173</v>
      </c>
      <c r="B6" s="147" t="s">
        <v>191</v>
      </c>
      <c r="C6" s="148"/>
      <c r="D6" s="148"/>
      <c r="E6" s="149"/>
      <c r="G6" s="77" t="s">
        <v>366</v>
      </c>
      <c r="H6" s="81"/>
      <c r="I6" s="82">
        <f ca="1">SUMIF('Kal Grund Luther SH'!J22:M32,$G$6,'Kal Grund Luther SH'!M22:M32)</f>
        <v>331.13</v>
      </c>
      <c r="J6" s="54">
        <f>COUNTIFS('Kal Grund Luther SH'!J22:M32,$G$6)</f>
        <v>3</v>
      </c>
      <c r="U6" s="77" t="s">
        <v>366</v>
      </c>
      <c r="V6" s="3">
        <v>22.125</v>
      </c>
    </row>
    <row r="7" spans="1:22" ht="15" customHeight="1" x14ac:dyDescent="0.2">
      <c r="A7" s="84" t="s">
        <v>171</v>
      </c>
      <c r="B7" s="150" t="s">
        <v>201</v>
      </c>
      <c r="C7" s="148"/>
      <c r="D7" s="148"/>
      <c r="E7" s="149"/>
      <c r="G7" s="77" t="s">
        <v>352</v>
      </c>
      <c r="H7" s="81"/>
      <c r="I7" s="82">
        <f ca="1">SUMIF('Kal Grund Luther SH'!J22:M32,$G$7,'Kal Grund Luther SH'!M22:M32)</f>
        <v>42.71</v>
      </c>
      <c r="J7" s="54">
        <f>COUNTIFS('Kal Grund Luther SH'!J22:M32,$G$7)</f>
        <v>2</v>
      </c>
      <c r="U7" s="77" t="s">
        <v>332</v>
      </c>
      <c r="V7" s="3">
        <v>18.5</v>
      </c>
    </row>
    <row r="8" spans="1:22" ht="15" customHeight="1" x14ac:dyDescent="0.2">
      <c r="A8" s="84" t="s">
        <v>172</v>
      </c>
      <c r="B8" s="147" t="s">
        <v>202</v>
      </c>
      <c r="C8" s="148"/>
      <c r="D8" s="148"/>
      <c r="E8" s="149"/>
      <c r="G8" s="77" t="s">
        <v>329</v>
      </c>
      <c r="H8" s="81"/>
      <c r="I8" s="82">
        <f ca="1">SUMIF('Kal Grund Luther SH'!J22:M32,$G$8,'Kal Grund Luther SH'!M22:M32)</f>
        <v>29.67</v>
      </c>
      <c r="J8" s="54">
        <f>COUNTIFS('Kal Grund Luther SH'!J22:M32,$G$8)</f>
        <v>2</v>
      </c>
      <c r="L8" s="95" t="str">
        <f>IF(N14&gt;0,"Ihre Eintragungen der Leistungswerte liegen weit über den Erfahrungswerten aus der Preisschätzung.","")</f>
        <v/>
      </c>
      <c r="U8" s="77" t="s">
        <v>352</v>
      </c>
      <c r="V8" s="3">
        <v>13.875</v>
      </c>
    </row>
    <row r="9" spans="1:22" ht="15" customHeight="1" x14ac:dyDescent="0.2">
      <c r="A9" s="83" t="s">
        <v>170</v>
      </c>
      <c r="B9" s="151" t="s">
        <v>200</v>
      </c>
      <c r="C9" s="148"/>
      <c r="D9" s="148"/>
      <c r="E9" s="149"/>
      <c r="L9" s="95" t="str">
        <f>IF(N14&gt;0,"Bitte prüfen Sie diese.","")</f>
        <v/>
      </c>
      <c r="U9" s="77" t="s">
        <v>329</v>
      </c>
      <c r="V9" s="3">
        <v>21</v>
      </c>
    </row>
    <row r="10" spans="1:22" ht="15" customHeight="1" x14ac:dyDescent="0.2">
      <c r="A10" s="84" t="s">
        <v>152</v>
      </c>
      <c r="B10" s="147" t="s">
        <v>203</v>
      </c>
      <c r="C10" s="148"/>
      <c r="D10" s="148"/>
      <c r="E10" s="149"/>
      <c r="L10" s="95" t="str">
        <f>IF(N14&gt;0,"Beachten Sie, dass Sie frei in der Kalkulation dieser Leistungswerte sind und wir durch den Hinweis","")</f>
        <v/>
      </c>
    </row>
    <row r="11" spans="1:22" ht="15" customHeight="1" x14ac:dyDescent="0.2">
      <c r="A11" s="84" t="s">
        <v>153</v>
      </c>
      <c r="B11" s="152" t="s">
        <v>195</v>
      </c>
      <c r="C11" s="148"/>
      <c r="D11" s="148"/>
      <c r="E11" s="149"/>
      <c r="L11" s="95" t="str">
        <f>IF(N14&gt;0,"lediglich Fehleingaben vermeiden wollen.","")</f>
        <v/>
      </c>
    </row>
    <row r="12" spans="1:22" ht="15" customHeight="1" x14ac:dyDescent="0.2">
      <c r="A12" s="84" t="s">
        <v>154</v>
      </c>
      <c r="B12" s="147" t="s">
        <v>196</v>
      </c>
      <c r="C12" s="148"/>
      <c r="D12" s="148"/>
      <c r="E12" s="149"/>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row>
    <row r="14" spans="1:22" ht="15" customHeight="1" x14ac:dyDescent="0.2">
      <c r="N14" s="85">
        <f>COUNTIF(X22:X$32,1)</f>
        <v>0</v>
      </c>
      <c r="O14" s="3" t="str">
        <f>IF(N14&gt;0,"Wert(e) prüfen.","")</f>
        <v/>
      </c>
      <c r="S14" s="87">
        <f>IF(COUNTA($S$22:$S$32)-COUNTBLANK($S$22:$S$32)=0,"",COUNTA($S$22:$S$32)-COUNTBLANK($S$22:$S$32))</f>
        <v>11</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88" t="s">
        <v>118</v>
      </c>
      <c r="B21" s="12"/>
      <c r="C21" s="12"/>
      <c r="D21" s="12"/>
      <c r="E21" s="12"/>
      <c r="F21" s="12"/>
      <c r="G21" s="89">
        <f>SUM($G$22:$G$32)</f>
        <v>439.99</v>
      </c>
      <c r="H21" s="89">
        <f>SUM($H$22:$H$32)</f>
        <v>0</v>
      </c>
      <c r="I21" s="89">
        <f>SUM($I$22:$I$32)</f>
        <v>0</v>
      </c>
      <c r="J21" s="33"/>
      <c r="K21" s="33"/>
      <c r="L21" s="90">
        <f>MAX(L22:L32)</f>
        <v>1</v>
      </c>
      <c r="M21" s="89">
        <f>SUM($M$22:$M$32)</f>
        <v>439.99</v>
      </c>
      <c r="N21" s="33"/>
      <c r="O21" s="33"/>
      <c r="P21" s="89">
        <f>SUM($P$22:$P$32)</f>
        <v>0</v>
      </c>
      <c r="Q21" s="89">
        <f>SUM($Q$22:$Q$32)</f>
        <v>0</v>
      </c>
      <c r="R21" s="89">
        <f>ROUND(IF(Q21=0,0,Q21/L21),2)</f>
        <v>0</v>
      </c>
    </row>
    <row r="22" spans="1:24" ht="15" customHeight="1" x14ac:dyDescent="0.2">
      <c r="A22" s="77">
        <v>1</v>
      </c>
      <c r="B22" s="91" t="s">
        <v>342</v>
      </c>
      <c r="C22" s="92" t="s">
        <v>276</v>
      </c>
      <c r="D22" s="92"/>
      <c r="E22" s="92" t="s">
        <v>343</v>
      </c>
      <c r="F22" s="92" t="s">
        <v>213</v>
      </c>
      <c r="G22" s="93">
        <v>271.99</v>
      </c>
      <c r="H22" s="93"/>
      <c r="I22" s="93"/>
      <c r="J22" s="77" t="s">
        <v>366</v>
      </c>
      <c r="K22" s="77" t="s">
        <v>142</v>
      </c>
      <c r="L22" s="33">
        <f>VLOOKUP(K22,Reinigungstage!A10:G31,7,FALSE)</f>
        <v>1</v>
      </c>
      <c r="M22" s="33">
        <f t="shared" ref="M22:M32" si="0">ROUND(IF(L22=0,0,L22*G22),2)</f>
        <v>271.99</v>
      </c>
      <c r="N22" s="94">
        <f t="shared" ref="N22:N32" si="1">VLOOKUP(J22,$G$4:$H$8,2,FALSE)</f>
        <v>0</v>
      </c>
      <c r="O22" s="33">
        <f ca="1">IF('SVS GrundRG'!H61="",0,'SVS GrundRG'!H61)</f>
        <v>0</v>
      </c>
      <c r="P22" s="33">
        <f t="shared" ref="P22:P32" si="2">ROUND(IF(N22=0,0,M22/N22),2)</f>
        <v>0</v>
      </c>
      <c r="Q22" s="33">
        <f t="shared" ref="Q22:Q32" si="3">ROUND(IF(P22=0,0,P22*O22),2)</f>
        <v>0</v>
      </c>
      <c r="R22" s="33">
        <f t="shared" ref="R22:R32" si="4">ROUND(IF(P22=0,0,Q22/L22),2)</f>
        <v>0</v>
      </c>
      <c r="S22" s="3" t="str">
        <f t="shared" ref="S22:S32" si="5">IF(M22=0,"",IF(N22=0,"Leistungswert eintragen",IF(O22=0,"SVS prüfen","")))</f>
        <v>Leistungswert eintragen</v>
      </c>
      <c r="U22" s="3">
        <f t="shared" ref="U22:U32" si="6">VLOOKUP(J22,$U$4:$V$9,2,FALSE)</f>
        <v>22.125</v>
      </c>
      <c r="V22" s="3">
        <f t="shared" ref="V22:V32" si="7">U22*30%</f>
        <v>6.6375000000000002</v>
      </c>
      <c r="W22" s="3">
        <f t="shared" ref="W22:W32" si="8">SUM(U22:V22)</f>
        <v>28.762499999999999</v>
      </c>
      <c r="X22" s="3" t="str">
        <f t="shared" ref="X22:X32" si="9">IF(N22=0,"",IF(W22&lt;N22,1,IF(W22&gt;=N22,0,"")))</f>
        <v/>
      </c>
    </row>
    <row r="23" spans="1:24" ht="15" customHeight="1" x14ac:dyDescent="0.2">
      <c r="A23" s="77">
        <v>2</v>
      </c>
      <c r="B23" s="91" t="s">
        <v>344</v>
      </c>
      <c r="C23" s="92" t="s">
        <v>276</v>
      </c>
      <c r="D23" s="92"/>
      <c r="E23" s="92" t="s">
        <v>345</v>
      </c>
      <c r="F23" s="92" t="s">
        <v>213</v>
      </c>
      <c r="G23" s="93">
        <v>22.86</v>
      </c>
      <c r="H23" s="93"/>
      <c r="I23" s="93"/>
      <c r="J23" s="77" t="s">
        <v>366</v>
      </c>
      <c r="K23" s="77" t="s">
        <v>142</v>
      </c>
      <c r="L23" s="33">
        <f>VLOOKUP(K23,Reinigungstage!A10:G31,7,FALSE)</f>
        <v>1</v>
      </c>
      <c r="M23" s="33">
        <f t="shared" si="0"/>
        <v>22.86</v>
      </c>
      <c r="N23" s="94">
        <f t="shared" si="1"/>
        <v>0</v>
      </c>
      <c r="O23" s="33">
        <f ca="1">IF('SVS GrundRG'!H61="",0,'SVS GrundRG'!H61)</f>
        <v>0</v>
      </c>
      <c r="P23" s="33">
        <f t="shared" si="2"/>
        <v>0</v>
      </c>
      <c r="Q23" s="33">
        <f t="shared" si="3"/>
        <v>0</v>
      </c>
      <c r="R23" s="33">
        <f t="shared" si="4"/>
        <v>0</v>
      </c>
      <c r="S23" s="3" t="str">
        <f t="shared" si="5"/>
        <v>Leistungswert eintragen</v>
      </c>
      <c r="U23" s="3">
        <f t="shared" si="6"/>
        <v>22.125</v>
      </c>
      <c r="V23" s="3">
        <f t="shared" si="7"/>
        <v>6.6375000000000002</v>
      </c>
      <c r="W23" s="3">
        <f t="shared" si="8"/>
        <v>28.762499999999999</v>
      </c>
      <c r="X23" s="3" t="str">
        <f t="shared" si="9"/>
        <v/>
      </c>
    </row>
    <row r="24" spans="1:24" ht="15" customHeight="1" x14ac:dyDescent="0.2">
      <c r="A24" s="77">
        <v>3</v>
      </c>
      <c r="B24" s="91" t="s">
        <v>346</v>
      </c>
      <c r="C24" s="92" t="s">
        <v>276</v>
      </c>
      <c r="D24" s="92"/>
      <c r="E24" s="92" t="s">
        <v>345</v>
      </c>
      <c r="F24" s="92" t="s">
        <v>213</v>
      </c>
      <c r="G24" s="93">
        <v>36.28</v>
      </c>
      <c r="H24" s="93"/>
      <c r="I24" s="93"/>
      <c r="J24" s="77" t="s">
        <v>366</v>
      </c>
      <c r="K24" s="77" t="s">
        <v>142</v>
      </c>
      <c r="L24" s="33">
        <f>VLOOKUP(K24,Reinigungstage!A10:G31,7,FALSE)</f>
        <v>1</v>
      </c>
      <c r="M24" s="33">
        <f t="shared" si="0"/>
        <v>36.28</v>
      </c>
      <c r="N24" s="94">
        <f t="shared" si="1"/>
        <v>0</v>
      </c>
      <c r="O24" s="33">
        <f ca="1">IF('SVS GrundRG'!H61="",0,'SVS GrundRG'!H61)</f>
        <v>0</v>
      </c>
      <c r="P24" s="33">
        <f t="shared" si="2"/>
        <v>0</v>
      </c>
      <c r="Q24" s="33">
        <f t="shared" si="3"/>
        <v>0</v>
      </c>
      <c r="R24" s="33">
        <f t="shared" si="4"/>
        <v>0</v>
      </c>
      <c r="S24" s="3" t="str">
        <f t="shared" si="5"/>
        <v>Leistungswert eintragen</v>
      </c>
      <c r="U24" s="3">
        <f t="shared" si="6"/>
        <v>22.125</v>
      </c>
      <c r="V24" s="3">
        <f t="shared" si="7"/>
        <v>6.6375000000000002</v>
      </c>
      <c r="W24" s="3">
        <f t="shared" si="8"/>
        <v>28.762499999999999</v>
      </c>
      <c r="X24" s="3" t="str">
        <f t="shared" si="9"/>
        <v/>
      </c>
    </row>
    <row r="25" spans="1:24" ht="15" customHeight="1" x14ac:dyDescent="0.2">
      <c r="A25" s="77">
        <v>4</v>
      </c>
      <c r="B25" s="91" t="s">
        <v>347</v>
      </c>
      <c r="C25" s="92" t="s">
        <v>276</v>
      </c>
      <c r="D25" s="92"/>
      <c r="E25" s="92" t="s">
        <v>334</v>
      </c>
      <c r="F25" s="92" t="s">
        <v>210</v>
      </c>
      <c r="G25" s="93">
        <v>7.17</v>
      </c>
      <c r="H25" s="93"/>
      <c r="I25" s="93"/>
      <c r="J25" s="77" t="s">
        <v>331</v>
      </c>
      <c r="K25" s="77" t="s">
        <v>142</v>
      </c>
      <c r="L25" s="33">
        <f>VLOOKUP(K25,Reinigungstage!A10:G31,7,FALSE)</f>
        <v>1</v>
      </c>
      <c r="M25" s="33">
        <f t="shared" si="0"/>
        <v>7.17</v>
      </c>
      <c r="N25" s="94">
        <f t="shared" si="1"/>
        <v>0</v>
      </c>
      <c r="O25" s="33">
        <f ca="1">IF('SVS GrundRG'!H61="",0,'SVS GrundRG'!H61)</f>
        <v>0</v>
      </c>
      <c r="P25" s="33">
        <f t="shared" si="2"/>
        <v>0</v>
      </c>
      <c r="Q25" s="33">
        <f t="shared" si="3"/>
        <v>0</v>
      </c>
      <c r="R25" s="33">
        <f t="shared" si="4"/>
        <v>0</v>
      </c>
      <c r="S25" s="3" t="str">
        <f t="shared" si="5"/>
        <v>Leistungswert eintragen</v>
      </c>
      <c r="U25" s="3">
        <f t="shared" si="6"/>
        <v>6.25</v>
      </c>
      <c r="V25" s="3">
        <f t="shared" si="7"/>
        <v>1.875</v>
      </c>
      <c r="W25" s="3">
        <f t="shared" si="8"/>
        <v>8.125</v>
      </c>
      <c r="X25" s="3" t="str">
        <f t="shared" si="9"/>
        <v/>
      </c>
    </row>
    <row r="26" spans="1:24" ht="15" customHeight="1" x14ac:dyDescent="0.2">
      <c r="A26" s="77">
        <v>5</v>
      </c>
      <c r="B26" s="91" t="s">
        <v>348</v>
      </c>
      <c r="C26" s="92" t="s">
        <v>276</v>
      </c>
      <c r="D26" s="92"/>
      <c r="E26" s="92" t="s">
        <v>232</v>
      </c>
      <c r="F26" s="92" t="s">
        <v>213</v>
      </c>
      <c r="G26" s="93">
        <v>10</v>
      </c>
      <c r="H26" s="93"/>
      <c r="I26" s="93"/>
      <c r="J26" s="77" t="s">
        <v>232</v>
      </c>
      <c r="K26" s="77" t="s">
        <v>142</v>
      </c>
      <c r="L26" s="33">
        <f>VLOOKUP(K26,Reinigungstage!A10:G31,7,FALSE)</f>
        <v>1</v>
      </c>
      <c r="M26" s="33">
        <f t="shared" si="0"/>
        <v>10</v>
      </c>
      <c r="N26" s="94">
        <f t="shared" si="1"/>
        <v>0</v>
      </c>
      <c r="O26" s="33">
        <f ca="1">IF('SVS GrundRG'!H61="",0,'SVS GrundRG'!H61)</f>
        <v>0</v>
      </c>
      <c r="P26" s="33">
        <f t="shared" si="2"/>
        <v>0</v>
      </c>
      <c r="Q26" s="33">
        <f t="shared" si="3"/>
        <v>0</v>
      </c>
      <c r="R26" s="33">
        <f t="shared" si="4"/>
        <v>0</v>
      </c>
      <c r="S26" s="3" t="str">
        <f t="shared" si="5"/>
        <v>Leistungswert eintragen</v>
      </c>
      <c r="U26" s="3">
        <f t="shared" si="6"/>
        <v>11.5</v>
      </c>
      <c r="V26" s="3">
        <f t="shared" si="7"/>
        <v>3.4499999999999997</v>
      </c>
      <c r="W26" s="3">
        <f t="shared" si="8"/>
        <v>14.95</v>
      </c>
      <c r="X26" s="3" t="str">
        <f t="shared" si="9"/>
        <v/>
      </c>
    </row>
    <row r="27" spans="1:24" ht="15" customHeight="1" x14ac:dyDescent="0.2">
      <c r="A27" s="77">
        <v>6</v>
      </c>
      <c r="B27" s="91" t="s">
        <v>349</v>
      </c>
      <c r="C27" s="92" t="s">
        <v>276</v>
      </c>
      <c r="D27" s="92"/>
      <c r="E27" s="92" t="s">
        <v>223</v>
      </c>
      <c r="F27" s="92" t="s">
        <v>213</v>
      </c>
      <c r="G27" s="93">
        <v>25.3</v>
      </c>
      <c r="H27" s="93"/>
      <c r="I27" s="93"/>
      <c r="J27" s="77" t="s">
        <v>329</v>
      </c>
      <c r="K27" s="77" t="s">
        <v>142</v>
      </c>
      <c r="L27" s="33">
        <f>VLOOKUP(K27,Reinigungstage!A10:G31,7,FALSE)</f>
        <v>1</v>
      </c>
      <c r="M27" s="33">
        <f t="shared" si="0"/>
        <v>25.3</v>
      </c>
      <c r="N27" s="94">
        <f t="shared" si="1"/>
        <v>0</v>
      </c>
      <c r="O27" s="33">
        <f ca="1">IF('SVS GrundRG'!H61="",0,'SVS GrundRG'!H61)</f>
        <v>0</v>
      </c>
      <c r="P27" s="33">
        <f t="shared" si="2"/>
        <v>0</v>
      </c>
      <c r="Q27" s="33">
        <f t="shared" si="3"/>
        <v>0</v>
      </c>
      <c r="R27" s="33">
        <f t="shared" si="4"/>
        <v>0</v>
      </c>
      <c r="S27" s="3" t="str">
        <f t="shared" si="5"/>
        <v>Leistungswert eintragen</v>
      </c>
      <c r="U27" s="3">
        <f t="shared" si="6"/>
        <v>21</v>
      </c>
      <c r="V27" s="3">
        <f t="shared" si="7"/>
        <v>6.3</v>
      </c>
      <c r="W27" s="3">
        <f t="shared" si="8"/>
        <v>27.3</v>
      </c>
      <c r="X27" s="3" t="str">
        <f t="shared" si="9"/>
        <v/>
      </c>
    </row>
    <row r="28" spans="1:24" ht="15" customHeight="1" x14ac:dyDescent="0.2">
      <c r="A28" s="77">
        <v>7</v>
      </c>
      <c r="B28" s="91" t="s">
        <v>350</v>
      </c>
      <c r="C28" s="92" t="s">
        <v>276</v>
      </c>
      <c r="D28" s="92" t="s">
        <v>351</v>
      </c>
      <c r="E28" s="92" t="s">
        <v>352</v>
      </c>
      <c r="F28" s="92" t="s">
        <v>213</v>
      </c>
      <c r="G28" s="93">
        <v>18.940000000000001</v>
      </c>
      <c r="H28" s="93"/>
      <c r="I28" s="93"/>
      <c r="J28" s="77" t="s">
        <v>352</v>
      </c>
      <c r="K28" s="77" t="s">
        <v>142</v>
      </c>
      <c r="L28" s="33">
        <f>VLOOKUP(K28,Reinigungstage!A10:G31,7,FALSE)</f>
        <v>1</v>
      </c>
      <c r="M28" s="33">
        <f t="shared" si="0"/>
        <v>18.940000000000001</v>
      </c>
      <c r="N28" s="94">
        <f t="shared" si="1"/>
        <v>0</v>
      </c>
      <c r="O28" s="33">
        <f ca="1">IF('SVS GrundRG'!H61="",0,'SVS GrundRG'!H61)</f>
        <v>0</v>
      </c>
      <c r="P28" s="33">
        <f t="shared" si="2"/>
        <v>0</v>
      </c>
      <c r="Q28" s="33">
        <f t="shared" si="3"/>
        <v>0</v>
      </c>
      <c r="R28" s="33">
        <f t="shared" si="4"/>
        <v>0</v>
      </c>
      <c r="S28" s="3" t="str">
        <f t="shared" si="5"/>
        <v>Leistungswert eintragen</v>
      </c>
      <c r="U28" s="3">
        <f t="shared" si="6"/>
        <v>13.875</v>
      </c>
      <c r="V28" s="3">
        <f t="shared" si="7"/>
        <v>4.1624999999999996</v>
      </c>
      <c r="W28" s="3">
        <f t="shared" si="8"/>
        <v>18.037500000000001</v>
      </c>
      <c r="X28" s="3" t="str">
        <f t="shared" si="9"/>
        <v/>
      </c>
    </row>
    <row r="29" spans="1:24" ht="15" customHeight="1" x14ac:dyDescent="0.2">
      <c r="A29" s="77">
        <v>8</v>
      </c>
      <c r="B29" s="91" t="s">
        <v>353</v>
      </c>
      <c r="C29" s="92" t="s">
        <v>276</v>
      </c>
      <c r="D29" s="92" t="s">
        <v>354</v>
      </c>
      <c r="E29" s="92" t="s">
        <v>352</v>
      </c>
      <c r="F29" s="92" t="s">
        <v>213</v>
      </c>
      <c r="G29" s="93">
        <v>23.77</v>
      </c>
      <c r="H29" s="93"/>
      <c r="I29" s="93"/>
      <c r="J29" s="77" t="s">
        <v>352</v>
      </c>
      <c r="K29" s="77" t="s">
        <v>142</v>
      </c>
      <c r="L29" s="33">
        <f>VLOOKUP(K29,Reinigungstage!A10:G31,7,FALSE)</f>
        <v>1</v>
      </c>
      <c r="M29" s="33">
        <f t="shared" si="0"/>
        <v>23.77</v>
      </c>
      <c r="N29" s="94">
        <f t="shared" si="1"/>
        <v>0</v>
      </c>
      <c r="O29" s="33">
        <f ca="1">IF('SVS GrundRG'!H61="",0,'SVS GrundRG'!H61)</f>
        <v>0</v>
      </c>
      <c r="P29" s="33">
        <f t="shared" si="2"/>
        <v>0</v>
      </c>
      <c r="Q29" s="33">
        <f t="shared" si="3"/>
        <v>0</v>
      </c>
      <c r="R29" s="33">
        <f t="shared" si="4"/>
        <v>0</v>
      </c>
      <c r="S29" s="3" t="str">
        <f t="shared" si="5"/>
        <v>Leistungswert eintragen</v>
      </c>
      <c r="U29" s="3">
        <f t="shared" si="6"/>
        <v>13.875</v>
      </c>
      <c r="V29" s="3">
        <f t="shared" si="7"/>
        <v>4.1624999999999996</v>
      </c>
      <c r="W29" s="3">
        <f t="shared" si="8"/>
        <v>18.037500000000001</v>
      </c>
      <c r="X29" s="3" t="str">
        <f t="shared" si="9"/>
        <v/>
      </c>
    </row>
    <row r="30" spans="1:24" ht="15" customHeight="1" x14ac:dyDescent="0.2">
      <c r="A30" s="77">
        <v>9</v>
      </c>
      <c r="B30" s="91" t="s">
        <v>358</v>
      </c>
      <c r="C30" s="92" t="s">
        <v>276</v>
      </c>
      <c r="D30" s="92" t="s">
        <v>354</v>
      </c>
      <c r="E30" s="92" t="s">
        <v>359</v>
      </c>
      <c r="F30" s="92" t="s">
        <v>210</v>
      </c>
      <c r="G30" s="93">
        <v>9.14</v>
      </c>
      <c r="H30" s="93"/>
      <c r="I30" s="93"/>
      <c r="J30" s="77" t="s">
        <v>331</v>
      </c>
      <c r="K30" s="77" t="s">
        <v>142</v>
      </c>
      <c r="L30" s="33">
        <f>VLOOKUP(K30,Reinigungstage!A10:G31,7,FALSE)</f>
        <v>1</v>
      </c>
      <c r="M30" s="33">
        <f t="shared" si="0"/>
        <v>9.14</v>
      </c>
      <c r="N30" s="94">
        <f t="shared" si="1"/>
        <v>0</v>
      </c>
      <c r="O30" s="33">
        <f ca="1">IF('SVS GrundRG'!H61="",0,'SVS GrundRG'!H61)</f>
        <v>0</v>
      </c>
      <c r="P30" s="33">
        <f t="shared" si="2"/>
        <v>0</v>
      </c>
      <c r="Q30" s="33">
        <f t="shared" si="3"/>
        <v>0</v>
      </c>
      <c r="R30" s="33">
        <f t="shared" si="4"/>
        <v>0</v>
      </c>
      <c r="S30" s="3" t="str">
        <f t="shared" si="5"/>
        <v>Leistungswert eintragen</v>
      </c>
      <c r="U30" s="3">
        <f t="shared" si="6"/>
        <v>6.25</v>
      </c>
      <c r="V30" s="3">
        <f t="shared" si="7"/>
        <v>1.875</v>
      </c>
      <c r="W30" s="3">
        <f t="shared" si="8"/>
        <v>8.125</v>
      </c>
      <c r="X30" s="3" t="str">
        <f t="shared" si="9"/>
        <v/>
      </c>
    </row>
    <row r="31" spans="1:24" ht="15" customHeight="1" x14ac:dyDescent="0.2">
      <c r="A31" s="77">
        <v>10</v>
      </c>
      <c r="B31" s="91" t="s">
        <v>364</v>
      </c>
      <c r="C31" s="92" t="s">
        <v>276</v>
      </c>
      <c r="D31" s="92" t="s">
        <v>351</v>
      </c>
      <c r="E31" s="92" t="s">
        <v>359</v>
      </c>
      <c r="F31" s="92" t="s">
        <v>210</v>
      </c>
      <c r="G31" s="93">
        <v>10.17</v>
      </c>
      <c r="H31" s="93"/>
      <c r="I31" s="93"/>
      <c r="J31" s="77" t="s">
        <v>331</v>
      </c>
      <c r="K31" s="77" t="s">
        <v>142</v>
      </c>
      <c r="L31" s="33">
        <f>VLOOKUP(K31,Reinigungstage!A10:G31,7,FALSE)</f>
        <v>1</v>
      </c>
      <c r="M31" s="33">
        <f t="shared" si="0"/>
        <v>10.17</v>
      </c>
      <c r="N31" s="94">
        <f t="shared" si="1"/>
        <v>0</v>
      </c>
      <c r="O31" s="33">
        <f ca="1">IF('SVS GrundRG'!H61="",0,'SVS GrundRG'!H61)</f>
        <v>0</v>
      </c>
      <c r="P31" s="33">
        <f t="shared" si="2"/>
        <v>0</v>
      </c>
      <c r="Q31" s="33">
        <f t="shared" si="3"/>
        <v>0</v>
      </c>
      <c r="R31" s="33">
        <f t="shared" si="4"/>
        <v>0</v>
      </c>
      <c r="S31" s="3" t="str">
        <f t="shared" si="5"/>
        <v>Leistungswert eintragen</v>
      </c>
      <c r="U31" s="3">
        <f t="shared" si="6"/>
        <v>6.25</v>
      </c>
      <c r="V31" s="3">
        <f t="shared" si="7"/>
        <v>1.875</v>
      </c>
      <c r="W31" s="3">
        <f t="shared" si="8"/>
        <v>8.125</v>
      </c>
      <c r="X31" s="3" t="str">
        <f t="shared" si="9"/>
        <v/>
      </c>
    </row>
    <row r="32" spans="1:24" ht="15" customHeight="1" x14ac:dyDescent="0.2">
      <c r="A32" s="77">
        <v>11</v>
      </c>
      <c r="B32" s="91" t="s">
        <v>365</v>
      </c>
      <c r="C32" s="92" t="s">
        <v>276</v>
      </c>
      <c r="D32" s="92"/>
      <c r="E32" s="92" t="s">
        <v>340</v>
      </c>
      <c r="F32" s="92" t="s">
        <v>213</v>
      </c>
      <c r="G32" s="93">
        <v>4.37</v>
      </c>
      <c r="H32" s="93"/>
      <c r="I32" s="93"/>
      <c r="J32" s="77" t="s">
        <v>329</v>
      </c>
      <c r="K32" s="77" t="s">
        <v>142</v>
      </c>
      <c r="L32" s="33">
        <f>VLOOKUP(K32,Reinigungstage!A10:G31,7,FALSE)</f>
        <v>1</v>
      </c>
      <c r="M32" s="33">
        <f t="shared" si="0"/>
        <v>4.37</v>
      </c>
      <c r="N32" s="94">
        <f t="shared" si="1"/>
        <v>0</v>
      </c>
      <c r="O32" s="33">
        <f ca="1">IF('SVS GrundRG'!H61="",0,'SVS GrundRG'!H61)</f>
        <v>0</v>
      </c>
      <c r="P32" s="33">
        <f t="shared" si="2"/>
        <v>0</v>
      </c>
      <c r="Q32" s="33">
        <f t="shared" si="3"/>
        <v>0</v>
      </c>
      <c r="R32" s="33">
        <f t="shared" si="4"/>
        <v>0</v>
      </c>
      <c r="S32" s="3" t="str">
        <f t="shared" si="5"/>
        <v>Leistungswert eintragen</v>
      </c>
      <c r="U32" s="3">
        <f t="shared" si="6"/>
        <v>21</v>
      </c>
      <c r="V32" s="3">
        <f t="shared" si="7"/>
        <v>6.3</v>
      </c>
      <c r="W32" s="3">
        <f t="shared" si="8"/>
        <v>27.3</v>
      </c>
      <c r="X32" s="3" t="str">
        <f t="shared" si="9"/>
        <v/>
      </c>
    </row>
  </sheetData>
  <sheetProtection algorithmName="SHA-512" hashValue="vSo5I6Tvu+ynpwExT4gdjRFNy8NzYYMge0agIpyvCR3dwYtB9kqeidcNA+0vkSF2ES3CBpqi50HhtiJOxy0n8A==" saltValue="I18Q91+BT64bMEYvo91f9w==" spinCount="100000" sheet="1" objects="1" scenarios="1"/>
  <sortState xmlns:xlrd2="http://schemas.microsoft.com/office/spreadsheetml/2017/richdata2" ref="U4:U9">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3" priority="5" operator="containsText" text="Bitte prüfen Sie diese.">
      <formula>NOT(ISERROR(SEARCH("Bitte prüfen Sie diese.",L9)))</formula>
    </cfRule>
  </conditionalFormatting>
  <conditionalFormatting sqref="L10">
    <cfRule type="containsText" dxfId="1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1" priority="3" operator="containsText" text="lediglich Fehleingaben vermeiden wollen.">
      <formula>NOT(ISERROR(SEARCH("lediglich Fehleingaben vermeiden wollen.",L11)))</formula>
    </cfRule>
  </conditionalFormatting>
  <conditionalFormatting sqref="M11">
    <cfRule type="containsText" dxfId="1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 priority="7" operator="containsText" text="für die Objektart prüfen.">
      <formula>NOT(ISERROR(SEARCH("für die Objektart prüfen.",M12)))</formula>
    </cfRule>
  </conditionalFormatting>
  <conditionalFormatting sqref="N13">
    <cfRule type="expression" dxfId="8" priority="2" stopIfTrue="1">
      <formula>N13=0</formula>
    </cfRule>
  </conditionalFormatting>
  <conditionalFormatting sqref="N14">
    <cfRule type="expression" dxfId="7" priority="1">
      <formula>N14=0</formula>
    </cfRule>
  </conditionalFormatting>
  <conditionalFormatting sqref="N22:N32">
    <cfRule type="expression" dxfId="6" priority="11">
      <formula>X22=0</formula>
    </cfRule>
    <cfRule type="expression" dxfId="5" priority="12" stopIfTrue="1">
      <formula>X22=1</formula>
    </cfRule>
  </conditionalFormatting>
  <conditionalFormatting sqref="O13">
    <cfRule type="containsText" dxfId="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 priority="9" operator="containsText" text="Wert(e) prüfen.">
      <formula>NOT(ISERROR(SEARCH("Wert(e) prüfen.",O14)))</formula>
    </cfRule>
  </conditionalFormatting>
  <conditionalFormatting sqref="S22:S32">
    <cfRule type="containsText" dxfId="2" priority="13" stopIfTrue="1" operator="containsText" text="SVS prüfen">
      <formula>NOT(ISERROR(SEARCH("SVS prüfen",S22)))</formula>
    </cfRule>
    <cfRule type="containsText" dxfId="1" priority="14" stopIfTrue="1" operator="containsText" text="Leistungswert eintragen">
      <formula>NOT(ISERROR(SEARCH("Leistungswert eintragen",S22)))</formula>
    </cfRule>
  </conditionalFormatting>
  <hyperlinks>
    <hyperlink ref="M1" location="Inhaltsverzeichnis!A1" display="Zurück zum Inhaltsverzeichnis" xr:uid="{9EA2A788-69AC-4924-8DB8-7CCB07F5786F}"/>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Luther SH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1618"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1619"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1620"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5"/>
  <sheetViews>
    <sheetView showGridLines="0" zoomScaleNormal="100" workbookViewId="0"/>
  </sheetViews>
  <sheetFormatPr baseColWidth="10" defaultColWidth="0" defaultRowHeight="15" customHeight="1" x14ac:dyDescent="0.15"/>
  <cols>
    <col min="1" max="1" width="7.7109375" style="15" customWidth="1"/>
    <col min="2" max="2" width="28.7109375" style="15" customWidth="1"/>
    <col min="3" max="3" width="35.7109375" style="15" customWidth="1"/>
    <col min="4" max="4" width="20.7109375" style="15" customWidth="1"/>
    <col min="5" max="5" width="11.7109375" style="15" customWidth="1"/>
    <col min="6" max="6" width="16.28515625" style="15" customWidth="1"/>
    <col min="7" max="7" width="17.28515625" style="15" customWidth="1"/>
    <col min="8" max="8" width="22.28515625" style="15" customWidth="1"/>
    <col min="9" max="9" width="11.7109375" style="15" hidden="1" customWidth="1"/>
    <col min="10" max="10" width="5.7109375" style="15" hidden="1" customWidth="1"/>
    <col min="11" max="11" width="12.7109375" style="15" hidden="1" customWidth="1"/>
    <col min="12" max="12" width="13.28515625" style="15" hidden="1" customWidth="1"/>
    <col min="13" max="13" width="10" style="15" hidden="1" customWidth="1"/>
    <col min="14" max="14" width="11.42578125" style="15" hidden="1" customWidth="1"/>
    <col min="15" max="15" width="10.5703125" style="15" hidden="1" customWidth="1"/>
    <col min="16" max="16384" width="0" style="15" hidden="1"/>
  </cols>
  <sheetData>
    <row r="1" spans="1:8" s="14" customFormat="1" ht="36" customHeight="1" x14ac:dyDescent="0.2">
      <c r="A1" s="14" t="s">
        <v>206</v>
      </c>
      <c r="D1" s="23"/>
      <c r="F1" s="24" t="s">
        <v>100</v>
      </c>
    </row>
    <row r="2" spans="1:8" s="14" customFormat="1" ht="25.9" customHeight="1" x14ac:dyDescent="0.2">
      <c r="A2" s="14" t="s">
        <v>103</v>
      </c>
      <c r="B2" s="40" t="str">
        <f>IF(Inhaltsverzeichnis!$C$3="", "",Inhaltsverzeichnis!$C$3)</f>
        <v/>
      </c>
      <c r="C2" s="25" t="b">
        <v>0</v>
      </c>
      <c r="D2" s="153" t="str">
        <f>IF(C2=TRUE,"Hier ist lediglich der Preis pro Einheit (€) auszufüllen.
Die rot markierten Informationen verschwinden, wenn die gelben Zellen ausgefüllt sind.  Wenn keine rote Schrift mehr angezeigt wird, ist alles ausgefüllt.","")</f>
        <v/>
      </c>
      <c r="E2" s="153"/>
      <c r="F2" s="153"/>
      <c r="G2" s="153"/>
    </row>
    <row r="3" spans="1:8" s="14" customFormat="1" ht="15" customHeight="1" x14ac:dyDescent="0.2">
      <c r="D3" s="154"/>
      <c r="E3" s="154"/>
      <c r="F3" s="154"/>
      <c r="G3" s="154"/>
      <c r="H3" s="26">
        <f>IF(COUNTA($H$5:$H$7)-COUNTBLANK($H$5:$H$7)=0,"",COUNTA($H$5:$H$7)-COUNTBLANK($H$5:$H$7))</f>
        <v>3</v>
      </c>
    </row>
    <row r="4" spans="1:8" ht="45" customHeight="1" x14ac:dyDescent="0.15">
      <c r="A4" s="29" t="s">
        <v>92</v>
      </c>
      <c r="B4" s="29" t="s">
        <v>113</v>
      </c>
      <c r="C4" s="30" t="s">
        <v>116</v>
      </c>
      <c r="D4" s="28" t="s">
        <v>146</v>
      </c>
      <c r="E4" s="28" t="s">
        <v>180</v>
      </c>
      <c r="F4" s="28" t="s">
        <v>181</v>
      </c>
      <c r="G4" s="28" t="s">
        <v>182</v>
      </c>
    </row>
    <row r="5" spans="1:8" ht="54.95" customHeight="1" x14ac:dyDescent="0.15">
      <c r="A5" s="41">
        <v>1</v>
      </c>
      <c r="B5" s="42" t="s">
        <v>190</v>
      </c>
      <c r="C5" s="42" t="s">
        <v>367</v>
      </c>
      <c r="D5" s="43" t="s">
        <v>368</v>
      </c>
      <c r="E5" s="43">
        <v>6</v>
      </c>
      <c r="F5" s="107"/>
      <c r="G5" s="44">
        <f>ROUND(IF(F5=0,0,F5*E5),2)</f>
        <v>0</v>
      </c>
      <c r="H5" s="14" t="str">
        <f>IF(F5=0,"Preis eintragen","")</f>
        <v>Preis eintragen</v>
      </c>
    </row>
    <row r="6" spans="1:8" ht="65.099999999999994" customHeight="1" x14ac:dyDescent="0.15">
      <c r="A6" s="41">
        <v>2</v>
      </c>
      <c r="B6" s="42" t="s">
        <v>190</v>
      </c>
      <c r="C6" s="42" t="s">
        <v>369</v>
      </c>
      <c r="D6" s="43" t="s">
        <v>370</v>
      </c>
      <c r="E6" s="43">
        <v>5</v>
      </c>
      <c r="F6" s="107"/>
      <c r="G6" s="44">
        <f>ROUND(IF(F6=0,0,F6*E6),2)</f>
        <v>0</v>
      </c>
      <c r="H6" s="14" t="str">
        <f>IF(F6=0,"Preis eintragen","")</f>
        <v>Preis eintragen</v>
      </c>
    </row>
    <row r="7" spans="1:8" ht="15" customHeight="1" x14ac:dyDescent="0.15">
      <c r="A7" s="41">
        <v>3</v>
      </c>
      <c r="B7" s="42" t="s">
        <v>190</v>
      </c>
      <c r="C7" s="42" t="s">
        <v>371</v>
      </c>
      <c r="D7" s="43" t="s">
        <v>372</v>
      </c>
      <c r="E7" s="43">
        <v>12</v>
      </c>
      <c r="F7" s="107"/>
      <c r="G7" s="44">
        <f>ROUND(IF(F7=0,0,F7*E7),2)</f>
        <v>0</v>
      </c>
      <c r="H7" s="14" t="str">
        <f>IF(F7=0,"Preis eintragen","")</f>
        <v>Preis eintragen</v>
      </c>
    </row>
    <row r="8" spans="1:8" ht="10.5" x14ac:dyDescent="0.15">
      <c r="A8" s="14"/>
      <c r="B8" s="14"/>
      <c r="C8" s="14"/>
      <c r="D8" s="14"/>
      <c r="E8" s="14"/>
      <c r="F8" s="14"/>
      <c r="G8" s="14"/>
      <c r="H8" s="14"/>
    </row>
    <row r="9" spans="1:8" ht="15" customHeight="1" x14ac:dyDescent="0.15">
      <c r="A9" s="14"/>
      <c r="B9" s="14" t="s">
        <v>393</v>
      </c>
      <c r="C9" s="14"/>
      <c r="D9" s="14"/>
      <c r="E9" s="14"/>
      <c r="F9" s="14"/>
      <c r="G9" s="14"/>
      <c r="H9" s="14"/>
    </row>
    <row r="10" spans="1:8" ht="15" customHeight="1" x14ac:dyDescent="0.15">
      <c r="A10" s="14"/>
      <c r="B10" s="14" t="s">
        <v>394</v>
      </c>
      <c r="C10" s="14"/>
      <c r="D10" s="14"/>
      <c r="E10" s="14"/>
      <c r="F10" s="14"/>
      <c r="G10" s="14"/>
      <c r="H10" s="14"/>
    </row>
    <row r="11" spans="1:8" ht="15" customHeight="1" x14ac:dyDescent="0.15">
      <c r="A11" s="14"/>
      <c r="B11" s="14" t="s">
        <v>395</v>
      </c>
      <c r="C11" s="14"/>
      <c r="D11" s="14"/>
      <c r="E11" s="14"/>
      <c r="F11" s="14"/>
      <c r="G11" s="14"/>
      <c r="H11" s="14"/>
    </row>
    <row r="12" spans="1:8" ht="10.5" x14ac:dyDescent="0.15">
      <c r="A12" s="14"/>
      <c r="B12" s="14"/>
      <c r="C12" s="14"/>
      <c r="D12" s="14"/>
      <c r="E12" s="14"/>
      <c r="F12" s="14"/>
      <c r="G12" s="14"/>
      <c r="H12" s="14"/>
    </row>
    <row r="13" spans="1:8" ht="15" customHeight="1" x14ac:dyDescent="0.15">
      <c r="A13" s="14"/>
      <c r="B13" s="14" t="s">
        <v>396</v>
      </c>
      <c r="C13" s="14"/>
      <c r="D13" s="14"/>
      <c r="E13" s="14"/>
      <c r="F13" s="14"/>
      <c r="G13" s="14"/>
      <c r="H13" s="14"/>
    </row>
    <row r="14" spans="1:8" ht="10.5" x14ac:dyDescent="0.15">
      <c r="A14" s="14"/>
      <c r="B14" s="14"/>
      <c r="C14" s="14"/>
      <c r="D14" s="14"/>
      <c r="E14" s="14"/>
      <c r="F14" s="14"/>
      <c r="G14" s="14"/>
      <c r="H14" s="14"/>
    </row>
    <row r="15" spans="1:8" ht="15" customHeight="1" x14ac:dyDescent="0.15">
      <c r="A15" s="14"/>
      <c r="B15" s="14" t="s">
        <v>397</v>
      </c>
      <c r="C15" s="14"/>
      <c r="D15" s="14"/>
      <c r="E15" s="14"/>
      <c r="F15" s="14"/>
      <c r="G15" s="14"/>
      <c r="H15" s="14"/>
    </row>
    <row r="16" spans="1:8" ht="15" customHeight="1" x14ac:dyDescent="0.15">
      <c r="A16" s="14"/>
      <c r="B16" s="14" t="s">
        <v>398</v>
      </c>
      <c r="C16" s="14"/>
      <c r="D16" s="14"/>
      <c r="E16" s="14"/>
      <c r="F16" s="14"/>
      <c r="G16" s="14"/>
      <c r="H16" s="14"/>
    </row>
    <row r="17" spans="1:8" ht="15" customHeight="1" x14ac:dyDescent="0.15">
      <c r="A17" s="14"/>
      <c r="B17" s="14" t="s">
        <v>399</v>
      </c>
      <c r="C17" s="14"/>
      <c r="D17" s="14"/>
      <c r="E17" s="14"/>
      <c r="F17" s="14"/>
      <c r="G17" s="14"/>
      <c r="H17" s="14"/>
    </row>
    <row r="18" spans="1:8" ht="10.5" x14ac:dyDescent="0.15">
      <c r="A18" s="14"/>
      <c r="C18" s="14"/>
      <c r="D18" s="14"/>
      <c r="E18" s="14"/>
      <c r="F18" s="14"/>
      <c r="G18" s="14"/>
      <c r="H18" s="14"/>
    </row>
    <row r="19" spans="1:8" ht="15" customHeight="1" x14ac:dyDescent="0.15">
      <c r="A19" s="14"/>
      <c r="B19" s="14" t="s">
        <v>400</v>
      </c>
      <c r="C19" s="14"/>
      <c r="D19" s="14"/>
      <c r="E19" s="14"/>
      <c r="F19" s="14"/>
      <c r="G19" s="14"/>
      <c r="H19" s="14"/>
    </row>
    <row r="20" spans="1:8" ht="10.5" x14ac:dyDescent="0.15">
      <c r="A20" s="14"/>
      <c r="B20" s="14"/>
      <c r="C20" s="14"/>
      <c r="D20" s="14"/>
      <c r="E20" s="14"/>
      <c r="F20" s="14"/>
      <c r="G20" s="14"/>
      <c r="H20" s="14"/>
    </row>
    <row r="21" spans="1:8" ht="10.5" x14ac:dyDescent="0.15">
      <c r="A21" s="14"/>
      <c r="B21" s="14"/>
      <c r="C21" s="14"/>
      <c r="D21" s="14"/>
      <c r="E21" s="14"/>
      <c r="F21" s="14"/>
      <c r="G21" s="14"/>
      <c r="H21" s="14"/>
    </row>
    <row r="22" spans="1:8" ht="10.5" x14ac:dyDescent="0.15">
      <c r="A22" s="14"/>
      <c r="B22" s="14"/>
      <c r="C22" s="14"/>
      <c r="D22" s="14"/>
      <c r="E22" s="14"/>
      <c r="F22" s="14"/>
      <c r="G22" s="14"/>
      <c r="H22" s="14"/>
    </row>
    <row r="23" spans="1:8" ht="10.5" x14ac:dyDescent="0.15">
      <c r="A23" s="14"/>
      <c r="B23" s="14"/>
      <c r="C23" s="14"/>
      <c r="D23" s="14"/>
      <c r="E23" s="14"/>
      <c r="F23" s="14"/>
      <c r="G23" s="14"/>
      <c r="H23" s="14"/>
    </row>
    <row r="24" spans="1:8" ht="10.5" x14ac:dyDescent="0.15">
      <c r="A24" s="14"/>
      <c r="B24" s="14"/>
      <c r="C24" s="14"/>
      <c r="D24" s="14"/>
      <c r="E24" s="14"/>
      <c r="F24" s="14"/>
      <c r="G24" s="14"/>
      <c r="H24" s="14"/>
    </row>
    <row r="25" spans="1:8" ht="10.5" x14ac:dyDescent="0.15">
      <c r="A25" s="14"/>
      <c r="B25" s="14"/>
      <c r="C25" s="14"/>
      <c r="D25" s="14"/>
      <c r="E25" s="14"/>
      <c r="F25" s="14"/>
      <c r="G25" s="14"/>
      <c r="H25" s="14"/>
    </row>
    <row r="26" spans="1:8" ht="10.5" x14ac:dyDescent="0.15">
      <c r="A26" s="14"/>
      <c r="B26" s="14"/>
      <c r="C26" s="14"/>
      <c r="D26" s="14"/>
      <c r="E26" s="14"/>
      <c r="F26" s="14"/>
      <c r="G26" s="14"/>
      <c r="H26" s="14"/>
    </row>
    <row r="27" spans="1:8" ht="10.5" x14ac:dyDescent="0.15">
      <c r="A27" s="14"/>
      <c r="B27" s="14"/>
      <c r="C27" s="14"/>
      <c r="D27" s="14"/>
      <c r="E27" s="14"/>
      <c r="F27" s="14"/>
      <c r="G27" s="14"/>
      <c r="H27" s="14"/>
    </row>
    <row r="28" spans="1:8" ht="10.5" x14ac:dyDescent="0.15">
      <c r="A28" s="14"/>
      <c r="B28" s="14"/>
      <c r="C28" s="14"/>
      <c r="D28" s="14"/>
      <c r="E28" s="14"/>
      <c r="F28" s="14"/>
      <c r="G28" s="14"/>
      <c r="H28" s="14"/>
    </row>
    <row r="29" spans="1:8" ht="10.5" x14ac:dyDescent="0.15">
      <c r="A29" s="14"/>
      <c r="B29" s="14"/>
      <c r="C29" s="14"/>
      <c r="D29" s="14"/>
      <c r="E29" s="14"/>
      <c r="F29" s="14"/>
      <c r="G29" s="14"/>
      <c r="H29" s="14"/>
    </row>
    <row r="30" spans="1:8" ht="10.5" x14ac:dyDescent="0.15">
      <c r="A30" s="14"/>
      <c r="B30" s="14"/>
      <c r="C30" s="14"/>
      <c r="D30" s="14"/>
      <c r="E30" s="14"/>
      <c r="F30" s="14"/>
      <c r="G30" s="14"/>
      <c r="H30" s="14"/>
    </row>
    <row r="31" spans="1:8" ht="10.5" x14ac:dyDescent="0.15">
      <c r="A31" s="14"/>
      <c r="B31" s="14"/>
      <c r="C31" s="14"/>
      <c r="D31" s="14"/>
      <c r="E31" s="14"/>
      <c r="F31" s="14"/>
      <c r="G31" s="14"/>
      <c r="H31" s="14"/>
    </row>
    <row r="32" spans="1:8" ht="10.5" x14ac:dyDescent="0.15">
      <c r="A32" s="14"/>
      <c r="B32" s="14"/>
      <c r="C32" s="14"/>
      <c r="D32" s="14"/>
      <c r="E32" s="14"/>
      <c r="F32" s="14"/>
      <c r="G32" s="14"/>
      <c r="H32" s="14"/>
    </row>
    <row r="33" spans="1:8" ht="10.5" x14ac:dyDescent="0.15">
      <c r="A33" s="14"/>
      <c r="B33" s="14"/>
      <c r="C33" s="14"/>
      <c r="D33" s="14"/>
      <c r="E33" s="14"/>
      <c r="F33" s="14"/>
      <c r="G33" s="14"/>
      <c r="H33" s="14"/>
    </row>
    <row r="34" spans="1:8" ht="10.5" x14ac:dyDescent="0.15">
      <c r="A34" s="14"/>
      <c r="B34" s="14"/>
      <c r="C34" s="14"/>
      <c r="D34" s="14"/>
      <c r="E34" s="14"/>
      <c r="F34" s="14"/>
      <c r="G34" s="14"/>
      <c r="H34" s="14"/>
    </row>
    <row r="35" spans="1:8" ht="10.5" x14ac:dyDescent="0.15">
      <c r="A35" s="14"/>
      <c r="B35" s="14"/>
      <c r="C35" s="14"/>
      <c r="D35" s="14"/>
      <c r="E35" s="14"/>
      <c r="F35" s="14"/>
      <c r="G35" s="14"/>
      <c r="H35" s="14"/>
    </row>
    <row r="36" spans="1:8" ht="10.5" x14ac:dyDescent="0.15">
      <c r="A36" s="14"/>
      <c r="B36" s="14"/>
      <c r="C36" s="14"/>
      <c r="D36" s="14"/>
      <c r="E36" s="14"/>
      <c r="F36" s="14"/>
      <c r="G36" s="14"/>
      <c r="H36" s="14"/>
    </row>
    <row r="37" spans="1:8" ht="10.5" x14ac:dyDescent="0.15">
      <c r="A37" s="14"/>
      <c r="B37" s="14"/>
      <c r="C37" s="14"/>
      <c r="D37" s="14"/>
      <c r="E37" s="14"/>
      <c r="F37" s="14"/>
      <c r="G37" s="14"/>
      <c r="H37" s="14"/>
    </row>
    <row r="38" spans="1:8" ht="10.5" x14ac:dyDescent="0.15">
      <c r="A38" s="14"/>
      <c r="B38" s="14"/>
      <c r="C38" s="14"/>
      <c r="D38" s="14"/>
      <c r="E38" s="14"/>
      <c r="F38" s="14"/>
      <c r="G38" s="14"/>
      <c r="H38" s="14"/>
    </row>
    <row r="39" spans="1:8" ht="10.5" x14ac:dyDescent="0.15">
      <c r="A39" s="14"/>
      <c r="B39" s="14"/>
      <c r="C39" s="14"/>
      <c r="D39" s="14"/>
      <c r="E39" s="14"/>
      <c r="F39" s="14"/>
      <c r="G39" s="14"/>
      <c r="H39" s="14"/>
    </row>
    <row r="40" spans="1:8" ht="10.5" x14ac:dyDescent="0.15">
      <c r="A40" s="14"/>
      <c r="B40" s="14"/>
      <c r="C40" s="14"/>
      <c r="D40" s="14"/>
      <c r="E40" s="14"/>
      <c r="F40" s="14"/>
      <c r="G40" s="14"/>
      <c r="H40" s="14"/>
    </row>
    <row r="41" spans="1:8" ht="10.5" x14ac:dyDescent="0.15">
      <c r="A41" s="14"/>
      <c r="B41" s="14"/>
      <c r="C41" s="14"/>
      <c r="D41" s="14"/>
      <c r="E41" s="14"/>
      <c r="F41" s="14"/>
      <c r="G41" s="14"/>
      <c r="H41" s="14"/>
    </row>
    <row r="42" spans="1:8" ht="10.5" x14ac:dyDescent="0.15">
      <c r="A42" s="14"/>
      <c r="B42" s="14"/>
      <c r="C42" s="14"/>
      <c r="D42" s="14"/>
      <c r="E42" s="14"/>
      <c r="F42" s="14"/>
      <c r="G42" s="14"/>
      <c r="H42" s="14"/>
    </row>
    <row r="43" spans="1:8" ht="10.5" x14ac:dyDescent="0.15">
      <c r="A43" s="14"/>
      <c r="B43" s="14"/>
      <c r="C43" s="14"/>
      <c r="D43" s="14"/>
      <c r="E43" s="14"/>
      <c r="F43" s="14"/>
      <c r="G43" s="14"/>
      <c r="H43" s="14"/>
    </row>
    <row r="44" spans="1:8" ht="10.5" x14ac:dyDescent="0.15">
      <c r="A44" s="14"/>
      <c r="B44" s="14"/>
      <c r="C44" s="14"/>
      <c r="D44" s="14"/>
      <c r="E44" s="14"/>
      <c r="F44" s="14"/>
      <c r="G44" s="14"/>
      <c r="H44" s="14"/>
    </row>
    <row r="45" spans="1:8" ht="10.5" x14ac:dyDescent="0.15">
      <c r="A45" s="14"/>
      <c r="B45" s="14"/>
      <c r="C45" s="14"/>
      <c r="D45" s="14"/>
      <c r="E45" s="14"/>
      <c r="F45" s="14"/>
      <c r="G45" s="14"/>
      <c r="H45" s="14"/>
    </row>
  </sheetData>
  <sheetProtection algorithmName="SHA-512" hashValue="PU5oBR4StxZBrF68qegqdqhA3B9yZq/LByva1YsA0bhylH1B088m962k8lT8/XmM+yMbd8FcmhAQzVKgy6X7iQ==" saltValue="B9LnrRTu1awQz1AY5mmLvA==" spinCount="100000" sheet="1" objects="1" scenarios="1"/>
  <mergeCells count="1">
    <mergeCell ref="D2:G3"/>
  </mergeCells>
  <phoneticPr fontId="3" type="noConversion"/>
  <conditionalFormatting sqref="H5:H7">
    <cfRule type="containsText" dxfId="0"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9" width="13.7109375" style="17" customWidth="1"/>
    <col min="10" max="52" width="13.7109375" style="6" customWidth="1"/>
    <col min="53" max="16384" width="6.42578125" style="6"/>
  </cols>
  <sheetData>
    <row r="1" spans="1:9" s="3" customFormat="1" ht="35.450000000000003" customHeight="1" x14ac:dyDescent="0.2">
      <c r="A1" s="3" t="s">
        <v>177</v>
      </c>
      <c r="B1" s="17"/>
      <c r="C1" s="17"/>
      <c r="D1" s="106" t="b">
        <v>0</v>
      </c>
      <c r="E1" s="108" t="str">
        <f>IF(D1=TRUE,"Hier muss nichts ausgefüllt werden. Sie sehen hier die Reinigungsarten mit den maximalen Reinigungstagen. Mehrere Tabellen greifen hierauf zu.","")</f>
        <v/>
      </c>
      <c r="F1" s="108"/>
      <c r="G1" s="108"/>
      <c r="H1" s="108"/>
      <c r="I1" s="31" t="s">
        <v>100</v>
      </c>
    </row>
    <row r="2" spans="1:9" s="3" customFormat="1" ht="26.45" customHeight="1" x14ac:dyDescent="0.2">
      <c r="A2" s="3" t="s">
        <v>103</v>
      </c>
      <c r="B2" s="4" t="str">
        <f>IF(Inhaltsverzeichnis!$C$3="","",Inhaltsverzeichnis!$C$3)</f>
        <v/>
      </c>
      <c r="C2" s="17"/>
      <c r="D2" s="17"/>
      <c r="E2" s="108"/>
      <c r="F2" s="108"/>
      <c r="G2" s="108"/>
      <c r="H2" s="108"/>
      <c r="I2" s="17"/>
    </row>
    <row r="3" spans="1:9" s="3" customFormat="1" ht="15" customHeight="1" x14ac:dyDescent="0.2">
      <c r="B3" s="17"/>
      <c r="C3" s="17"/>
      <c r="D3" s="17"/>
      <c r="E3" s="46"/>
      <c r="F3" s="46"/>
      <c r="G3" s="17"/>
      <c r="H3" s="17"/>
      <c r="I3" s="17"/>
    </row>
    <row r="4" spans="1:9" ht="25.5" customHeight="1" x14ac:dyDescent="0.15">
      <c r="A4" s="97" t="s">
        <v>113</v>
      </c>
      <c r="B4" s="97" t="s">
        <v>190</v>
      </c>
      <c r="C4" s="97" t="s">
        <v>197</v>
      </c>
      <c r="D4" s="97" t="s">
        <v>200</v>
      </c>
      <c r="E4" s="97" t="s">
        <v>190</v>
      </c>
      <c r="F4" s="97" t="s">
        <v>197</v>
      </c>
      <c r="G4" s="97" t="s">
        <v>200</v>
      </c>
      <c r="H4" s="97" t="s">
        <v>190</v>
      </c>
      <c r="I4" s="97" t="s">
        <v>190</v>
      </c>
    </row>
    <row r="5" spans="1:9" ht="25.5" customHeight="1" x14ac:dyDescent="0.15">
      <c r="A5" s="97" t="s">
        <v>144</v>
      </c>
      <c r="B5" s="97" t="s">
        <v>373</v>
      </c>
      <c r="C5" s="97" t="s">
        <v>376</v>
      </c>
      <c r="D5" s="97" t="s">
        <v>373</v>
      </c>
      <c r="E5" s="97" t="s">
        <v>373</v>
      </c>
      <c r="F5" s="97" t="s">
        <v>376</v>
      </c>
      <c r="G5" s="97" t="s">
        <v>373</v>
      </c>
      <c r="H5" s="97" t="s">
        <v>373</v>
      </c>
      <c r="I5" s="97" t="s">
        <v>373</v>
      </c>
    </row>
    <row r="6" spans="1:9" ht="25.5" customHeight="1" x14ac:dyDescent="0.15">
      <c r="A6" s="97" t="s">
        <v>115</v>
      </c>
      <c r="B6" s="1" t="s">
        <v>374</v>
      </c>
      <c r="C6" s="1" t="s">
        <v>374</v>
      </c>
      <c r="D6" s="1" t="s">
        <v>374</v>
      </c>
      <c r="E6" s="1" t="s">
        <v>377</v>
      </c>
      <c r="F6" s="1" t="s">
        <v>377</v>
      </c>
      <c r="G6" s="1" t="s">
        <v>377</v>
      </c>
      <c r="H6" s="1" t="s">
        <v>378</v>
      </c>
      <c r="I6" s="1" t="s">
        <v>379</v>
      </c>
    </row>
    <row r="7" spans="1:9" ht="35.1" customHeight="1" x14ac:dyDescent="0.15">
      <c r="A7" s="1" t="s">
        <v>183</v>
      </c>
      <c r="B7" s="98">
        <v>187.5</v>
      </c>
      <c r="C7" s="98">
        <v>252.5</v>
      </c>
      <c r="D7" s="98">
        <v>187.5</v>
      </c>
      <c r="E7" s="98">
        <v>1</v>
      </c>
      <c r="F7" s="98">
        <v>1</v>
      </c>
      <c r="G7" s="98">
        <v>1</v>
      </c>
      <c r="H7" s="98">
        <v>65</v>
      </c>
      <c r="I7" s="98">
        <v>1</v>
      </c>
    </row>
    <row r="8" spans="1:9" ht="6" customHeight="1" x14ac:dyDescent="0.15">
      <c r="A8" s="99"/>
      <c r="B8" s="47"/>
      <c r="C8" s="47"/>
      <c r="D8" s="47"/>
      <c r="E8" s="47"/>
      <c r="F8" s="47"/>
      <c r="G8" s="47"/>
      <c r="H8" s="47"/>
      <c r="I8" s="47"/>
    </row>
    <row r="9" spans="1:9" ht="25.5" customHeight="1" x14ac:dyDescent="0.15">
      <c r="A9" s="97" t="s">
        <v>184</v>
      </c>
      <c r="B9" s="1" t="s">
        <v>375</v>
      </c>
      <c r="C9" s="1" t="s">
        <v>375</v>
      </c>
      <c r="D9" s="1" t="s">
        <v>375</v>
      </c>
      <c r="E9" s="1" t="s">
        <v>375</v>
      </c>
      <c r="F9" s="1" t="s">
        <v>375</v>
      </c>
      <c r="G9" s="1" t="s">
        <v>375</v>
      </c>
      <c r="H9" s="1" t="s">
        <v>375</v>
      </c>
      <c r="I9" s="1" t="s">
        <v>375</v>
      </c>
    </row>
    <row r="10" spans="1:9" ht="15" customHeight="1" x14ac:dyDescent="0.15">
      <c r="A10" s="100">
        <v>12</v>
      </c>
      <c r="B10" s="101">
        <f t="shared" ref="B10:B17" si="0">ROUND($B$7/5*A10,2)</f>
        <v>450</v>
      </c>
      <c r="C10" s="101">
        <f t="shared" ref="C10:C17" si="1">ROUND($C$7/5*A10,2)</f>
        <v>606</v>
      </c>
      <c r="D10" s="101">
        <f t="shared" ref="D10:D17" si="2">ROUND($D$7/5*A10,2)</f>
        <v>450</v>
      </c>
      <c r="E10" s="102"/>
      <c r="F10" s="102"/>
      <c r="G10" s="102"/>
      <c r="H10" s="101">
        <f t="shared" ref="H10:H17" si="3">ROUND($H$7/5*A10,2)</f>
        <v>156</v>
      </c>
      <c r="I10" s="101">
        <f t="shared" ref="I10:I17" si="4">ROUND($I$7/5*A10,2)</f>
        <v>2.4</v>
      </c>
    </row>
    <row r="11" spans="1:9" ht="15" customHeight="1" x14ac:dyDescent="0.15">
      <c r="A11" s="100">
        <v>10</v>
      </c>
      <c r="B11" s="101">
        <f t="shared" si="0"/>
        <v>375</v>
      </c>
      <c r="C11" s="101">
        <f t="shared" si="1"/>
        <v>505</v>
      </c>
      <c r="D11" s="101">
        <f t="shared" si="2"/>
        <v>375</v>
      </c>
      <c r="E11" s="102"/>
      <c r="F11" s="102"/>
      <c r="G11" s="102"/>
      <c r="H11" s="101">
        <f t="shared" si="3"/>
        <v>130</v>
      </c>
      <c r="I11" s="101">
        <f t="shared" si="4"/>
        <v>2</v>
      </c>
    </row>
    <row r="12" spans="1:9" ht="15" customHeight="1" x14ac:dyDescent="0.15">
      <c r="A12" s="100">
        <v>7</v>
      </c>
      <c r="B12" s="101">
        <f t="shared" si="0"/>
        <v>262.5</v>
      </c>
      <c r="C12" s="101">
        <f t="shared" si="1"/>
        <v>353.5</v>
      </c>
      <c r="D12" s="101">
        <f t="shared" si="2"/>
        <v>262.5</v>
      </c>
      <c r="E12" s="102"/>
      <c r="F12" s="102"/>
      <c r="G12" s="102"/>
      <c r="H12" s="101">
        <f t="shared" si="3"/>
        <v>91</v>
      </c>
      <c r="I12" s="101">
        <f t="shared" si="4"/>
        <v>1.4</v>
      </c>
    </row>
    <row r="13" spans="1:9" ht="15" customHeight="1" x14ac:dyDescent="0.15">
      <c r="A13" s="100">
        <v>6</v>
      </c>
      <c r="B13" s="101">
        <f t="shared" si="0"/>
        <v>225</v>
      </c>
      <c r="C13" s="101">
        <f t="shared" si="1"/>
        <v>303</v>
      </c>
      <c r="D13" s="101">
        <f t="shared" si="2"/>
        <v>225</v>
      </c>
      <c r="E13" s="102"/>
      <c r="F13" s="102"/>
      <c r="G13" s="102"/>
      <c r="H13" s="101">
        <f t="shared" si="3"/>
        <v>78</v>
      </c>
      <c r="I13" s="101">
        <f t="shared" si="4"/>
        <v>1.2</v>
      </c>
    </row>
    <row r="14" spans="1:9" ht="15" customHeight="1" x14ac:dyDescent="0.15">
      <c r="A14" s="100">
        <v>5</v>
      </c>
      <c r="B14" s="98">
        <f t="shared" si="0"/>
        <v>187.5</v>
      </c>
      <c r="C14" s="101">
        <f t="shared" si="1"/>
        <v>252.5</v>
      </c>
      <c r="D14" s="98">
        <f t="shared" si="2"/>
        <v>187.5</v>
      </c>
      <c r="E14" s="102"/>
      <c r="F14" s="102"/>
      <c r="G14" s="102"/>
      <c r="H14" s="98">
        <f t="shared" si="3"/>
        <v>65</v>
      </c>
      <c r="I14" s="101">
        <f t="shared" si="4"/>
        <v>1</v>
      </c>
    </row>
    <row r="15" spans="1:9" ht="15" customHeight="1" x14ac:dyDescent="0.15">
      <c r="A15" s="100">
        <v>4</v>
      </c>
      <c r="B15" s="101">
        <f t="shared" si="0"/>
        <v>150</v>
      </c>
      <c r="C15" s="101">
        <f t="shared" si="1"/>
        <v>202</v>
      </c>
      <c r="D15" s="101">
        <f t="shared" si="2"/>
        <v>150</v>
      </c>
      <c r="E15" s="102"/>
      <c r="F15" s="102"/>
      <c r="G15" s="102"/>
      <c r="H15" s="101">
        <f t="shared" si="3"/>
        <v>52</v>
      </c>
      <c r="I15" s="101">
        <f t="shared" si="4"/>
        <v>0.8</v>
      </c>
    </row>
    <row r="16" spans="1:9" ht="15" customHeight="1" x14ac:dyDescent="0.15">
      <c r="A16" s="100">
        <v>3</v>
      </c>
      <c r="B16" s="98">
        <f t="shared" si="0"/>
        <v>112.5</v>
      </c>
      <c r="C16" s="101">
        <f t="shared" si="1"/>
        <v>151.5</v>
      </c>
      <c r="D16" s="101">
        <f t="shared" si="2"/>
        <v>112.5</v>
      </c>
      <c r="E16" s="102"/>
      <c r="F16" s="102"/>
      <c r="G16" s="102"/>
      <c r="H16" s="98">
        <f t="shared" si="3"/>
        <v>39</v>
      </c>
      <c r="I16" s="101">
        <f t="shared" si="4"/>
        <v>0.6</v>
      </c>
    </row>
    <row r="17" spans="1:9" ht="15" customHeight="1" x14ac:dyDescent="0.15">
      <c r="A17" s="100">
        <v>2.5</v>
      </c>
      <c r="B17" s="101">
        <f t="shared" si="0"/>
        <v>93.75</v>
      </c>
      <c r="C17" s="101">
        <f t="shared" si="1"/>
        <v>126.25</v>
      </c>
      <c r="D17" s="101">
        <f t="shared" si="2"/>
        <v>93.75</v>
      </c>
      <c r="E17" s="102"/>
      <c r="F17" s="102"/>
      <c r="G17" s="102"/>
      <c r="H17" s="101">
        <f t="shared" si="3"/>
        <v>32.5</v>
      </c>
      <c r="I17" s="101">
        <f t="shared" si="4"/>
        <v>0.5</v>
      </c>
    </row>
    <row r="18" spans="1:9" ht="15" customHeight="1" x14ac:dyDescent="0.15">
      <c r="A18" s="100">
        <v>2</v>
      </c>
      <c r="B18" s="101">
        <f>ROUND(B7*104.29/251,2)</f>
        <v>77.91</v>
      </c>
      <c r="C18" s="98">
        <f>ROUND(C7*104.29/251,2)</f>
        <v>104.91</v>
      </c>
      <c r="D18" s="98">
        <f>ROUND(D7*104.29/251,2)</f>
        <v>77.91</v>
      </c>
      <c r="E18" s="102"/>
      <c r="F18" s="102"/>
      <c r="G18" s="102"/>
      <c r="H18" s="101">
        <f>ROUND(H7*104.29/251,2)</f>
        <v>27.01</v>
      </c>
      <c r="I18" s="101">
        <f>ROUND(I7*104.29/251,2)</f>
        <v>0.42</v>
      </c>
    </row>
    <row r="19" spans="1:9" ht="15" customHeight="1" x14ac:dyDescent="0.15">
      <c r="A19" s="100">
        <v>1</v>
      </c>
      <c r="B19" s="98">
        <f>ROUND(B7*52.14/251,2)</f>
        <v>38.950000000000003</v>
      </c>
      <c r="C19" s="101">
        <f>ROUND(C7*52.14/251,2)</f>
        <v>52.45</v>
      </c>
      <c r="D19" s="101">
        <f>ROUND(D7*52.14/251,2)</f>
        <v>38.950000000000003</v>
      </c>
      <c r="E19" s="102"/>
      <c r="F19" s="102"/>
      <c r="G19" s="102"/>
      <c r="H19" s="101">
        <f>ROUND(H7*52.14/251,2)</f>
        <v>13.5</v>
      </c>
      <c r="I19" s="101">
        <f>ROUND(I7*52.14/251,2)</f>
        <v>0.21</v>
      </c>
    </row>
    <row r="20" spans="1:9" ht="15" customHeight="1" x14ac:dyDescent="0.15">
      <c r="A20" s="100">
        <v>0.5</v>
      </c>
      <c r="B20" s="101">
        <f>ROUND(B7*26.07/251,2)</f>
        <v>19.47</v>
      </c>
      <c r="C20" s="101">
        <f>ROUND(C7*26.07/251,2)</f>
        <v>26.23</v>
      </c>
      <c r="D20" s="101">
        <f>ROUND(D7*26.07/251,2)</f>
        <v>19.47</v>
      </c>
      <c r="E20" s="102"/>
      <c r="F20" s="102"/>
      <c r="G20" s="102"/>
      <c r="H20" s="101">
        <f>ROUND(H7*26.07/251,2)</f>
        <v>6.75</v>
      </c>
      <c r="I20" s="101">
        <f>ROUND(I7*26.07/251,2)</f>
        <v>0.1</v>
      </c>
    </row>
    <row r="21" spans="1:9" ht="15" customHeight="1" x14ac:dyDescent="0.15">
      <c r="A21" s="100" t="s">
        <v>135</v>
      </c>
      <c r="B21" s="103">
        <f>ROUND(11*2,2)</f>
        <v>22</v>
      </c>
      <c r="C21" s="103">
        <f>ROUND(12*2,2)</f>
        <v>24</v>
      </c>
      <c r="D21" s="103">
        <f>ROUND(11*2,2)</f>
        <v>22</v>
      </c>
      <c r="E21" s="103">
        <f>ROUND(11*2,2)</f>
        <v>22</v>
      </c>
      <c r="F21" s="103">
        <f>ROUND(12*2,2)</f>
        <v>24</v>
      </c>
      <c r="G21" s="103">
        <f>ROUND(11*2,2)</f>
        <v>22</v>
      </c>
      <c r="H21" s="103">
        <v>2</v>
      </c>
      <c r="I21" s="103">
        <f>ROUND(11*2,2)</f>
        <v>22</v>
      </c>
    </row>
    <row r="22" spans="1:9" ht="15" customHeight="1" x14ac:dyDescent="0.15">
      <c r="A22" s="100" t="s">
        <v>136</v>
      </c>
      <c r="B22" s="103">
        <f>ROUND(11*1,2)</f>
        <v>11</v>
      </c>
      <c r="C22" s="103">
        <f>ROUND(12*1,2)</f>
        <v>12</v>
      </c>
      <c r="D22" s="104">
        <f>ROUND(11*1,2)</f>
        <v>11</v>
      </c>
      <c r="E22" s="103">
        <f>ROUND(11*1,2)</f>
        <v>11</v>
      </c>
      <c r="F22" s="103">
        <f>ROUND(12*1,2)</f>
        <v>12</v>
      </c>
      <c r="G22" s="103">
        <f>ROUND(11*1,2)</f>
        <v>11</v>
      </c>
      <c r="H22" s="103">
        <v>1</v>
      </c>
      <c r="I22" s="103">
        <f>ROUND(11*1,2)</f>
        <v>11</v>
      </c>
    </row>
    <row r="23" spans="1:9" ht="15" customHeight="1" x14ac:dyDescent="0.15">
      <c r="A23" s="100" t="s">
        <v>137</v>
      </c>
      <c r="B23" s="101">
        <v>6</v>
      </c>
      <c r="C23" s="101">
        <v>6</v>
      </c>
      <c r="D23" s="101">
        <v>6</v>
      </c>
      <c r="E23" s="101">
        <v>6</v>
      </c>
      <c r="F23" s="101">
        <v>6</v>
      </c>
      <c r="G23" s="101">
        <v>6</v>
      </c>
      <c r="H23" s="102"/>
      <c r="I23" s="101">
        <v>6</v>
      </c>
    </row>
    <row r="24" spans="1:9" ht="15" customHeight="1" x14ac:dyDescent="0.15">
      <c r="A24" s="100" t="s">
        <v>138</v>
      </c>
      <c r="B24" s="101">
        <v>5</v>
      </c>
      <c r="C24" s="101">
        <v>5</v>
      </c>
      <c r="D24" s="101">
        <v>5</v>
      </c>
      <c r="E24" s="101">
        <v>5</v>
      </c>
      <c r="F24" s="101">
        <v>5</v>
      </c>
      <c r="G24" s="101">
        <v>5</v>
      </c>
      <c r="H24" s="102"/>
      <c r="I24" s="101">
        <v>5</v>
      </c>
    </row>
    <row r="25" spans="1:9" ht="15" customHeight="1" x14ac:dyDescent="0.15">
      <c r="A25" s="100" t="s">
        <v>139</v>
      </c>
      <c r="B25" s="101">
        <v>4</v>
      </c>
      <c r="C25" s="101">
        <v>4</v>
      </c>
      <c r="D25" s="101">
        <v>4</v>
      </c>
      <c r="E25" s="101">
        <v>4</v>
      </c>
      <c r="F25" s="101">
        <v>4</v>
      </c>
      <c r="G25" s="101">
        <v>4</v>
      </c>
      <c r="H25" s="102"/>
      <c r="I25" s="101">
        <v>4</v>
      </c>
    </row>
    <row r="26" spans="1:9" ht="15" customHeight="1" x14ac:dyDescent="0.15">
      <c r="A26" s="100" t="s">
        <v>140</v>
      </c>
      <c r="B26" s="101">
        <v>3</v>
      </c>
      <c r="C26" s="101">
        <v>3</v>
      </c>
      <c r="D26" s="101">
        <v>3</v>
      </c>
      <c r="E26" s="101">
        <v>3</v>
      </c>
      <c r="F26" s="101">
        <v>3</v>
      </c>
      <c r="G26" s="101">
        <v>3</v>
      </c>
      <c r="H26" s="102"/>
      <c r="I26" s="101">
        <v>3</v>
      </c>
    </row>
    <row r="27" spans="1:9" ht="15" customHeight="1" x14ac:dyDescent="0.15">
      <c r="A27" s="100" t="s">
        <v>141</v>
      </c>
      <c r="B27" s="98">
        <v>2</v>
      </c>
      <c r="C27" s="101">
        <v>2</v>
      </c>
      <c r="D27" s="101">
        <v>2</v>
      </c>
      <c r="E27" s="101">
        <v>2</v>
      </c>
      <c r="F27" s="101">
        <v>2</v>
      </c>
      <c r="G27" s="101">
        <v>2</v>
      </c>
      <c r="H27" s="102"/>
      <c r="I27" s="101">
        <v>2</v>
      </c>
    </row>
    <row r="28" spans="1:9" ht="15" customHeight="1" x14ac:dyDescent="0.15">
      <c r="A28" s="100" t="s">
        <v>142</v>
      </c>
      <c r="B28" s="101">
        <v>1</v>
      </c>
      <c r="C28" s="101">
        <v>1</v>
      </c>
      <c r="D28" s="101">
        <v>1</v>
      </c>
      <c r="E28" s="98">
        <v>1</v>
      </c>
      <c r="F28" s="98">
        <v>1</v>
      </c>
      <c r="G28" s="98">
        <v>1</v>
      </c>
      <c r="H28" s="102"/>
      <c r="I28" s="101">
        <v>1</v>
      </c>
    </row>
    <row r="29" spans="1:9" ht="15" customHeight="1" x14ac:dyDescent="0.15">
      <c r="A29" s="98" t="s">
        <v>143</v>
      </c>
      <c r="B29" s="101">
        <v>0.5</v>
      </c>
      <c r="C29" s="101">
        <v>0.5</v>
      </c>
      <c r="D29" s="101">
        <v>0.5</v>
      </c>
      <c r="E29" s="101">
        <v>0.5</v>
      </c>
      <c r="F29" s="101">
        <v>0.5</v>
      </c>
      <c r="G29" s="101">
        <v>0.5</v>
      </c>
      <c r="H29" s="102"/>
      <c r="I29" s="101">
        <v>0.5</v>
      </c>
    </row>
    <row r="30" spans="1:9" ht="15" customHeight="1" x14ac:dyDescent="0.15">
      <c r="A30" s="98">
        <v>0</v>
      </c>
      <c r="B30" s="98">
        <v>0</v>
      </c>
      <c r="C30" s="98">
        <v>0</v>
      </c>
      <c r="D30" s="98">
        <v>0</v>
      </c>
      <c r="E30" s="105"/>
      <c r="F30" s="105"/>
      <c r="G30" s="105"/>
      <c r="H30" s="98">
        <v>0</v>
      </c>
      <c r="I30" s="98">
        <v>0</v>
      </c>
    </row>
    <row r="31" spans="1:9" ht="15" customHeight="1" x14ac:dyDescent="0.15">
      <c r="A31" s="98" t="s">
        <v>145</v>
      </c>
      <c r="B31" s="102"/>
      <c r="C31" s="102"/>
      <c r="D31" s="102"/>
      <c r="E31" s="102"/>
      <c r="F31" s="102"/>
      <c r="G31" s="102"/>
      <c r="H31" s="102"/>
      <c r="I31" s="98">
        <f>I7</f>
        <v>1</v>
      </c>
    </row>
  </sheetData>
  <sheetProtection algorithmName="SHA-512" hashValue="LpR/X1+F3R8e77Wjif60Xr4HpGppQZCVSptOsyY9xltGDqG6RJ+0fcBgtyn/ysXQvZusB9g2AnIUisjTL0YFww==" saltValue="Jar1cAThlaEWhWDkptuGQg=="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I9"/>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6" width="14.28515625" style="3" customWidth="1"/>
    <col min="7" max="9" width="16.7109375" style="3" customWidth="1"/>
    <col min="10" max="16384" width="11.42578125" style="3"/>
  </cols>
  <sheetData>
    <row r="1" spans="1:9" ht="29.1" customHeight="1" x14ac:dyDescent="0.2">
      <c r="A1" s="3" t="s">
        <v>179</v>
      </c>
      <c r="D1" s="18"/>
      <c r="E1" s="5" t="s">
        <v>100</v>
      </c>
      <c r="F1" s="13"/>
    </row>
    <row r="2" spans="1:9" ht="24" customHeight="1" x14ac:dyDescent="0.2">
      <c r="B2" s="20" t="b">
        <v>0</v>
      </c>
      <c r="C2" s="114" t="str">
        <f>IF(B2=TRUE,"Hier muss nichts ausgefüllt werden. Füllen Sie zunächst in den folgenden Tabellen die gelben Zellen aus. Kehren Sie dann zu dieser Tabelle zurück.","")</f>
        <v/>
      </c>
      <c r="D2" s="114"/>
      <c r="E2" s="114"/>
      <c r="F2" s="114"/>
      <c r="G2" s="114"/>
    </row>
    <row r="3" spans="1:9" ht="24" customHeight="1" x14ac:dyDescent="0.2">
      <c r="A3" s="21" t="s">
        <v>103</v>
      </c>
      <c r="B3" s="22" t="str">
        <f>IF(Inhaltsverzeichnis!$C$3="", "",Inhaltsverzeichnis!$C$3)</f>
        <v/>
      </c>
      <c r="C3" s="4"/>
      <c r="D3" s="4"/>
    </row>
    <row r="4" spans="1:9" s="17" customFormat="1" ht="29.1" customHeight="1" x14ac:dyDescent="0.2">
      <c r="A4" s="115" t="s">
        <v>381</v>
      </c>
      <c r="B4" s="116"/>
      <c r="C4" s="1" t="s">
        <v>374</v>
      </c>
      <c r="D4" s="1" t="s">
        <v>377</v>
      </c>
      <c r="E4" s="1" t="s">
        <v>378</v>
      </c>
      <c r="F4" s="1" t="s">
        <v>380</v>
      </c>
      <c r="G4" s="110" t="s">
        <v>384</v>
      </c>
      <c r="H4" s="110"/>
      <c r="I4" s="110"/>
    </row>
    <row r="5" spans="1:9" s="17" customFormat="1" ht="29.1" customHeight="1" x14ac:dyDescent="0.2">
      <c r="A5" s="1" t="s">
        <v>96</v>
      </c>
      <c r="B5" s="1" t="s">
        <v>173</v>
      </c>
      <c r="C5" s="1" t="s">
        <v>148</v>
      </c>
      <c r="D5" s="1" t="s">
        <v>148</v>
      </c>
      <c r="E5" s="1" t="s">
        <v>148</v>
      </c>
      <c r="F5" s="1" t="s">
        <v>148</v>
      </c>
      <c r="G5" s="1" t="s">
        <v>148</v>
      </c>
      <c r="H5" s="1" t="s">
        <v>383</v>
      </c>
      <c r="I5" s="1" t="s">
        <v>149</v>
      </c>
    </row>
    <row r="6" spans="1:9" ht="15" customHeight="1" x14ac:dyDescent="0.2">
      <c r="A6" s="12" t="s">
        <v>190</v>
      </c>
      <c r="B6" s="34">
        <v>3</v>
      </c>
      <c r="C6" s="33">
        <f ca="1">'Kal Unter GS Uhland'!Q21</f>
        <v>0</v>
      </c>
      <c r="D6" s="33">
        <f>'Kal Grund GS Uhland'!Q21</f>
        <v>0</v>
      </c>
      <c r="E6" s="33">
        <f ca="1">'Kal Unter Fer GS Uhland'!Q21</f>
        <v>0</v>
      </c>
      <c r="F6" s="33">
        <f>SUMIF('Kal Verbrauch Gesamt'!$B$5:$B7,$A$6,'Kal Verbrauch Gesamt'!$G$5:$G7)</f>
        <v>0</v>
      </c>
      <c r="G6" s="33">
        <f ca="1">SUM(C6:F6)</f>
        <v>0</v>
      </c>
      <c r="H6" s="33">
        <f ca="1">I6-G6</f>
        <v>0</v>
      </c>
      <c r="I6" s="33">
        <f ca="1">ROUND(G6*1.19,2)</f>
        <v>0</v>
      </c>
    </row>
    <row r="7" spans="1:9" ht="15" customHeight="1" x14ac:dyDescent="0.2">
      <c r="A7" s="12" t="s">
        <v>197</v>
      </c>
      <c r="B7" s="34">
        <v>3</v>
      </c>
      <c r="C7" s="33">
        <f ca="1">'Kal Unter JC Leo Treff'!Q21</f>
        <v>0</v>
      </c>
      <c r="D7" s="33">
        <f>'Kal Grund JC Leo Treff'!Q21</f>
        <v>0</v>
      </c>
      <c r="E7" s="35"/>
      <c r="F7" s="35"/>
      <c r="G7" s="33">
        <f ca="1">SUM(C7:F7)</f>
        <v>0</v>
      </c>
      <c r="H7" s="33">
        <f ca="1">I7-G7</f>
        <v>0</v>
      </c>
      <c r="I7" s="33">
        <f ca="1">ROUND(G7*1.19,2)</f>
        <v>0</v>
      </c>
    </row>
    <row r="8" spans="1:9" ht="15" customHeight="1" x14ac:dyDescent="0.2">
      <c r="A8" s="12" t="s">
        <v>200</v>
      </c>
      <c r="B8" s="34">
        <v>3</v>
      </c>
      <c r="C8" s="33">
        <f ca="1">'Kal Unter Luther SH'!Q21</f>
        <v>0</v>
      </c>
      <c r="D8" s="33">
        <f>'Kal Grund Luther SH'!Q21</f>
        <v>0</v>
      </c>
      <c r="E8" s="35"/>
      <c r="F8" s="35"/>
      <c r="G8" s="33">
        <f ca="1">SUM(C8:F8)</f>
        <v>0</v>
      </c>
      <c r="H8" s="33">
        <f ca="1">I8-G8</f>
        <v>0</v>
      </c>
      <c r="I8" s="33">
        <f ca="1">ROUND(G8*1.19,2)</f>
        <v>0</v>
      </c>
    </row>
    <row r="9" spans="1:9" ht="15" customHeight="1" x14ac:dyDescent="0.2">
      <c r="A9" s="111" t="s">
        <v>385</v>
      </c>
      <c r="B9" s="112"/>
      <c r="C9" s="113"/>
      <c r="D9" s="113"/>
      <c r="E9" s="113"/>
      <c r="F9" s="113"/>
      <c r="G9" s="33">
        <f ca="1">ROUND(SUM(G6:G8),2)</f>
        <v>0</v>
      </c>
      <c r="H9" s="33">
        <f ca="1">ROUND(SUM(H6:H8),2)</f>
        <v>0</v>
      </c>
      <c r="I9" s="33">
        <f ca="1">ROUND(SUM(I6:I8),2)</f>
        <v>0</v>
      </c>
    </row>
  </sheetData>
  <sheetProtection algorithmName="SHA-512" hashValue="Ljb1cpurNth5qICQ/2+b0HGElzDB4+RXFi8O9hp5rW7XRtY9OKWydqvBvnHQvFbBbxlmGyBu+sI3/tLxutEYYQ==" saltValue="7FFONOulnoaqE6NNd8pB6g==" spinCount="100000" sheet="1" objects="1" scenarios="1"/>
  <mergeCells count="4">
    <mergeCell ref="G4:I4"/>
    <mergeCell ref="A9:F9"/>
    <mergeCell ref="C2:G2"/>
    <mergeCell ref="A4:B4"/>
  </mergeCells>
  <phoneticPr fontId="3" type="noConversion"/>
  <hyperlinks>
    <hyperlink ref="E1" location="'Inhaltsverzeichnis'!$A$1" display="Zurück zum Inhaltsverzeichnis" xr:uid="{E47FC31D-B962-4447-8C20-0BB1A0A5061E}"/>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58"/>
  </sheetPr>
  <dimension ref="A1:G6"/>
  <sheetViews>
    <sheetView showGridLines="0" zoomScaleNormal="100" workbookViewId="0"/>
  </sheetViews>
  <sheetFormatPr baseColWidth="10" defaultColWidth="11.42578125" defaultRowHeight="15" customHeight="1" x14ac:dyDescent="0.2"/>
  <cols>
    <col min="1" max="1" width="25.7109375" style="3" customWidth="1"/>
    <col min="2" max="6" width="16.7109375" style="3" customWidth="1"/>
    <col min="7" max="16384" width="11.42578125" style="3"/>
  </cols>
  <sheetData>
    <row r="1" spans="1:7" ht="29.1" customHeight="1" x14ac:dyDescent="0.2">
      <c r="A1" s="3" t="s">
        <v>178</v>
      </c>
      <c r="F1" s="18"/>
      <c r="G1" s="5" t="s">
        <v>100</v>
      </c>
    </row>
    <row r="2" spans="1:7" ht="23.45" customHeight="1" x14ac:dyDescent="0.2">
      <c r="B2" s="20" t="b">
        <v>0</v>
      </c>
      <c r="C2" s="108" t="str">
        <f>IF(B2=TRUE,"Hier muss nichts ausgefüllt werden. Füllen Sie zunächst in den folgenden Tabellen die gelben Zellen aus. Kehren Sie dann zu dieser Tabelle zurück.","")</f>
        <v/>
      </c>
      <c r="D2" s="108"/>
      <c r="E2" s="108"/>
      <c r="F2" s="108"/>
      <c r="G2" s="108"/>
    </row>
    <row r="3" spans="1:7" ht="23.45" customHeight="1" x14ac:dyDescent="0.2">
      <c r="A3" s="21" t="s">
        <v>103</v>
      </c>
      <c r="B3" s="22" t="str">
        <f>IF(Inhaltsverzeichnis!$C$3="", "",Inhaltsverzeichnis!$C$3)</f>
        <v/>
      </c>
    </row>
    <row r="4" spans="1:7" s="17" customFormat="1" ht="29.1" customHeight="1" x14ac:dyDescent="0.2">
      <c r="A4" s="117" t="s">
        <v>382</v>
      </c>
      <c r="B4" s="117"/>
      <c r="C4" s="117" t="s">
        <v>379</v>
      </c>
      <c r="D4" s="117"/>
      <c r="E4" s="117"/>
    </row>
    <row r="5" spans="1:7" s="17" customFormat="1" ht="29.1" customHeight="1" x14ac:dyDescent="0.2">
      <c r="A5" s="36" t="s">
        <v>96</v>
      </c>
      <c r="B5" s="36" t="s">
        <v>173</v>
      </c>
      <c r="C5" s="36" t="s">
        <v>148</v>
      </c>
      <c r="D5" s="36" t="s">
        <v>383</v>
      </c>
      <c r="E5" s="36" t="s">
        <v>149</v>
      </c>
    </row>
    <row r="6" spans="1:7" ht="15" customHeight="1" x14ac:dyDescent="0.2">
      <c r="A6" s="37" t="s">
        <v>190</v>
      </c>
      <c r="B6" s="39">
        <v>3</v>
      </c>
      <c r="C6" s="38">
        <f ca="1">'Kal Unter Bed GS Uhland'!Q21</f>
        <v>0</v>
      </c>
      <c r="D6" s="38">
        <f ca="1">E6-C6</f>
        <v>0</v>
      </c>
      <c r="E6" s="38">
        <f ca="1">ROUND($C$6*1.19,2)</f>
        <v>0</v>
      </c>
    </row>
  </sheetData>
  <sheetProtection algorithmName="SHA-512" hashValue="5Unks5JmDdxdIpNexi4+qNqBlq2t0Vq3SEchsyxKR2SniFkxYAixVvr3VltNmYdoHOY8qGHaAWJsJmzAtedpkg==" saltValue="BwT3uAtdsuDX4dDiJMefcw==" spinCount="100000" sheet="1" objects="1" scenarios="1"/>
  <mergeCells count="3">
    <mergeCell ref="A4:B4"/>
    <mergeCell ref="C2:G2"/>
    <mergeCell ref="C4:E4"/>
  </mergeCells>
  <phoneticPr fontId="3" type="noConversion"/>
  <hyperlinks>
    <hyperlink ref="G1" location="'Inhaltsverzeichnis'!$A$1" display="Zurück zum Inhaltsverzeichnis" xr:uid="{B63BC8B1-1165-4B64-BA52-2E95FFF303C1}"/>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 (nach Bedarf)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Hinweis">
                <anchor moveWithCells="1">
                  <from>
                    <xdr:col>1</xdr:col>
                    <xdr:colOff>180975</xdr:colOff>
                    <xdr:row>1</xdr:row>
                    <xdr:rowOff>19050</xdr:rowOff>
                  </from>
                  <to>
                    <xdr:col>1</xdr:col>
                    <xdr:colOff>971550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60" t="str">
        <f ca="1">IF(H61&lt;&gt;"","","Bitte alle gelben Zellen ausfüllen.")</f>
        <v>Bitte alle gelben Zellen ausfüllen.</v>
      </c>
      <c r="D1" s="76" t="b">
        <v>0</v>
      </c>
      <c r="E1" s="108"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08"/>
      <c r="G1" s="108"/>
      <c r="H1" s="108"/>
      <c r="I1" s="108"/>
      <c r="K1" s="5" t="s">
        <v>100</v>
      </c>
    </row>
    <row r="2" spans="1:11" ht="33" customHeight="1" x14ac:dyDescent="0.2">
      <c r="A2" s="3" t="s">
        <v>103</v>
      </c>
      <c r="C2" s="3" t="str">
        <f>IF(Inhaltsverzeichnis!$C$3="", "",Inhaltsverzeichnis!$C$3)</f>
        <v/>
      </c>
      <c r="D2" s="20" t="b">
        <v>0</v>
      </c>
      <c r="E2" s="108"/>
      <c r="F2" s="108"/>
      <c r="G2" s="108"/>
      <c r="H2" s="108"/>
      <c r="I2" s="108"/>
    </row>
    <row r="3" spans="1:11" s="2" customFormat="1" ht="12.75" x14ac:dyDescent="0.2">
      <c r="A3" s="128" t="s">
        <v>102</v>
      </c>
      <c r="B3" s="128"/>
      <c r="C3" s="128"/>
      <c r="D3" s="128"/>
      <c r="E3" s="128"/>
      <c r="F3" s="128"/>
      <c r="G3" s="128"/>
      <c r="H3" s="128"/>
      <c r="I3" s="128"/>
    </row>
    <row r="4" spans="1:11" x14ac:dyDescent="0.2">
      <c r="A4" s="61"/>
      <c r="B4" s="61"/>
      <c r="C4" s="61"/>
      <c r="D4" s="61"/>
      <c r="E4" s="61"/>
      <c r="F4" s="61"/>
      <c r="G4" s="61"/>
      <c r="H4" s="61"/>
      <c r="I4" s="61"/>
    </row>
    <row r="5" spans="1:11" ht="15" customHeight="1" x14ac:dyDescent="0.2">
      <c r="A5" s="62" t="s">
        <v>1</v>
      </c>
      <c r="B5" s="62" t="s">
        <v>2</v>
      </c>
      <c r="C5" s="62"/>
      <c r="D5" s="62"/>
      <c r="E5" s="62"/>
      <c r="F5" s="63">
        <v>100</v>
      </c>
      <c r="G5" s="62" t="s">
        <v>3</v>
      </c>
      <c r="H5" s="7">
        <v>15</v>
      </c>
      <c r="I5" s="62" t="s">
        <v>4</v>
      </c>
      <c r="K5" s="64"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1"/>
      <c r="B6" s="61"/>
      <c r="C6" s="61"/>
      <c r="D6" s="61"/>
      <c r="E6" s="61"/>
      <c r="F6" s="65"/>
      <c r="G6" s="61"/>
      <c r="H6" s="65"/>
      <c r="I6" s="61"/>
    </row>
    <row r="7" spans="1:11" x14ac:dyDescent="0.2">
      <c r="A7" s="62" t="s">
        <v>5</v>
      </c>
      <c r="B7" s="62" t="s">
        <v>6</v>
      </c>
      <c r="C7" s="62"/>
      <c r="D7" s="62"/>
      <c r="E7" s="62"/>
      <c r="F7" s="66"/>
      <c r="G7" s="62"/>
      <c r="H7" s="66"/>
      <c r="I7" s="62"/>
    </row>
    <row r="8" spans="1:11" ht="14.25" x14ac:dyDescent="0.2">
      <c r="A8" s="61" t="s">
        <v>7</v>
      </c>
      <c r="B8" s="61" t="s">
        <v>8</v>
      </c>
      <c r="C8" s="61"/>
      <c r="D8" s="61"/>
      <c r="E8" s="61"/>
      <c r="F8" s="66"/>
      <c r="G8" s="66"/>
      <c r="H8" s="66"/>
      <c r="I8" s="66"/>
      <c r="K8" s="67"/>
    </row>
    <row r="9" spans="1:11" x14ac:dyDescent="0.2">
      <c r="A9" s="61" t="s">
        <v>9</v>
      </c>
      <c r="B9" s="61"/>
      <c r="C9" s="61" t="s">
        <v>10</v>
      </c>
      <c r="D9" s="61"/>
      <c r="E9" s="61"/>
      <c r="F9" s="8"/>
      <c r="G9" s="61" t="s">
        <v>3</v>
      </c>
      <c r="H9" s="68" t="str">
        <f>IF(F9="","",ROUND(F9/100*$H$5,2))</f>
        <v/>
      </c>
      <c r="I9" s="61" t="s">
        <v>4</v>
      </c>
      <c r="K9" s="64" t="str">
        <f>IF(F9="","Bitte ausfüllen!","")</f>
        <v>Bitte ausfüllen!</v>
      </c>
    </row>
    <row r="10" spans="1:11" x14ac:dyDescent="0.2">
      <c r="A10" s="61" t="s">
        <v>11</v>
      </c>
      <c r="B10" s="61"/>
      <c r="C10" s="61" t="s">
        <v>12</v>
      </c>
      <c r="D10" s="61"/>
      <c r="E10" s="61"/>
      <c r="F10" s="8"/>
      <c r="G10" s="61" t="s">
        <v>3</v>
      </c>
      <c r="H10" s="68" t="str">
        <f>IF(F10="","",ROUND(F10/100*$H$5,2))</f>
        <v/>
      </c>
      <c r="I10" s="61" t="s">
        <v>4</v>
      </c>
      <c r="K10" s="64" t="str">
        <f>IF(F10="","Bitte ausfüllen!","")</f>
        <v>Bitte ausfüllen!</v>
      </c>
    </row>
    <row r="11" spans="1:11" x14ac:dyDescent="0.2">
      <c r="A11" s="61" t="s">
        <v>13</v>
      </c>
      <c r="B11" s="61"/>
      <c r="C11" s="61" t="s">
        <v>14</v>
      </c>
      <c r="D11" s="61"/>
      <c r="E11" s="61"/>
      <c r="F11" s="8"/>
      <c r="G11" s="61" t="s">
        <v>3</v>
      </c>
      <c r="H11" s="68" t="str">
        <f>IF(F11="","",ROUND(F11/100*$H$5,2))</f>
        <v/>
      </c>
      <c r="I11" s="61" t="s">
        <v>4</v>
      </c>
      <c r="K11" s="64" t="str">
        <f>IF(F11="","Bitte ausfüllen!","")</f>
        <v>Bitte ausfüllen!</v>
      </c>
    </row>
    <row r="12" spans="1:11" x14ac:dyDescent="0.2">
      <c r="A12" s="61" t="s">
        <v>15</v>
      </c>
      <c r="B12" s="61"/>
      <c r="C12" s="61" t="s">
        <v>16</v>
      </c>
      <c r="D12" s="61"/>
      <c r="E12" s="61"/>
      <c r="F12" s="8"/>
      <c r="G12" s="61" t="s">
        <v>3</v>
      </c>
      <c r="H12" s="68" t="str">
        <f>IF(F12="","",ROUND(F12/100*$H$5,2))</f>
        <v/>
      </c>
      <c r="I12" s="61" t="s">
        <v>4</v>
      </c>
      <c r="K12" s="64" t="str">
        <f>IF(F12="","Bitte ausfüllen!","")</f>
        <v>Bitte ausfüllen!</v>
      </c>
    </row>
    <row r="13" spans="1:11" x14ac:dyDescent="0.2">
      <c r="A13" s="61" t="s">
        <v>17</v>
      </c>
      <c r="B13" s="61"/>
      <c r="C13" s="61" t="s">
        <v>18</v>
      </c>
      <c r="D13" s="61"/>
      <c r="E13" s="61"/>
      <c r="F13" s="8"/>
      <c r="G13" s="61" t="s">
        <v>3</v>
      </c>
      <c r="H13" s="68" t="str">
        <f>IF(F13="","",ROUND(F13/100*$H$5,2))</f>
        <v/>
      </c>
      <c r="I13" s="61" t="s">
        <v>4</v>
      </c>
      <c r="K13" s="64" t="str">
        <f>IF(F13="","Bitte ausfüllen!","")</f>
        <v>Bitte ausfüllen!</v>
      </c>
    </row>
    <row r="14" spans="1:11" x14ac:dyDescent="0.2">
      <c r="A14" s="62"/>
      <c r="B14" s="62" t="s">
        <v>19</v>
      </c>
      <c r="C14" s="62"/>
      <c r="D14" s="62"/>
      <c r="E14" s="62"/>
      <c r="F14" s="69">
        <f>IF(SUM(F9:F13)=0,0,SUM(F9:F13))</f>
        <v>0</v>
      </c>
      <c r="G14" s="62" t="s">
        <v>3</v>
      </c>
      <c r="H14" s="70" t="str">
        <f>IF(COUNTIF(F9:F13,"")&gt;0,"",SUM(H8:H13))</f>
        <v/>
      </c>
      <c r="I14" s="62" t="s">
        <v>4</v>
      </c>
      <c r="K14" s="64" t="str">
        <f>IF(H14="","Angaben offen!","")</f>
        <v>Angaben offen!</v>
      </c>
    </row>
    <row r="15" spans="1:11" x14ac:dyDescent="0.2">
      <c r="A15" s="61"/>
      <c r="B15" s="61"/>
      <c r="C15" s="61"/>
      <c r="D15" s="61"/>
      <c r="E15" s="61"/>
      <c r="F15" s="65"/>
      <c r="G15" s="61"/>
      <c r="H15" s="65"/>
      <c r="I15" s="61"/>
    </row>
    <row r="16" spans="1:11" x14ac:dyDescent="0.2">
      <c r="A16" s="62" t="s">
        <v>20</v>
      </c>
      <c r="B16" s="62" t="s">
        <v>21</v>
      </c>
      <c r="C16" s="62"/>
      <c r="D16" s="62"/>
      <c r="E16" s="62"/>
      <c r="F16" s="66"/>
      <c r="G16" s="62"/>
      <c r="H16" s="66"/>
      <c r="I16" s="62"/>
    </row>
    <row r="17" spans="1:11" ht="11.25" customHeight="1" x14ac:dyDescent="0.2">
      <c r="A17" s="61" t="s">
        <v>22</v>
      </c>
      <c r="B17" s="61" t="s">
        <v>120</v>
      </c>
      <c r="C17" s="61"/>
      <c r="D17" s="8">
        <f>D73+D77</f>
        <v>8.75</v>
      </c>
      <c r="E17" s="61" t="s">
        <v>3</v>
      </c>
      <c r="F17" s="65"/>
      <c r="G17" s="61"/>
      <c r="H17" s="65"/>
      <c r="I17" s="61"/>
      <c r="K17" s="64" t="str">
        <f ca="1">IF(D17&lt;(D73+D77),"Wert prüfen!",IF(H61="","Inhalt der gelben Zellen kann angepasst werden.",""))</f>
        <v>Inhalt der gelben Zellen kann angepasst werden.</v>
      </c>
    </row>
    <row r="18" spans="1:11" x14ac:dyDescent="0.2">
      <c r="A18" s="61"/>
      <c r="B18" s="61" t="s">
        <v>23</v>
      </c>
      <c r="C18" s="61"/>
      <c r="D18" s="71">
        <f>(D17/100)*$F$14</f>
        <v>0</v>
      </c>
      <c r="E18" s="61" t="s">
        <v>3</v>
      </c>
      <c r="F18" s="72">
        <f>IF(D18="","",D17+D18)</f>
        <v>8.75</v>
      </c>
      <c r="G18" s="61" t="s">
        <v>3</v>
      </c>
      <c r="H18" s="68">
        <f>IF(D18="","",ROUND(F18/100*$H$5,2))</f>
        <v>1.31</v>
      </c>
      <c r="I18" s="61" t="s">
        <v>4</v>
      </c>
      <c r="K18" s="64"/>
    </row>
    <row r="19" spans="1:11" ht="11.25" x14ac:dyDescent="0.2">
      <c r="A19" s="61" t="s">
        <v>24</v>
      </c>
      <c r="B19" s="61" t="s">
        <v>121</v>
      </c>
      <c r="C19" s="61"/>
      <c r="D19" s="8">
        <f>D74</f>
        <v>9.3000000000000007</v>
      </c>
      <c r="E19" s="61" t="s">
        <v>3</v>
      </c>
      <c r="F19" s="73"/>
      <c r="G19" s="61"/>
      <c r="H19" s="65"/>
      <c r="I19" s="61"/>
      <c r="K19" s="64" t="str">
        <f ca="1">IF(D19&lt;&gt;D74,"Wert prüfen!",IF(H61="","Inhalt der gelben Zellen kann angepasst werden.",""))</f>
        <v>Inhalt der gelben Zellen kann angepasst werden.</v>
      </c>
    </row>
    <row r="20" spans="1:11" ht="11.25" customHeight="1" x14ac:dyDescent="0.2">
      <c r="A20" s="61"/>
      <c r="B20" s="61" t="s">
        <v>25</v>
      </c>
      <c r="C20" s="61"/>
      <c r="D20" s="71">
        <f>(D19/100)*$F$14</f>
        <v>0</v>
      </c>
      <c r="E20" s="61" t="s">
        <v>3</v>
      </c>
      <c r="F20" s="72">
        <f>IF(D20="","",D19+D20)</f>
        <v>9.3000000000000007</v>
      </c>
      <c r="G20" s="61" t="s">
        <v>3</v>
      </c>
      <c r="H20" s="68">
        <f>IF(D20="","",ROUND(F20/100*$H$5,2))</f>
        <v>1.4</v>
      </c>
      <c r="I20" s="61" t="s">
        <v>4</v>
      </c>
      <c r="K20" s="64"/>
    </row>
    <row r="21" spans="1:11" ht="11.25" x14ac:dyDescent="0.2">
      <c r="A21" s="61" t="s">
        <v>26</v>
      </c>
      <c r="B21" s="61" t="s">
        <v>122</v>
      </c>
      <c r="C21" s="61"/>
      <c r="D21" s="8">
        <f>D75</f>
        <v>1.3</v>
      </c>
      <c r="E21" s="61" t="s">
        <v>3</v>
      </c>
      <c r="F21" s="73"/>
      <c r="G21" s="61"/>
      <c r="H21" s="65"/>
      <c r="I21" s="61"/>
      <c r="K21" s="64" t="str">
        <f ca="1">IF(D21&lt;&gt;D75,"Wert prüfen!",IF(H61="","Inhalt der gelben Zellen kann angepasst werden.",""))</f>
        <v>Inhalt der gelben Zellen kann angepasst werden.</v>
      </c>
    </row>
    <row r="22" spans="1:11" x14ac:dyDescent="0.2">
      <c r="A22" s="61"/>
      <c r="B22" s="61" t="s">
        <v>27</v>
      </c>
      <c r="C22" s="61"/>
      <c r="D22" s="71">
        <f>(D21/100)*$F$14</f>
        <v>0</v>
      </c>
      <c r="E22" s="61" t="s">
        <v>3</v>
      </c>
      <c r="F22" s="72">
        <f>IF(D22="","",D21+D22)</f>
        <v>1.3</v>
      </c>
      <c r="G22" s="61" t="s">
        <v>3</v>
      </c>
      <c r="H22" s="68">
        <f>IF(D22="","",ROUND(F22/100*$H$5,2))</f>
        <v>0.2</v>
      </c>
      <c r="I22" s="61" t="s">
        <v>4</v>
      </c>
      <c r="K22" s="64"/>
    </row>
    <row r="23" spans="1:11" ht="11.25" x14ac:dyDescent="0.2">
      <c r="A23" s="61" t="s">
        <v>28</v>
      </c>
      <c r="B23" s="61" t="s">
        <v>123</v>
      </c>
      <c r="C23" s="61"/>
      <c r="D23" s="8">
        <f>D76</f>
        <v>1.8</v>
      </c>
      <c r="E23" s="61" t="s">
        <v>3</v>
      </c>
      <c r="F23" s="73"/>
      <c r="G23" s="61"/>
      <c r="H23" s="65"/>
      <c r="I23" s="61"/>
      <c r="K23" s="64" t="str">
        <f ca="1">IF(D23&lt;&gt;D76,"Wert prüfen!",IF(H61="","Inhalt der gelben Zellen kann angepasst werden.",""))</f>
        <v>Inhalt der gelben Zellen kann angepasst werden.</v>
      </c>
    </row>
    <row r="24" spans="1:11" x14ac:dyDescent="0.2">
      <c r="A24" s="61"/>
      <c r="B24" s="61" t="s">
        <v>29</v>
      </c>
      <c r="C24" s="61"/>
      <c r="D24" s="71">
        <f>(D23/100)*$F$14</f>
        <v>0</v>
      </c>
      <c r="E24" s="61" t="s">
        <v>3</v>
      </c>
      <c r="F24" s="72">
        <f>IF(D24="","",D23+D24)</f>
        <v>1.8</v>
      </c>
      <c r="G24" s="61" t="s">
        <v>3</v>
      </c>
      <c r="H24" s="68">
        <f>IF(D24="","",ROUND(F24/100*$H$5,2))</f>
        <v>0.27</v>
      </c>
      <c r="I24" s="61" t="s">
        <v>4</v>
      </c>
      <c r="K24" s="64"/>
    </row>
    <row r="25" spans="1:11" ht="11.25" x14ac:dyDescent="0.2">
      <c r="A25" s="61" t="s">
        <v>30</v>
      </c>
      <c r="B25" s="61" t="s">
        <v>124</v>
      </c>
      <c r="C25" s="61"/>
      <c r="D25" s="8"/>
      <c r="E25" s="61" t="s">
        <v>3</v>
      </c>
      <c r="F25" s="73"/>
      <c r="G25" s="61"/>
      <c r="H25" s="65"/>
      <c r="I25" s="61"/>
      <c r="K25" s="64" t="str">
        <f>IF(D25="","Bitte ausfüllen!","")</f>
        <v>Bitte ausfüllen!</v>
      </c>
    </row>
    <row r="26" spans="1:11" x14ac:dyDescent="0.2">
      <c r="A26" s="61"/>
      <c r="B26" s="61" t="s">
        <v>31</v>
      </c>
      <c r="C26" s="61"/>
      <c r="D26" s="71">
        <f>(D25/100)*$F$14</f>
        <v>0</v>
      </c>
      <c r="E26" s="61" t="s">
        <v>3</v>
      </c>
      <c r="F26" s="72">
        <f>IF(D26="","",D25+D26)</f>
        <v>0</v>
      </c>
      <c r="G26" s="61" t="s">
        <v>3</v>
      </c>
      <c r="H26" s="68">
        <f>IF(D26="","",ROUND(F26/100*$H$5,2))</f>
        <v>0</v>
      </c>
      <c r="I26" s="61" t="s">
        <v>4</v>
      </c>
      <c r="K26" s="64"/>
    </row>
    <row r="27" spans="1:11" ht="11.25" x14ac:dyDescent="0.2">
      <c r="A27" s="61" t="s">
        <v>32</v>
      </c>
      <c r="B27" s="61" t="s">
        <v>125</v>
      </c>
      <c r="C27" s="61"/>
      <c r="D27" s="61"/>
      <c r="E27" s="61"/>
      <c r="F27" s="8"/>
      <c r="G27" s="61" t="s">
        <v>3</v>
      </c>
      <c r="H27" s="68" t="str">
        <f>IF(F27="","",ROUND(F27/100*$H$5,2))</f>
        <v/>
      </c>
      <c r="I27" s="61" t="s">
        <v>4</v>
      </c>
      <c r="K27" s="64" t="str">
        <f>IF(F27="","Bitte ausfüllen!","")</f>
        <v>Bitte ausfüllen!</v>
      </c>
    </row>
    <row r="28" spans="1:11" ht="11.25" x14ac:dyDescent="0.2">
      <c r="A28" s="61" t="s">
        <v>33</v>
      </c>
      <c r="B28" s="61" t="s">
        <v>126</v>
      </c>
      <c r="C28" s="61"/>
      <c r="D28" s="61"/>
      <c r="E28" s="61"/>
      <c r="F28" s="8">
        <f>D79</f>
        <v>0.15</v>
      </c>
      <c r="G28" s="61" t="s">
        <v>3</v>
      </c>
      <c r="H28" s="68">
        <f>IF(F28="","",ROUND(F28/100*$H$5,2))</f>
        <v>0.02</v>
      </c>
      <c r="I28" s="61" t="s">
        <v>4</v>
      </c>
      <c r="K28" s="64" t="str">
        <f ca="1">IF(F28&lt;&gt;D79,"Wert prüfen!",IF(H61="","Inhalt der gelben Zellen kann angepasst werden.",""))</f>
        <v>Inhalt der gelben Zellen kann angepasst werden.</v>
      </c>
    </row>
    <row r="29" spans="1:11" ht="23.45" customHeight="1" x14ac:dyDescent="0.2">
      <c r="A29" s="62"/>
      <c r="B29" s="130" t="s">
        <v>34</v>
      </c>
      <c r="C29" s="130"/>
      <c r="D29" s="62"/>
      <c r="E29" s="62"/>
      <c r="F29" s="69">
        <f>IF(SUM(F17:F28)=0,0,SUM(F17:F28)+F14)</f>
        <v>21.3</v>
      </c>
      <c r="G29" s="62" t="s">
        <v>3</v>
      </c>
      <c r="H29" s="70" t="str">
        <f>IF(OR(COUNTIF(D17:D26,"")&gt;0,COUNTIF(F27:F28,"")&gt;0),"",SUM(H17:H28)+H14)</f>
        <v/>
      </c>
      <c r="I29" s="62" t="s">
        <v>4</v>
      </c>
      <c r="K29" s="64" t="str">
        <f>IF(H29="","Angaben offen!","")</f>
        <v>Angaben offen!</v>
      </c>
    </row>
    <row r="30" spans="1:11" ht="5.45" customHeight="1" x14ac:dyDescent="0.2">
      <c r="A30" s="61"/>
      <c r="B30" s="61"/>
      <c r="C30" s="61"/>
      <c r="D30" s="61"/>
      <c r="E30" s="61"/>
      <c r="F30" s="65"/>
      <c r="G30" s="61"/>
      <c r="H30" s="65"/>
      <c r="I30" s="61"/>
    </row>
    <row r="31" spans="1:11" x14ac:dyDescent="0.2">
      <c r="A31" s="61"/>
      <c r="B31" s="62" t="s">
        <v>35</v>
      </c>
      <c r="C31" s="61"/>
      <c r="D31" s="61"/>
      <c r="E31" s="61"/>
      <c r="F31" s="65"/>
      <c r="G31" s="61"/>
      <c r="H31" s="65"/>
      <c r="I31" s="61"/>
    </row>
    <row r="32" spans="1:11" x14ac:dyDescent="0.2">
      <c r="A32" s="61" t="s">
        <v>36</v>
      </c>
      <c r="B32" s="61" t="s">
        <v>37</v>
      </c>
      <c r="C32" s="61"/>
      <c r="D32" s="61"/>
      <c r="E32" s="61"/>
      <c r="F32" s="8"/>
      <c r="G32" s="61" t="s">
        <v>3</v>
      </c>
      <c r="H32" s="68" t="str">
        <f>IF(F32="","",ROUND(F32/100*$H$5,2))</f>
        <v/>
      </c>
      <c r="I32" s="61" t="s">
        <v>4</v>
      </c>
      <c r="K32" s="64" t="str">
        <f>IF(F32="","Bitte ausfüllen!","")</f>
        <v>Bitte ausfüllen!</v>
      </c>
    </row>
    <row r="33" spans="1:11" x14ac:dyDescent="0.2">
      <c r="A33" s="61" t="s">
        <v>38</v>
      </c>
      <c r="B33" s="61" t="s">
        <v>39</v>
      </c>
      <c r="C33" s="61"/>
      <c r="D33" s="61"/>
      <c r="E33" s="61"/>
      <c r="F33" s="8"/>
      <c r="G33" s="61" t="s">
        <v>3</v>
      </c>
      <c r="H33" s="68" t="str">
        <f>IF(F33="","",ROUND(F33/100*$H$5,2))</f>
        <v/>
      </c>
      <c r="I33" s="61" t="s">
        <v>4</v>
      </c>
      <c r="K33" s="64" t="str">
        <f>IF(F33="","Bitte ausfüllen!","")</f>
        <v>Bitte ausfüllen!</v>
      </c>
    </row>
    <row r="34" spans="1:11" ht="22.15" customHeight="1" x14ac:dyDescent="0.2">
      <c r="A34" s="62"/>
      <c r="B34" s="130" t="s">
        <v>40</v>
      </c>
      <c r="C34" s="130"/>
      <c r="D34" s="62"/>
      <c r="E34" s="62"/>
      <c r="F34" s="69">
        <f>IF(SUM(F32:F33)=0,0,SUM(F32:F33)+F29)</f>
        <v>0</v>
      </c>
      <c r="G34" s="62" t="s">
        <v>3</v>
      </c>
      <c r="H34" s="70" t="str">
        <f>IF(COUNTIF(H32:H33,"")&gt;0,"",SUM(H32:H33)+H29)</f>
        <v/>
      </c>
      <c r="I34" s="62" t="s">
        <v>4</v>
      </c>
      <c r="K34" s="64" t="str">
        <f>IF(H34="","Angaben offen!","")</f>
        <v>Angaben offen!</v>
      </c>
    </row>
    <row r="35" spans="1:11" ht="5.45" customHeight="1" x14ac:dyDescent="0.2">
      <c r="A35" s="61"/>
      <c r="B35" s="61"/>
      <c r="C35" s="61"/>
      <c r="D35" s="61"/>
      <c r="E35" s="61"/>
      <c r="F35" s="65"/>
      <c r="G35" s="61"/>
      <c r="H35" s="65"/>
      <c r="I35" s="61"/>
    </row>
    <row r="36" spans="1:11" x14ac:dyDescent="0.2">
      <c r="A36" s="62" t="s">
        <v>41</v>
      </c>
      <c r="B36" s="62" t="s">
        <v>42</v>
      </c>
      <c r="C36" s="62"/>
      <c r="D36" s="62"/>
      <c r="E36" s="62"/>
      <c r="F36" s="66"/>
      <c r="G36" s="62"/>
      <c r="H36" s="66"/>
      <c r="I36" s="62"/>
    </row>
    <row r="37" spans="1:11" x14ac:dyDescent="0.2">
      <c r="A37" s="61" t="s">
        <v>43</v>
      </c>
      <c r="B37" s="61" t="s">
        <v>44</v>
      </c>
      <c r="C37" s="61"/>
      <c r="D37" s="61"/>
      <c r="E37" s="61"/>
      <c r="F37" s="65"/>
      <c r="G37" s="61"/>
      <c r="H37" s="65"/>
      <c r="I37" s="61"/>
    </row>
    <row r="38" spans="1:11" x14ac:dyDescent="0.2">
      <c r="A38" s="61"/>
      <c r="B38" s="61" t="s">
        <v>45</v>
      </c>
      <c r="C38" s="61"/>
      <c r="D38" s="61"/>
      <c r="E38" s="61"/>
      <c r="F38" s="8"/>
      <c r="G38" s="61" t="s">
        <v>3</v>
      </c>
      <c r="H38" s="68" t="str">
        <f>IF(F38="","",ROUND(F38/100*$H$5,2))</f>
        <v/>
      </c>
      <c r="I38" s="61" t="s">
        <v>4</v>
      </c>
      <c r="K38" s="64" t="str">
        <f>IF(F38="","Bitte ausfüllen!","")</f>
        <v>Bitte ausfüllen!</v>
      </c>
    </row>
    <row r="39" spans="1:11" x14ac:dyDescent="0.2">
      <c r="A39" s="61" t="s">
        <v>46</v>
      </c>
      <c r="B39" s="61" t="s">
        <v>47</v>
      </c>
      <c r="C39" s="61"/>
      <c r="D39" s="61"/>
      <c r="E39" s="61"/>
      <c r="F39" s="8"/>
      <c r="G39" s="61" t="s">
        <v>3</v>
      </c>
      <c r="H39" s="68" t="str">
        <f>IF(F39="","",ROUND(F39/100*$H$5,2))</f>
        <v/>
      </c>
      <c r="I39" s="61" t="s">
        <v>4</v>
      </c>
      <c r="K39" s="64" t="str">
        <f>IF(F39="","Bitte ausfüllen!","")</f>
        <v>Bitte ausfüllen!</v>
      </c>
    </row>
    <row r="40" spans="1:11" x14ac:dyDescent="0.2">
      <c r="A40" s="61" t="s">
        <v>48</v>
      </c>
      <c r="B40" s="61" t="s">
        <v>49</v>
      </c>
      <c r="C40" s="61"/>
      <c r="D40" s="61"/>
      <c r="E40" s="61"/>
      <c r="F40" s="8"/>
      <c r="G40" s="61" t="s">
        <v>3</v>
      </c>
      <c r="H40" s="68" t="str">
        <f>IF(F40="","",ROUND(F40/100*$H$5,2))</f>
        <v/>
      </c>
      <c r="I40" s="61" t="s">
        <v>4</v>
      </c>
      <c r="K40" s="64" t="str">
        <f>IF(F40="","Bitte ausfüllen!","")</f>
        <v>Bitte ausfüllen!</v>
      </c>
    </row>
    <row r="41" spans="1:11" x14ac:dyDescent="0.2">
      <c r="A41" s="61" t="s">
        <v>50</v>
      </c>
      <c r="B41" s="61" t="s">
        <v>51</v>
      </c>
      <c r="C41" s="61"/>
      <c r="D41" s="61"/>
      <c r="E41" s="61"/>
      <c r="F41" s="8"/>
      <c r="G41" s="61" t="s">
        <v>3</v>
      </c>
      <c r="H41" s="68" t="str">
        <f>IF(F41="","",ROUND(F41/100*$H$5,2))</f>
        <v/>
      </c>
      <c r="I41" s="61" t="s">
        <v>4</v>
      </c>
      <c r="K41" s="64" t="str">
        <f>IF(F41="","Bitte ausfüllen!","")</f>
        <v>Bitte ausfüllen!</v>
      </c>
    </row>
    <row r="42" spans="1:11" ht="23.45" customHeight="1" x14ac:dyDescent="0.2">
      <c r="A42" s="62"/>
      <c r="B42" s="130" t="s">
        <v>52</v>
      </c>
      <c r="C42" s="130"/>
      <c r="D42" s="62"/>
      <c r="E42" s="62"/>
      <c r="F42" s="69">
        <f>IF(SUM(F38:F41)=0,0,SUM(F38:F41))</f>
        <v>0</v>
      </c>
      <c r="G42" s="62" t="s">
        <v>3</v>
      </c>
      <c r="H42" s="70" t="str">
        <f>IF(COUNTIF(H38:H41,"")&gt;0,"",SUM(H38:H41))</f>
        <v/>
      </c>
      <c r="I42" s="62" t="s">
        <v>4</v>
      </c>
      <c r="K42" s="64" t="str">
        <f>IF(H42="","Angaben offen!","")</f>
        <v>Angaben offen!</v>
      </c>
    </row>
    <row r="43" spans="1:11" ht="5.45" customHeight="1" x14ac:dyDescent="0.2">
      <c r="A43" s="61"/>
      <c r="B43" s="61"/>
      <c r="C43" s="61"/>
      <c r="D43" s="61"/>
      <c r="E43" s="61"/>
      <c r="F43" s="65"/>
      <c r="G43" s="61"/>
      <c r="H43" s="65"/>
      <c r="I43" s="61"/>
    </row>
    <row r="44" spans="1:11" x14ac:dyDescent="0.2">
      <c r="A44" s="62" t="s">
        <v>53</v>
      </c>
      <c r="B44" s="62" t="s">
        <v>54</v>
      </c>
      <c r="C44" s="62"/>
      <c r="D44" s="62"/>
      <c r="E44" s="62"/>
      <c r="F44" s="62"/>
      <c r="G44" s="62"/>
      <c r="H44" s="62"/>
      <c r="I44" s="62"/>
    </row>
    <row r="45" spans="1:11" x14ac:dyDescent="0.2">
      <c r="A45" s="61" t="s">
        <v>55</v>
      </c>
      <c r="B45" s="61" t="s">
        <v>56</v>
      </c>
      <c r="C45" s="61"/>
      <c r="D45" s="61"/>
      <c r="E45" s="61"/>
      <c r="F45" s="61"/>
      <c r="G45" s="61"/>
      <c r="H45" s="61"/>
      <c r="I45" s="61"/>
    </row>
    <row r="46" spans="1:11" x14ac:dyDescent="0.2">
      <c r="A46" s="61" t="s">
        <v>57</v>
      </c>
      <c r="B46" s="61"/>
      <c r="C46" s="61" t="s">
        <v>58</v>
      </c>
      <c r="D46" s="61"/>
      <c r="E46" s="61"/>
      <c r="F46" s="8"/>
      <c r="G46" s="61" t="s">
        <v>3</v>
      </c>
      <c r="H46" s="68" t="str">
        <f>IF(F46="","",ROUND(F46/100*$H$5,2))</f>
        <v/>
      </c>
      <c r="I46" s="61" t="s">
        <v>4</v>
      </c>
      <c r="K46" s="64" t="str">
        <f>IF(F46="","Bitte ausfüllen!","")</f>
        <v>Bitte ausfüllen!</v>
      </c>
    </row>
    <row r="47" spans="1:11" x14ac:dyDescent="0.2">
      <c r="A47" s="61" t="s">
        <v>59</v>
      </c>
      <c r="B47" s="61"/>
      <c r="C47" s="61" t="s">
        <v>119</v>
      </c>
      <c r="D47" s="61"/>
      <c r="E47" s="61"/>
      <c r="F47" s="8"/>
      <c r="G47" s="61" t="s">
        <v>3</v>
      </c>
      <c r="H47" s="68" t="str">
        <f>IF(F47="","",ROUND(F47/100*$H$5,2))</f>
        <v/>
      </c>
      <c r="I47" s="61" t="s">
        <v>4</v>
      </c>
      <c r="K47" s="64" t="str">
        <f>IF(F47="","Bitte ausfüllen!","")</f>
        <v>Bitte ausfüllen!</v>
      </c>
    </row>
    <row r="48" spans="1:11" x14ac:dyDescent="0.2">
      <c r="A48" s="61" t="s">
        <v>60</v>
      </c>
      <c r="B48" s="61" t="s">
        <v>61</v>
      </c>
      <c r="C48" s="61"/>
      <c r="D48" s="61"/>
      <c r="E48" s="61"/>
      <c r="F48" s="8"/>
      <c r="G48" s="61" t="s">
        <v>3</v>
      </c>
      <c r="H48" s="68" t="str">
        <f>IF(F48="","",ROUND(F48/100*$H$5,2))</f>
        <v/>
      </c>
      <c r="I48" s="61" t="s">
        <v>4</v>
      </c>
      <c r="K48" s="64" t="str">
        <f>IF(F48="","Bitte ausfüllen!","")</f>
        <v>Bitte ausfüllen!</v>
      </c>
    </row>
    <row r="49" spans="1:11" x14ac:dyDescent="0.2">
      <c r="A49" s="61" t="s">
        <v>62</v>
      </c>
      <c r="B49" s="61" t="s">
        <v>63</v>
      </c>
      <c r="C49" s="61"/>
      <c r="D49" s="61"/>
      <c r="E49" s="61"/>
      <c r="F49" s="61"/>
      <c r="G49" s="61"/>
      <c r="H49" s="61"/>
      <c r="I49" s="61"/>
    </row>
    <row r="50" spans="1:11" x14ac:dyDescent="0.2">
      <c r="A50" s="61" t="s">
        <v>64</v>
      </c>
      <c r="B50" s="61"/>
      <c r="C50" s="61" t="s">
        <v>65</v>
      </c>
      <c r="D50" s="61"/>
      <c r="E50" s="61"/>
      <c r="F50" s="8"/>
      <c r="G50" s="61" t="s">
        <v>3</v>
      </c>
      <c r="H50" s="68" t="str">
        <f t="shared" ref="H50:H56" si="0">IF(F50="","",ROUND(F50/100*$H$5,2))</f>
        <v/>
      </c>
      <c r="I50" s="61" t="s">
        <v>4</v>
      </c>
      <c r="K50" s="64" t="str">
        <f t="shared" ref="K50:K56" si="1">IF(F50="","Bitte ausfüllen!","")</f>
        <v>Bitte ausfüllen!</v>
      </c>
    </row>
    <row r="51" spans="1:11" x14ac:dyDescent="0.2">
      <c r="A51" s="61" t="s">
        <v>66</v>
      </c>
      <c r="B51" s="61"/>
      <c r="C51" s="61" t="s">
        <v>67</v>
      </c>
      <c r="D51" s="61"/>
      <c r="E51" s="61"/>
      <c r="F51" s="8"/>
      <c r="G51" s="61" t="s">
        <v>3</v>
      </c>
      <c r="H51" s="68" t="str">
        <f t="shared" si="0"/>
        <v/>
      </c>
      <c r="I51" s="61" t="s">
        <v>4</v>
      </c>
      <c r="K51" s="64" t="str">
        <f t="shared" si="1"/>
        <v>Bitte ausfüllen!</v>
      </c>
    </row>
    <row r="52" spans="1:11" x14ac:dyDescent="0.2">
      <c r="A52" s="61" t="s">
        <v>68</v>
      </c>
      <c r="B52" s="61" t="s">
        <v>69</v>
      </c>
      <c r="C52" s="61"/>
      <c r="D52" s="61"/>
      <c r="E52" s="61"/>
      <c r="F52" s="8"/>
      <c r="G52" s="61" t="s">
        <v>3</v>
      </c>
      <c r="H52" s="68" t="str">
        <f t="shared" si="0"/>
        <v/>
      </c>
      <c r="I52" s="61" t="s">
        <v>4</v>
      </c>
      <c r="K52" s="64" t="str">
        <f t="shared" si="1"/>
        <v>Bitte ausfüllen!</v>
      </c>
    </row>
    <row r="53" spans="1:11" x14ac:dyDescent="0.2">
      <c r="A53" s="61" t="s">
        <v>70</v>
      </c>
      <c r="B53" s="61" t="s">
        <v>71</v>
      </c>
      <c r="C53" s="61"/>
      <c r="D53" s="61"/>
      <c r="E53" s="61"/>
      <c r="F53" s="8"/>
      <c r="G53" s="61" t="s">
        <v>3</v>
      </c>
      <c r="H53" s="68" t="str">
        <f t="shared" si="0"/>
        <v/>
      </c>
      <c r="I53" s="61" t="s">
        <v>4</v>
      </c>
      <c r="K53" s="64" t="str">
        <f t="shared" si="1"/>
        <v>Bitte ausfüllen!</v>
      </c>
    </row>
    <row r="54" spans="1:11" x14ac:dyDescent="0.2">
      <c r="A54" s="61" t="s">
        <v>72</v>
      </c>
      <c r="B54" s="61" t="s">
        <v>73</v>
      </c>
      <c r="C54" s="61"/>
      <c r="D54" s="61"/>
      <c r="E54" s="61"/>
      <c r="F54" s="8"/>
      <c r="G54" s="61" t="s">
        <v>3</v>
      </c>
      <c r="H54" s="68" t="str">
        <f t="shared" si="0"/>
        <v/>
      </c>
      <c r="I54" s="61" t="s">
        <v>4</v>
      </c>
      <c r="K54" s="64" t="str">
        <f t="shared" si="1"/>
        <v>Bitte ausfüllen!</v>
      </c>
    </row>
    <row r="55" spans="1:11" x14ac:dyDescent="0.2">
      <c r="A55" s="61" t="s">
        <v>74</v>
      </c>
      <c r="B55" s="61" t="s">
        <v>75</v>
      </c>
      <c r="C55" s="61"/>
      <c r="D55" s="61"/>
      <c r="E55" s="61"/>
      <c r="F55" s="8"/>
      <c r="G55" s="61" t="s">
        <v>3</v>
      </c>
      <c r="H55" s="68" t="str">
        <f t="shared" si="0"/>
        <v/>
      </c>
      <c r="I55" s="61" t="s">
        <v>4</v>
      </c>
      <c r="K55" s="64" t="str">
        <f t="shared" si="1"/>
        <v>Bitte ausfüllen!</v>
      </c>
    </row>
    <row r="56" spans="1:11" x14ac:dyDescent="0.2">
      <c r="A56" s="61" t="s">
        <v>76</v>
      </c>
      <c r="B56" s="61" t="s">
        <v>77</v>
      </c>
      <c r="C56" s="61"/>
      <c r="D56" s="61"/>
      <c r="E56" s="61"/>
      <c r="F56" s="8"/>
      <c r="G56" s="61" t="s">
        <v>3</v>
      </c>
      <c r="H56" s="68" t="str">
        <f t="shared" si="0"/>
        <v/>
      </c>
      <c r="I56" s="61" t="s">
        <v>4</v>
      </c>
      <c r="K56" s="64" t="str">
        <f t="shared" si="1"/>
        <v>Bitte ausfüllen!</v>
      </c>
    </row>
    <row r="57" spans="1:11" ht="23.45" customHeight="1" x14ac:dyDescent="0.2">
      <c r="A57" s="62"/>
      <c r="B57" s="130" t="s">
        <v>78</v>
      </c>
      <c r="C57" s="130"/>
      <c r="D57" s="62"/>
      <c r="E57" s="62"/>
      <c r="F57" s="69">
        <f>IF(SUM(F45:F56)=0,0,SUM(F45:F56))</f>
        <v>0</v>
      </c>
      <c r="G57" s="62" t="s">
        <v>3</v>
      </c>
      <c r="H57" s="70" t="str">
        <f>IF(COUNTIF(H46:H56,"")&gt;1,"",SUM(H46:H56))</f>
        <v/>
      </c>
      <c r="I57" s="62" t="s">
        <v>4</v>
      </c>
      <c r="K57" s="64" t="str">
        <f>IF(H57="","Angaben offen!","")</f>
        <v>Angaben offen!</v>
      </c>
    </row>
    <row r="58" spans="1:11" ht="6.6" customHeight="1" x14ac:dyDescent="0.2">
      <c r="A58" s="61"/>
      <c r="B58" s="61"/>
      <c r="C58" s="61"/>
      <c r="D58" s="61"/>
      <c r="E58" s="61"/>
      <c r="F58" s="65"/>
      <c r="G58" s="61"/>
      <c r="H58" s="65"/>
      <c r="I58" s="61"/>
    </row>
    <row r="59" spans="1:11" x14ac:dyDescent="0.2">
      <c r="A59" s="62" t="s">
        <v>79</v>
      </c>
      <c r="B59" s="129" t="s">
        <v>80</v>
      </c>
      <c r="C59" s="129"/>
      <c r="D59" s="62"/>
      <c r="E59" s="62"/>
      <c r="F59" s="74">
        <f>IF(AND(F34=""),0,F34+F42+F57+F5)</f>
        <v>100</v>
      </c>
      <c r="G59" s="62" t="s">
        <v>3</v>
      </c>
      <c r="H59" s="66" t="str">
        <f>IF(H57="","",H34+H42+H57+H5)</f>
        <v/>
      </c>
      <c r="I59" s="62" t="s">
        <v>4</v>
      </c>
    </row>
    <row r="60" spans="1:11" x14ac:dyDescent="0.2">
      <c r="A60" s="62" t="s">
        <v>81</v>
      </c>
      <c r="B60" s="62" t="s">
        <v>82</v>
      </c>
      <c r="C60" s="62"/>
      <c r="D60" s="62"/>
      <c r="E60" s="62"/>
      <c r="F60" s="8"/>
      <c r="G60" s="62" t="s">
        <v>3</v>
      </c>
      <c r="H60" s="70" t="str">
        <f>IF(F60="","",ROUND(F60/100*H59,2))</f>
        <v/>
      </c>
      <c r="I60" s="62" t="s">
        <v>4</v>
      </c>
      <c r="K60" s="64" t="str">
        <f>IF(F60="","Bitte ausfüllen!","")</f>
        <v>Bitte ausfüllen!</v>
      </c>
    </row>
    <row r="61" spans="1:11" x14ac:dyDescent="0.2">
      <c r="A61" s="62"/>
      <c r="B61" s="62" t="s">
        <v>83</v>
      </c>
      <c r="C61" s="62"/>
      <c r="D61" s="62"/>
      <c r="E61" s="62"/>
      <c r="F61" s="69">
        <f ca="1">IF(H61="",0,H61/H5*100)</f>
        <v>0</v>
      </c>
      <c r="G61" s="62" t="s">
        <v>3</v>
      </c>
      <c r="H61" s="70" t="str">
        <f ca="1">IF(SUM(COUNTIF(INDIRECT({"H5","F9:F13","D17:D26","F27:F28","F32:F33","F38:F41","F46:F48","F50:F56","F60","H65:H68"}),""))&gt;0,"",H59+H60)</f>
        <v/>
      </c>
      <c r="I61" s="62" t="s">
        <v>4</v>
      </c>
      <c r="K61" s="64" t="str">
        <f ca="1">IF(SUM(COUNTIF(INDIRECT({"H5","F9:F13","D17:D26","F27:F28","F32:F33","F38:F41","F46:F48","F50:F56","F60","H65:H68"}),""))&gt;0,SUM(COUNTIF(INDIRECT({"H5","F9:F13","D17:D26","F27:F28","F32:F33","F38:F41","F46:F48","F50:F56","F60","H65:H68"}),"")) &amp;" Zelle(n) ohne Wert!","")</f>
        <v>28 Zelle(n) ohne Wert!</v>
      </c>
    </row>
    <row r="62" spans="1:11" x14ac:dyDescent="0.2">
      <c r="A62" s="61"/>
      <c r="B62" s="61" t="s">
        <v>84</v>
      </c>
      <c r="C62" s="61"/>
      <c r="D62" s="61"/>
      <c r="E62" s="61"/>
      <c r="F62" s="69">
        <f ca="1">IF(F61=0,0,F61-F5)</f>
        <v>0</v>
      </c>
      <c r="G62" s="61" t="s">
        <v>3</v>
      </c>
      <c r="H62" s="61"/>
      <c r="I62" s="61"/>
      <c r="K62" s="64" t="str">
        <f ca="1">IF(F62&lt;70,"Bitte prüfen gemäß Aufforderung!","")</f>
        <v>Bitte prüfen gemäß Aufforderung!</v>
      </c>
    </row>
    <row r="63" spans="1:11" ht="5.45" customHeight="1" x14ac:dyDescent="0.2">
      <c r="A63" s="61"/>
      <c r="B63" s="62"/>
      <c r="C63" s="61"/>
      <c r="D63" s="61"/>
      <c r="E63" s="61"/>
      <c r="F63" s="74"/>
      <c r="G63" s="61"/>
      <c r="H63" s="66"/>
    </row>
    <row r="64" spans="1:11" x14ac:dyDescent="0.2">
      <c r="B64" s="62" t="s">
        <v>85</v>
      </c>
      <c r="D64" s="62"/>
      <c r="E64" s="62"/>
      <c r="G64" s="62"/>
      <c r="H64" s="66" t="s">
        <v>86</v>
      </c>
      <c r="I64" s="62"/>
    </row>
    <row r="65" spans="1:15" x14ac:dyDescent="0.2">
      <c r="B65" s="61" t="s">
        <v>87</v>
      </c>
      <c r="D65" s="61"/>
      <c r="E65" s="61"/>
      <c r="G65" s="75"/>
      <c r="H65" s="9"/>
      <c r="I65" s="75"/>
      <c r="K65" s="64" t="str">
        <f>IF(H65="","Bitte ausfüllen!","")</f>
        <v>Bitte ausfüllen!</v>
      </c>
    </row>
    <row r="66" spans="1:15" x14ac:dyDescent="0.2">
      <c r="B66" s="61" t="s">
        <v>88</v>
      </c>
      <c r="D66" s="61"/>
      <c r="E66" s="61"/>
      <c r="G66" s="75"/>
      <c r="H66" s="10"/>
      <c r="I66" s="75"/>
      <c r="K66" s="64" t="str">
        <f>IF(H66="","Bitte ausfüllen!","")</f>
        <v>Bitte ausfüllen!</v>
      </c>
    </row>
    <row r="67" spans="1:15" x14ac:dyDescent="0.2">
      <c r="B67" s="61" t="s">
        <v>89</v>
      </c>
      <c r="D67" s="61"/>
      <c r="E67" s="61"/>
      <c r="G67" s="75"/>
      <c r="H67" s="11"/>
      <c r="I67" s="75"/>
      <c r="K67" s="64" t="str">
        <f>IF(H67="","Bitte ausfüllen!","")</f>
        <v>Bitte ausfüllen!</v>
      </c>
    </row>
    <row r="68" spans="1:15" x14ac:dyDescent="0.2">
      <c r="B68" s="61" t="s">
        <v>90</v>
      </c>
      <c r="D68" s="61"/>
      <c r="E68" s="61"/>
      <c r="G68" s="75"/>
      <c r="H68" s="10"/>
      <c r="I68" s="75"/>
      <c r="K68" s="64" t="str">
        <f>IF(H68="","Bitte ausfüllen!","")</f>
        <v>Bitte ausfüllen!</v>
      </c>
    </row>
    <row r="69" spans="1:15" ht="5.45" customHeight="1" x14ac:dyDescent="0.2"/>
    <row r="70" spans="1:15" ht="5.45" customHeight="1" x14ac:dyDescent="0.2">
      <c r="C70" s="45"/>
      <c r="D70" s="4"/>
    </row>
    <row r="71" spans="1:15" ht="15.95" customHeight="1" x14ac:dyDescent="0.2">
      <c r="A71" s="120" t="s">
        <v>187</v>
      </c>
      <c r="B71" s="120"/>
      <c r="C71" s="120"/>
      <c r="D71" s="120" t="s">
        <v>188</v>
      </c>
      <c r="F71" s="122" t="s">
        <v>132</v>
      </c>
      <c r="G71" s="123"/>
      <c r="H71" s="124"/>
      <c r="L71" s="27"/>
      <c r="M71" s="27"/>
      <c r="N71" s="27"/>
      <c r="O71" s="27"/>
    </row>
    <row r="72" spans="1:15" ht="15.95" customHeight="1" x14ac:dyDescent="0.2">
      <c r="A72" s="121"/>
      <c r="B72" s="121"/>
      <c r="C72" s="121"/>
      <c r="D72" s="121"/>
      <c r="F72" s="125"/>
      <c r="G72" s="126"/>
      <c r="H72" s="127"/>
      <c r="I72" s="62"/>
      <c r="J72" s="62"/>
      <c r="K72" s="62"/>
      <c r="L72" s="27"/>
      <c r="M72" s="27"/>
      <c r="N72" s="27"/>
      <c r="O72" s="27"/>
    </row>
    <row r="73" spans="1:15" ht="19.899999999999999" customHeight="1" x14ac:dyDescent="0.2">
      <c r="A73" s="118">
        <v>1</v>
      </c>
      <c r="B73" s="118"/>
      <c r="C73" s="12" t="s">
        <v>127</v>
      </c>
      <c r="D73" s="48">
        <v>7.3</v>
      </c>
      <c r="F73" s="119" t="s">
        <v>392</v>
      </c>
      <c r="G73" s="119"/>
      <c r="H73" s="119"/>
    </row>
    <row r="74" spans="1:15" ht="19.899999999999999" customHeight="1" x14ac:dyDescent="0.2">
      <c r="A74" s="118">
        <v>2</v>
      </c>
      <c r="B74" s="118"/>
      <c r="C74" s="12" t="s">
        <v>128</v>
      </c>
      <c r="D74" s="48">
        <v>9.3000000000000007</v>
      </c>
    </row>
    <row r="75" spans="1:15" ht="25.5" customHeight="1" x14ac:dyDescent="0.2">
      <c r="A75" s="118">
        <v>3</v>
      </c>
      <c r="B75" s="118"/>
      <c r="C75" s="12" t="s">
        <v>129</v>
      </c>
      <c r="D75" s="48">
        <v>1.3</v>
      </c>
    </row>
    <row r="76" spans="1:15" ht="25.5" customHeight="1" x14ac:dyDescent="0.2">
      <c r="A76" s="118">
        <v>4</v>
      </c>
      <c r="B76" s="118"/>
      <c r="C76" s="12" t="s">
        <v>130</v>
      </c>
      <c r="D76" s="48">
        <f>IF( F73="Sachsen",1.3,1.8)</f>
        <v>1.8</v>
      </c>
    </row>
    <row r="77" spans="1:15" ht="31.5" x14ac:dyDescent="0.2">
      <c r="A77" s="118">
        <v>5</v>
      </c>
      <c r="B77" s="118"/>
      <c r="C77" s="12" t="s">
        <v>189</v>
      </c>
      <c r="D77" s="48">
        <v>1.45</v>
      </c>
    </row>
    <row r="78" spans="1:15" ht="25.5" customHeight="1" x14ac:dyDescent="0.2">
      <c r="A78" s="118">
        <v>6</v>
      </c>
      <c r="B78" s="118"/>
      <c r="C78" s="12" t="s">
        <v>117</v>
      </c>
      <c r="D78" s="48"/>
    </row>
    <row r="79" spans="1:15" ht="25.5" customHeight="1" x14ac:dyDescent="0.2">
      <c r="A79" s="118">
        <v>7</v>
      </c>
      <c r="B79" s="118"/>
      <c r="C79" s="12" t="s">
        <v>131</v>
      </c>
      <c r="D79" s="48">
        <v>0.15</v>
      </c>
    </row>
  </sheetData>
  <sheetProtection algorithmName="SHA-512" hashValue="+xlnKBi4c+n2phaPM9mTHRBpnlWzgRiGsEfbSon8qyz888NMBeBnLJN4ww/uQpuasFFsO9OY22xUosQdRufQdQ==" saltValue="Zu0u79SGwl2nyyr9Ilx4OA=="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60" t="str">
        <f ca="1">IF(H61&lt;&gt;"","","Bitte alle gelben Zellen ausfüllen.")</f>
        <v>Bitte alle gelben Zellen ausfüllen.</v>
      </c>
      <c r="D1" s="20" t="b">
        <v>0</v>
      </c>
      <c r="E1" s="108"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08"/>
      <c r="G1" s="108"/>
      <c r="H1" s="108"/>
      <c r="I1" s="108"/>
      <c r="K1" s="5" t="s">
        <v>100</v>
      </c>
    </row>
    <row r="2" spans="1:11" ht="34.5" customHeight="1" x14ac:dyDescent="0.2">
      <c r="A2" s="3" t="s">
        <v>103</v>
      </c>
      <c r="C2" s="4" t="str">
        <f>IF(Inhaltsverzeichnis!$C$3="", "",Inhaltsverzeichnis!$C$3)</f>
        <v/>
      </c>
      <c r="D2" s="20" t="b">
        <v>0</v>
      </c>
      <c r="E2" s="108"/>
      <c r="F2" s="108"/>
      <c r="G2" s="108"/>
      <c r="H2" s="108"/>
      <c r="I2" s="108"/>
    </row>
    <row r="3" spans="1:11" s="2" customFormat="1" ht="12.75" x14ac:dyDescent="0.2">
      <c r="A3" s="128" t="s">
        <v>101</v>
      </c>
      <c r="B3" s="128"/>
      <c r="C3" s="128"/>
      <c r="D3" s="128"/>
      <c r="E3" s="128"/>
      <c r="F3" s="128"/>
      <c r="G3" s="128"/>
      <c r="H3" s="128"/>
      <c r="I3" s="128"/>
    </row>
    <row r="4" spans="1:11" x14ac:dyDescent="0.2">
      <c r="A4" s="61"/>
      <c r="B4" s="61"/>
      <c r="C4" s="61"/>
      <c r="D4" s="61"/>
      <c r="E4" s="61"/>
      <c r="F4" s="61"/>
      <c r="G4" s="61"/>
      <c r="H4" s="61"/>
      <c r="I4" s="61"/>
    </row>
    <row r="5" spans="1:11" ht="15" customHeight="1" x14ac:dyDescent="0.2">
      <c r="A5" s="62" t="s">
        <v>1</v>
      </c>
      <c r="B5" s="62" t="s">
        <v>2</v>
      </c>
      <c r="C5" s="62"/>
      <c r="D5" s="62"/>
      <c r="E5" s="62"/>
      <c r="F5" s="63">
        <v>100</v>
      </c>
      <c r="G5" s="62" t="s">
        <v>3</v>
      </c>
      <c r="H5" s="7">
        <v>15</v>
      </c>
      <c r="I5" s="62" t="s">
        <v>4</v>
      </c>
      <c r="K5" s="64"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1"/>
      <c r="B6" s="61"/>
      <c r="C6" s="61"/>
      <c r="D6" s="61"/>
      <c r="E6" s="61"/>
      <c r="F6" s="65"/>
      <c r="G6" s="61"/>
      <c r="H6" s="65"/>
      <c r="I6" s="61"/>
    </row>
    <row r="7" spans="1:11" x14ac:dyDescent="0.2">
      <c r="A7" s="62" t="s">
        <v>5</v>
      </c>
      <c r="B7" s="62" t="s">
        <v>6</v>
      </c>
      <c r="C7" s="62"/>
      <c r="D7" s="62"/>
      <c r="E7" s="62"/>
      <c r="F7" s="66"/>
      <c r="G7" s="62"/>
      <c r="H7" s="66"/>
      <c r="I7" s="62"/>
    </row>
    <row r="8" spans="1:11" ht="14.25" x14ac:dyDescent="0.2">
      <c r="A8" s="61" t="s">
        <v>7</v>
      </c>
      <c r="B8" s="61" t="s">
        <v>8</v>
      </c>
      <c r="C8" s="61"/>
      <c r="D8" s="61"/>
      <c r="E8" s="61"/>
      <c r="F8" s="66"/>
      <c r="G8" s="66"/>
      <c r="H8" s="66"/>
      <c r="I8" s="66"/>
      <c r="K8" s="67"/>
    </row>
    <row r="9" spans="1:11" x14ac:dyDescent="0.2">
      <c r="A9" s="61" t="s">
        <v>9</v>
      </c>
      <c r="B9" s="61"/>
      <c r="C9" s="61" t="s">
        <v>10</v>
      </c>
      <c r="D9" s="61"/>
      <c r="E9" s="61"/>
      <c r="F9" s="8"/>
      <c r="G9" s="61" t="s">
        <v>3</v>
      </c>
      <c r="H9" s="68" t="str">
        <f>IF(F9="","",ROUND(F9/100*$H$5,2))</f>
        <v/>
      </c>
      <c r="I9" s="61" t="s">
        <v>4</v>
      </c>
      <c r="K9" s="64" t="str">
        <f>IF(F9="","Bitte ausfüllen!","")</f>
        <v>Bitte ausfüllen!</v>
      </c>
    </row>
    <row r="10" spans="1:11" x14ac:dyDescent="0.2">
      <c r="A10" s="61" t="s">
        <v>11</v>
      </c>
      <c r="B10" s="61"/>
      <c r="C10" s="61" t="s">
        <v>12</v>
      </c>
      <c r="D10" s="61"/>
      <c r="E10" s="61"/>
      <c r="F10" s="8"/>
      <c r="G10" s="61" t="s">
        <v>3</v>
      </c>
      <c r="H10" s="68" t="str">
        <f>IF(F10="","",ROUND(F10/100*$H$5,2))</f>
        <v/>
      </c>
      <c r="I10" s="61" t="s">
        <v>4</v>
      </c>
      <c r="K10" s="64" t="str">
        <f>IF(F10="","Bitte ausfüllen!","")</f>
        <v>Bitte ausfüllen!</v>
      </c>
    </row>
    <row r="11" spans="1:11" x14ac:dyDescent="0.2">
      <c r="A11" s="61" t="s">
        <v>13</v>
      </c>
      <c r="B11" s="61"/>
      <c r="C11" s="61" t="s">
        <v>14</v>
      </c>
      <c r="D11" s="61"/>
      <c r="E11" s="61"/>
      <c r="F11" s="8"/>
      <c r="G11" s="61" t="s">
        <v>3</v>
      </c>
      <c r="H11" s="68" t="str">
        <f>IF(F11="","",ROUND(F11/100*$H$5,2))</f>
        <v/>
      </c>
      <c r="I11" s="61" t="s">
        <v>4</v>
      </c>
      <c r="K11" s="64" t="str">
        <f>IF(F11="","Bitte ausfüllen!","")</f>
        <v>Bitte ausfüllen!</v>
      </c>
    </row>
    <row r="12" spans="1:11" x14ac:dyDescent="0.2">
      <c r="A12" s="61" t="s">
        <v>15</v>
      </c>
      <c r="B12" s="61"/>
      <c r="C12" s="61" t="s">
        <v>16</v>
      </c>
      <c r="D12" s="61"/>
      <c r="E12" s="61"/>
      <c r="F12" s="8"/>
      <c r="G12" s="61" t="s">
        <v>3</v>
      </c>
      <c r="H12" s="68" t="str">
        <f>IF(F12="","",ROUND(F12/100*$H$5,2))</f>
        <v/>
      </c>
      <c r="I12" s="61" t="s">
        <v>4</v>
      </c>
      <c r="K12" s="64" t="str">
        <f>IF(F12="","Bitte ausfüllen!","")</f>
        <v>Bitte ausfüllen!</v>
      </c>
    </row>
    <row r="13" spans="1:11" x14ac:dyDescent="0.2">
      <c r="A13" s="61" t="s">
        <v>17</v>
      </c>
      <c r="B13" s="61"/>
      <c r="C13" s="61" t="s">
        <v>18</v>
      </c>
      <c r="D13" s="61"/>
      <c r="E13" s="61"/>
      <c r="F13" s="8"/>
      <c r="G13" s="61" t="s">
        <v>3</v>
      </c>
      <c r="H13" s="68" t="str">
        <f>IF(F13="","",ROUND(F13/100*$H$5,2))</f>
        <v/>
      </c>
      <c r="I13" s="61" t="s">
        <v>4</v>
      </c>
      <c r="K13" s="64" t="str">
        <f>IF(F13="","Bitte ausfüllen!","")</f>
        <v>Bitte ausfüllen!</v>
      </c>
    </row>
    <row r="14" spans="1:11" x14ac:dyDescent="0.2">
      <c r="A14" s="62"/>
      <c r="B14" s="62" t="s">
        <v>19</v>
      </c>
      <c r="C14" s="62"/>
      <c r="D14" s="62"/>
      <c r="E14" s="62"/>
      <c r="F14" s="69">
        <f>IF(SUM(F9:F13)=0,0,SUM(F9:F13))</f>
        <v>0</v>
      </c>
      <c r="G14" s="62" t="s">
        <v>3</v>
      </c>
      <c r="H14" s="70" t="str">
        <f>IF(COUNTIF(F9:F13,"")&gt;0,"",SUM(H8:H13))</f>
        <v/>
      </c>
      <c r="I14" s="62" t="s">
        <v>4</v>
      </c>
      <c r="K14" s="64" t="str">
        <f>IF(H14="","Angaben offen!","")</f>
        <v>Angaben offen!</v>
      </c>
    </row>
    <row r="15" spans="1:11" x14ac:dyDescent="0.2">
      <c r="A15" s="61"/>
      <c r="B15" s="61"/>
      <c r="C15" s="61"/>
      <c r="D15" s="61"/>
      <c r="E15" s="61"/>
      <c r="F15" s="65"/>
      <c r="G15" s="61"/>
      <c r="H15" s="65"/>
      <c r="I15" s="61"/>
    </row>
    <row r="16" spans="1:11" x14ac:dyDescent="0.2">
      <c r="A16" s="62" t="s">
        <v>20</v>
      </c>
      <c r="B16" s="62" t="s">
        <v>21</v>
      </c>
      <c r="C16" s="62"/>
      <c r="D16" s="62"/>
      <c r="E16" s="62"/>
      <c r="F16" s="66"/>
      <c r="G16" s="62"/>
      <c r="H16" s="66"/>
      <c r="I16" s="62"/>
    </row>
    <row r="17" spans="1:14" ht="11.25" x14ac:dyDescent="0.2">
      <c r="A17" s="61" t="s">
        <v>22</v>
      </c>
      <c r="B17" s="61" t="s">
        <v>120</v>
      </c>
      <c r="C17" s="61"/>
      <c r="D17" s="8">
        <f>D73+D77</f>
        <v>8.75</v>
      </c>
      <c r="E17" s="61" t="s">
        <v>3</v>
      </c>
      <c r="F17" s="65"/>
      <c r="G17" s="61"/>
      <c r="H17" s="65"/>
      <c r="I17" s="61"/>
      <c r="K17" s="64" t="str">
        <f ca="1">IF(D17&lt;(D73+D77),"Wert prüfen!",IF(H61="","Inhalt der gelben Zellen kann angepasst werden.",""))</f>
        <v>Inhalt der gelben Zellen kann angepasst werden.</v>
      </c>
    </row>
    <row r="18" spans="1:14" x14ac:dyDescent="0.2">
      <c r="A18" s="61"/>
      <c r="B18" s="61" t="s">
        <v>23</v>
      </c>
      <c r="C18" s="61"/>
      <c r="D18" s="71">
        <f>(D17/100)*$F$14</f>
        <v>0</v>
      </c>
      <c r="E18" s="61" t="s">
        <v>3</v>
      </c>
      <c r="F18" s="72">
        <f>IF(D18="","",D17+D18)</f>
        <v>8.75</v>
      </c>
      <c r="G18" s="61" t="s">
        <v>3</v>
      </c>
      <c r="H18" s="68">
        <f>IF(D18="","",ROUND(F18/100*$H$5,2))</f>
        <v>1.31</v>
      </c>
      <c r="I18" s="61" t="s">
        <v>4</v>
      </c>
      <c r="K18" s="64"/>
    </row>
    <row r="19" spans="1:14" ht="11.25" x14ac:dyDescent="0.2">
      <c r="A19" s="61" t="s">
        <v>24</v>
      </c>
      <c r="B19" s="61" t="s">
        <v>121</v>
      </c>
      <c r="C19" s="61"/>
      <c r="D19" s="8">
        <f>D74</f>
        <v>9.3000000000000007</v>
      </c>
      <c r="E19" s="61" t="s">
        <v>3</v>
      </c>
      <c r="F19" s="73"/>
      <c r="G19" s="61"/>
      <c r="H19" s="65"/>
      <c r="I19" s="61"/>
      <c r="K19" s="64" t="str">
        <f ca="1">IF(D19&lt;&gt;D74,"Wert prüfen!",IF(H61="","Inhalt der gelben Zellen kann angepasst werden.",""))</f>
        <v>Inhalt der gelben Zellen kann angepasst werden.</v>
      </c>
    </row>
    <row r="20" spans="1:14" x14ac:dyDescent="0.2">
      <c r="A20" s="61"/>
      <c r="B20" s="61" t="s">
        <v>25</v>
      </c>
      <c r="C20" s="61"/>
      <c r="D20" s="71">
        <f>(D19/100)*$F$14</f>
        <v>0</v>
      </c>
      <c r="E20" s="61" t="s">
        <v>3</v>
      </c>
      <c r="F20" s="72">
        <f>IF(D20="","",D19+D20)</f>
        <v>9.3000000000000007</v>
      </c>
      <c r="G20" s="61" t="s">
        <v>3</v>
      </c>
      <c r="H20" s="68">
        <f>IF(D20="","",ROUND(F20/100*$H$5,2))</f>
        <v>1.4</v>
      </c>
      <c r="I20" s="61" t="s">
        <v>4</v>
      </c>
      <c r="K20" s="64"/>
    </row>
    <row r="21" spans="1:14" ht="11.25" x14ac:dyDescent="0.2">
      <c r="A21" s="61" t="s">
        <v>26</v>
      </c>
      <c r="B21" s="61" t="s">
        <v>122</v>
      </c>
      <c r="C21" s="61"/>
      <c r="D21" s="8">
        <f>D75</f>
        <v>1.3</v>
      </c>
      <c r="E21" s="61" t="s">
        <v>3</v>
      </c>
      <c r="F21" s="73"/>
      <c r="G21" s="61"/>
      <c r="H21" s="65"/>
      <c r="I21" s="61"/>
      <c r="K21" s="64" t="str">
        <f ca="1">IF(D21&lt;&gt;D75,"Wert prüfen!",IF(H61="","Inhalt der gelben Zellen kann angepasst werden.",""))</f>
        <v>Inhalt der gelben Zellen kann angepasst werden.</v>
      </c>
    </row>
    <row r="22" spans="1:14" x14ac:dyDescent="0.2">
      <c r="A22" s="61"/>
      <c r="B22" s="61" t="s">
        <v>27</v>
      </c>
      <c r="C22" s="61"/>
      <c r="D22" s="71">
        <f>(D21/100)*$F$14</f>
        <v>0</v>
      </c>
      <c r="E22" s="61" t="s">
        <v>3</v>
      </c>
      <c r="F22" s="72">
        <f>IF(D22="","",D21+D22)</f>
        <v>1.3</v>
      </c>
      <c r="G22" s="61" t="s">
        <v>3</v>
      </c>
      <c r="H22" s="68">
        <f>IF(D22="","",ROUND(F22/100*$H$5,2))</f>
        <v>0.2</v>
      </c>
      <c r="I22" s="61" t="s">
        <v>4</v>
      </c>
      <c r="K22" s="64"/>
    </row>
    <row r="23" spans="1:14" ht="11.25" x14ac:dyDescent="0.2">
      <c r="A23" s="61" t="s">
        <v>28</v>
      </c>
      <c r="B23" s="61" t="s">
        <v>123</v>
      </c>
      <c r="C23" s="61"/>
      <c r="D23" s="8">
        <f>D76</f>
        <v>1.8</v>
      </c>
      <c r="E23" s="61" t="s">
        <v>3</v>
      </c>
      <c r="F23" s="73"/>
      <c r="G23" s="61"/>
      <c r="H23" s="65"/>
      <c r="I23" s="61"/>
      <c r="K23" s="64" t="str">
        <f ca="1">IF(D23&lt;&gt;D76,"Wert prüfen!",IF(H61="","Inhalt der gelben Zellen kann angepasst werden.",""))</f>
        <v>Inhalt der gelben Zellen kann angepasst werden.</v>
      </c>
      <c r="L23" s="19"/>
      <c r="M23" s="19"/>
      <c r="N23" s="19"/>
    </row>
    <row r="24" spans="1:14" x14ac:dyDescent="0.2">
      <c r="A24" s="61"/>
      <c r="B24" s="61" t="s">
        <v>29</v>
      </c>
      <c r="C24" s="61"/>
      <c r="D24" s="71">
        <f>(D23/100)*$F$14</f>
        <v>0</v>
      </c>
      <c r="E24" s="61" t="s">
        <v>3</v>
      </c>
      <c r="F24" s="72">
        <f>IF(D24="","",D23+D24)</f>
        <v>1.8</v>
      </c>
      <c r="G24" s="61" t="s">
        <v>3</v>
      </c>
      <c r="H24" s="68">
        <f>IF(D24="","",ROUND(F24/100*$H$5,2))</f>
        <v>0.27</v>
      </c>
      <c r="I24" s="61" t="s">
        <v>4</v>
      </c>
      <c r="K24" s="64"/>
    </row>
    <row r="25" spans="1:14" ht="11.25" x14ac:dyDescent="0.2">
      <c r="A25" s="61" t="s">
        <v>30</v>
      </c>
      <c r="B25" s="61" t="s">
        <v>124</v>
      </c>
      <c r="C25" s="61"/>
      <c r="D25" s="8"/>
      <c r="E25" s="61" t="s">
        <v>3</v>
      </c>
      <c r="F25" s="73"/>
      <c r="G25" s="61"/>
      <c r="H25" s="65"/>
      <c r="I25" s="61"/>
      <c r="K25" s="64" t="str">
        <f>IF(D25="","Bitte ausfüllen!","")</f>
        <v>Bitte ausfüllen!</v>
      </c>
    </row>
    <row r="26" spans="1:14" x14ac:dyDescent="0.2">
      <c r="A26" s="61"/>
      <c r="B26" s="61" t="s">
        <v>31</v>
      </c>
      <c r="C26" s="61"/>
      <c r="D26" s="71">
        <f>(D25/100)*$F$14</f>
        <v>0</v>
      </c>
      <c r="E26" s="61" t="s">
        <v>3</v>
      </c>
      <c r="F26" s="72">
        <f>IF(D26="","",D25+D26)</f>
        <v>0</v>
      </c>
      <c r="G26" s="61" t="s">
        <v>3</v>
      </c>
      <c r="H26" s="68">
        <f>IF(D26="","",ROUND(F26/100*$H$5,2))</f>
        <v>0</v>
      </c>
      <c r="I26" s="61" t="s">
        <v>4</v>
      </c>
      <c r="K26" s="64"/>
    </row>
    <row r="27" spans="1:14" ht="11.25" x14ac:dyDescent="0.2">
      <c r="A27" s="61" t="s">
        <v>32</v>
      </c>
      <c r="B27" s="61" t="s">
        <v>125</v>
      </c>
      <c r="C27" s="61"/>
      <c r="D27" s="61"/>
      <c r="E27" s="61"/>
      <c r="F27" s="8"/>
      <c r="G27" s="61" t="s">
        <v>3</v>
      </c>
      <c r="H27" s="68" t="str">
        <f>IF(F27="","",ROUND(F27/100*$H$5,2))</f>
        <v/>
      </c>
      <c r="I27" s="61" t="s">
        <v>4</v>
      </c>
      <c r="K27" s="64" t="str">
        <f>IF(F27="","Bitte ausfüllen!","")</f>
        <v>Bitte ausfüllen!</v>
      </c>
    </row>
    <row r="28" spans="1:14" ht="11.25" x14ac:dyDescent="0.2">
      <c r="A28" s="61" t="s">
        <v>33</v>
      </c>
      <c r="B28" s="61" t="s">
        <v>126</v>
      </c>
      <c r="C28" s="61"/>
      <c r="D28" s="61"/>
      <c r="E28" s="61"/>
      <c r="F28" s="8">
        <f>D79</f>
        <v>0.15</v>
      </c>
      <c r="G28" s="61" t="s">
        <v>3</v>
      </c>
      <c r="H28" s="68">
        <f>IF(F28="","",ROUND(F28/100*$H$5,2))</f>
        <v>0.02</v>
      </c>
      <c r="I28" s="61" t="s">
        <v>4</v>
      </c>
      <c r="K28" s="64" t="str">
        <f ca="1">IF(F28&lt;&gt;D79,"Wert prüfen!",IF(H61="","Inhalt der gelben Zellen kann angepasst werden.",""))</f>
        <v>Inhalt der gelben Zellen kann angepasst werden.</v>
      </c>
    </row>
    <row r="29" spans="1:14" ht="25.5" customHeight="1" x14ac:dyDescent="0.2">
      <c r="A29" s="62"/>
      <c r="B29" s="130" t="s">
        <v>34</v>
      </c>
      <c r="C29" s="130"/>
      <c r="D29" s="62"/>
      <c r="E29" s="62"/>
      <c r="F29" s="69">
        <f>IF(SUM(F17:F28)=0,0,SUM(F17:F28)+F14)</f>
        <v>21.3</v>
      </c>
      <c r="G29" s="62" t="s">
        <v>3</v>
      </c>
      <c r="H29" s="70" t="str">
        <f>IF(OR(COUNTIF(D17:D26,"")&gt;0,COUNTIF(F27:F28,"")&gt;0),"",SUM(H17:H28)+H14)</f>
        <v/>
      </c>
      <c r="I29" s="62" t="s">
        <v>4</v>
      </c>
      <c r="K29" s="64" t="str">
        <f>IF(H29="","Angaben offen!","")</f>
        <v>Angaben offen!</v>
      </c>
    </row>
    <row r="30" spans="1:14" x14ac:dyDescent="0.2">
      <c r="A30" s="61"/>
      <c r="B30" s="61"/>
      <c r="C30" s="61"/>
      <c r="D30" s="61"/>
      <c r="E30" s="61"/>
      <c r="F30" s="65"/>
      <c r="G30" s="61"/>
      <c r="H30" s="65"/>
      <c r="I30" s="61"/>
    </row>
    <row r="31" spans="1:14" x14ac:dyDescent="0.2">
      <c r="A31" s="61"/>
      <c r="B31" s="62" t="s">
        <v>35</v>
      </c>
      <c r="C31" s="61"/>
      <c r="D31" s="61"/>
      <c r="E31" s="61"/>
      <c r="F31" s="65"/>
      <c r="G31" s="61"/>
      <c r="H31" s="65"/>
      <c r="I31" s="61"/>
    </row>
    <row r="32" spans="1:14" x14ac:dyDescent="0.2">
      <c r="A32" s="61" t="s">
        <v>36</v>
      </c>
      <c r="B32" s="61" t="s">
        <v>37</v>
      </c>
      <c r="C32" s="61"/>
      <c r="D32" s="61"/>
      <c r="E32" s="61"/>
      <c r="F32" s="8"/>
      <c r="G32" s="61" t="s">
        <v>3</v>
      </c>
      <c r="H32" s="68" t="str">
        <f>IF(F32="","",ROUND(F32/100*$H$5,2))</f>
        <v/>
      </c>
      <c r="I32" s="61" t="s">
        <v>4</v>
      </c>
      <c r="K32" s="64" t="str">
        <f>IF(F32="","Bitte ausfüllen!","")</f>
        <v>Bitte ausfüllen!</v>
      </c>
    </row>
    <row r="33" spans="1:11" x14ac:dyDescent="0.2">
      <c r="A33" s="61" t="s">
        <v>38</v>
      </c>
      <c r="B33" s="61" t="s">
        <v>39</v>
      </c>
      <c r="C33" s="61"/>
      <c r="D33" s="61"/>
      <c r="E33" s="61"/>
      <c r="F33" s="8"/>
      <c r="G33" s="61" t="s">
        <v>3</v>
      </c>
      <c r="H33" s="68" t="str">
        <f>IF(F33="","",ROUND(F33/100*$H$5,2))</f>
        <v/>
      </c>
      <c r="I33" s="61" t="s">
        <v>4</v>
      </c>
      <c r="K33" s="64" t="str">
        <f>IF(F33="","Bitte ausfüllen!","")</f>
        <v>Bitte ausfüllen!</v>
      </c>
    </row>
    <row r="34" spans="1:11" ht="25.5" customHeight="1" x14ac:dyDescent="0.2">
      <c r="A34" s="62"/>
      <c r="B34" s="130" t="s">
        <v>40</v>
      </c>
      <c r="C34" s="130"/>
      <c r="D34" s="62"/>
      <c r="E34" s="62"/>
      <c r="F34" s="69">
        <f>IF(SUM(F32:F33)=0,0,SUM(F32:F33)+F29)</f>
        <v>0</v>
      </c>
      <c r="G34" s="62" t="s">
        <v>3</v>
      </c>
      <c r="H34" s="70" t="str">
        <f>IF(COUNTIF(H32:H33,"")&gt;0,"",SUM(H32:H33)+H29)</f>
        <v/>
      </c>
      <c r="I34" s="62" t="s">
        <v>4</v>
      </c>
      <c r="K34" s="64" t="str">
        <f>IF(H34="","Angaben offen!","")</f>
        <v>Angaben offen!</v>
      </c>
    </row>
    <row r="35" spans="1:11" x14ac:dyDescent="0.2">
      <c r="A35" s="61"/>
      <c r="B35" s="61"/>
      <c r="C35" s="61"/>
      <c r="D35" s="61"/>
      <c r="E35" s="61"/>
      <c r="F35" s="65"/>
      <c r="G35" s="61"/>
      <c r="H35" s="65"/>
      <c r="I35" s="61"/>
    </row>
    <row r="36" spans="1:11" x14ac:dyDescent="0.2">
      <c r="A36" s="62" t="s">
        <v>41</v>
      </c>
      <c r="B36" s="62" t="s">
        <v>42</v>
      </c>
      <c r="C36" s="62"/>
      <c r="D36" s="62"/>
      <c r="E36" s="62"/>
      <c r="F36" s="66"/>
      <c r="G36" s="62"/>
      <c r="H36" s="66"/>
      <c r="I36" s="62"/>
    </row>
    <row r="37" spans="1:11" x14ac:dyDescent="0.2">
      <c r="A37" s="61" t="s">
        <v>43</v>
      </c>
      <c r="B37" s="61" t="s">
        <v>44</v>
      </c>
      <c r="C37" s="61"/>
      <c r="D37" s="61"/>
      <c r="E37" s="61"/>
      <c r="F37" s="65"/>
      <c r="G37" s="61"/>
      <c r="H37" s="65"/>
      <c r="I37" s="61"/>
    </row>
    <row r="38" spans="1:11" x14ac:dyDescent="0.2">
      <c r="A38" s="61"/>
      <c r="B38" s="61" t="s">
        <v>45</v>
      </c>
      <c r="C38" s="61"/>
      <c r="D38" s="61"/>
      <c r="E38" s="61"/>
      <c r="F38" s="8"/>
      <c r="G38" s="61" t="s">
        <v>3</v>
      </c>
      <c r="H38" s="68" t="str">
        <f>IF(F38="","",ROUND(F38/100*$H$5,2))</f>
        <v/>
      </c>
      <c r="I38" s="61" t="s">
        <v>4</v>
      </c>
      <c r="K38" s="64" t="str">
        <f>IF(F38="","Bitte ausfüllen!","")</f>
        <v>Bitte ausfüllen!</v>
      </c>
    </row>
    <row r="39" spans="1:11" x14ac:dyDescent="0.2">
      <c r="A39" s="61" t="s">
        <v>46</v>
      </c>
      <c r="B39" s="61" t="s">
        <v>47</v>
      </c>
      <c r="C39" s="61"/>
      <c r="D39" s="61"/>
      <c r="E39" s="61"/>
      <c r="F39" s="8"/>
      <c r="G39" s="61" t="s">
        <v>3</v>
      </c>
      <c r="H39" s="68" t="str">
        <f>IF(F39="","",ROUND(F39/100*$H$5,2))</f>
        <v/>
      </c>
      <c r="I39" s="61" t="s">
        <v>4</v>
      </c>
      <c r="K39" s="64" t="str">
        <f>IF(F39="","Bitte ausfüllen!","")</f>
        <v>Bitte ausfüllen!</v>
      </c>
    </row>
    <row r="40" spans="1:11" x14ac:dyDescent="0.2">
      <c r="A40" s="61" t="s">
        <v>48</v>
      </c>
      <c r="B40" s="61" t="s">
        <v>49</v>
      </c>
      <c r="C40" s="61"/>
      <c r="D40" s="61"/>
      <c r="E40" s="61"/>
      <c r="F40" s="8"/>
      <c r="G40" s="61" t="s">
        <v>3</v>
      </c>
      <c r="H40" s="68" t="str">
        <f>IF(F40="","",ROUND(F40/100*$H$5,2))</f>
        <v/>
      </c>
      <c r="I40" s="61" t="s">
        <v>4</v>
      </c>
      <c r="K40" s="64" t="str">
        <f>IF(F40="","Bitte ausfüllen!","")</f>
        <v>Bitte ausfüllen!</v>
      </c>
    </row>
    <row r="41" spans="1:11" x14ac:dyDescent="0.2">
      <c r="A41" s="61" t="s">
        <v>50</v>
      </c>
      <c r="B41" s="61" t="s">
        <v>51</v>
      </c>
      <c r="C41" s="61"/>
      <c r="D41" s="61"/>
      <c r="E41" s="61"/>
      <c r="F41" s="8"/>
      <c r="G41" s="61" t="s">
        <v>3</v>
      </c>
      <c r="H41" s="68" t="str">
        <f>IF(F41="","",ROUND(F41/100*$H$5,2))</f>
        <v/>
      </c>
      <c r="I41" s="61" t="s">
        <v>4</v>
      </c>
      <c r="K41" s="64" t="str">
        <f>IF(F41="","Bitte ausfüllen!","")</f>
        <v>Bitte ausfüllen!</v>
      </c>
    </row>
    <row r="42" spans="1:11" ht="25.5" customHeight="1" x14ac:dyDescent="0.2">
      <c r="A42" s="62"/>
      <c r="B42" s="130" t="s">
        <v>52</v>
      </c>
      <c r="C42" s="130"/>
      <c r="D42" s="62"/>
      <c r="E42" s="62"/>
      <c r="F42" s="69">
        <f>IF(SUM(F38:F41)=0,0,SUM(F38:F41))</f>
        <v>0</v>
      </c>
      <c r="G42" s="62" t="s">
        <v>3</v>
      </c>
      <c r="H42" s="70" t="str">
        <f>IF(COUNTIF(H38:H41,"")&gt;0,"",SUM(H38:H41))</f>
        <v/>
      </c>
      <c r="I42" s="62" t="s">
        <v>4</v>
      </c>
      <c r="K42" s="64" t="str">
        <f>IF(H42="","Angaben offen!","")</f>
        <v>Angaben offen!</v>
      </c>
    </row>
    <row r="43" spans="1:11" x14ac:dyDescent="0.2">
      <c r="A43" s="61"/>
      <c r="B43" s="61"/>
      <c r="C43" s="61"/>
      <c r="D43" s="61"/>
      <c r="E43" s="61"/>
      <c r="F43" s="65"/>
      <c r="G43" s="61"/>
      <c r="H43" s="65"/>
      <c r="I43" s="61"/>
    </row>
    <row r="44" spans="1:11" x14ac:dyDescent="0.2">
      <c r="A44" s="62" t="s">
        <v>53</v>
      </c>
      <c r="B44" s="62" t="s">
        <v>54</v>
      </c>
      <c r="C44" s="62"/>
      <c r="D44" s="62"/>
      <c r="E44" s="62"/>
      <c r="F44" s="62"/>
      <c r="G44" s="62"/>
      <c r="H44" s="62"/>
      <c r="I44" s="62"/>
    </row>
    <row r="45" spans="1:11" x14ac:dyDescent="0.2">
      <c r="A45" s="61" t="s">
        <v>55</v>
      </c>
      <c r="B45" s="61" t="s">
        <v>56</v>
      </c>
      <c r="C45" s="61"/>
      <c r="D45" s="61"/>
      <c r="E45" s="61"/>
      <c r="F45" s="61"/>
      <c r="G45" s="61"/>
      <c r="H45" s="61"/>
      <c r="I45" s="61"/>
    </row>
    <row r="46" spans="1:11" x14ac:dyDescent="0.2">
      <c r="A46" s="61" t="s">
        <v>57</v>
      </c>
      <c r="B46" s="61"/>
      <c r="C46" s="61" t="s">
        <v>58</v>
      </c>
      <c r="D46" s="61"/>
      <c r="E46" s="61"/>
      <c r="F46" s="8"/>
      <c r="G46" s="61" t="s">
        <v>3</v>
      </c>
      <c r="H46" s="68" t="str">
        <f>IF(F46="","",ROUND(F46/100*$H$5,2))</f>
        <v/>
      </c>
      <c r="I46" s="61" t="s">
        <v>4</v>
      </c>
      <c r="K46" s="64" t="str">
        <f>IF(F46="","Bitte ausfüllen!","")</f>
        <v>Bitte ausfüllen!</v>
      </c>
    </row>
    <row r="47" spans="1:11" x14ac:dyDescent="0.2">
      <c r="A47" s="61" t="s">
        <v>59</v>
      </c>
      <c r="B47" s="61"/>
      <c r="C47" s="61" t="s">
        <v>119</v>
      </c>
      <c r="D47" s="61"/>
      <c r="E47" s="61"/>
      <c r="F47" s="8"/>
      <c r="G47" s="61" t="s">
        <v>3</v>
      </c>
      <c r="H47" s="68" t="str">
        <f>IF(F47="","",ROUND(F47/100*$H$5,2))</f>
        <v/>
      </c>
      <c r="I47" s="61" t="s">
        <v>4</v>
      </c>
      <c r="K47" s="64" t="str">
        <f>IF(F47="","Bitte ausfüllen!","")</f>
        <v>Bitte ausfüllen!</v>
      </c>
    </row>
    <row r="48" spans="1:11" x14ac:dyDescent="0.2">
      <c r="A48" s="61" t="s">
        <v>60</v>
      </c>
      <c r="B48" s="61" t="s">
        <v>61</v>
      </c>
      <c r="C48" s="61"/>
      <c r="D48" s="61"/>
      <c r="E48" s="61"/>
      <c r="F48" s="8"/>
      <c r="G48" s="61" t="s">
        <v>3</v>
      </c>
      <c r="H48" s="68" t="str">
        <f>IF(F48="","",ROUND(F48/100*$H$5,2))</f>
        <v/>
      </c>
      <c r="I48" s="61" t="s">
        <v>4</v>
      </c>
      <c r="K48" s="64" t="str">
        <f>IF(F48="","Bitte ausfüllen!","")</f>
        <v>Bitte ausfüllen!</v>
      </c>
    </row>
    <row r="49" spans="1:11" x14ac:dyDescent="0.2">
      <c r="A49" s="61" t="s">
        <v>62</v>
      </c>
      <c r="B49" s="61" t="s">
        <v>63</v>
      </c>
      <c r="C49" s="61"/>
      <c r="D49" s="61"/>
      <c r="E49" s="61"/>
      <c r="F49" s="61"/>
      <c r="G49" s="61"/>
      <c r="H49" s="61"/>
      <c r="I49" s="61"/>
    </row>
    <row r="50" spans="1:11" x14ac:dyDescent="0.2">
      <c r="A50" s="61" t="s">
        <v>64</v>
      </c>
      <c r="B50" s="61"/>
      <c r="C50" s="61" t="s">
        <v>65</v>
      </c>
      <c r="D50" s="61"/>
      <c r="E50" s="61"/>
      <c r="F50" s="8"/>
      <c r="G50" s="61" t="s">
        <v>3</v>
      </c>
      <c r="H50" s="68" t="str">
        <f t="shared" ref="H50:H56" si="0">IF(F50="","",ROUND(F50/100*$H$5,2))</f>
        <v/>
      </c>
      <c r="I50" s="61" t="s">
        <v>4</v>
      </c>
      <c r="K50" s="64" t="str">
        <f t="shared" ref="K50:K56" si="1">IF(F50="","Bitte ausfüllen!","")</f>
        <v>Bitte ausfüllen!</v>
      </c>
    </row>
    <row r="51" spans="1:11" x14ac:dyDescent="0.2">
      <c r="A51" s="61" t="s">
        <v>66</v>
      </c>
      <c r="B51" s="61"/>
      <c r="C51" s="61" t="s">
        <v>67</v>
      </c>
      <c r="D51" s="61"/>
      <c r="E51" s="61"/>
      <c r="F51" s="8"/>
      <c r="G51" s="61" t="s">
        <v>3</v>
      </c>
      <c r="H51" s="68" t="str">
        <f t="shared" si="0"/>
        <v/>
      </c>
      <c r="I51" s="61" t="s">
        <v>4</v>
      </c>
      <c r="K51" s="64" t="str">
        <f t="shared" si="1"/>
        <v>Bitte ausfüllen!</v>
      </c>
    </row>
    <row r="52" spans="1:11" x14ac:dyDescent="0.2">
      <c r="A52" s="61" t="s">
        <v>68</v>
      </c>
      <c r="B52" s="61" t="s">
        <v>69</v>
      </c>
      <c r="C52" s="61"/>
      <c r="D52" s="61"/>
      <c r="E52" s="61"/>
      <c r="F52" s="8"/>
      <c r="G52" s="61" t="s">
        <v>3</v>
      </c>
      <c r="H52" s="68" t="str">
        <f t="shared" si="0"/>
        <v/>
      </c>
      <c r="I52" s="61" t="s">
        <v>4</v>
      </c>
      <c r="K52" s="64" t="str">
        <f t="shared" si="1"/>
        <v>Bitte ausfüllen!</v>
      </c>
    </row>
    <row r="53" spans="1:11" x14ac:dyDescent="0.2">
      <c r="A53" s="61" t="s">
        <v>70</v>
      </c>
      <c r="B53" s="61" t="s">
        <v>71</v>
      </c>
      <c r="C53" s="61"/>
      <c r="D53" s="61"/>
      <c r="E53" s="61"/>
      <c r="F53" s="8"/>
      <c r="G53" s="61" t="s">
        <v>3</v>
      </c>
      <c r="H53" s="68" t="str">
        <f t="shared" si="0"/>
        <v/>
      </c>
      <c r="I53" s="61" t="s">
        <v>4</v>
      </c>
      <c r="K53" s="64" t="str">
        <f t="shared" si="1"/>
        <v>Bitte ausfüllen!</v>
      </c>
    </row>
    <row r="54" spans="1:11" x14ac:dyDescent="0.2">
      <c r="A54" s="61" t="s">
        <v>72</v>
      </c>
      <c r="B54" s="61" t="s">
        <v>73</v>
      </c>
      <c r="C54" s="61"/>
      <c r="D54" s="61"/>
      <c r="E54" s="61"/>
      <c r="F54" s="8"/>
      <c r="G54" s="61" t="s">
        <v>3</v>
      </c>
      <c r="H54" s="68" t="str">
        <f t="shared" si="0"/>
        <v/>
      </c>
      <c r="I54" s="61" t="s">
        <v>4</v>
      </c>
      <c r="K54" s="64" t="str">
        <f t="shared" si="1"/>
        <v>Bitte ausfüllen!</v>
      </c>
    </row>
    <row r="55" spans="1:11" x14ac:dyDescent="0.2">
      <c r="A55" s="61" t="s">
        <v>74</v>
      </c>
      <c r="B55" s="61" t="s">
        <v>75</v>
      </c>
      <c r="C55" s="61"/>
      <c r="D55" s="61"/>
      <c r="E55" s="61"/>
      <c r="F55" s="8"/>
      <c r="G55" s="61" t="s">
        <v>3</v>
      </c>
      <c r="H55" s="68" t="str">
        <f t="shared" si="0"/>
        <v/>
      </c>
      <c r="I55" s="61" t="s">
        <v>4</v>
      </c>
      <c r="K55" s="64" t="str">
        <f t="shared" si="1"/>
        <v>Bitte ausfüllen!</v>
      </c>
    </row>
    <row r="56" spans="1:11" x14ac:dyDescent="0.2">
      <c r="A56" s="61" t="s">
        <v>76</v>
      </c>
      <c r="B56" s="61" t="s">
        <v>77</v>
      </c>
      <c r="C56" s="61"/>
      <c r="D56" s="61"/>
      <c r="E56" s="61"/>
      <c r="F56" s="8"/>
      <c r="G56" s="61" t="s">
        <v>3</v>
      </c>
      <c r="H56" s="68" t="str">
        <f t="shared" si="0"/>
        <v/>
      </c>
      <c r="I56" s="61" t="s">
        <v>4</v>
      </c>
      <c r="K56" s="64" t="str">
        <f t="shared" si="1"/>
        <v>Bitte ausfüllen!</v>
      </c>
    </row>
    <row r="57" spans="1:11" ht="25.5" customHeight="1" x14ac:dyDescent="0.2">
      <c r="A57" s="62"/>
      <c r="B57" s="130" t="s">
        <v>78</v>
      </c>
      <c r="C57" s="130"/>
      <c r="D57" s="62"/>
      <c r="E57" s="62"/>
      <c r="F57" s="69">
        <f>IF(SUM(F45:F56)=0,0,SUM(F45:F56))</f>
        <v>0</v>
      </c>
      <c r="G57" s="62" t="s">
        <v>3</v>
      </c>
      <c r="H57" s="70" t="str">
        <f>IF(COUNTIF(H46:H56,"")&gt;1,"",SUM(H46:H56))</f>
        <v/>
      </c>
      <c r="I57" s="62" t="s">
        <v>4</v>
      </c>
      <c r="K57" s="64" t="str">
        <f>IF(H57="","Angaben offen!","")</f>
        <v>Angaben offen!</v>
      </c>
    </row>
    <row r="58" spans="1:11" x14ac:dyDescent="0.2">
      <c r="A58" s="61"/>
      <c r="B58" s="61"/>
      <c r="C58" s="61"/>
      <c r="D58" s="61"/>
      <c r="E58" s="61"/>
      <c r="F58" s="65"/>
      <c r="G58" s="61"/>
      <c r="H58" s="65"/>
      <c r="I58" s="61"/>
    </row>
    <row r="59" spans="1:11" x14ac:dyDescent="0.2">
      <c r="A59" s="62" t="s">
        <v>79</v>
      </c>
      <c r="B59" s="129" t="s">
        <v>80</v>
      </c>
      <c r="C59" s="129"/>
      <c r="D59" s="62"/>
      <c r="E59" s="62"/>
      <c r="F59" s="74">
        <f>IF(AND(F34=""),0,F34+F42+F57+F5)</f>
        <v>100</v>
      </c>
      <c r="G59" s="62" t="s">
        <v>3</v>
      </c>
      <c r="H59" s="66" t="str">
        <f>IF(H57="","",H34+H42+H57+H5)</f>
        <v/>
      </c>
      <c r="I59" s="62" t="s">
        <v>4</v>
      </c>
    </row>
    <row r="60" spans="1:11" x14ac:dyDescent="0.2">
      <c r="A60" s="62" t="s">
        <v>81</v>
      </c>
      <c r="B60" s="62" t="s">
        <v>82</v>
      </c>
      <c r="C60" s="62"/>
      <c r="D60" s="62"/>
      <c r="E60" s="62"/>
      <c r="F60" s="8"/>
      <c r="G60" s="62" t="s">
        <v>3</v>
      </c>
      <c r="H60" s="70" t="str">
        <f>IF(F60="","",ROUND(F60/100*H59,2))</f>
        <v/>
      </c>
      <c r="I60" s="62" t="s">
        <v>4</v>
      </c>
      <c r="K60" s="64" t="str">
        <f>IF(F60="","Bitte ausfüllen!","")</f>
        <v>Bitte ausfüllen!</v>
      </c>
    </row>
    <row r="61" spans="1:11" x14ac:dyDescent="0.2">
      <c r="A61" s="62"/>
      <c r="B61" s="62" t="s">
        <v>83</v>
      </c>
      <c r="C61" s="62"/>
      <c r="D61" s="62"/>
      <c r="E61" s="62"/>
      <c r="F61" s="69">
        <f ca="1">IF(H61="",0,H61/H5*100)</f>
        <v>0</v>
      </c>
      <c r="G61" s="62" t="s">
        <v>3</v>
      </c>
      <c r="H61" s="70" t="str">
        <f ca="1">IF(SUM(COUNTIF(INDIRECT({"H5","F9:F13","D17:D26","F27:F28","F32:F33","F38:F41","F46:F48","F50:F56","F60","H65:H68"}),""))&gt;0,"",H59+H60)</f>
        <v/>
      </c>
      <c r="I61" s="62" t="s">
        <v>4</v>
      </c>
      <c r="K61" s="64" t="str">
        <f ca="1">IF(SUM(COUNTIF(INDIRECT({"H5","F9:F13","D17:D26","F27:F28","F32:F33","F38:F41","F46:F48","F50:F56","F60","H65:H68"}),""))&gt;0,SUM(COUNTIF(INDIRECT({"H5","F9:F13","D17:D26","F27:F28","F32:F33","F38:F41","F46:F48","F50:F56","F60","H65:H68"}),"")) &amp;" Zelle(n) ohne Wert!","")</f>
        <v>28 Zelle(n) ohne Wert!</v>
      </c>
    </row>
    <row r="62" spans="1:11" x14ac:dyDescent="0.2">
      <c r="A62" s="61"/>
      <c r="B62" s="61" t="s">
        <v>84</v>
      </c>
      <c r="C62" s="61"/>
      <c r="D62" s="61"/>
      <c r="E62" s="61"/>
      <c r="F62" s="69">
        <f ca="1">IF(F61=0,0,F61-F5)</f>
        <v>0</v>
      </c>
      <c r="G62" s="61" t="s">
        <v>3</v>
      </c>
      <c r="H62" s="61"/>
      <c r="I62" s="61"/>
      <c r="K62" s="64" t="str">
        <f ca="1">IF(F62&lt;70,"Bitte prüfen gemäß Aufforderung!","")</f>
        <v>Bitte prüfen gemäß Aufforderung!</v>
      </c>
    </row>
    <row r="63" spans="1:11" x14ac:dyDescent="0.2">
      <c r="A63" s="61"/>
      <c r="B63" s="61"/>
      <c r="C63" s="61"/>
      <c r="D63" s="61"/>
      <c r="E63" s="61"/>
      <c r="F63" s="61"/>
      <c r="G63" s="61"/>
      <c r="H63" s="61"/>
      <c r="I63" s="61"/>
    </row>
    <row r="64" spans="1:11" x14ac:dyDescent="0.2">
      <c r="B64" s="62" t="s">
        <v>85</v>
      </c>
      <c r="D64" s="62"/>
      <c r="E64" s="62"/>
      <c r="G64" s="62"/>
      <c r="H64" s="66" t="s">
        <v>86</v>
      </c>
    </row>
    <row r="65" spans="1:11" x14ac:dyDescent="0.2">
      <c r="B65" s="61" t="s">
        <v>87</v>
      </c>
      <c r="D65" s="61"/>
      <c r="E65" s="61"/>
      <c r="G65" s="75"/>
      <c r="H65" s="9"/>
      <c r="K65" s="64" t="str">
        <f>IF(H65="","Bitte ausfüllen!","")</f>
        <v>Bitte ausfüllen!</v>
      </c>
    </row>
    <row r="66" spans="1:11" x14ac:dyDescent="0.2">
      <c r="B66" s="61" t="s">
        <v>88</v>
      </c>
      <c r="D66" s="61"/>
      <c r="E66" s="61"/>
      <c r="G66" s="75"/>
      <c r="H66" s="10"/>
      <c r="K66" s="64" t="str">
        <f>IF(H66="","Bitte ausfüllen!","")</f>
        <v>Bitte ausfüllen!</v>
      </c>
    </row>
    <row r="67" spans="1:11" x14ac:dyDescent="0.2">
      <c r="B67" s="61" t="s">
        <v>89</v>
      </c>
      <c r="D67" s="61"/>
      <c r="E67" s="61"/>
      <c r="G67" s="75"/>
      <c r="H67" s="11"/>
      <c r="K67" s="64" t="str">
        <f>IF(H67="","Bitte ausfüllen!","")</f>
        <v>Bitte ausfüllen!</v>
      </c>
    </row>
    <row r="68" spans="1:11" x14ac:dyDescent="0.2">
      <c r="B68" s="61" t="s">
        <v>90</v>
      </c>
      <c r="D68" s="61"/>
      <c r="E68" s="61"/>
      <c r="G68" s="75"/>
      <c r="H68" s="10"/>
      <c r="K68" s="64" t="str">
        <f>IF(H68="","Bitte ausfüllen!","")</f>
        <v>Bitte ausfüllen!</v>
      </c>
    </row>
    <row r="70" spans="1:11" x14ac:dyDescent="0.2">
      <c r="C70" s="45"/>
      <c r="D70" s="4"/>
    </row>
    <row r="71" spans="1:11" ht="15.95" customHeight="1" x14ac:dyDescent="0.2">
      <c r="A71" s="120" t="s">
        <v>187</v>
      </c>
      <c r="B71" s="120"/>
      <c r="C71" s="120"/>
      <c r="D71" s="120" t="s">
        <v>188</v>
      </c>
      <c r="F71" s="122" t="s">
        <v>132</v>
      </c>
      <c r="G71" s="123"/>
      <c r="H71" s="124"/>
    </row>
    <row r="72" spans="1:11" ht="15.95" customHeight="1" x14ac:dyDescent="0.2">
      <c r="A72" s="121"/>
      <c r="B72" s="121"/>
      <c r="C72" s="121"/>
      <c r="D72" s="121"/>
      <c r="F72" s="125"/>
      <c r="G72" s="126"/>
      <c r="H72" s="127"/>
      <c r="I72" s="62"/>
      <c r="J72" s="62"/>
      <c r="K72" s="62"/>
    </row>
    <row r="73" spans="1:11" ht="19.899999999999999" customHeight="1" x14ac:dyDescent="0.2">
      <c r="A73" s="118">
        <v>1</v>
      </c>
      <c r="B73" s="118"/>
      <c r="C73" s="12" t="s">
        <v>127</v>
      </c>
      <c r="D73" s="48">
        <v>7.3</v>
      </c>
      <c r="F73" s="119" t="s">
        <v>392</v>
      </c>
      <c r="G73" s="119"/>
      <c r="H73" s="119"/>
    </row>
    <row r="74" spans="1:11" ht="19.899999999999999" customHeight="1" x14ac:dyDescent="0.2">
      <c r="A74" s="118">
        <v>2</v>
      </c>
      <c r="B74" s="118"/>
      <c r="C74" s="12" t="s">
        <v>128</v>
      </c>
      <c r="D74" s="48">
        <v>9.3000000000000007</v>
      </c>
    </row>
    <row r="75" spans="1:11" ht="24" customHeight="1" x14ac:dyDescent="0.2">
      <c r="A75" s="118">
        <v>3</v>
      </c>
      <c r="B75" s="118"/>
      <c r="C75" s="12" t="s">
        <v>129</v>
      </c>
      <c r="D75" s="48">
        <v>1.3</v>
      </c>
    </row>
    <row r="76" spans="1:11" ht="24" customHeight="1" x14ac:dyDescent="0.2">
      <c r="A76" s="118">
        <v>4</v>
      </c>
      <c r="B76" s="118"/>
      <c r="C76" s="12" t="s">
        <v>130</v>
      </c>
      <c r="D76" s="48">
        <f>IF( F73="Sachsen",1.3,1.8)</f>
        <v>1.8</v>
      </c>
    </row>
    <row r="77" spans="1:11" ht="31.5" x14ac:dyDescent="0.2">
      <c r="A77" s="118">
        <v>5</v>
      </c>
      <c r="B77" s="118"/>
      <c r="C77" s="12" t="s">
        <v>189</v>
      </c>
      <c r="D77" s="48">
        <v>1.45</v>
      </c>
    </row>
    <row r="78" spans="1:11" ht="24" customHeight="1" x14ac:dyDescent="0.2">
      <c r="A78" s="118">
        <v>6</v>
      </c>
      <c r="B78" s="118"/>
      <c r="C78" s="12" t="s">
        <v>117</v>
      </c>
      <c r="D78" s="48"/>
    </row>
    <row r="79" spans="1:11" ht="24" customHeight="1" x14ac:dyDescent="0.2">
      <c r="A79" s="118">
        <v>7</v>
      </c>
      <c r="B79" s="118"/>
      <c r="C79" s="12" t="s">
        <v>131</v>
      </c>
      <c r="D79" s="48">
        <v>0.15</v>
      </c>
    </row>
  </sheetData>
  <sheetProtection algorithmName="SHA-512" hashValue="RO0YMt8GkXKogRGvuzi8TA6rcWRDsQcBCZJ5cPk3yuj9IbVhr39OoxDFv4hpxfnKJyZcmmdml/bkKWNYatEtlA==" saltValue="BIqugHKnxCcnlIrofTYAOA=="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7641-9CF9-40D3-ADF0-0D4C78671BDE}">
  <sheetPr codeName="Tabelle20">
    <tabColor indexed="40"/>
  </sheetPr>
  <dimension ref="A1:V10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285156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425781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33" t="s">
        <v>150</v>
      </c>
      <c r="B2" s="134"/>
      <c r="C2" s="134"/>
      <c r="D2" s="134" t="b">
        <v>0</v>
      </c>
      <c r="E2" s="135"/>
      <c r="G2" s="136" t="s">
        <v>163</v>
      </c>
      <c r="H2" s="136" t="s">
        <v>155</v>
      </c>
      <c r="I2" s="136" t="s">
        <v>156</v>
      </c>
      <c r="J2" s="136" t="s">
        <v>175</v>
      </c>
      <c r="M2" s="20"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1" customHeight="1" x14ac:dyDescent="0.2">
      <c r="A3" s="78" t="s">
        <v>151</v>
      </c>
      <c r="B3" s="79"/>
      <c r="C3" s="79"/>
      <c r="D3" s="79"/>
      <c r="E3" s="80"/>
      <c r="G3" s="137"/>
      <c r="H3" s="137" t="b">
        <v>0</v>
      </c>
      <c r="I3" s="137"/>
      <c r="J3" s="137"/>
      <c r="M3" s="20" t="b">
        <v>0</v>
      </c>
      <c r="N3" s="108"/>
      <c r="O3" s="108"/>
      <c r="P3" s="108"/>
      <c r="Q3" s="108"/>
    </row>
    <row r="4" spans="1:22" ht="15" customHeight="1" x14ac:dyDescent="0.2">
      <c r="A4" s="131" t="s">
        <v>91</v>
      </c>
      <c r="B4" s="141" t="str">
        <f>IF(Inhaltsverzeichnis!C3="","",Inhaltsverzeichnis!C3)</f>
        <v/>
      </c>
      <c r="C4" s="142"/>
      <c r="D4" s="142"/>
      <c r="E4" s="143"/>
      <c r="G4" s="77" t="s">
        <v>232</v>
      </c>
      <c r="H4" s="81"/>
      <c r="I4" s="82">
        <f ca="1">SUMIF('Kal Unter GS Uhland'!J22:M102,$G$4,'Kal Unter GS Uhland'!M22:M102)</f>
        <v>29713.13</v>
      </c>
      <c r="J4" s="54">
        <f>COUNTIFS('Kal Unter GS Uhland'!J22:M102,$G$4)</f>
        <v>7</v>
      </c>
      <c r="M4" s="20" t="b">
        <v>0</v>
      </c>
      <c r="N4" s="108"/>
      <c r="O4" s="108"/>
      <c r="P4" s="108"/>
      <c r="Q4" s="108"/>
      <c r="U4" s="77" t="s">
        <v>232</v>
      </c>
      <c r="V4" s="3">
        <v>168.75</v>
      </c>
    </row>
    <row r="5" spans="1:22" ht="15" customHeight="1" x14ac:dyDescent="0.2">
      <c r="A5" s="132"/>
      <c r="B5" s="144"/>
      <c r="C5" s="145"/>
      <c r="D5" s="145"/>
      <c r="E5" s="146"/>
      <c r="G5" s="77" t="s">
        <v>330</v>
      </c>
      <c r="H5" s="81"/>
      <c r="I5" s="82">
        <f ca="1">SUMIF('Kal Unter GS Uhland'!J22:M102,$G$5,'Kal Unter GS Uhland'!M22:M102)</f>
        <v>16441.46</v>
      </c>
      <c r="J5" s="54">
        <f>COUNTIFS('Kal Unter GS Uhland'!J22:M102,$G$5)</f>
        <v>6</v>
      </c>
      <c r="M5" s="20" t="b">
        <v>0</v>
      </c>
      <c r="N5" s="108"/>
      <c r="O5" s="108"/>
      <c r="P5" s="108"/>
      <c r="Q5" s="108"/>
      <c r="U5" s="77" t="s">
        <v>330</v>
      </c>
      <c r="V5" s="3">
        <v>166.25</v>
      </c>
    </row>
    <row r="6" spans="1:22" ht="15" customHeight="1" x14ac:dyDescent="0.2">
      <c r="A6" s="83" t="s">
        <v>173</v>
      </c>
      <c r="B6" s="147" t="s">
        <v>191</v>
      </c>
      <c r="C6" s="148"/>
      <c r="D6" s="148"/>
      <c r="E6" s="149"/>
      <c r="G6" s="77" t="s">
        <v>331</v>
      </c>
      <c r="H6" s="81"/>
      <c r="I6" s="82">
        <f ca="1">SUMIF('Kal Unter GS Uhland'!J22:M102,$G$6,'Kal Unter GS Uhland'!M22:M102)</f>
        <v>27375.030000000002</v>
      </c>
      <c r="J6" s="54">
        <f>COUNTIFS('Kal Unter GS Uhland'!J22:M102,$G$6)</f>
        <v>15</v>
      </c>
      <c r="U6" s="77" t="s">
        <v>331</v>
      </c>
      <c r="V6" s="3">
        <v>63.75</v>
      </c>
    </row>
    <row r="7" spans="1:22" ht="15" customHeight="1" x14ac:dyDescent="0.2">
      <c r="A7" s="84" t="s">
        <v>171</v>
      </c>
      <c r="B7" s="150" t="s">
        <v>192</v>
      </c>
      <c r="C7" s="148"/>
      <c r="D7" s="148"/>
      <c r="E7" s="149"/>
      <c r="G7" s="77" t="s">
        <v>332</v>
      </c>
      <c r="H7" s="81"/>
      <c r="I7" s="82">
        <f ca="1">SUMIF('Kal Unter GS Uhland'!J22:M102,$G$7,'Kal Unter GS Uhland'!M22:M102)</f>
        <v>888.85</v>
      </c>
      <c r="J7" s="54">
        <f>COUNTIFS('Kal Unter GS Uhland'!J22:M102,$G$7)</f>
        <v>3</v>
      </c>
      <c r="U7" s="77" t="s">
        <v>332</v>
      </c>
      <c r="V7" s="3">
        <v>262.5</v>
      </c>
    </row>
    <row r="8" spans="1:22" ht="15" customHeight="1" x14ac:dyDescent="0.2">
      <c r="A8" s="84" t="s">
        <v>172</v>
      </c>
      <c r="B8" s="147" t="s">
        <v>193</v>
      </c>
      <c r="C8" s="148"/>
      <c r="D8" s="148"/>
      <c r="E8" s="149"/>
      <c r="G8" s="77" t="s">
        <v>327</v>
      </c>
      <c r="H8" s="81"/>
      <c r="I8" s="82">
        <f ca="1">SUMIF('Kal Unter GS Uhland'!J22:M102,$G$8,'Kal Unter GS Uhland'!M22:M102)</f>
        <v>49734.38</v>
      </c>
      <c r="J8" s="54">
        <f>COUNTIFS('Kal Unter GS Uhland'!J22:M102,$G$8)</f>
        <v>9</v>
      </c>
      <c r="U8" s="77" t="s">
        <v>327</v>
      </c>
      <c r="V8" s="3">
        <v>138.75</v>
      </c>
    </row>
    <row r="9" spans="1:22" ht="15" customHeight="1" x14ac:dyDescent="0.2">
      <c r="A9" s="83" t="s">
        <v>170</v>
      </c>
      <c r="B9" s="151" t="s">
        <v>190</v>
      </c>
      <c r="C9" s="148"/>
      <c r="D9" s="148"/>
      <c r="E9" s="149"/>
      <c r="G9" s="77" t="s">
        <v>328</v>
      </c>
      <c r="H9" s="81"/>
      <c r="I9" s="82">
        <f ca="1">SUMIF('Kal Unter GS Uhland'!J22:M102,$G$9,'Kal Unter GS Uhland'!M22:M102)</f>
        <v>195731.29000000004</v>
      </c>
      <c r="J9" s="54">
        <f>COUNTIFS('Kal Unter GS Uhland'!J22:M102,$G$9)</f>
        <v>20</v>
      </c>
      <c r="U9" s="77" t="s">
        <v>328</v>
      </c>
      <c r="V9" s="3">
        <v>195</v>
      </c>
    </row>
    <row r="10" spans="1:22" ht="15" customHeight="1" x14ac:dyDescent="0.2">
      <c r="A10" s="84" t="s">
        <v>152</v>
      </c>
      <c r="B10" s="147" t="s">
        <v>194</v>
      </c>
      <c r="C10" s="148"/>
      <c r="D10" s="148"/>
      <c r="E10" s="149"/>
      <c r="G10" s="77" t="s">
        <v>329</v>
      </c>
      <c r="H10" s="81"/>
      <c r="I10" s="82">
        <f ca="1">SUMIF('Kal Unter GS Uhland'!J22:M102,$G$10,'Kal Unter GS Uhland'!M22:M102)</f>
        <v>58584.419999999991</v>
      </c>
      <c r="J10" s="54">
        <f>COUNTIFS('Kal Unter GS Uhland'!J22:M102,$G$10)</f>
        <v>11</v>
      </c>
      <c r="U10" s="77" t="s">
        <v>329</v>
      </c>
      <c r="V10" s="3">
        <v>300</v>
      </c>
    </row>
    <row r="11" spans="1:22" ht="15" customHeight="1" x14ac:dyDescent="0.2">
      <c r="A11" s="84" t="s">
        <v>153</v>
      </c>
      <c r="B11" s="152" t="s">
        <v>195</v>
      </c>
      <c r="C11" s="148"/>
      <c r="D11" s="148"/>
      <c r="E11" s="149"/>
      <c r="G11" s="77" t="s">
        <v>333</v>
      </c>
      <c r="H11" s="81"/>
      <c r="I11" s="82">
        <f ca="1">SUMIF('Kal Unter GS Uhland'!J22:M102,$G$11,'Kal Unter GS Uhland'!M22:M102)</f>
        <v>63909.389999999992</v>
      </c>
      <c r="J11" s="54">
        <f>COUNTIFS('Kal Unter GS Uhland'!J22:M102,$G$11)</f>
        <v>10</v>
      </c>
      <c r="M11" s="3" t="str">
        <f>IF(N13&gt;0,"Bitte die Leistungswerte im Leistungsverzeichnis/ Tabellenblatt Leistungsrichtwerte","")</f>
        <v/>
      </c>
      <c r="U11" s="77" t="s">
        <v>333</v>
      </c>
      <c r="V11" s="3">
        <v>88.75</v>
      </c>
    </row>
    <row r="12" spans="1:22" ht="15" customHeight="1" x14ac:dyDescent="0.2">
      <c r="A12" s="84" t="s">
        <v>154</v>
      </c>
      <c r="B12" s="147" t="s">
        <v>196</v>
      </c>
      <c r="C12" s="148"/>
      <c r="D12" s="148"/>
      <c r="E12" s="149"/>
      <c r="M12" s="3" t="str">
        <f>IF(N13&gt;0,"für die Objektart prüfen.","")</f>
        <v/>
      </c>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c r="N13" s="85">
        <f>COUNTIF(V22:V$102,1)</f>
        <v>0</v>
      </c>
      <c r="O13" s="3" t="str">
        <f>IF(N13&gt;0,"Wert(e) überschritten, bitte mit dem Angebot plausibel darlegen.","")</f>
        <v/>
      </c>
    </row>
    <row r="14" spans="1:22" ht="15" customHeight="1" x14ac:dyDescent="0.2">
      <c r="N14" s="86">
        <f>COUNTIF(V22:V$102,0)</f>
        <v>81</v>
      </c>
      <c r="O14" s="3" t="str">
        <f>IF(N14&gt;0,"Wert(e) korrekt","")</f>
        <v>Wert(e) korrekt</v>
      </c>
      <c r="T14" s="87">
        <f>IF(COUNTA($T$22:$T$102)-COUNTBLANK($T$22:$T$102)=0,"",COUNTA($T$22:$T$102)-COUNTBLANK($T$22:$T$102))</f>
        <v>80</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8" t="s">
        <v>118</v>
      </c>
      <c r="B21" s="12"/>
      <c r="C21" s="12"/>
      <c r="D21" s="12"/>
      <c r="E21" s="12"/>
      <c r="F21" s="12"/>
      <c r="G21" s="89">
        <f>SUM($G$22:$G$102)</f>
        <v>2435.6000000000004</v>
      </c>
      <c r="H21" s="89">
        <f>SUM($H$22:$H$102)</f>
        <v>0</v>
      </c>
      <c r="I21" s="89">
        <f>SUM($I$22:$I$102)</f>
        <v>0</v>
      </c>
      <c r="J21" s="33"/>
      <c r="K21" s="33"/>
      <c r="L21" s="90">
        <f>MAX(L22:L102)</f>
        <v>187.5</v>
      </c>
      <c r="M21" s="89">
        <f>SUM($M$22:$M$102)</f>
        <v>442377.95000000007</v>
      </c>
      <c r="N21" s="33"/>
      <c r="O21" s="33"/>
      <c r="P21" s="89">
        <f>SUM($P$22:$P$102)</f>
        <v>0</v>
      </c>
      <c r="Q21" s="89">
        <f ca="1">SUM($Q$22:$Q$102)</f>
        <v>0</v>
      </c>
      <c r="R21" s="89">
        <f>ROUND(IF(L21=0,0,P21/L21),2)</f>
        <v>0</v>
      </c>
      <c r="S21" s="89">
        <f ca="1">ROUND(IF(L21=0,0,Q21/L21),2)</f>
        <v>0</v>
      </c>
    </row>
    <row r="22" spans="1:22" ht="15" customHeight="1" x14ac:dyDescent="0.2">
      <c r="A22" s="77">
        <v>1</v>
      </c>
      <c r="B22" s="91" t="s">
        <v>207</v>
      </c>
      <c r="C22" s="92" t="s">
        <v>208</v>
      </c>
      <c r="D22" s="92">
        <v>2</v>
      </c>
      <c r="E22" s="92" t="s">
        <v>209</v>
      </c>
      <c r="F22" s="92" t="s">
        <v>210</v>
      </c>
      <c r="G22" s="93">
        <v>29.4</v>
      </c>
      <c r="H22" s="93"/>
      <c r="I22" s="93"/>
      <c r="J22" s="77" t="s">
        <v>327</v>
      </c>
      <c r="K22" s="93">
        <v>5</v>
      </c>
      <c r="L22" s="33">
        <f>VLOOKUP(K22,Reinigungstage!A10:B31,2,FALSE)</f>
        <v>187.5</v>
      </c>
      <c r="M22" s="33">
        <f t="shared" ref="M22:M53" si="0">ROUND(IF(L22=0,0,L22*G22),2)</f>
        <v>5512.5</v>
      </c>
      <c r="N22" s="94">
        <f t="shared" ref="N22:N53" si="1">VLOOKUP(J22,$G$4:$H$11,2,FALSE)</f>
        <v>0</v>
      </c>
      <c r="O22" s="33">
        <f ca="1">IF('SVS UnterhaltsRG'!H61="",0,'SVS UnterhaltsRG'!H61)</f>
        <v>0</v>
      </c>
      <c r="P22" s="33">
        <f t="shared" ref="P22:P53" si="2">ROUND(IF(N22=0,0,M22/N22),2)</f>
        <v>0</v>
      </c>
      <c r="Q22" s="33">
        <f t="shared" ref="Q22:Q53" ca="1" si="3">IF(M22=0,0,IF(O22="",0,ROUND(P22*O22,2)))</f>
        <v>0</v>
      </c>
      <c r="R22" s="33">
        <f t="shared" ref="R22:R53" si="4">ROUND(IF(P22=0,0,P22/L22),2)</f>
        <v>0</v>
      </c>
      <c r="S22" s="33">
        <f t="shared" ref="S22:S53" ca="1" si="5">ROUND(IF(Q22=0,0,Q22/L22),2)</f>
        <v>0</v>
      </c>
      <c r="T22" s="3" t="str">
        <f t="shared" ref="T22:T53" si="6">IF(M22=0,"",IF(N22=0,"Leistungswert eintragen",IF(O22=0,"SVS prüfen","")))</f>
        <v>Leistungswert eintragen</v>
      </c>
      <c r="U22" s="3">
        <f t="shared" ref="U22:U53" si="7">VLOOKUP(J22,$U$4:$V$11,2,FALSE)</f>
        <v>138.75</v>
      </c>
      <c r="V22" s="3">
        <f t="shared" ref="V22:V53" si="8">IF(M22=0,0,IF(U22&lt;N22,1,IF(U22&gt;=N22,0,"")))</f>
        <v>0</v>
      </c>
    </row>
    <row r="23" spans="1:22" ht="15" customHeight="1" x14ac:dyDescent="0.2">
      <c r="A23" s="77">
        <v>2</v>
      </c>
      <c r="B23" s="91" t="s">
        <v>211</v>
      </c>
      <c r="C23" s="92" t="s">
        <v>208</v>
      </c>
      <c r="D23" s="92">
        <v>13</v>
      </c>
      <c r="E23" s="92" t="s">
        <v>212</v>
      </c>
      <c r="F23" s="92" t="s">
        <v>213</v>
      </c>
      <c r="G23" s="93">
        <v>54.5</v>
      </c>
      <c r="H23" s="93"/>
      <c r="I23" s="93"/>
      <c r="J23" s="77" t="s">
        <v>328</v>
      </c>
      <c r="K23" s="93">
        <v>5</v>
      </c>
      <c r="L23" s="33">
        <f>VLOOKUP(K23,Reinigungstage!A10:B31,2,FALSE)</f>
        <v>187.5</v>
      </c>
      <c r="M23" s="33">
        <f t="shared" si="0"/>
        <v>10218.75</v>
      </c>
      <c r="N23" s="94">
        <f t="shared" si="1"/>
        <v>0</v>
      </c>
      <c r="O23" s="33">
        <f ca="1">IF('SVS UnterhaltsRG'!H61="",0,'SVS UnterhaltsRG'!H61)</f>
        <v>0</v>
      </c>
      <c r="P23" s="33">
        <f t="shared" si="2"/>
        <v>0</v>
      </c>
      <c r="Q23" s="33">
        <f t="shared" ca="1" si="3"/>
        <v>0</v>
      </c>
      <c r="R23" s="33">
        <f t="shared" si="4"/>
        <v>0</v>
      </c>
      <c r="S23" s="33">
        <f t="shared" ca="1" si="5"/>
        <v>0</v>
      </c>
      <c r="T23" s="3" t="str">
        <f t="shared" si="6"/>
        <v>Leistungswert eintragen</v>
      </c>
      <c r="U23" s="3">
        <f t="shared" si="7"/>
        <v>195</v>
      </c>
      <c r="V23" s="3">
        <f t="shared" si="8"/>
        <v>0</v>
      </c>
    </row>
    <row r="24" spans="1:22" ht="15" customHeight="1" x14ac:dyDescent="0.2">
      <c r="A24" s="77">
        <v>3</v>
      </c>
      <c r="B24" s="91" t="s">
        <v>214</v>
      </c>
      <c r="C24" s="92" t="s">
        <v>208</v>
      </c>
      <c r="D24" s="92">
        <v>14</v>
      </c>
      <c r="E24" s="92" t="s">
        <v>212</v>
      </c>
      <c r="F24" s="92" t="s">
        <v>213</v>
      </c>
      <c r="G24" s="93">
        <v>44.25</v>
      </c>
      <c r="H24" s="93"/>
      <c r="I24" s="93"/>
      <c r="J24" s="77" t="s">
        <v>328</v>
      </c>
      <c r="K24" s="93">
        <v>5</v>
      </c>
      <c r="L24" s="33">
        <f>VLOOKUP(K24,Reinigungstage!A10:B31,2,FALSE)</f>
        <v>187.5</v>
      </c>
      <c r="M24" s="33">
        <f t="shared" si="0"/>
        <v>8296.8799999999992</v>
      </c>
      <c r="N24" s="94">
        <f t="shared" si="1"/>
        <v>0</v>
      </c>
      <c r="O24" s="33">
        <f ca="1">IF('SVS UnterhaltsRG'!H61="",0,'SVS UnterhaltsRG'!H61)</f>
        <v>0</v>
      </c>
      <c r="P24" s="33">
        <f t="shared" si="2"/>
        <v>0</v>
      </c>
      <c r="Q24" s="33">
        <f t="shared" ca="1" si="3"/>
        <v>0</v>
      </c>
      <c r="R24" s="33">
        <f t="shared" si="4"/>
        <v>0</v>
      </c>
      <c r="S24" s="33">
        <f t="shared" ca="1" si="5"/>
        <v>0</v>
      </c>
      <c r="T24" s="3" t="str">
        <f t="shared" si="6"/>
        <v>Leistungswert eintragen</v>
      </c>
      <c r="U24" s="3">
        <f t="shared" si="7"/>
        <v>195</v>
      </c>
      <c r="V24" s="3">
        <f t="shared" si="8"/>
        <v>0</v>
      </c>
    </row>
    <row r="25" spans="1:22" ht="15" customHeight="1" x14ac:dyDescent="0.2">
      <c r="A25" s="77">
        <v>4</v>
      </c>
      <c r="B25" s="91" t="s">
        <v>215</v>
      </c>
      <c r="C25" s="92" t="s">
        <v>208</v>
      </c>
      <c r="D25" s="92">
        <v>15</v>
      </c>
      <c r="E25" s="92" t="s">
        <v>212</v>
      </c>
      <c r="F25" s="92" t="s">
        <v>213</v>
      </c>
      <c r="G25" s="93">
        <v>44.25</v>
      </c>
      <c r="H25" s="93"/>
      <c r="I25" s="93"/>
      <c r="J25" s="77" t="s">
        <v>328</v>
      </c>
      <c r="K25" s="93">
        <v>5</v>
      </c>
      <c r="L25" s="33">
        <f>VLOOKUP(K25,Reinigungstage!A10:B31,2,FALSE)</f>
        <v>187.5</v>
      </c>
      <c r="M25" s="33">
        <f t="shared" si="0"/>
        <v>8296.8799999999992</v>
      </c>
      <c r="N25" s="94">
        <f t="shared" si="1"/>
        <v>0</v>
      </c>
      <c r="O25" s="33">
        <f ca="1">IF('SVS UnterhaltsRG'!H61="",0,'SVS UnterhaltsRG'!H61)</f>
        <v>0</v>
      </c>
      <c r="P25" s="33">
        <f t="shared" si="2"/>
        <v>0</v>
      </c>
      <c r="Q25" s="33">
        <f t="shared" ca="1" si="3"/>
        <v>0</v>
      </c>
      <c r="R25" s="33">
        <f t="shared" si="4"/>
        <v>0</v>
      </c>
      <c r="S25" s="33">
        <f t="shared" ca="1" si="5"/>
        <v>0</v>
      </c>
      <c r="T25" s="3" t="str">
        <f t="shared" si="6"/>
        <v>Leistungswert eintragen</v>
      </c>
      <c r="U25" s="3">
        <f t="shared" si="7"/>
        <v>195</v>
      </c>
      <c r="V25" s="3">
        <f t="shared" si="8"/>
        <v>0</v>
      </c>
    </row>
    <row r="26" spans="1:22" ht="15" customHeight="1" x14ac:dyDescent="0.2">
      <c r="A26" s="77">
        <v>5</v>
      </c>
      <c r="B26" s="91" t="s">
        <v>216</v>
      </c>
      <c r="C26" s="92" t="s">
        <v>208</v>
      </c>
      <c r="D26" s="92">
        <v>2</v>
      </c>
      <c r="E26" s="92" t="s">
        <v>217</v>
      </c>
      <c r="F26" s="92" t="s">
        <v>213</v>
      </c>
      <c r="G26" s="93">
        <v>60.7</v>
      </c>
      <c r="H26" s="93"/>
      <c r="I26" s="93"/>
      <c r="J26" s="77" t="s">
        <v>328</v>
      </c>
      <c r="K26" s="93">
        <v>5</v>
      </c>
      <c r="L26" s="33">
        <f>VLOOKUP(K26,Reinigungstage!A10:B31,2,FALSE)</f>
        <v>187.5</v>
      </c>
      <c r="M26" s="33">
        <f t="shared" si="0"/>
        <v>11381.25</v>
      </c>
      <c r="N26" s="94">
        <f t="shared" si="1"/>
        <v>0</v>
      </c>
      <c r="O26" s="33">
        <f ca="1">IF('SVS UnterhaltsRG'!H61="",0,'SVS UnterhaltsRG'!H61)</f>
        <v>0</v>
      </c>
      <c r="P26" s="33">
        <f t="shared" si="2"/>
        <v>0</v>
      </c>
      <c r="Q26" s="33">
        <f t="shared" ca="1" si="3"/>
        <v>0</v>
      </c>
      <c r="R26" s="33">
        <f t="shared" si="4"/>
        <v>0</v>
      </c>
      <c r="S26" s="33">
        <f t="shared" ca="1" si="5"/>
        <v>0</v>
      </c>
      <c r="T26" s="3" t="str">
        <f t="shared" si="6"/>
        <v>Leistungswert eintragen</v>
      </c>
      <c r="U26" s="3">
        <f t="shared" si="7"/>
        <v>195</v>
      </c>
      <c r="V26" s="3">
        <f t="shared" si="8"/>
        <v>0</v>
      </c>
    </row>
    <row r="27" spans="1:22" ht="15" customHeight="1" x14ac:dyDescent="0.2">
      <c r="A27" s="77">
        <v>6</v>
      </c>
      <c r="B27" s="91" t="s">
        <v>218</v>
      </c>
      <c r="C27" s="92" t="s">
        <v>208</v>
      </c>
      <c r="D27" s="92">
        <v>1</v>
      </c>
      <c r="E27" s="92" t="s">
        <v>217</v>
      </c>
      <c r="F27" s="92" t="s">
        <v>213</v>
      </c>
      <c r="G27" s="93">
        <v>59.3</v>
      </c>
      <c r="H27" s="93"/>
      <c r="I27" s="93"/>
      <c r="J27" s="77" t="s">
        <v>328</v>
      </c>
      <c r="K27" s="93">
        <v>5</v>
      </c>
      <c r="L27" s="33">
        <f>VLOOKUP(K27,Reinigungstage!A10:B31,2,FALSE)</f>
        <v>187.5</v>
      </c>
      <c r="M27" s="33">
        <f t="shared" si="0"/>
        <v>11118.75</v>
      </c>
      <c r="N27" s="94">
        <f t="shared" si="1"/>
        <v>0</v>
      </c>
      <c r="O27" s="33">
        <f ca="1">IF('SVS UnterhaltsRG'!H61="",0,'SVS UnterhaltsRG'!H61)</f>
        <v>0</v>
      </c>
      <c r="P27" s="33">
        <f t="shared" si="2"/>
        <v>0</v>
      </c>
      <c r="Q27" s="33">
        <f t="shared" ca="1" si="3"/>
        <v>0</v>
      </c>
      <c r="R27" s="33">
        <f t="shared" si="4"/>
        <v>0</v>
      </c>
      <c r="S27" s="33">
        <f t="shared" ca="1" si="5"/>
        <v>0</v>
      </c>
      <c r="T27" s="3" t="str">
        <f t="shared" si="6"/>
        <v>Leistungswert eintragen</v>
      </c>
      <c r="U27" s="3">
        <f t="shared" si="7"/>
        <v>195</v>
      </c>
      <c r="V27" s="3">
        <f t="shared" si="8"/>
        <v>0</v>
      </c>
    </row>
    <row r="28" spans="1:22" ht="15" customHeight="1" x14ac:dyDescent="0.2">
      <c r="A28" s="77">
        <v>7</v>
      </c>
      <c r="B28" s="91" t="s">
        <v>219</v>
      </c>
      <c r="C28" s="92" t="s">
        <v>208</v>
      </c>
      <c r="D28" s="92"/>
      <c r="E28" s="92" t="s">
        <v>220</v>
      </c>
      <c r="F28" s="92" t="s">
        <v>213</v>
      </c>
      <c r="G28" s="93">
        <v>30.15</v>
      </c>
      <c r="H28" s="93"/>
      <c r="I28" s="93"/>
      <c r="J28" s="77" t="s">
        <v>329</v>
      </c>
      <c r="K28" s="93">
        <v>5</v>
      </c>
      <c r="L28" s="33">
        <f>VLOOKUP(K28,Reinigungstage!A10:B31,2,FALSE)</f>
        <v>187.5</v>
      </c>
      <c r="M28" s="33">
        <f t="shared" si="0"/>
        <v>5653.13</v>
      </c>
      <c r="N28" s="94">
        <f t="shared" si="1"/>
        <v>0</v>
      </c>
      <c r="O28" s="33">
        <f ca="1">IF('SVS UnterhaltsRG'!H61="",0,'SVS UnterhaltsRG'!H61)</f>
        <v>0</v>
      </c>
      <c r="P28" s="33">
        <f t="shared" si="2"/>
        <v>0</v>
      </c>
      <c r="Q28" s="33">
        <f t="shared" ca="1" si="3"/>
        <v>0</v>
      </c>
      <c r="R28" s="33">
        <f t="shared" si="4"/>
        <v>0</v>
      </c>
      <c r="S28" s="33">
        <f t="shared" ca="1" si="5"/>
        <v>0</v>
      </c>
      <c r="T28" s="3" t="str">
        <f t="shared" si="6"/>
        <v>Leistungswert eintragen</v>
      </c>
      <c r="U28" s="3">
        <f t="shared" si="7"/>
        <v>300</v>
      </c>
      <c r="V28" s="3">
        <f t="shared" si="8"/>
        <v>0</v>
      </c>
    </row>
    <row r="29" spans="1:22" ht="15" customHeight="1" x14ac:dyDescent="0.2">
      <c r="A29" s="77">
        <v>8</v>
      </c>
      <c r="B29" s="91" t="s">
        <v>221</v>
      </c>
      <c r="C29" s="92" t="s">
        <v>208</v>
      </c>
      <c r="D29" s="92">
        <v>3</v>
      </c>
      <c r="E29" s="92" t="s">
        <v>209</v>
      </c>
      <c r="F29" s="92" t="s">
        <v>213</v>
      </c>
      <c r="G29" s="93">
        <v>35.6</v>
      </c>
      <c r="H29" s="93"/>
      <c r="I29" s="93"/>
      <c r="J29" s="77" t="s">
        <v>327</v>
      </c>
      <c r="K29" s="93">
        <v>5</v>
      </c>
      <c r="L29" s="33">
        <f>VLOOKUP(K29,Reinigungstage!A10:B31,2,FALSE)</f>
        <v>187.5</v>
      </c>
      <c r="M29" s="33">
        <f t="shared" si="0"/>
        <v>6675</v>
      </c>
      <c r="N29" s="94">
        <f t="shared" si="1"/>
        <v>0</v>
      </c>
      <c r="O29" s="33">
        <f ca="1">IF('SVS UnterhaltsRG'!H61="",0,'SVS UnterhaltsRG'!H61)</f>
        <v>0</v>
      </c>
      <c r="P29" s="33">
        <f t="shared" si="2"/>
        <v>0</v>
      </c>
      <c r="Q29" s="33">
        <f t="shared" ca="1" si="3"/>
        <v>0</v>
      </c>
      <c r="R29" s="33">
        <f t="shared" si="4"/>
        <v>0</v>
      </c>
      <c r="S29" s="33">
        <f t="shared" ca="1" si="5"/>
        <v>0</v>
      </c>
      <c r="T29" s="3" t="str">
        <f t="shared" si="6"/>
        <v>Leistungswert eintragen</v>
      </c>
      <c r="U29" s="3">
        <f t="shared" si="7"/>
        <v>138.75</v>
      </c>
      <c r="V29" s="3">
        <f t="shared" si="8"/>
        <v>0</v>
      </c>
    </row>
    <row r="30" spans="1:22" ht="15" customHeight="1" x14ac:dyDescent="0.2">
      <c r="A30" s="77">
        <v>9</v>
      </c>
      <c r="B30" s="91" t="s">
        <v>222</v>
      </c>
      <c r="C30" s="92" t="s">
        <v>208</v>
      </c>
      <c r="D30" s="92">
        <v>12</v>
      </c>
      <c r="E30" s="92" t="s">
        <v>212</v>
      </c>
      <c r="F30" s="92" t="s">
        <v>213</v>
      </c>
      <c r="G30" s="93">
        <v>58.4</v>
      </c>
      <c r="H30" s="93"/>
      <c r="I30" s="93"/>
      <c r="J30" s="77" t="s">
        <v>328</v>
      </c>
      <c r="K30" s="93">
        <v>5</v>
      </c>
      <c r="L30" s="33">
        <f>VLOOKUP(K30,Reinigungstage!A10:B31,2,FALSE)</f>
        <v>187.5</v>
      </c>
      <c r="M30" s="33">
        <f t="shared" si="0"/>
        <v>10950</v>
      </c>
      <c r="N30" s="94">
        <f t="shared" si="1"/>
        <v>0</v>
      </c>
      <c r="O30" s="33">
        <f ca="1">IF('SVS UnterhaltsRG'!H61="",0,'SVS UnterhaltsRG'!H61)</f>
        <v>0</v>
      </c>
      <c r="P30" s="33">
        <f t="shared" si="2"/>
        <v>0</v>
      </c>
      <c r="Q30" s="33">
        <f t="shared" ca="1" si="3"/>
        <v>0</v>
      </c>
      <c r="R30" s="33">
        <f t="shared" si="4"/>
        <v>0</v>
      </c>
      <c r="S30" s="33">
        <f t="shared" ca="1" si="5"/>
        <v>0</v>
      </c>
      <c r="T30" s="3" t="str">
        <f t="shared" si="6"/>
        <v>Leistungswert eintragen</v>
      </c>
      <c r="U30" s="3">
        <f t="shared" si="7"/>
        <v>195</v>
      </c>
      <c r="V30" s="3">
        <f t="shared" si="8"/>
        <v>0</v>
      </c>
    </row>
    <row r="31" spans="1:22" ht="15" customHeight="1" x14ac:dyDescent="0.2">
      <c r="A31" s="77">
        <v>10</v>
      </c>
      <c r="B31" s="91" t="s">
        <v>7</v>
      </c>
      <c r="C31" s="92" t="s">
        <v>208</v>
      </c>
      <c r="D31" s="92">
        <v>1</v>
      </c>
      <c r="E31" s="92" t="s">
        <v>223</v>
      </c>
      <c r="F31" s="92" t="s">
        <v>213</v>
      </c>
      <c r="G31" s="93">
        <v>37.85</v>
      </c>
      <c r="H31" s="93"/>
      <c r="I31" s="93"/>
      <c r="J31" s="77" t="s">
        <v>329</v>
      </c>
      <c r="K31" s="93">
        <v>5</v>
      </c>
      <c r="L31" s="33">
        <f>VLOOKUP(K31,Reinigungstage!A10:B31,2,FALSE)</f>
        <v>187.5</v>
      </c>
      <c r="M31" s="33">
        <f t="shared" si="0"/>
        <v>7096.88</v>
      </c>
      <c r="N31" s="94">
        <f t="shared" si="1"/>
        <v>0</v>
      </c>
      <c r="O31" s="33">
        <f ca="1">IF('SVS UnterhaltsRG'!H61="",0,'SVS UnterhaltsRG'!H61)</f>
        <v>0</v>
      </c>
      <c r="P31" s="33">
        <f t="shared" si="2"/>
        <v>0</v>
      </c>
      <c r="Q31" s="33">
        <f t="shared" ca="1" si="3"/>
        <v>0</v>
      </c>
      <c r="R31" s="33">
        <f t="shared" si="4"/>
        <v>0</v>
      </c>
      <c r="S31" s="33">
        <f t="shared" ca="1" si="5"/>
        <v>0</v>
      </c>
      <c r="T31" s="3" t="str">
        <f t="shared" si="6"/>
        <v>Leistungswert eintragen</v>
      </c>
      <c r="U31" s="3">
        <f t="shared" si="7"/>
        <v>300</v>
      </c>
      <c r="V31" s="3">
        <f t="shared" si="8"/>
        <v>0</v>
      </c>
    </row>
    <row r="32" spans="1:22" ht="15" customHeight="1" x14ac:dyDescent="0.2">
      <c r="A32" s="77">
        <v>11</v>
      </c>
      <c r="B32" s="91" t="s">
        <v>9</v>
      </c>
      <c r="C32" s="92" t="s">
        <v>208</v>
      </c>
      <c r="D32" s="92"/>
      <c r="E32" s="92" t="s">
        <v>224</v>
      </c>
      <c r="F32" s="92" t="s">
        <v>213</v>
      </c>
      <c r="G32" s="93">
        <v>9.6</v>
      </c>
      <c r="H32" s="93"/>
      <c r="I32" s="93"/>
      <c r="J32" s="77" t="s">
        <v>330</v>
      </c>
      <c r="K32" s="93">
        <v>5</v>
      </c>
      <c r="L32" s="33">
        <f>VLOOKUP(K32,Reinigungstage!A10:B31,2,FALSE)</f>
        <v>187.5</v>
      </c>
      <c r="M32" s="33">
        <f t="shared" si="0"/>
        <v>1800</v>
      </c>
      <c r="N32" s="94">
        <f t="shared" si="1"/>
        <v>0</v>
      </c>
      <c r="O32" s="33">
        <f ca="1">IF('SVS UnterhaltsRG'!H61="",0,'SVS UnterhaltsRG'!H61)</f>
        <v>0</v>
      </c>
      <c r="P32" s="33">
        <f t="shared" si="2"/>
        <v>0</v>
      </c>
      <c r="Q32" s="33">
        <f t="shared" ca="1" si="3"/>
        <v>0</v>
      </c>
      <c r="R32" s="33">
        <f t="shared" si="4"/>
        <v>0</v>
      </c>
      <c r="S32" s="33">
        <f t="shared" ca="1" si="5"/>
        <v>0</v>
      </c>
      <c r="T32" s="3" t="str">
        <f t="shared" si="6"/>
        <v>Leistungswert eintragen</v>
      </c>
      <c r="U32" s="3">
        <f t="shared" si="7"/>
        <v>166.25</v>
      </c>
      <c r="V32" s="3">
        <f t="shared" si="8"/>
        <v>0</v>
      </c>
    </row>
    <row r="33" spans="1:22" ht="15" customHeight="1" x14ac:dyDescent="0.2">
      <c r="A33" s="77">
        <v>12</v>
      </c>
      <c r="B33" s="91" t="s">
        <v>11</v>
      </c>
      <c r="C33" s="92" t="s">
        <v>208</v>
      </c>
      <c r="D33" s="92">
        <v>2</v>
      </c>
      <c r="E33" s="92" t="s">
        <v>223</v>
      </c>
      <c r="F33" s="92" t="s">
        <v>213</v>
      </c>
      <c r="G33" s="93">
        <v>41.95</v>
      </c>
      <c r="H33" s="93"/>
      <c r="I33" s="93"/>
      <c r="J33" s="77" t="s">
        <v>329</v>
      </c>
      <c r="K33" s="93">
        <v>5</v>
      </c>
      <c r="L33" s="33">
        <f>VLOOKUP(K33,Reinigungstage!A10:B31,2,FALSE)</f>
        <v>187.5</v>
      </c>
      <c r="M33" s="33">
        <f t="shared" si="0"/>
        <v>7865.63</v>
      </c>
      <c r="N33" s="94">
        <f t="shared" si="1"/>
        <v>0</v>
      </c>
      <c r="O33" s="33">
        <f ca="1">IF('SVS UnterhaltsRG'!H61="",0,'SVS UnterhaltsRG'!H61)</f>
        <v>0</v>
      </c>
      <c r="P33" s="33">
        <f t="shared" si="2"/>
        <v>0</v>
      </c>
      <c r="Q33" s="33">
        <f t="shared" ca="1" si="3"/>
        <v>0</v>
      </c>
      <c r="R33" s="33">
        <f t="shared" si="4"/>
        <v>0</v>
      </c>
      <c r="S33" s="33">
        <f t="shared" ca="1" si="5"/>
        <v>0</v>
      </c>
      <c r="T33" s="3" t="str">
        <f t="shared" si="6"/>
        <v>Leistungswert eintragen</v>
      </c>
      <c r="U33" s="3">
        <f t="shared" si="7"/>
        <v>300</v>
      </c>
      <c r="V33" s="3">
        <f t="shared" si="8"/>
        <v>0</v>
      </c>
    </row>
    <row r="34" spans="1:22" ht="15" customHeight="1" x14ac:dyDescent="0.2">
      <c r="A34" s="77">
        <v>13</v>
      </c>
      <c r="B34" s="91" t="s">
        <v>13</v>
      </c>
      <c r="C34" s="92" t="s">
        <v>208</v>
      </c>
      <c r="D34" s="92">
        <v>11</v>
      </c>
      <c r="E34" s="92" t="s">
        <v>212</v>
      </c>
      <c r="F34" s="92" t="s">
        <v>213</v>
      </c>
      <c r="G34" s="93">
        <v>54.95</v>
      </c>
      <c r="H34" s="93"/>
      <c r="I34" s="93"/>
      <c r="J34" s="77" t="s">
        <v>328</v>
      </c>
      <c r="K34" s="93">
        <v>5</v>
      </c>
      <c r="L34" s="33">
        <f>VLOOKUP(K34,Reinigungstage!A10:B31,2,FALSE)</f>
        <v>187.5</v>
      </c>
      <c r="M34" s="33">
        <f t="shared" si="0"/>
        <v>10303.129999999999</v>
      </c>
      <c r="N34" s="94">
        <f t="shared" si="1"/>
        <v>0</v>
      </c>
      <c r="O34" s="33">
        <f ca="1">IF('SVS UnterhaltsRG'!H61="",0,'SVS UnterhaltsRG'!H61)</f>
        <v>0</v>
      </c>
      <c r="P34" s="33">
        <f t="shared" si="2"/>
        <v>0</v>
      </c>
      <c r="Q34" s="33">
        <f t="shared" ca="1" si="3"/>
        <v>0</v>
      </c>
      <c r="R34" s="33">
        <f t="shared" si="4"/>
        <v>0</v>
      </c>
      <c r="S34" s="33">
        <f t="shared" ca="1" si="5"/>
        <v>0</v>
      </c>
      <c r="T34" s="3" t="str">
        <f t="shared" si="6"/>
        <v>Leistungswert eintragen</v>
      </c>
      <c r="U34" s="3">
        <f t="shared" si="7"/>
        <v>195</v>
      </c>
      <c r="V34" s="3">
        <f t="shared" si="8"/>
        <v>0</v>
      </c>
    </row>
    <row r="35" spans="1:22" ht="15" customHeight="1" x14ac:dyDescent="0.2">
      <c r="A35" s="77">
        <v>14</v>
      </c>
      <c r="B35" s="91" t="s">
        <v>15</v>
      </c>
      <c r="C35" s="92" t="s">
        <v>208</v>
      </c>
      <c r="D35" s="92"/>
      <c r="E35" s="92" t="s">
        <v>225</v>
      </c>
      <c r="F35" s="92" t="s">
        <v>210</v>
      </c>
      <c r="G35" s="93">
        <v>4.5999999999999996</v>
      </c>
      <c r="H35" s="93"/>
      <c r="I35" s="93"/>
      <c r="J35" s="77" t="s">
        <v>331</v>
      </c>
      <c r="K35" s="93">
        <v>5</v>
      </c>
      <c r="L35" s="33">
        <f>VLOOKUP(K35,Reinigungstage!A10:B31,2,FALSE)</f>
        <v>187.5</v>
      </c>
      <c r="M35" s="33">
        <f t="shared" si="0"/>
        <v>862.5</v>
      </c>
      <c r="N35" s="94">
        <f t="shared" si="1"/>
        <v>0</v>
      </c>
      <c r="O35" s="33">
        <f ca="1">IF('SVS UnterhaltsRG'!H61="",0,'SVS UnterhaltsRG'!H61)</f>
        <v>0</v>
      </c>
      <c r="P35" s="33">
        <f t="shared" si="2"/>
        <v>0</v>
      </c>
      <c r="Q35" s="33">
        <f t="shared" ca="1" si="3"/>
        <v>0</v>
      </c>
      <c r="R35" s="33">
        <f t="shared" si="4"/>
        <v>0</v>
      </c>
      <c r="S35" s="33">
        <f t="shared" ca="1" si="5"/>
        <v>0</v>
      </c>
      <c r="T35" s="3" t="str">
        <f t="shared" si="6"/>
        <v>Leistungswert eintragen</v>
      </c>
      <c r="U35" s="3">
        <f t="shared" si="7"/>
        <v>63.75</v>
      </c>
      <c r="V35" s="3">
        <f t="shared" si="8"/>
        <v>0</v>
      </c>
    </row>
    <row r="36" spans="1:22" ht="15" customHeight="1" x14ac:dyDescent="0.2">
      <c r="A36" s="77">
        <v>15</v>
      </c>
      <c r="B36" s="91" t="s">
        <v>17</v>
      </c>
      <c r="C36" s="92" t="s">
        <v>208</v>
      </c>
      <c r="D36" s="92"/>
      <c r="E36" s="92" t="s">
        <v>226</v>
      </c>
      <c r="F36" s="92" t="s">
        <v>210</v>
      </c>
      <c r="G36" s="93">
        <v>9.35</v>
      </c>
      <c r="H36" s="93"/>
      <c r="I36" s="93"/>
      <c r="J36" s="77" t="s">
        <v>331</v>
      </c>
      <c r="K36" s="93">
        <v>5</v>
      </c>
      <c r="L36" s="33">
        <f>VLOOKUP(K36,Reinigungstage!A10:B31,2,FALSE)</f>
        <v>187.5</v>
      </c>
      <c r="M36" s="33">
        <f t="shared" si="0"/>
        <v>1753.13</v>
      </c>
      <c r="N36" s="94">
        <f t="shared" si="1"/>
        <v>0</v>
      </c>
      <c r="O36" s="33">
        <f ca="1">IF('SVS UnterhaltsRG'!H61="",0,'SVS UnterhaltsRG'!H61)</f>
        <v>0</v>
      </c>
      <c r="P36" s="33">
        <f t="shared" si="2"/>
        <v>0</v>
      </c>
      <c r="Q36" s="33">
        <f t="shared" ca="1" si="3"/>
        <v>0</v>
      </c>
      <c r="R36" s="33">
        <f t="shared" si="4"/>
        <v>0</v>
      </c>
      <c r="S36" s="33">
        <f t="shared" ca="1" si="5"/>
        <v>0</v>
      </c>
      <c r="T36" s="3" t="str">
        <f t="shared" si="6"/>
        <v>Leistungswert eintragen</v>
      </c>
      <c r="U36" s="3">
        <f t="shared" si="7"/>
        <v>63.75</v>
      </c>
      <c r="V36" s="3">
        <f t="shared" si="8"/>
        <v>0</v>
      </c>
    </row>
    <row r="37" spans="1:22" ht="15" customHeight="1" x14ac:dyDescent="0.2">
      <c r="A37" s="77">
        <v>16</v>
      </c>
      <c r="B37" s="91" t="s">
        <v>227</v>
      </c>
      <c r="C37" s="92" t="s">
        <v>208</v>
      </c>
      <c r="D37" s="92"/>
      <c r="E37" s="92" t="s">
        <v>228</v>
      </c>
      <c r="F37" s="92" t="s">
        <v>210</v>
      </c>
      <c r="G37" s="93">
        <v>8.6999999999999993</v>
      </c>
      <c r="H37" s="93"/>
      <c r="I37" s="93"/>
      <c r="J37" s="77" t="s">
        <v>331</v>
      </c>
      <c r="K37" s="93">
        <v>5</v>
      </c>
      <c r="L37" s="33">
        <f>VLOOKUP(K37,Reinigungstage!A10:B31,2,FALSE)</f>
        <v>187.5</v>
      </c>
      <c r="M37" s="33">
        <f t="shared" si="0"/>
        <v>1631.25</v>
      </c>
      <c r="N37" s="94">
        <f t="shared" si="1"/>
        <v>0</v>
      </c>
      <c r="O37" s="33">
        <f ca="1">IF('SVS UnterhaltsRG'!H61="",0,'SVS UnterhaltsRG'!H61)</f>
        <v>0</v>
      </c>
      <c r="P37" s="33">
        <f t="shared" si="2"/>
        <v>0</v>
      </c>
      <c r="Q37" s="33">
        <f t="shared" ca="1" si="3"/>
        <v>0</v>
      </c>
      <c r="R37" s="33">
        <f t="shared" si="4"/>
        <v>0</v>
      </c>
      <c r="S37" s="33">
        <f t="shared" ca="1" si="5"/>
        <v>0</v>
      </c>
      <c r="T37" s="3" t="str">
        <f t="shared" si="6"/>
        <v>Leistungswert eintragen</v>
      </c>
      <c r="U37" s="3">
        <f t="shared" si="7"/>
        <v>63.75</v>
      </c>
      <c r="V37" s="3">
        <f t="shared" si="8"/>
        <v>0</v>
      </c>
    </row>
    <row r="38" spans="1:22" ht="15" customHeight="1" x14ac:dyDescent="0.2">
      <c r="A38" s="77">
        <v>17</v>
      </c>
      <c r="B38" s="91" t="s">
        <v>229</v>
      </c>
      <c r="C38" s="92" t="s">
        <v>208</v>
      </c>
      <c r="D38" s="92"/>
      <c r="E38" s="92" t="s">
        <v>230</v>
      </c>
      <c r="F38" s="92" t="s">
        <v>210</v>
      </c>
      <c r="G38" s="93">
        <v>5.2</v>
      </c>
      <c r="H38" s="93"/>
      <c r="I38" s="93"/>
      <c r="J38" s="77" t="s">
        <v>332</v>
      </c>
      <c r="K38" s="93">
        <v>0</v>
      </c>
      <c r="L38" s="33">
        <f>VLOOKUP(K38,Reinigungstage!A10:B31,2,FALSE)</f>
        <v>0</v>
      </c>
      <c r="M38" s="33">
        <f t="shared" si="0"/>
        <v>0</v>
      </c>
      <c r="N38" s="94">
        <f t="shared" si="1"/>
        <v>0</v>
      </c>
      <c r="O38" s="33">
        <f ca="1">IF('SVS UnterhaltsRG'!H61="",0,'SVS UnterhaltsRG'!H61)</f>
        <v>0</v>
      </c>
      <c r="P38" s="33">
        <f t="shared" si="2"/>
        <v>0</v>
      </c>
      <c r="Q38" s="33">
        <f t="shared" si="3"/>
        <v>0</v>
      </c>
      <c r="R38" s="33">
        <f t="shared" si="4"/>
        <v>0</v>
      </c>
      <c r="S38" s="33">
        <f t="shared" si="5"/>
        <v>0</v>
      </c>
      <c r="T38" s="3" t="str">
        <f t="shared" si="6"/>
        <v/>
      </c>
      <c r="U38" s="3">
        <f t="shared" si="7"/>
        <v>262.5</v>
      </c>
      <c r="V38" s="3">
        <f t="shared" si="8"/>
        <v>0</v>
      </c>
    </row>
    <row r="39" spans="1:22" ht="15" customHeight="1" x14ac:dyDescent="0.2">
      <c r="A39" s="77">
        <v>18</v>
      </c>
      <c r="B39" s="91" t="s">
        <v>231</v>
      </c>
      <c r="C39" s="92" t="s">
        <v>208</v>
      </c>
      <c r="D39" s="92"/>
      <c r="E39" s="92" t="s">
        <v>232</v>
      </c>
      <c r="F39" s="92" t="s">
        <v>213</v>
      </c>
      <c r="G39" s="93">
        <v>16</v>
      </c>
      <c r="H39" s="93"/>
      <c r="I39" s="93"/>
      <c r="J39" s="77" t="s">
        <v>232</v>
      </c>
      <c r="K39" s="93">
        <v>5</v>
      </c>
      <c r="L39" s="33">
        <f>VLOOKUP(K39,Reinigungstage!A10:B31,2,FALSE)</f>
        <v>187.5</v>
      </c>
      <c r="M39" s="33">
        <f t="shared" si="0"/>
        <v>3000</v>
      </c>
      <c r="N39" s="94">
        <f t="shared" si="1"/>
        <v>0</v>
      </c>
      <c r="O39" s="33">
        <f ca="1">IF('SVS UnterhaltsRG'!H61="",0,'SVS UnterhaltsRG'!H61)</f>
        <v>0</v>
      </c>
      <c r="P39" s="33">
        <f t="shared" si="2"/>
        <v>0</v>
      </c>
      <c r="Q39" s="33">
        <f t="shared" ca="1" si="3"/>
        <v>0</v>
      </c>
      <c r="R39" s="33">
        <f t="shared" si="4"/>
        <v>0</v>
      </c>
      <c r="S39" s="33">
        <f t="shared" ca="1" si="5"/>
        <v>0</v>
      </c>
      <c r="T39" s="3" t="str">
        <f t="shared" si="6"/>
        <v>Leistungswert eintragen</v>
      </c>
      <c r="U39" s="3">
        <f t="shared" si="7"/>
        <v>168.75</v>
      </c>
      <c r="V39" s="3">
        <f t="shared" si="8"/>
        <v>0</v>
      </c>
    </row>
    <row r="40" spans="1:22" ht="15" customHeight="1" x14ac:dyDescent="0.2">
      <c r="A40" s="77">
        <v>19</v>
      </c>
      <c r="B40" s="91" t="s">
        <v>233</v>
      </c>
      <c r="C40" s="92" t="s">
        <v>208</v>
      </c>
      <c r="D40" s="92"/>
      <c r="E40" s="92" t="s">
        <v>234</v>
      </c>
      <c r="F40" s="92" t="s">
        <v>213</v>
      </c>
      <c r="G40" s="93">
        <v>55.7</v>
      </c>
      <c r="H40" s="93"/>
      <c r="I40" s="93"/>
      <c r="J40" s="77" t="s">
        <v>328</v>
      </c>
      <c r="K40" s="93">
        <v>5</v>
      </c>
      <c r="L40" s="33">
        <f>VLOOKUP(K40,Reinigungstage!A10:B31,2,FALSE)</f>
        <v>187.5</v>
      </c>
      <c r="M40" s="33">
        <f t="shared" si="0"/>
        <v>10443.75</v>
      </c>
      <c r="N40" s="94">
        <f t="shared" si="1"/>
        <v>0</v>
      </c>
      <c r="O40" s="33">
        <f ca="1">IF('SVS UnterhaltsRG'!H61="",0,'SVS UnterhaltsRG'!H61)</f>
        <v>0</v>
      </c>
      <c r="P40" s="33">
        <f t="shared" si="2"/>
        <v>0</v>
      </c>
      <c r="Q40" s="33">
        <f t="shared" ca="1" si="3"/>
        <v>0</v>
      </c>
      <c r="R40" s="33">
        <f t="shared" si="4"/>
        <v>0</v>
      </c>
      <c r="S40" s="33">
        <f t="shared" ca="1" si="5"/>
        <v>0</v>
      </c>
      <c r="T40" s="3" t="str">
        <f t="shared" si="6"/>
        <v>Leistungswert eintragen</v>
      </c>
      <c r="U40" s="3">
        <f t="shared" si="7"/>
        <v>195</v>
      </c>
      <c r="V40" s="3">
        <f t="shared" si="8"/>
        <v>0</v>
      </c>
    </row>
    <row r="41" spans="1:22" ht="15" customHeight="1" x14ac:dyDescent="0.2">
      <c r="A41" s="77">
        <v>20</v>
      </c>
      <c r="B41" s="91" t="s">
        <v>20</v>
      </c>
      <c r="C41" s="92" t="s">
        <v>208</v>
      </c>
      <c r="D41" s="92"/>
      <c r="E41" s="92" t="s">
        <v>235</v>
      </c>
      <c r="F41" s="92" t="s">
        <v>213</v>
      </c>
      <c r="G41" s="93">
        <v>22.05</v>
      </c>
      <c r="H41" s="93"/>
      <c r="I41" s="93"/>
      <c r="J41" s="77" t="s">
        <v>332</v>
      </c>
      <c r="K41" s="93">
        <v>1</v>
      </c>
      <c r="L41" s="33">
        <f>VLOOKUP(K41,Reinigungstage!A10:B31,2,FALSE)</f>
        <v>38.950000000000003</v>
      </c>
      <c r="M41" s="33">
        <f t="shared" si="0"/>
        <v>858.85</v>
      </c>
      <c r="N41" s="94">
        <f t="shared" si="1"/>
        <v>0</v>
      </c>
      <c r="O41" s="33">
        <f ca="1">IF('SVS UnterhaltsRG'!H61="",0,'SVS UnterhaltsRG'!H61)</f>
        <v>0</v>
      </c>
      <c r="P41" s="33">
        <f t="shared" si="2"/>
        <v>0</v>
      </c>
      <c r="Q41" s="33">
        <f t="shared" ca="1" si="3"/>
        <v>0</v>
      </c>
      <c r="R41" s="33">
        <f t="shared" si="4"/>
        <v>0</v>
      </c>
      <c r="S41" s="33">
        <f t="shared" ca="1" si="5"/>
        <v>0</v>
      </c>
      <c r="T41" s="3" t="str">
        <f t="shared" si="6"/>
        <v>Leistungswert eintragen</v>
      </c>
      <c r="U41" s="3">
        <f t="shared" si="7"/>
        <v>262.5</v>
      </c>
      <c r="V41" s="3">
        <f t="shared" si="8"/>
        <v>0</v>
      </c>
    </row>
    <row r="42" spans="1:22" ht="15" customHeight="1" x14ac:dyDescent="0.2">
      <c r="A42" s="77">
        <v>21</v>
      </c>
      <c r="B42" s="91" t="s">
        <v>22</v>
      </c>
      <c r="C42" s="92" t="s">
        <v>208</v>
      </c>
      <c r="D42" s="92">
        <v>1</v>
      </c>
      <c r="E42" s="92" t="s">
        <v>209</v>
      </c>
      <c r="F42" s="92" t="s">
        <v>210</v>
      </c>
      <c r="G42" s="93">
        <v>33.5</v>
      </c>
      <c r="H42" s="93"/>
      <c r="I42" s="93"/>
      <c r="J42" s="77" t="s">
        <v>327</v>
      </c>
      <c r="K42" s="93">
        <v>5</v>
      </c>
      <c r="L42" s="33">
        <f>VLOOKUP(K42,Reinigungstage!A10:B31,2,FALSE)</f>
        <v>187.5</v>
      </c>
      <c r="M42" s="33">
        <f t="shared" si="0"/>
        <v>6281.25</v>
      </c>
      <c r="N42" s="94">
        <f t="shared" si="1"/>
        <v>0</v>
      </c>
      <c r="O42" s="33">
        <f ca="1">IF('SVS UnterhaltsRG'!H61="",0,'SVS UnterhaltsRG'!H61)</f>
        <v>0</v>
      </c>
      <c r="P42" s="33">
        <f t="shared" si="2"/>
        <v>0</v>
      </c>
      <c r="Q42" s="33">
        <f t="shared" ca="1" si="3"/>
        <v>0</v>
      </c>
      <c r="R42" s="33">
        <f t="shared" si="4"/>
        <v>0</v>
      </c>
      <c r="S42" s="33">
        <f t="shared" ca="1" si="5"/>
        <v>0</v>
      </c>
      <c r="T42" s="3" t="str">
        <f t="shared" si="6"/>
        <v>Leistungswert eintragen</v>
      </c>
      <c r="U42" s="3">
        <f t="shared" si="7"/>
        <v>138.75</v>
      </c>
      <c r="V42" s="3">
        <f t="shared" si="8"/>
        <v>0</v>
      </c>
    </row>
    <row r="43" spans="1:22" ht="15" customHeight="1" x14ac:dyDescent="0.2">
      <c r="A43" s="77">
        <v>22</v>
      </c>
      <c r="B43" s="91" t="s">
        <v>236</v>
      </c>
      <c r="C43" s="92" t="s">
        <v>237</v>
      </c>
      <c r="D43" s="92">
        <v>2</v>
      </c>
      <c r="E43" s="92" t="s">
        <v>209</v>
      </c>
      <c r="F43" s="92" t="s">
        <v>210</v>
      </c>
      <c r="G43" s="93">
        <v>28.9</v>
      </c>
      <c r="H43" s="93"/>
      <c r="I43" s="93"/>
      <c r="J43" s="77" t="s">
        <v>327</v>
      </c>
      <c r="K43" s="93">
        <v>5</v>
      </c>
      <c r="L43" s="33">
        <f>VLOOKUP(K43,Reinigungstage!A10:B31,2,FALSE)</f>
        <v>187.5</v>
      </c>
      <c r="M43" s="33">
        <f t="shared" si="0"/>
        <v>5418.75</v>
      </c>
      <c r="N43" s="94">
        <f t="shared" si="1"/>
        <v>0</v>
      </c>
      <c r="O43" s="33">
        <f ca="1">IF('SVS UnterhaltsRG'!H61="",0,'SVS UnterhaltsRG'!H61)</f>
        <v>0</v>
      </c>
      <c r="P43" s="33">
        <f t="shared" si="2"/>
        <v>0</v>
      </c>
      <c r="Q43" s="33">
        <f t="shared" ca="1" si="3"/>
        <v>0</v>
      </c>
      <c r="R43" s="33">
        <f t="shared" si="4"/>
        <v>0</v>
      </c>
      <c r="S43" s="33">
        <f t="shared" ca="1" si="5"/>
        <v>0</v>
      </c>
      <c r="T43" s="3" t="str">
        <f t="shared" si="6"/>
        <v>Leistungswert eintragen</v>
      </c>
      <c r="U43" s="3">
        <f t="shared" si="7"/>
        <v>138.75</v>
      </c>
      <c r="V43" s="3">
        <f t="shared" si="8"/>
        <v>0</v>
      </c>
    </row>
    <row r="44" spans="1:22" ht="15" customHeight="1" x14ac:dyDescent="0.2">
      <c r="A44" s="77">
        <v>23</v>
      </c>
      <c r="B44" s="91" t="s">
        <v>238</v>
      </c>
      <c r="C44" s="92" t="s">
        <v>237</v>
      </c>
      <c r="D44" s="92">
        <v>7</v>
      </c>
      <c r="E44" s="92" t="s">
        <v>212</v>
      </c>
      <c r="F44" s="92" t="s">
        <v>213</v>
      </c>
      <c r="G44" s="93">
        <v>53.85</v>
      </c>
      <c r="H44" s="93"/>
      <c r="I44" s="93"/>
      <c r="J44" s="77" t="s">
        <v>328</v>
      </c>
      <c r="K44" s="93">
        <v>5</v>
      </c>
      <c r="L44" s="33">
        <f>VLOOKUP(K44,Reinigungstage!A10:B31,2,FALSE)</f>
        <v>187.5</v>
      </c>
      <c r="M44" s="33">
        <f t="shared" si="0"/>
        <v>10096.879999999999</v>
      </c>
      <c r="N44" s="94">
        <f t="shared" si="1"/>
        <v>0</v>
      </c>
      <c r="O44" s="33">
        <f ca="1">IF('SVS UnterhaltsRG'!H61="",0,'SVS UnterhaltsRG'!H61)</f>
        <v>0</v>
      </c>
      <c r="P44" s="33">
        <f t="shared" si="2"/>
        <v>0</v>
      </c>
      <c r="Q44" s="33">
        <f t="shared" ca="1" si="3"/>
        <v>0</v>
      </c>
      <c r="R44" s="33">
        <f t="shared" si="4"/>
        <v>0</v>
      </c>
      <c r="S44" s="33">
        <f t="shared" ca="1" si="5"/>
        <v>0</v>
      </c>
      <c r="T44" s="3" t="str">
        <f t="shared" si="6"/>
        <v>Leistungswert eintragen</v>
      </c>
      <c r="U44" s="3">
        <f t="shared" si="7"/>
        <v>195</v>
      </c>
      <c r="V44" s="3">
        <f t="shared" si="8"/>
        <v>0</v>
      </c>
    </row>
    <row r="45" spans="1:22" ht="15" customHeight="1" x14ac:dyDescent="0.2">
      <c r="A45" s="77">
        <v>24</v>
      </c>
      <c r="B45" s="91" t="s">
        <v>239</v>
      </c>
      <c r="C45" s="92" t="s">
        <v>237</v>
      </c>
      <c r="D45" s="92">
        <v>8</v>
      </c>
      <c r="E45" s="92" t="s">
        <v>212</v>
      </c>
      <c r="F45" s="92" t="s">
        <v>213</v>
      </c>
      <c r="G45" s="93">
        <v>44.6</v>
      </c>
      <c r="H45" s="93"/>
      <c r="I45" s="93"/>
      <c r="J45" s="77" t="s">
        <v>328</v>
      </c>
      <c r="K45" s="93">
        <v>5</v>
      </c>
      <c r="L45" s="33">
        <f>VLOOKUP(K45,Reinigungstage!A10:B31,2,FALSE)</f>
        <v>187.5</v>
      </c>
      <c r="M45" s="33">
        <f t="shared" si="0"/>
        <v>8362.5</v>
      </c>
      <c r="N45" s="94">
        <f t="shared" si="1"/>
        <v>0</v>
      </c>
      <c r="O45" s="33">
        <f ca="1">IF('SVS UnterhaltsRG'!H61="",0,'SVS UnterhaltsRG'!H61)</f>
        <v>0</v>
      </c>
      <c r="P45" s="33">
        <f t="shared" si="2"/>
        <v>0</v>
      </c>
      <c r="Q45" s="33">
        <f t="shared" ca="1" si="3"/>
        <v>0</v>
      </c>
      <c r="R45" s="33">
        <f t="shared" si="4"/>
        <v>0</v>
      </c>
      <c r="S45" s="33">
        <f t="shared" ca="1" si="5"/>
        <v>0</v>
      </c>
      <c r="T45" s="3" t="str">
        <f t="shared" si="6"/>
        <v>Leistungswert eintragen</v>
      </c>
      <c r="U45" s="3">
        <f t="shared" si="7"/>
        <v>195</v>
      </c>
      <c r="V45" s="3">
        <f t="shared" si="8"/>
        <v>0</v>
      </c>
    </row>
    <row r="46" spans="1:22" ht="15" customHeight="1" x14ac:dyDescent="0.2">
      <c r="A46" s="77">
        <v>25</v>
      </c>
      <c r="B46" s="91" t="s">
        <v>240</v>
      </c>
      <c r="C46" s="92" t="s">
        <v>237</v>
      </c>
      <c r="D46" s="92">
        <v>9</v>
      </c>
      <c r="E46" s="92" t="s">
        <v>212</v>
      </c>
      <c r="F46" s="92" t="s">
        <v>213</v>
      </c>
      <c r="G46" s="93">
        <v>43.6</v>
      </c>
      <c r="H46" s="93"/>
      <c r="I46" s="93"/>
      <c r="J46" s="77" t="s">
        <v>328</v>
      </c>
      <c r="K46" s="93">
        <v>5</v>
      </c>
      <c r="L46" s="33">
        <f>VLOOKUP(K46,Reinigungstage!A10:B31,2,FALSE)</f>
        <v>187.5</v>
      </c>
      <c r="M46" s="33">
        <f t="shared" si="0"/>
        <v>8175</v>
      </c>
      <c r="N46" s="94">
        <f t="shared" si="1"/>
        <v>0</v>
      </c>
      <c r="O46" s="33">
        <f ca="1">IF('SVS UnterhaltsRG'!H61="",0,'SVS UnterhaltsRG'!H61)</f>
        <v>0</v>
      </c>
      <c r="P46" s="33">
        <f t="shared" si="2"/>
        <v>0</v>
      </c>
      <c r="Q46" s="33">
        <f t="shared" ca="1" si="3"/>
        <v>0</v>
      </c>
      <c r="R46" s="33">
        <f t="shared" si="4"/>
        <v>0</v>
      </c>
      <c r="S46" s="33">
        <f t="shared" ca="1" si="5"/>
        <v>0</v>
      </c>
      <c r="T46" s="3" t="str">
        <f t="shared" si="6"/>
        <v>Leistungswert eintragen</v>
      </c>
      <c r="U46" s="3">
        <f t="shared" si="7"/>
        <v>195</v>
      </c>
      <c r="V46" s="3">
        <f t="shared" si="8"/>
        <v>0</v>
      </c>
    </row>
    <row r="47" spans="1:22" ht="15" customHeight="1" x14ac:dyDescent="0.2">
      <c r="A47" s="77">
        <v>26</v>
      </c>
      <c r="B47" s="91" t="s">
        <v>241</v>
      </c>
      <c r="C47" s="92" t="s">
        <v>237</v>
      </c>
      <c r="D47" s="92">
        <v>10</v>
      </c>
      <c r="E47" s="92" t="s">
        <v>212</v>
      </c>
      <c r="F47" s="92" t="s">
        <v>213</v>
      </c>
      <c r="G47" s="93">
        <v>58.2</v>
      </c>
      <c r="H47" s="93"/>
      <c r="I47" s="93"/>
      <c r="J47" s="77" t="s">
        <v>328</v>
      </c>
      <c r="K47" s="93">
        <v>5</v>
      </c>
      <c r="L47" s="33">
        <f>VLOOKUP(K47,Reinigungstage!A10:B31,2,FALSE)</f>
        <v>187.5</v>
      </c>
      <c r="M47" s="33">
        <f t="shared" si="0"/>
        <v>10912.5</v>
      </c>
      <c r="N47" s="94">
        <f t="shared" si="1"/>
        <v>0</v>
      </c>
      <c r="O47" s="33">
        <f ca="1">IF('SVS UnterhaltsRG'!H61="",0,'SVS UnterhaltsRG'!H61)</f>
        <v>0</v>
      </c>
      <c r="P47" s="33">
        <f t="shared" si="2"/>
        <v>0</v>
      </c>
      <c r="Q47" s="33">
        <f t="shared" ca="1" si="3"/>
        <v>0</v>
      </c>
      <c r="R47" s="33">
        <f t="shared" si="4"/>
        <v>0</v>
      </c>
      <c r="S47" s="33">
        <f t="shared" ca="1" si="5"/>
        <v>0</v>
      </c>
      <c r="T47" s="3" t="str">
        <f t="shared" si="6"/>
        <v>Leistungswert eintragen</v>
      </c>
      <c r="U47" s="3">
        <f t="shared" si="7"/>
        <v>195</v>
      </c>
      <c r="V47" s="3">
        <f t="shared" si="8"/>
        <v>0</v>
      </c>
    </row>
    <row r="48" spans="1:22" ht="15" customHeight="1" x14ac:dyDescent="0.2">
      <c r="A48" s="77">
        <v>27</v>
      </c>
      <c r="B48" s="91" t="s">
        <v>242</v>
      </c>
      <c r="C48" s="92" t="s">
        <v>237</v>
      </c>
      <c r="D48" s="92">
        <v>6</v>
      </c>
      <c r="E48" s="92" t="s">
        <v>212</v>
      </c>
      <c r="F48" s="92" t="s">
        <v>213</v>
      </c>
      <c r="G48" s="93">
        <v>58.65</v>
      </c>
      <c r="H48" s="93"/>
      <c r="I48" s="93"/>
      <c r="J48" s="77" t="s">
        <v>328</v>
      </c>
      <c r="K48" s="93">
        <v>5</v>
      </c>
      <c r="L48" s="33">
        <f>VLOOKUP(K48,Reinigungstage!A10:B31,2,FALSE)</f>
        <v>187.5</v>
      </c>
      <c r="M48" s="33">
        <f t="shared" si="0"/>
        <v>10996.88</v>
      </c>
      <c r="N48" s="94">
        <f t="shared" si="1"/>
        <v>0</v>
      </c>
      <c r="O48" s="33">
        <f ca="1">IF('SVS UnterhaltsRG'!H61="",0,'SVS UnterhaltsRG'!H61)</f>
        <v>0</v>
      </c>
      <c r="P48" s="33">
        <f t="shared" si="2"/>
        <v>0</v>
      </c>
      <c r="Q48" s="33">
        <f t="shared" ca="1" si="3"/>
        <v>0</v>
      </c>
      <c r="R48" s="33">
        <f t="shared" si="4"/>
        <v>0</v>
      </c>
      <c r="S48" s="33">
        <f t="shared" ca="1" si="5"/>
        <v>0</v>
      </c>
      <c r="T48" s="3" t="str">
        <f t="shared" si="6"/>
        <v>Leistungswert eintragen</v>
      </c>
      <c r="U48" s="3">
        <f t="shared" si="7"/>
        <v>195</v>
      </c>
      <c r="V48" s="3">
        <f t="shared" si="8"/>
        <v>0</v>
      </c>
    </row>
    <row r="49" spans="1:22" ht="15" customHeight="1" x14ac:dyDescent="0.2">
      <c r="A49" s="77">
        <v>28</v>
      </c>
      <c r="B49" s="91" t="s">
        <v>243</v>
      </c>
      <c r="C49" s="92" t="s">
        <v>237</v>
      </c>
      <c r="D49" s="92"/>
      <c r="E49" s="92" t="s">
        <v>220</v>
      </c>
      <c r="F49" s="92" t="s">
        <v>213</v>
      </c>
      <c r="G49" s="93">
        <v>29.15</v>
      </c>
      <c r="H49" s="93"/>
      <c r="I49" s="93"/>
      <c r="J49" s="77" t="s">
        <v>329</v>
      </c>
      <c r="K49" s="93">
        <v>5</v>
      </c>
      <c r="L49" s="33">
        <f>VLOOKUP(K49,Reinigungstage!A10:B31,2,FALSE)</f>
        <v>187.5</v>
      </c>
      <c r="M49" s="33">
        <f t="shared" si="0"/>
        <v>5465.63</v>
      </c>
      <c r="N49" s="94">
        <f t="shared" si="1"/>
        <v>0</v>
      </c>
      <c r="O49" s="33">
        <f ca="1">IF('SVS UnterhaltsRG'!H61="",0,'SVS UnterhaltsRG'!H61)</f>
        <v>0</v>
      </c>
      <c r="P49" s="33">
        <f t="shared" si="2"/>
        <v>0</v>
      </c>
      <c r="Q49" s="33">
        <f t="shared" ca="1" si="3"/>
        <v>0</v>
      </c>
      <c r="R49" s="33">
        <f t="shared" si="4"/>
        <v>0</v>
      </c>
      <c r="S49" s="33">
        <f t="shared" ca="1" si="5"/>
        <v>0</v>
      </c>
      <c r="T49" s="3" t="str">
        <f t="shared" si="6"/>
        <v>Leistungswert eintragen</v>
      </c>
      <c r="U49" s="3">
        <f t="shared" si="7"/>
        <v>300</v>
      </c>
      <c r="V49" s="3">
        <f t="shared" si="8"/>
        <v>0</v>
      </c>
    </row>
    <row r="50" spans="1:22" ht="15" customHeight="1" x14ac:dyDescent="0.2">
      <c r="A50" s="77">
        <v>29</v>
      </c>
      <c r="B50" s="91" t="s">
        <v>244</v>
      </c>
      <c r="C50" s="92" t="s">
        <v>237</v>
      </c>
      <c r="D50" s="92">
        <v>3</v>
      </c>
      <c r="E50" s="92" t="s">
        <v>209</v>
      </c>
      <c r="F50" s="92" t="s">
        <v>213</v>
      </c>
      <c r="G50" s="93">
        <v>33.6</v>
      </c>
      <c r="H50" s="93"/>
      <c r="I50" s="93"/>
      <c r="J50" s="77" t="s">
        <v>327</v>
      </c>
      <c r="K50" s="93">
        <v>5</v>
      </c>
      <c r="L50" s="33">
        <f>VLOOKUP(K50,Reinigungstage!A10:B31,2,FALSE)</f>
        <v>187.5</v>
      </c>
      <c r="M50" s="33">
        <f t="shared" si="0"/>
        <v>6300</v>
      </c>
      <c r="N50" s="94">
        <f t="shared" si="1"/>
        <v>0</v>
      </c>
      <c r="O50" s="33">
        <f ca="1">IF('SVS UnterhaltsRG'!H61="",0,'SVS UnterhaltsRG'!H61)</f>
        <v>0</v>
      </c>
      <c r="P50" s="33">
        <f t="shared" si="2"/>
        <v>0</v>
      </c>
      <c r="Q50" s="33">
        <f t="shared" ca="1" si="3"/>
        <v>0</v>
      </c>
      <c r="R50" s="33">
        <f t="shared" si="4"/>
        <v>0</v>
      </c>
      <c r="S50" s="33">
        <f t="shared" ca="1" si="5"/>
        <v>0</v>
      </c>
      <c r="T50" s="3" t="str">
        <f t="shared" si="6"/>
        <v>Leistungswert eintragen</v>
      </c>
      <c r="U50" s="3">
        <f t="shared" si="7"/>
        <v>138.75</v>
      </c>
      <c r="V50" s="3">
        <f t="shared" si="8"/>
        <v>0</v>
      </c>
    </row>
    <row r="51" spans="1:22" ht="15" customHeight="1" x14ac:dyDescent="0.2">
      <c r="A51" s="77">
        <v>30</v>
      </c>
      <c r="B51" s="91" t="s">
        <v>245</v>
      </c>
      <c r="C51" s="92" t="s">
        <v>237</v>
      </c>
      <c r="D51" s="92">
        <v>1</v>
      </c>
      <c r="E51" s="92" t="s">
        <v>223</v>
      </c>
      <c r="F51" s="92" t="s">
        <v>213</v>
      </c>
      <c r="G51" s="93">
        <v>38.4</v>
      </c>
      <c r="H51" s="93"/>
      <c r="I51" s="93"/>
      <c r="J51" s="77" t="s">
        <v>329</v>
      </c>
      <c r="K51" s="93">
        <v>5</v>
      </c>
      <c r="L51" s="33">
        <f>VLOOKUP(K51,Reinigungstage!A10:B31,2,FALSE)</f>
        <v>187.5</v>
      </c>
      <c r="M51" s="33">
        <f t="shared" si="0"/>
        <v>7200</v>
      </c>
      <c r="N51" s="94">
        <f t="shared" si="1"/>
        <v>0</v>
      </c>
      <c r="O51" s="33">
        <f ca="1">IF('SVS UnterhaltsRG'!H61="",0,'SVS UnterhaltsRG'!H61)</f>
        <v>0</v>
      </c>
      <c r="P51" s="33">
        <f t="shared" si="2"/>
        <v>0</v>
      </c>
      <c r="Q51" s="33">
        <f t="shared" ca="1" si="3"/>
        <v>0</v>
      </c>
      <c r="R51" s="33">
        <f t="shared" si="4"/>
        <v>0</v>
      </c>
      <c r="S51" s="33">
        <f t="shared" ca="1" si="5"/>
        <v>0</v>
      </c>
      <c r="T51" s="3" t="str">
        <f t="shared" si="6"/>
        <v>Leistungswert eintragen</v>
      </c>
      <c r="U51" s="3">
        <f t="shared" si="7"/>
        <v>300</v>
      </c>
      <c r="V51" s="3">
        <f t="shared" si="8"/>
        <v>0</v>
      </c>
    </row>
    <row r="52" spans="1:22" ht="15" customHeight="1" x14ac:dyDescent="0.2">
      <c r="A52" s="77">
        <v>31</v>
      </c>
      <c r="B52" s="91" t="s">
        <v>246</v>
      </c>
      <c r="C52" s="92" t="s">
        <v>237</v>
      </c>
      <c r="D52" s="92"/>
      <c r="E52" s="92" t="s">
        <v>247</v>
      </c>
      <c r="F52" s="92" t="s">
        <v>213</v>
      </c>
      <c r="G52" s="93">
        <v>15.5</v>
      </c>
      <c r="H52" s="93"/>
      <c r="I52" s="93"/>
      <c r="J52" s="77" t="s">
        <v>330</v>
      </c>
      <c r="K52" s="93">
        <v>5</v>
      </c>
      <c r="L52" s="33">
        <f>VLOOKUP(K52,Reinigungstage!A10:B31,2,FALSE)</f>
        <v>187.5</v>
      </c>
      <c r="M52" s="33">
        <f t="shared" si="0"/>
        <v>2906.25</v>
      </c>
      <c r="N52" s="94">
        <f t="shared" si="1"/>
        <v>0</v>
      </c>
      <c r="O52" s="33">
        <f ca="1">IF('SVS UnterhaltsRG'!H61="",0,'SVS UnterhaltsRG'!H61)</f>
        <v>0</v>
      </c>
      <c r="P52" s="33">
        <f t="shared" si="2"/>
        <v>0</v>
      </c>
      <c r="Q52" s="33">
        <f t="shared" ca="1" si="3"/>
        <v>0</v>
      </c>
      <c r="R52" s="33">
        <f t="shared" si="4"/>
        <v>0</v>
      </c>
      <c r="S52" s="33">
        <f t="shared" ca="1" si="5"/>
        <v>0</v>
      </c>
      <c r="T52" s="3" t="str">
        <f t="shared" si="6"/>
        <v>Leistungswert eintragen</v>
      </c>
      <c r="U52" s="3">
        <f t="shared" si="7"/>
        <v>166.25</v>
      </c>
      <c r="V52" s="3">
        <f t="shared" si="8"/>
        <v>0</v>
      </c>
    </row>
    <row r="53" spans="1:22" ht="15" customHeight="1" x14ac:dyDescent="0.2">
      <c r="A53" s="77">
        <v>32</v>
      </c>
      <c r="B53" s="91" t="s">
        <v>248</v>
      </c>
      <c r="C53" s="92" t="s">
        <v>237</v>
      </c>
      <c r="D53" s="92">
        <v>5</v>
      </c>
      <c r="E53" s="92" t="s">
        <v>212</v>
      </c>
      <c r="F53" s="92" t="s">
        <v>213</v>
      </c>
      <c r="G53" s="93">
        <v>58.1</v>
      </c>
      <c r="H53" s="93"/>
      <c r="I53" s="93"/>
      <c r="J53" s="77" t="s">
        <v>328</v>
      </c>
      <c r="K53" s="93">
        <v>5</v>
      </c>
      <c r="L53" s="33">
        <f>VLOOKUP(K53,Reinigungstage!A10:B31,2,FALSE)</f>
        <v>187.5</v>
      </c>
      <c r="M53" s="33">
        <f t="shared" si="0"/>
        <v>10893.75</v>
      </c>
      <c r="N53" s="94">
        <f t="shared" si="1"/>
        <v>0</v>
      </c>
      <c r="O53" s="33">
        <f ca="1">IF('SVS UnterhaltsRG'!H61="",0,'SVS UnterhaltsRG'!H61)</f>
        <v>0</v>
      </c>
      <c r="P53" s="33">
        <f t="shared" si="2"/>
        <v>0</v>
      </c>
      <c r="Q53" s="33">
        <f t="shared" ca="1" si="3"/>
        <v>0</v>
      </c>
      <c r="R53" s="33">
        <f t="shared" si="4"/>
        <v>0</v>
      </c>
      <c r="S53" s="33">
        <f t="shared" ca="1" si="5"/>
        <v>0</v>
      </c>
      <c r="T53" s="3" t="str">
        <f t="shared" si="6"/>
        <v>Leistungswert eintragen</v>
      </c>
      <c r="U53" s="3">
        <f t="shared" si="7"/>
        <v>195</v>
      </c>
      <c r="V53" s="3">
        <f t="shared" si="8"/>
        <v>0</v>
      </c>
    </row>
    <row r="54" spans="1:22" ht="15" customHeight="1" x14ac:dyDescent="0.2">
      <c r="A54" s="77">
        <v>33</v>
      </c>
      <c r="B54" s="91" t="s">
        <v>249</v>
      </c>
      <c r="C54" s="92" t="s">
        <v>237</v>
      </c>
      <c r="D54" s="92">
        <v>2</v>
      </c>
      <c r="E54" s="92" t="s">
        <v>223</v>
      </c>
      <c r="F54" s="92" t="s">
        <v>213</v>
      </c>
      <c r="G54" s="93">
        <v>40.75</v>
      </c>
      <c r="H54" s="93"/>
      <c r="I54" s="93"/>
      <c r="J54" s="77" t="s">
        <v>329</v>
      </c>
      <c r="K54" s="93">
        <v>5</v>
      </c>
      <c r="L54" s="33">
        <f>VLOOKUP(K54,Reinigungstage!A10:B31,2,FALSE)</f>
        <v>187.5</v>
      </c>
      <c r="M54" s="33">
        <f t="shared" ref="M54:M85" si="9">ROUND(IF(L54=0,0,L54*G54),2)</f>
        <v>7640.63</v>
      </c>
      <c r="N54" s="94">
        <f t="shared" ref="N54:N85" si="10">VLOOKUP(J54,$G$4:$H$11,2,FALSE)</f>
        <v>0</v>
      </c>
      <c r="O54" s="33">
        <f ca="1">IF('SVS UnterhaltsRG'!H61="",0,'SVS UnterhaltsRG'!H61)</f>
        <v>0</v>
      </c>
      <c r="P54" s="33">
        <f t="shared" ref="P54:P85" si="11">ROUND(IF(N54=0,0,M54/N54),2)</f>
        <v>0</v>
      </c>
      <c r="Q54" s="33">
        <f t="shared" ref="Q54:Q85" ca="1" si="12">IF(M54=0,0,IF(O54="",0,ROUND(P54*O54,2)))</f>
        <v>0</v>
      </c>
      <c r="R54" s="33">
        <f t="shared" ref="R54:R85" si="13">ROUND(IF(P54=0,0,P54/L54),2)</f>
        <v>0</v>
      </c>
      <c r="S54" s="33">
        <f t="shared" ref="S54:S85" ca="1" si="14">ROUND(IF(Q54=0,0,Q54/L54),2)</f>
        <v>0</v>
      </c>
      <c r="T54" s="3" t="str">
        <f t="shared" ref="T54:T85" si="15">IF(M54=0,"",IF(N54=0,"Leistungswert eintragen",IF(O54=0,"SVS prüfen","")))</f>
        <v>Leistungswert eintragen</v>
      </c>
      <c r="U54" s="3">
        <f t="shared" ref="U54:U85" si="16">VLOOKUP(J54,$U$4:$V$11,2,FALSE)</f>
        <v>300</v>
      </c>
      <c r="V54" s="3">
        <f t="shared" ref="V54:V85" si="17">IF(M54=0,0,IF(U54&lt;N54,1,IF(U54&gt;=N54,0,"")))</f>
        <v>0</v>
      </c>
    </row>
    <row r="55" spans="1:22" ht="15" customHeight="1" x14ac:dyDescent="0.2">
      <c r="A55" s="77">
        <v>34</v>
      </c>
      <c r="B55" s="91" t="s">
        <v>250</v>
      </c>
      <c r="C55" s="92" t="s">
        <v>237</v>
      </c>
      <c r="D55" s="92"/>
      <c r="E55" s="92" t="s">
        <v>251</v>
      </c>
      <c r="F55" s="92" t="s">
        <v>210</v>
      </c>
      <c r="G55" s="93">
        <v>4.95</v>
      </c>
      <c r="H55" s="93"/>
      <c r="I55" s="93"/>
      <c r="J55" s="77" t="s">
        <v>331</v>
      </c>
      <c r="K55" s="93">
        <v>5</v>
      </c>
      <c r="L55" s="33">
        <f>VLOOKUP(K55,Reinigungstage!A10:B31,2,FALSE)</f>
        <v>187.5</v>
      </c>
      <c r="M55" s="33">
        <f t="shared" si="9"/>
        <v>928.13</v>
      </c>
      <c r="N55" s="94">
        <f t="shared" si="10"/>
        <v>0</v>
      </c>
      <c r="O55" s="33">
        <f ca="1">IF('SVS UnterhaltsRG'!H61="",0,'SVS UnterhaltsRG'!H61)</f>
        <v>0</v>
      </c>
      <c r="P55" s="33">
        <f t="shared" si="11"/>
        <v>0</v>
      </c>
      <c r="Q55" s="33">
        <f t="shared" ca="1" si="12"/>
        <v>0</v>
      </c>
      <c r="R55" s="33">
        <f t="shared" si="13"/>
        <v>0</v>
      </c>
      <c r="S55" s="33">
        <f t="shared" ca="1" si="14"/>
        <v>0</v>
      </c>
      <c r="T55" s="3" t="str">
        <f t="shared" si="15"/>
        <v>Leistungswert eintragen</v>
      </c>
      <c r="U55" s="3">
        <f t="shared" si="16"/>
        <v>63.75</v>
      </c>
      <c r="V55" s="3">
        <f t="shared" si="17"/>
        <v>0</v>
      </c>
    </row>
    <row r="56" spans="1:22" ht="15" customHeight="1" x14ac:dyDescent="0.2">
      <c r="A56" s="77">
        <v>35</v>
      </c>
      <c r="B56" s="91" t="s">
        <v>252</v>
      </c>
      <c r="C56" s="92" t="s">
        <v>237</v>
      </c>
      <c r="D56" s="92"/>
      <c r="E56" s="92" t="s">
        <v>226</v>
      </c>
      <c r="F56" s="92" t="s">
        <v>210</v>
      </c>
      <c r="G56" s="93">
        <v>9.35</v>
      </c>
      <c r="H56" s="93"/>
      <c r="I56" s="93"/>
      <c r="J56" s="77" t="s">
        <v>331</v>
      </c>
      <c r="K56" s="93">
        <v>5</v>
      </c>
      <c r="L56" s="33">
        <f>VLOOKUP(K56,Reinigungstage!A10:B31,2,FALSE)</f>
        <v>187.5</v>
      </c>
      <c r="M56" s="33">
        <f t="shared" si="9"/>
        <v>1753.13</v>
      </c>
      <c r="N56" s="94">
        <f t="shared" si="10"/>
        <v>0</v>
      </c>
      <c r="O56" s="33">
        <f ca="1">IF('SVS UnterhaltsRG'!H61="",0,'SVS UnterhaltsRG'!H61)</f>
        <v>0</v>
      </c>
      <c r="P56" s="33">
        <f t="shared" si="11"/>
        <v>0</v>
      </c>
      <c r="Q56" s="33">
        <f t="shared" ca="1" si="12"/>
        <v>0</v>
      </c>
      <c r="R56" s="33">
        <f t="shared" si="13"/>
        <v>0</v>
      </c>
      <c r="S56" s="33">
        <f t="shared" ca="1" si="14"/>
        <v>0</v>
      </c>
      <c r="T56" s="3" t="str">
        <f t="shared" si="15"/>
        <v>Leistungswert eintragen</v>
      </c>
      <c r="U56" s="3">
        <f t="shared" si="16"/>
        <v>63.75</v>
      </c>
      <c r="V56" s="3">
        <f t="shared" si="17"/>
        <v>0</v>
      </c>
    </row>
    <row r="57" spans="1:22" ht="15" customHeight="1" x14ac:dyDescent="0.2">
      <c r="A57" s="77">
        <v>36</v>
      </c>
      <c r="B57" s="91" t="s">
        <v>253</v>
      </c>
      <c r="C57" s="92" t="s">
        <v>237</v>
      </c>
      <c r="D57" s="92"/>
      <c r="E57" s="92" t="s">
        <v>228</v>
      </c>
      <c r="F57" s="92" t="s">
        <v>210</v>
      </c>
      <c r="G57" s="93">
        <v>8.6999999999999993</v>
      </c>
      <c r="H57" s="93"/>
      <c r="I57" s="93"/>
      <c r="J57" s="77" t="s">
        <v>331</v>
      </c>
      <c r="K57" s="93">
        <v>5</v>
      </c>
      <c r="L57" s="33">
        <f>VLOOKUP(K57,Reinigungstage!A10:B31,2,FALSE)</f>
        <v>187.5</v>
      </c>
      <c r="M57" s="33">
        <f t="shared" si="9"/>
        <v>1631.25</v>
      </c>
      <c r="N57" s="94">
        <f t="shared" si="10"/>
        <v>0</v>
      </c>
      <c r="O57" s="33">
        <f ca="1">IF('SVS UnterhaltsRG'!H61="",0,'SVS UnterhaltsRG'!H61)</f>
        <v>0</v>
      </c>
      <c r="P57" s="33">
        <f t="shared" si="11"/>
        <v>0</v>
      </c>
      <c r="Q57" s="33">
        <f t="shared" ca="1" si="12"/>
        <v>0</v>
      </c>
      <c r="R57" s="33">
        <f t="shared" si="13"/>
        <v>0</v>
      </c>
      <c r="S57" s="33">
        <f t="shared" ca="1" si="14"/>
        <v>0</v>
      </c>
      <c r="T57" s="3" t="str">
        <f t="shared" si="15"/>
        <v>Leistungswert eintragen</v>
      </c>
      <c r="U57" s="3">
        <f t="shared" si="16"/>
        <v>63.75</v>
      </c>
      <c r="V57" s="3">
        <f t="shared" si="17"/>
        <v>0</v>
      </c>
    </row>
    <row r="58" spans="1:22" ht="15" customHeight="1" x14ac:dyDescent="0.2">
      <c r="A58" s="77">
        <v>37</v>
      </c>
      <c r="B58" s="91" t="s">
        <v>254</v>
      </c>
      <c r="C58" s="92" t="s">
        <v>237</v>
      </c>
      <c r="D58" s="92"/>
      <c r="E58" s="92" t="s">
        <v>255</v>
      </c>
      <c r="F58" s="92" t="s">
        <v>210</v>
      </c>
      <c r="G58" s="93">
        <v>5.5</v>
      </c>
      <c r="H58" s="93"/>
      <c r="I58" s="93"/>
      <c r="J58" s="77" t="s">
        <v>331</v>
      </c>
      <c r="K58" s="93">
        <v>5</v>
      </c>
      <c r="L58" s="33">
        <f>VLOOKUP(K58,Reinigungstage!A10:B31,2,FALSE)</f>
        <v>187.5</v>
      </c>
      <c r="M58" s="33">
        <f t="shared" si="9"/>
        <v>1031.25</v>
      </c>
      <c r="N58" s="94">
        <f t="shared" si="10"/>
        <v>0</v>
      </c>
      <c r="O58" s="33">
        <f ca="1">IF('SVS UnterhaltsRG'!H61="",0,'SVS UnterhaltsRG'!H61)</f>
        <v>0</v>
      </c>
      <c r="P58" s="33">
        <f t="shared" si="11"/>
        <v>0</v>
      </c>
      <c r="Q58" s="33">
        <f t="shared" ca="1" si="12"/>
        <v>0</v>
      </c>
      <c r="R58" s="33">
        <f t="shared" si="13"/>
        <v>0</v>
      </c>
      <c r="S58" s="33">
        <f t="shared" ca="1" si="14"/>
        <v>0</v>
      </c>
      <c r="T58" s="3" t="str">
        <f t="shared" si="15"/>
        <v>Leistungswert eintragen</v>
      </c>
      <c r="U58" s="3">
        <f t="shared" si="16"/>
        <v>63.75</v>
      </c>
      <c r="V58" s="3">
        <f t="shared" si="17"/>
        <v>0</v>
      </c>
    </row>
    <row r="59" spans="1:22" ht="15" customHeight="1" x14ac:dyDescent="0.2">
      <c r="A59" s="77">
        <v>38</v>
      </c>
      <c r="B59" s="91" t="s">
        <v>256</v>
      </c>
      <c r="C59" s="92" t="s">
        <v>237</v>
      </c>
      <c r="D59" s="92"/>
      <c r="E59" s="92" t="s">
        <v>257</v>
      </c>
      <c r="F59" s="92" t="s">
        <v>210</v>
      </c>
      <c r="G59" s="93">
        <v>15.3</v>
      </c>
      <c r="H59" s="93"/>
      <c r="I59" s="93"/>
      <c r="J59" s="77" t="s">
        <v>331</v>
      </c>
      <c r="K59" s="93">
        <v>5</v>
      </c>
      <c r="L59" s="33">
        <f>VLOOKUP(K59,Reinigungstage!A10:B31,2,FALSE)</f>
        <v>187.5</v>
      </c>
      <c r="M59" s="33">
        <f t="shared" si="9"/>
        <v>2868.75</v>
      </c>
      <c r="N59" s="94">
        <f t="shared" si="10"/>
        <v>0</v>
      </c>
      <c r="O59" s="33">
        <f ca="1">IF('SVS UnterhaltsRG'!H61="",0,'SVS UnterhaltsRG'!H61)</f>
        <v>0</v>
      </c>
      <c r="P59" s="33">
        <f t="shared" si="11"/>
        <v>0</v>
      </c>
      <c r="Q59" s="33">
        <f t="shared" ca="1" si="12"/>
        <v>0</v>
      </c>
      <c r="R59" s="33">
        <f t="shared" si="13"/>
        <v>0</v>
      </c>
      <c r="S59" s="33">
        <f t="shared" ca="1" si="14"/>
        <v>0</v>
      </c>
      <c r="T59" s="3" t="str">
        <f t="shared" si="15"/>
        <v>Leistungswert eintragen</v>
      </c>
      <c r="U59" s="3">
        <f t="shared" si="16"/>
        <v>63.75</v>
      </c>
      <c r="V59" s="3">
        <f t="shared" si="17"/>
        <v>0</v>
      </c>
    </row>
    <row r="60" spans="1:22" ht="15" customHeight="1" x14ac:dyDescent="0.2">
      <c r="A60" s="77">
        <v>39</v>
      </c>
      <c r="B60" s="91" t="s">
        <v>258</v>
      </c>
      <c r="C60" s="92" t="s">
        <v>237</v>
      </c>
      <c r="D60" s="92">
        <v>4</v>
      </c>
      <c r="E60" s="92" t="s">
        <v>212</v>
      </c>
      <c r="F60" s="92" t="s">
        <v>213</v>
      </c>
      <c r="G60" s="93">
        <v>54.05</v>
      </c>
      <c r="H60" s="93"/>
      <c r="I60" s="93"/>
      <c r="J60" s="77" t="s">
        <v>328</v>
      </c>
      <c r="K60" s="93">
        <v>5</v>
      </c>
      <c r="L60" s="33">
        <f>VLOOKUP(K60,Reinigungstage!A10:B31,2,FALSE)</f>
        <v>187.5</v>
      </c>
      <c r="M60" s="33">
        <f t="shared" si="9"/>
        <v>10134.379999999999</v>
      </c>
      <c r="N60" s="94">
        <f t="shared" si="10"/>
        <v>0</v>
      </c>
      <c r="O60" s="33">
        <f ca="1">IF('SVS UnterhaltsRG'!H61="",0,'SVS UnterhaltsRG'!H61)</f>
        <v>0</v>
      </c>
      <c r="P60" s="33">
        <f t="shared" si="11"/>
        <v>0</v>
      </c>
      <c r="Q60" s="33">
        <f t="shared" ca="1" si="12"/>
        <v>0</v>
      </c>
      <c r="R60" s="33">
        <f t="shared" si="13"/>
        <v>0</v>
      </c>
      <c r="S60" s="33">
        <f t="shared" ca="1" si="14"/>
        <v>0</v>
      </c>
      <c r="T60" s="3" t="str">
        <f t="shared" si="15"/>
        <v>Leistungswert eintragen</v>
      </c>
      <c r="U60" s="3">
        <f t="shared" si="16"/>
        <v>195</v>
      </c>
      <c r="V60" s="3">
        <f t="shared" si="17"/>
        <v>0</v>
      </c>
    </row>
    <row r="61" spans="1:22" ht="15" customHeight="1" x14ac:dyDescent="0.2">
      <c r="A61" s="77">
        <v>40</v>
      </c>
      <c r="B61" s="91" t="s">
        <v>259</v>
      </c>
      <c r="C61" s="92" t="s">
        <v>237</v>
      </c>
      <c r="D61" s="92"/>
      <c r="E61" s="92" t="s">
        <v>260</v>
      </c>
      <c r="F61" s="92" t="s">
        <v>213</v>
      </c>
      <c r="G61" s="93">
        <v>56.45</v>
      </c>
      <c r="H61" s="93"/>
      <c r="I61" s="93"/>
      <c r="J61" s="77" t="s">
        <v>232</v>
      </c>
      <c r="K61" s="93">
        <v>3</v>
      </c>
      <c r="L61" s="33">
        <f>VLOOKUP(K61,Reinigungstage!A10:B31,2,FALSE)</f>
        <v>112.5</v>
      </c>
      <c r="M61" s="33">
        <f t="shared" si="9"/>
        <v>6350.63</v>
      </c>
      <c r="N61" s="94">
        <f t="shared" si="10"/>
        <v>0</v>
      </c>
      <c r="O61" s="33">
        <f ca="1">IF('SVS UnterhaltsRG'!H61="",0,'SVS UnterhaltsRG'!H61)</f>
        <v>0</v>
      </c>
      <c r="P61" s="33">
        <f t="shared" si="11"/>
        <v>0</v>
      </c>
      <c r="Q61" s="33">
        <f t="shared" ca="1" si="12"/>
        <v>0</v>
      </c>
      <c r="R61" s="33">
        <f t="shared" si="13"/>
        <v>0</v>
      </c>
      <c r="S61" s="33">
        <f t="shared" ca="1" si="14"/>
        <v>0</v>
      </c>
      <c r="T61" s="3" t="str">
        <f t="shared" si="15"/>
        <v>Leistungswert eintragen</v>
      </c>
      <c r="U61" s="3">
        <f t="shared" si="16"/>
        <v>168.75</v>
      </c>
      <c r="V61" s="3">
        <f t="shared" si="17"/>
        <v>0</v>
      </c>
    </row>
    <row r="62" spans="1:22" ht="15" customHeight="1" x14ac:dyDescent="0.2">
      <c r="A62" s="77">
        <v>41</v>
      </c>
      <c r="B62" s="91" t="s">
        <v>261</v>
      </c>
      <c r="C62" s="92" t="s">
        <v>237</v>
      </c>
      <c r="D62" s="92"/>
      <c r="E62" s="92" t="s">
        <v>262</v>
      </c>
      <c r="F62" s="92" t="s">
        <v>213</v>
      </c>
      <c r="G62" s="93">
        <v>20.399999999999999</v>
      </c>
      <c r="H62" s="93"/>
      <c r="I62" s="93"/>
      <c r="J62" s="77" t="s">
        <v>330</v>
      </c>
      <c r="K62" s="93">
        <v>1</v>
      </c>
      <c r="L62" s="33">
        <f>VLOOKUP(K62,Reinigungstage!A10:B31,2,FALSE)</f>
        <v>38.950000000000003</v>
      </c>
      <c r="M62" s="33">
        <f t="shared" si="9"/>
        <v>794.58</v>
      </c>
      <c r="N62" s="94">
        <f t="shared" si="10"/>
        <v>0</v>
      </c>
      <c r="O62" s="33">
        <f ca="1">IF('SVS UnterhaltsRG'!H61="",0,'SVS UnterhaltsRG'!H61)</f>
        <v>0</v>
      </c>
      <c r="P62" s="33">
        <f t="shared" si="11"/>
        <v>0</v>
      </c>
      <c r="Q62" s="33">
        <f t="shared" ca="1" si="12"/>
        <v>0</v>
      </c>
      <c r="R62" s="33">
        <f t="shared" si="13"/>
        <v>0</v>
      </c>
      <c r="S62" s="33">
        <f t="shared" ca="1" si="14"/>
        <v>0</v>
      </c>
      <c r="T62" s="3" t="str">
        <f t="shared" si="15"/>
        <v>Leistungswert eintragen</v>
      </c>
      <c r="U62" s="3">
        <f t="shared" si="16"/>
        <v>166.25</v>
      </c>
      <c r="V62" s="3">
        <f t="shared" si="17"/>
        <v>0</v>
      </c>
    </row>
    <row r="63" spans="1:22" ht="15" customHeight="1" x14ac:dyDescent="0.2">
      <c r="A63" s="77">
        <v>42</v>
      </c>
      <c r="B63" s="91" t="s">
        <v>263</v>
      </c>
      <c r="C63" s="92" t="s">
        <v>237</v>
      </c>
      <c r="D63" s="92"/>
      <c r="E63" s="92" t="s">
        <v>264</v>
      </c>
      <c r="F63" s="92" t="s">
        <v>213</v>
      </c>
      <c r="G63" s="93">
        <v>23.5</v>
      </c>
      <c r="H63" s="93"/>
      <c r="I63" s="93"/>
      <c r="J63" s="77" t="s">
        <v>330</v>
      </c>
      <c r="K63" s="93">
        <v>5</v>
      </c>
      <c r="L63" s="33">
        <f>VLOOKUP(K63,Reinigungstage!A10:B31,2,FALSE)</f>
        <v>187.5</v>
      </c>
      <c r="M63" s="33">
        <f t="shared" si="9"/>
        <v>4406.25</v>
      </c>
      <c r="N63" s="94">
        <f t="shared" si="10"/>
        <v>0</v>
      </c>
      <c r="O63" s="33">
        <f ca="1">IF('SVS UnterhaltsRG'!H61="",0,'SVS UnterhaltsRG'!H61)</f>
        <v>0</v>
      </c>
      <c r="P63" s="33">
        <f t="shared" si="11"/>
        <v>0</v>
      </c>
      <c r="Q63" s="33">
        <f t="shared" ca="1" si="12"/>
        <v>0</v>
      </c>
      <c r="R63" s="33">
        <f t="shared" si="13"/>
        <v>0</v>
      </c>
      <c r="S63" s="33">
        <f t="shared" ca="1" si="14"/>
        <v>0</v>
      </c>
      <c r="T63" s="3" t="str">
        <f t="shared" si="15"/>
        <v>Leistungswert eintragen</v>
      </c>
      <c r="U63" s="3">
        <f t="shared" si="16"/>
        <v>166.25</v>
      </c>
      <c r="V63" s="3">
        <f t="shared" si="17"/>
        <v>0</v>
      </c>
    </row>
    <row r="64" spans="1:22" ht="15" customHeight="1" x14ac:dyDescent="0.2">
      <c r="A64" s="77">
        <v>43</v>
      </c>
      <c r="B64" s="91" t="s">
        <v>265</v>
      </c>
      <c r="C64" s="92" t="s">
        <v>237</v>
      </c>
      <c r="D64" s="92"/>
      <c r="E64" s="92" t="s">
        <v>266</v>
      </c>
      <c r="F64" s="92" t="s">
        <v>213</v>
      </c>
      <c r="G64" s="93">
        <v>21.5</v>
      </c>
      <c r="H64" s="93"/>
      <c r="I64" s="93"/>
      <c r="J64" s="77" t="s">
        <v>232</v>
      </c>
      <c r="K64" s="93">
        <v>5</v>
      </c>
      <c r="L64" s="33">
        <f>VLOOKUP(K64,Reinigungstage!A10:B31,2,FALSE)</f>
        <v>187.5</v>
      </c>
      <c r="M64" s="33">
        <f t="shared" si="9"/>
        <v>4031.25</v>
      </c>
      <c r="N64" s="94">
        <f t="shared" si="10"/>
        <v>0</v>
      </c>
      <c r="O64" s="33">
        <f ca="1">IF('SVS UnterhaltsRG'!H61="",0,'SVS UnterhaltsRG'!H61)</f>
        <v>0</v>
      </c>
      <c r="P64" s="33">
        <f t="shared" si="11"/>
        <v>0</v>
      </c>
      <c r="Q64" s="33">
        <f t="shared" ca="1" si="12"/>
        <v>0</v>
      </c>
      <c r="R64" s="33">
        <f t="shared" si="13"/>
        <v>0</v>
      </c>
      <c r="S64" s="33">
        <f t="shared" ca="1" si="14"/>
        <v>0</v>
      </c>
      <c r="T64" s="3" t="str">
        <f t="shared" si="15"/>
        <v>Leistungswert eintragen</v>
      </c>
      <c r="U64" s="3">
        <f t="shared" si="16"/>
        <v>168.75</v>
      </c>
      <c r="V64" s="3">
        <f t="shared" si="17"/>
        <v>0</v>
      </c>
    </row>
    <row r="65" spans="1:22" ht="15" customHeight="1" x14ac:dyDescent="0.2">
      <c r="A65" s="77">
        <v>44</v>
      </c>
      <c r="B65" s="91" t="s">
        <v>267</v>
      </c>
      <c r="C65" s="92" t="s">
        <v>237</v>
      </c>
      <c r="D65" s="92"/>
      <c r="E65" s="92" t="s">
        <v>268</v>
      </c>
      <c r="F65" s="92" t="s">
        <v>213</v>
      </c>
      <c r="G65" s="93">
        <v>24.5</v>
      </c>
      <c r="H65" s="93"/>
      <c r="I65" s="93"/>
      <c r="J65" s="77" t="s">
        <v>232</v>
      </c>
      <c r="K65" s="93">
        <v>5</v>
      </c>
      <c r="L65" s="33">
        <f>VLOOKUP(K65,Reinigungstage!A10:B31,2,FALSE)</f>
        <v>187.5</v>
      </c>
      <c r="M65" s="33">
        <f t="shared" si="9"/>
        <v>4593.75</v>
      </c>
      <c r="N65" s="94">
        <f t="shared" si="10"/>
        <v>0</v>
      </c>
      <c r="O65" s="33">
        <f ca="1">IF('SVS UnterhaltsRG'!H61="",0,'SVS UnterhaltsRG'!H61)</f>
        <v>0</v>
      </c>
      <c r="P65" s="33">
        <f t="shared" si="11"/>
        <v>0</v>
      </c>
      <c r="Q65" s="33">
        <f t="shared" ca="1" si="12"/>
        <v>0</v>
      </c>
      <c r="R65" s="33">
        <f t="shared" si="13"/>
        <v>0</v>
      </c>
      <c r="S65" s="33">
        <f t="shared" ca="1" si="14"/>
        <v>0</v>
      </c>
      <c r="T65" s="3" t="str">
        <f t="shared" si="15"/>
        <v>Leistungswert eintragen</v>
      </c>
      <c r="U65" s="3">
        <f t="shared" si="16"/>
        <v>168.75</v>
      </c>
      <c r="V65" s="3">
        <f t="shared" si="17"/>
        <v>0</v>
      </c>
    </row>
    <row r="66" spans="1:22" ht="21" x14ac:dyDescent="0.2">
      <c r="A66" s="77">
        <v>45</v>
      </c>
      <c r="B66" s="91" t="s">
        <v>269</v>
      </c>
      <c r="C66" s="92" t="s">
        <v>237</v>
      </c>
      <c r="D66" s="92"/>
      <c r="E66" s="92" t="s">
        <v>270</v>
      </c>
      <c r="F66" s="92" t="s">
        <v>213</v>
      </c>
      <c r="G66" s="93">
        <v>16</v>
      </c>
      <c r="H66" s="93"/>
      <c r="I66" s="93"/>
      <c r="J66" s="77" t="s">
        <v>232</v>
      </c>
      <c r="K66" s="93">
        <v>5</v>
      </c>
      <c r="L66" s="33">
        <f>VLOOKUP(K66,Reinigungstage!A10:B31,2,FALSE)</f>
        <v>187.5</v>
      </c>
      <c r="M66" s="33">
        <f t="shared" si="9"/>
        <v>3000</v>
      </c>
      <c r="N66" s="94">
        <f t="shared" si="10"/>
        <v>0</v>
      </c>
      <c r="O66" s="33">
        <f ca="1">IF('SVS UnterhaltsRG'!H61="",0,'SVS UnterhaltsRG'!H61)</f>
        <v>0</v>
      </c>
      <c r="P66" s="33">
        <f t="shared" si="11"/>
        <v>0</v>
      </c>
      <c r="Q66" s="33">
        <f t="shared" ca="1" si="12"/>
        <v>0</v>
      </c>
      <c r="R66" s="33">
        <f t="shared" si="13"/>
        <v>0</v>
      </c>
      <c r="S66" s="33">
        <f t="shared" ca="1" si="14"/>
        <v>0</v>
      </c>
      <c r="T66" s="3" t="str">
        <f t="shared" si="15"/>
        <v>Leistungswert eintragen</v>
      </c>
      <c r="U66" s="3">
        <f t="shared" si="16"/>
        <v>168.75</v>
      </c>
      <c r="V66" s="3">
        <f t="shared" si="17"/>
        <v>0</v>
      </c>
    </row>
    <row r="67" spans="1:22" ht="15" customHeight="1" x14ac:dyDescent="0.2">
      <c r="A67" s="77">
        <v>46</v>
      </c>
      <c r="B67" s="91" t="s">
        <v>271</v>
      </c>
      <c r="C67" s="92" t="s">
        <v>237</v>
      </c>
      <c r="D67" s="92"/>
      <c r="E67" s="92" t="s">
        <v>224</v>
      </c>
      <c r="F67" s="92" t="s">
        <v>213</v>
      </c>
      <c r="G67" s="93">
        <v>21.5</v>
      </c>
      <c r="H67" s="93"/>
      <c r="I67" s="93"/>
      <c r="J67" s="77" t="s">
        <v>330</v>
      </c>
      <c r="K67" s="93">
        <v>5</v>
      </c>
      <c r="L67" s="33">
        <f>VLOOKUP(K67,Reinigungstage!A10:B31,2,FALSE)</f>
        <v>187.5</v>
      </c>
      <c r="M67" s="33">
        <f t="shared" si="9"/>
        <v>4031.25</v>
      </c>
      <c r="N67" s="94">
        <f t="shared" si="10"/>
        <v>0</v>
      </c>
      <c r="O67" s="33">
        <f ca="1">IF('SVS UnterhaltsRG'!H61="",0,'SVS UnterhaltsRG'!H61)</f>
        <v>0</v>
      </c>
      <c r="P67" s="33">
        <f t="shared" si="11"/>
        <v>0</v>
      </c>
      <c r="Q67" s="33">
        <f t="shared" ca="1" si="12"/>
        <v>0</v>
      </c>
      <c r="R67" s="33">
        <f t="shared" si="13"/>
        <v>0</v>
      </c>
      <c r="S67" s="33">
        <f t="shared" ca="1" si="14"/>
        <v>0</v>
      </c>
      <c r="T67" s="3" t="str">
        <f t="shared" si="15"/>
        <v>Leistungswert eintragen</v>
      </c>
      <c r="U67" s="3">
        <f t="shared" si="16"/>
        <v>166.25</v>
      </c>
      <c r="V67" s="3">
        <f t="shared" si="17"/>
        <v>0</v>
      </c>
    </row>
    <row r="68" spans="1:22" ht="15" customHeight="1" x14ac:dyDescent="0.2">
      <c r="A68" s="77">
        <v>47</v>
      </c>
      <c r="B68" s="91" t="s">
        <v>272</v>
      </c>
      <c r="C68" s="92" t="s">
        <v>237</v>
      </c>
      <c r="D68" s="92"/>
      <c r="E68" s="92" t="s">
        <v>273</v>
      </c>
      <c r="F68" s="92" t="s">
        <v>213</v>
      </c>
      <c r="G68" s="93">
        <v>8.6999999999999993</v>
      </c>
      <c r="H68" s="93"/>
      <c r="I68" s="93"/>
      <c r="J68" s="77" t="s">
        <v>329</v>
      </c>
      <c r="K68" s="93">
        <v>5</v>
      </c>
      <c r="L68" s="33">
        <f>VLOOKUP(K68,Reinigungstage!A10:B31,2,FALSE)</f>
        <v>187.5</v>
      </c>
      <c r="M68" s="33">
        <f t="shared" si="9"/>
        <v>1631.25</v>
      </c>
      <c r="N68" s="94">
        <f t="shared" si="10"/>
        <v>0</v>
      </c>
      <c r="O68" s="33">
        <f ca="1">IF('SVS UnterhaltsRG'!H61="",0,'SVS UnterhaltsRG'!H61)</f>
        <v>0</v>
      </c>
      <c r="P68" s="33">
        <f t="shared" si="11"/>
        <v>0</v>
      </c>
      <c r="Q68" s="33">
        <f t="shared" ca="1" si="12"/>
        <v>0</v>
      </c>
      <c r="R68" s="33">
        <f t="shared" si="13"/>
        <v>0</v>
      </c>
      <c r="S68" s="33">
        <f t="shared" ca="1" si="14"/>
        <v>0</v>
      </c>
      <c r="T68" s="3" t="str">
        <f t="shared" si="15"/>
        <v>Leistungswert eintragen</v>
      </c>
      <c r="U68" s="3">
        <f t="shared" si="16"/>
        <v>300</v>
      </c>
      <c r="V68" s="3">
        <f t="shared" si="17"/>
        <v>0</v>
      </c>
    </row>
    <row r="69" spans="1:22" ht="15" customHeight="1" x14ac:dyDescent="0.2">
      <c r="A69" s="77">
        <v>48</v>
      </c>
      <c r="B69" s="91" t="s">
        <v>274</v>
      </c>
      <c r="C69" s="92" t="s">
        <v>237</v>
      </c>
      <c r="D69" s="92">
        <v>1</v>
      </c>
      <c r="E69" s="92" t="s">
        <v>209</v>
      </c>
      <c r="F69" s="92" t="s">
        <v>210</v>
      </c>
      <c r="G69" s="93">
        <v>31.7</v>
      </c>
      <c r="H69" s="93"/>
      <c r="I69" s="93"/>
      <c r="J69" s="77" t="s">
        <v>327</v>
      </c>
      <c r="K69" s="93">
        <v>5</v>
      </c>
      <c r="L69" s="33">
        <f>VLOOKUP(K69,Reinigungstage!A10:B31,2,FALSE)</f>
        <v>187.5</v>
      </c>
      <c r="M69" s="33">
        <f t="shared" si="9"/>
        <v>5943.75</v>
      </c>
      <c r="N69" s="94">
        <f t="shared" si="10"/>
        <v>0</v>
      </c>
      <c r="O69" s="33">
        <f ca="1">IF('SVS UnterhaltsRG'!H61="",0,'SVS UnterhaltsRG'!H61)</f>
        <v>0</v>
      </c>
      <c r="P69" s="33">
        <f t="shared" si="11"/>
        <v>0</v>
      </c>
      <c r="Q69" s="33">
        <f t="shared" ca="1" si="12"/>
        <v>0</v>
      </c>
      <c r="R69" s="33">
        <f t="shared" si="13"/>
        <v>0</v>
      </c>
      <c r="S69" s="33">
        <f t="shared" ca="1" si="14"/>
        <v>0</v>
      </c>
      <c r="T69" s="3" t="str">
        <f t="shared" si="15"/>
        <v>Leistungswert eintragen</v>
      </c>
      <c r="U69" s="3">
        <f t="shared" si="16"/>
        <v>138.75</v>
      </c>
      <c r="V69" s="3">
        <f t="shared" si="17"/>
        <v>0</v>
      </c>
    </row>
    <row r="70" spans="1:22" ht="15" customHeight="1" x14ac:dyDescent="0.2">
      <c r="A70" s="77">
        <v>49</v>
      </c>
      <c r="B70" s="91" t="s">
        <v>275</v>
      </c>
      <c r="C70" s="92" t="s">
        <v>276</v>
      </c>
      <c r="D70" s="92">
        <v>2</v>
      </c>
      <c r="E70" s="92" t="s">
        <v>209</v>
      </c>
      <c r="F70" s="92" t="s">
        <v>210</v>
      </c>
      <c r="G70" s="93">
        <v>26.25</v>
      </c>
      <c r="H70" s="93"/>
      <c r="I70" s="93"/>
      <c r="J70" s="77" t="s">
        <v>327</v>
      </c>
      <c r="K70" s="93">
        <v>5</v>
      </c>
      <c r="L70" s="33">
        <f>VLOOKUP(K70,Reinigungstage!A10:B31,2,FALSE)</f>
        <v>187.5</v>
      </c>
      <c r="M70" s="33">
        <f t="shared" si="9"/>
        <v>4921.88</v>
      </c>
      <c r="N70" s="94">
        <f t="shared" si="10"/>
        <v>0</v>
      </c>
      <c r="O70" s="33">
        <f ca="1">IF('SVS UnterhaltsRG'!H61="",0,'SVS UnterhaltsRG'!H61)</f>
        <v>0</v>
      </c>
      <c r="P70" s="33">
        <f t="shared" si="11"/>
        <v>0</v>
      </c>
      <c r="Q70" s="33">
        <f t="shared" ca="1" si="12"/>
        <v>0</v>
      </c>
      <c r="R70" s="33">
        <f t="shared" si="13"/>
        <v>0</v>
      </c>
      <c r="S70" s="33">
        <f t="shared" ca="1" si="14"/>
        <v>0</v>
      </c>
      <c r="T70" s="3" t="str">
        <f t="shared" si="15"/>
        <v>Leistungswert eintragen</v>
      </c>
      <c r="U70" s="3">
        <f t="shared" si="16"/>
        <v>138.75</v>
      </c>
      <c r="V70" s="3">
        <f t="shared" si="17"/>
        <v>0</v>
      </c>
    </row>
    <row r="71" spans="1:22" ht="15" customHeight="1" x14ac:dyDescent="0.2">
      <c r="A71" s="77">
        <v>50</v>
      </c>
      <c r="B71" s="91" t="s">
        <v>277</v>
      </c>
      <c r="C71" s="92" t="s">
        <v>276</v>
      </c>
      <c r="D71" s="92"/>
      <c r="E71" s="92" t="s">
        <v>278</v>
      </c>
      <c r="F71" s="92" t="s">
        <v>210</v>
      </c>
      <c r="G71" s="93">
        <v>8.65</v>
      </c>
      <c r="H71" s="93"/>
      <c r="I71" s="93"/>
      <c r="J71" s="77" t="s">
        <v>329</v>
      </c>
      <c r="K71" s="93">
        <v>5</v>
      </c>
      <c r="L71" s="33">
        <f>VLOOKUP(K71,Reinigungstage!A10:B31,2,FALSE)</f>
        <v>187.5</v>
      </c>
      <c r="M71" s="33">
        <f t="shared" si="9"/>
        <v>1621.88</v>
      </c>
      <c r="N71" s="94">
        <f t="shared" si="10"/>
        <v>0</v>
      </c>
      <c r="O71" s="33">
        <f ca="1">IF('SVS UnterhaltsRG'!H61="",0,'SVS UnterhaltsRG'!H61)</f>
        <v>0</v>
      </c>
      <c r="P71" s="33">
        <f t="shared" si="11"/>
        <v>0</v>
      </c>
      <c r="Q71" s="33">
        <f t="shared" ca="1" si="12"/>
        <v>0</v>
      </c>
      <c r="R71" s="33">
        <f t="shared" si="13"/>
        <v>0</v>
      </c>
      <c r="S71" s="33">
        <f t="shared" ca="1" si="14"/>
        <v>0</v>
      </c>
      <c r="T71" s="3" t="str">
        <f t="shared" si="15"/>
        <v>Leistungswert eintragen</v>
      </c>
      <c r="U71" s="3">
        <f t="shared" si="16"/>
        <v>300</v>
      </c>
      <c r="V71" s="3">
        <f t="shared" si="17"/>
        <v>0</v>
      </c>
    </row>
    <row r="72" spans="1:22" ht="15" customHeight="1" x14ac:dyDescent="0.2">
      <c r="A72" s="77">
        <v>51</v>
      </c>
      <c r="B72" s="91" t="s">
        <v>279</v>
      </c>
      <c r="C72" s="92" t="s">
        <v>276</v>
      </c>
      <c r="D72" s="92">
        <v>1</v>
      </c>
      <c r="E72" s="92" t="s">
        <v>280</v>
      </c>
      <c r="F72" s="92" t="s">
        <v>213</v>
      </c>
      <c r="G72" s="93">
        <v>59.4</v>
      </c>
      <c r="H72" s="93"/>
      <c r="I72" s="93"/>
      <c r="J72" s="77" t="s">
        <v>333</v>
      </c>
      <c r="K72" s="93">
        <v>5</v>
      </c>
      <c r="L72" s="33">
        <f>VLOOKUP(K72,Reinigungstage!A10:B31,2,FALSE)</f>
        <v>187.5</v>
      </c>
      <c r="M72" s="33">
        <f t="shared" si="9"/>
        <v>11137.5</v>
      </c>
      <c r="N72" s="94">
        <f t="shared" si="10"/>
        <v>0</v>
      </c>
      <c r="O72" s="33">
        <f ca="1">IF('SVS UnterhaltsRG'!H61="",0,'SVS UnterhaltsRG'!H61)</f>
        <v>0</v>
      </c>
      <c r="P72" s="33">
        <f t="shared" si="11"/>
        <v>0</v>
      </c>
      <c r="Q72" s="33">
        <f t="shared" ca="1" si="12"/>
        <v>0</v>
      </c>
      <c r="R72" s="33">
        <f t="shared" si="13"/>
        <v>0</v>
      </c>
      <c r="S72" s="33">
        <f t="shared" ca="1" si="14"/>
        <v>0</v>
      </c>
      <c r="T72" s="3" t="str">
        <f t="shared" si="15"/>
        <v>Leistungswert eintragen</v>
      </c>
      <c r="U72" s="3">
        <f t="shared" si="16"/>
        <v>88.75</v>
      </c>
      <c r="V72" s="3">
        <f t="shared" si="17"/>
        <v>0</v>
      </c>
    </row>
    <row r="73" spans="1:22" ht="15" customHeight="1" x14ac:dyDescent="0.2">
      <c r="A73" s="77">
        <v>52</v>
      </c>
      <c r="B73" s="91" t="s">
        <v>281</v>
      </c>
      <c r="C73" s="92" t="s">
        <v>276</v>
      </c>
      <c r="D73" s="92">
        <v>1</v>
      </c>
      <c r="E73" s="92" t="s">
        <v>280</v>
      </c>
      <c r="F73" s="92" t="s">
        <v>213</v>
      </c>
      <c r="G73" s="93">
        <v>59.85</v>
      </c>
      <c r="H73" s="93"/>
      <c r="I73" s="93"/>
      <c r="J73" s="77" t="s">
        <v>333</v>
      </c>
      <c r="K73" s="93">
        <v>5</v>
      </c>
      <c r="L73" s="33">
        <f>VLOOKUP(K73,Reinigungstage!A10:B31,2,FALSE)</f>
        <v>187.5</v>
      </c>
      <c r="M73" s="33">
        <f t="shared" si="9"/>
        <v>11221.88</v>
      </c>
      <c r="N73" s="94">
        <f t="shared" si="10"/>
        <v>0</v>
      </c>
      <c r="O73" s="33">
        <f ca="1">IF('SVS UnterhaltsRG'!H61="",0,'SVS UnterhaltsRG'!H61)</f>
        <v>0</v>
      </c>
      <c r="P73" s="33">
        <f t="shared" si="11"/>
        <v>0</v>
      </c>
      <c r="Q73" s="33">
        <f t="shared" ca="1" si="12"/>
        <v>0</v>
      </c>
      <c r="R73" s="33">
        <f t="shared" si="13"/>
        <v>0</v>
      </c>
      <c r="S73" s="33">
        <f t="shared" ca="1" si="14"/>
        <v>0</v>
      </c>
      <c r="T73" s="3" t="str">
        <f t="shared" si="15"/>
        <v>Leistungswert eintragen</v>
      </c>
      <c r="U73" s="3">
        <f t="shared" si="16"/>
        <v>88.75</v>
      </c>
      <c r="V73" s="3">
        <f t="shared" si="17"/>
        <v>0</v>
      </c>
    </row>
    <row r="74" spans="1:22" ht="15" customHeight="1" x14ac:dyDescent="0.2">
      <c r="A74" s="77">
        <v>53</v>
      </c>
      <c r="B74" s="91" t="s">
        <v>282</v>
      </c>
      <c r="C74" s="92" t="s">
        <v>276</v>
      </c>
      <c r="D74" s="92">
        <v>1</v>
      </c>
      <c r="E74" s="92" t="s">
        <v>280</v>
      </c>
      <c r="F74" s="92" t="s">
        <v>213</v>
      </c>
      <c r="G74" s="93">
        <v>44.1</v>
      </c>
      <c r="H74" s="93"/>
      <c r="I74" s="93"/>
      <c r="J74" s="77" t="s">
        <v>333</v>
      </c>
      <c r="K74" s="93">
        <v>5</v>
      </c>
      <c r="L74" s="33">
        <f>VLOOKUP(K74,Reinigungstage!A10:B31,2,FALSE)</f>
        <v>187.5</v>
      </c>
      <c r="M74" s="33">
        <f t="shared" si="9"/>
        <v>8268.75</v>
      </c>
      <c r="N74" s="94">
        <f t="shared" si="10"/>
        <v>0</v>
      </c>
      <c r="O74" s="33">
        <f ca="1">IF('SVS UnterhaltsRG'!H61="",0,'SVS UnterhaltsRG'!H61)</f>
        <v>0</v>
      </c>
      <c r="P74" s="33">
        <f t="shared" si="11"/>
        <v>0</v>
      </c>
      <c r="Q74" s="33">
        <f t="shared" ca="1" si="12"/>
        <v>0</v>
      </c>
      <c r="R74" s="33">
        <f t="shared" si="13"/>
        <v>0</v>
      </c>
      <c r="S74" s="33">
        <f t="shared" ca="1" si="14"/>
        <v>0</v>
      </c>
      <c r="T74" s="3" t="str">
        <f t="shared" si="15"/>
        <v>Leistungswert eintragen</v>
      </c>
      <c r="U74" s="3">
        <f t="shared" si="16"/>
        <v>88.75</v>
      </c>
      <c r="V74" s="3">
        <f t="shared" si="17"/>
        <v>0</v>
      </c>
    </row>
    <row r="75" spans="1:22" ht="15" customHeight="1" x14ac:dyDescent="0.2">
      <c r="A75" s="77">
        <v>54</v>
      </c>
      <c r="B75" s="91" t="s">
        <v>283</v>
      </c>
      <c r="C75" s="92" t="s">
        <v>276</v>
      </c>
      <c r="D75" s="92">
        <v>1</v>
      </c>
      <c r="E75" s="92" t="s">
        <v>280</v>
      </c>
      <c r="F75" s="92" t="s">
        <v>213</v>
      </c>
      <c r="G75" s="93">
        <v>44.2</v>
      </c>
      <c r="H75" s="93"/>
      <c r="I75" s="93"/>
      <c r="J75" s="77" t="s">
        <v>333</v>
      </c>
      <c r="K75" s="93">
        <v>5</v>
      </c>
      <c r="L75" s="33">
        <f>VLOOKUP(K75,Reinigungstage!A10:B31,2,FALSE)</f>
        <v>187.5</v>
      </c>
      <c r="M75" s="33">
        <f t="shared" si="9"/>
        <v>8287.5</v>
      </c>
      <c r="N75" s="94">
        <f t="shared" si="10"/>
        <v>0</v>
      </c>
      <c r="O75" s="33">
        <f ca="1">IF('SVS UnterhaltsRG'!H61="",0,'SVS UnterhaltsRG'!H61)</f>
        <v>0</v>
      </c>
      <c r="P75" s="33">
        <f t="shared" si="11"/>
        <v>0</v>
      </c>
      <c r="Q75" s="33">
        <f t="shared" ca="1" si="12"/>
        <v>0</v>
      </c>
      <c r="R75" s="33">
        <f t="shared" si="13"/>
        <v>0</v>
      </c>
      <c r="S75" s="33">
        <f t="shared" ca="1" si="14"/>
        <v>0</v>
      </c>
      <c r="T75" s="3" t="str">
        <f t="shared" si="15"/>
        <v>Leistungswert eintragen</v>
      </c>
      <c r="U75" s="3">
        <f t="shared" si="16"/>
        <v>88.75</v>
      </c>
      <c r="V75" s="3">
        <f t="shared" si="17"/>
        <v>0</v>
      </c>
    </row>
    <row r="76" spans="1:22" ht="15" customHeight="1" x14ac:dyDescent="0.2">
      <c r="A76" s="77">
        <v>55</v>
      </c>
      <c r="B76" s="91" t="s">
        <v>284</v>
      </c>
      <c r="C76" s="92" t="s">
        <v>276</v>
      </c>
      <c r="D76" s="92">
        <v>1</v>
      </c>
      <c r="E76" s="92" t="s">
        <v>280</v>
      </c>
      <c r="F76" s="92" t="s">
        <v>213</v>
      </c>
      <c r="G76" s="93">
        <v>25.05</v>
      </c>
      <c r="H76" s="93"/>
      <c r="I76" s="93"/>
      <c r="J76" s="77" t="s">
        <v>333</v>
      </c>
      <c r="K76" s="93">
        <v>5</v>
      </c>
      <c r="L76" s="33">
        <f>VLOOKUP(K76,Reinigungstage!A10:B31,2,FALSE)</f>
        <v>187.5</v>
      </c>
      <c r="M76" s="33">
        <f t="shared" si="9"/>
        <v>4696.88</v>
      </c>
      <c r="N76" s="94">
        <f t="shared" si="10"/>
        <v>0</v>
      </c>
      <c r="O76" s="33">
        <f ca="1">IF('SVS UnterhaltsRG'!H61="",0,'SVS UnterhaltsRG'!H61)</f>
        <v>0</v>
      </c>
      <c r="P76" s="33">
        <f t="shared" si="11"/>
        <v>0</v>
      </c>
      <c r="Q76" s="33">
        <f t="shared" ca="1" si="12"/>
        <v>0</v>
      </c>
      <c r="R76" s="33">
        <f t="shared" si="13"/>
        <v>0</v>
      </c>
      <c r="S76" s="33">
        <f t="shared" ca="1" si="14"/>
        <v>0</v>
      </c>
      <c r="T76" s="3" t="str">
        <f t="shared" si="15"/>
        <v>Leistungswert eintragen</v>
      </c>
      <c r="U76" s="3">
        <f t="shared" si="16"/>
        <v>88.75</v>
      </c>
      <c r="V76" s="3">
        <f t="shared" si="17"/>
        <v>0</v>
      </c>
    </row>
    <row r="77" spans="1:22" ht="15" customHeight="1" x14ac:dyDescent="0.2">
      <c r="A77" s="77">
        <v>56</v>
      </c>
      <c r="B77" s="91" t="s">
        <v>285</v>
      </c>
      <c r="C77" s="92" t="s">
        <v>276</v>
      </c>
      <c r="D77" s="92">
        <v>1</v>
      </c>
      <c r="E77" s="92" t="s">
        <v>280</v>
      </c>
      <c r="F77" s="92" t="s">
        <v>213</v>
      </c>
      <c r="G77" s="93">
        <v>10.55</v>
      </c>
      <c r="H77" s="93"/>
      <c r="I77" s="93"/>
      <c r="J77" s="77" t="s">
        <v>333</v>
      </c>
      <c r="K77" s="93">
        <v>5</v>
      </c>
      <c r="L77" s="33">
        <f>VLOOKUP(K77,Reinigungstage!A10:B31,2,FALSE)</f>
        <v>187.5</v>
      </c>
      <c r="M77" s="33">
        <f t="shared" si="9"/>
        <v>1978.13</v>
      </c>
      <c r="N77" s="94">
        <f t="shared" si="10"/>
        <v>0</v>
      </c>
      <c r="O77" s="33">
        <f ca="1">IF('SVS UnterhaltsRG'!H61="",0,'SVS UnterhaltsRG'!H61)</f>
        <v>0</v>
      </c>
      <c r="P77" s="33">
        <f t="shared" si="11"/>
        <v>0</v>
      </c>
      <c r="Q77" s="33">
        <f t="shared" ca="1" si="12"/>
        <v>0</v>
      </c>
      <c r="R77" s="33">
        <f t="shared" si="13"/>
        <v>0</v>
      </c>
      <c r="S77" s="33">
        <f t="shared" ca="1" si="14"/>
        <v>0</v>
      </c>
      <c r="T77" s="3" t="str">
        <f t="shared" si="15"/>
        <v>Leistungswert eintragen</v>
      </c>
      <c r="U77" s="3">
        <f t="shared" si="16"/>
        <v>88.75</v>
      </c>
      <c r="V77" s="3">
        <f t="shared" si="17"/>
        <v>0</v>
      </c>
    </row>
    <row r="78" spans="1:22" ht="15" customHeight="1" x14ac:dyDescent="0.2">
      <c r="A78" s="77">
        <v>57</v>
      </c>
      <c r="B78" s="91" t="s">
        <v>286</v>
      </c>
      <c r="C78" s="92" t="s">
        <v>276</v>
      </c>
      <c r="D78" s="92">
        <v>2</v>
      </c>
      <c r="E78" s="92" t="s">
        <v>280</v>
      </c>
      <c r="F78" s="92" t="s">
        <v>213</v>
      </c>
      <c r="G78" s="93">
        <v>56.7</v>
      </c>
      <c r="H78" s="93"/>
      <c r="I78" s="93"/>
      <c r="J78" s="77" t="s">
        <v>333</v>
      </c>
      <c r="K78" s="93">
        <v>5</v>
      </c>
      <c r="L78" s="33">
        <f>VLOOKUP(K78,Reinigungstage!A10:B31,2,FALSE)</f>
        <v>187.5</v>
      </c>
      <c r="M78" s="33">
        <f t="shared" si="9"/>
        <v>10631.25</v>
      </c>
      <c r="N78" s="94">
        <f t="shared" si="10"/>
        <v>0</v>
      </c>
      <c r="O78" s="33">
        <f ca="1">IF('SVS UnterhaltsRG'!H61="",0,'SVS UnterhaltsRG'!H61)</f>
        <v>0</v>
      </c>
      <c r="P78" s="33">
        <f t="shared" si="11"/>
        <v>0</v>
      </c>
      <c r="Q78" s="33">
        <f t="shared" ca="1" si="12"/>
        <v>0</v>
      </c>
      <c r="R78" s="33">
        <f t="shared" si="13"/>
        <v>0</v>
      </c>
      <c r="S78" s="33">
        <f t="shared" ca="1" si="14"/>
        <v>0</v>
      </c>
      <c r="T78" s="3" t="str">
        <f t="shared" si="15"/>
        <v>Leistungswert eintragen</v>
      </c>
      <c r="U78" s="3">
        <f t="shared" si="16"/>
        <v>88.75</v>
      </c>
      <c r="V78" s="3">
        <f t="shared" si="17"/>
        <v>0</v>
      </c>
    </row>
    <row r="79" spans="1:22" ht="15" customHeight="1" x14ac:dyDescent="0.2">
      <c r="A79" s="77">
        <v>58</v>
      </c>
      <c r="B79" s="91" t="s">
        <v>287</v>
      </c>
      <c r="C79" s="92" t="s">
        <v>276</v>
      </c>
      <c r="D79" s="92"/>
      <c r="E79" s="92" t="s">
        <v>288</v>
      </c>
      <c r="F79" s="92" t="s">
        <v>210</v>
      </c>
      <c r="G79" s="93">
        <v>14.5</v>
      </c>
      <c r="H79" s="93"/>
      <c r="I79" s="93"/>
      <c r="J79" s="77" t="s">
        <v>333</v>
      </c>
      <c r="K79" s="93">
        <v>5</v>
      </c>
      <c r="L79" s="33">
        <f>VLOOKUP(K79,Reinigungstage!A10:B31,2,FALSE)</f>
        <v>187.5</v>
      </c>
      <c r="M79" s="33">
        <f t="shared" si="9"/>
        <v>2718.75</v>
      </c>
      <c r="N79" s="94">
        <f t="shared" si="10"/>
        <v>0</v>
      </c>
      <c r="O79" s="33">
        <f ca="1">IF('SVS UnterhaltsRG'!H61="",0,'SVS UnterhaltsRG'!H61)</f>
        <v>0</v>
      </c>
      <c r="P79" s="33">
        <f t="shared" si="11"/>
        <v>0</v>
      </c>
      <c r="Q79" s="33">
        <f t="shared" ca="1" si="12"/>
        <v>0</v>
      </c>
      <c r="R79" s="33">
        <f t="shared" si="13"/>
        <v>0</v>
      </c>
      <c r="S79" s="33">
        <f t="shared" ca="1" si="14"/>
        <v>0</v>
      </c>
      <c r="T79" s="3" t="str">
        <f t="shared" si="15"/>
        <v>Leistungswert eintragen</v>
      </c>
      <c r="U79" s="3">
        <f t="shared" si="16"/>
        <v>88.75</v>
      </c>
      <c r="V79" s="3">
        <f t="shared" si="17"/>
        <v>0</v>
      </c>
    </row>
    <row r="80" spans="1:22" ht="15" customHeight="1" x14ac:dyDescent="0.2">
      <c r="A80" s="77">
        <v>59</v>
      </c>
      <c r="B80" s="91" t="s">
        <v>289</v>
      </c>
      <c r="C80" s="92" t="s">
        <v>276</v>
      </c>
      <c r="D80" s="92"/>
      <c r="E80" s="92" t="s">
        <v>290</v>
      </c>
      <c r="F80" s="92" t="s">
        <v>210</v>
      </c>
      <c r="G80" s="93">
        <v>9.6</v>
      </c>
      <c r="H80" s="93"/>
      <c r="I80" s="93"/>
      <c r="J80" s="77" t="s">
        <v>232</v>
      </c>
      <c r="K80" s="93">
        <v>5</v>
      </c>
      <c r="L80" s="33">
        <f>VLOOKUP(K80,Reinigungstage!A10:B31,2,FALSE)</f>
        <v>187.5</v>
      </c>
      <c r="M80" s="33">
        <f t="shared" si="9"/>
        <v>1800</v>
      </c>
      <c r="N80" s="94">
        <f t="shared" si="10"/>
        <v>0</v>
      </c>
      <c r="O80" s="33">
        <f ca="1">IF('SVS UnterhaltsRG'!H61="",0,'SVS UnterhaltsRG'!H61)</f>
        <v>0</v>
      </c>
      <c r="P80" s="33">
        <f t="shared" si="11"/>
        <v>0</v>
      </c>
      <c r="Q80" s="33">
        <f t="shared" ca="1" si="12"/>
        <v>0</v>
      </c>
      <c r="R80" s="33">
        <f t="shared" si="13"/>
        <v>0</v>
      </c>
      <c r="S80" s="33">
        <f t="shared" ca="1" si="14"/>
        <v>0</v>
      </c>
      <c r="T80" s="3" t="str">
        <f t="shared" si="15"/>
        <v>Leistungswert eintragen</v>
      </c>
      <c r="U80" s="3">
        <f t="shared" si="16"/>
        <v>168.75</v>
      </c>
      <c r="V80" s="3">
        <f t="shared" si="17"/>
        <v>0</v>
      </c>
    </row>
    <row r="81" spans="1:22" ht="15" customHeight="1" x14ac:dyDescent="0.2">
      <c r="A81" s="77">
        <v>60</v>
      </c>
      <c r="B81" s="91" t="s">
        <v>291</v>
      </c>
      <c r="C81" s="92" t="s">
        <v>276</v>
      </c>
      <c r="D81" s="92"/>
      <c r="E81" s="92" t="s">
        <v>292</v>
      </c>
      <c r="F81" s="92" t="s">
        <v>210</v>
      </c>
      <c r="G81" s="93">
        <v>3</v>
      </c>
      <c r="H81" s="93"/>
      <c r="I81" s="93"/>
      <c r="J81" s="77" t="s">
        <v>331</v>
      </c>
      <c r="K81" s="93">
        <v>5</v>
      </c>
      <c r="L81" s="33">
        <f>VLOOKUP(K81,Reinigungstage!A10:B31,2,FALSE)</f>
        <v>187.5</v>
      </c>
      <c r="M81" s="33">
        <f t="shared" si="9"/>
        <v>562.5</v>
      </c>
      <c r="N81" s="94">
        <f t="shared" si="10"/>
        <v>0</v>
      </c>
      <c r="O81" s="33">
        <f ca="1">IF('SVS UnterhaltsRG'!H61="",0,'SVS UnterhaltsRG'!H61)</f>
        <v>0</v>
      </c>
      <c r="P81" s="33">
        <f t="shared" si="11"/>
        <v>0</v>
      </c>
      <c r="Q81" s="33">
        <f t="shared" ca="1" si="12"/>
        <v>0</v>
      </c>
      <c r="R81" s="33">
        <f t="shared" si="13"/>
        <v>0</v>
      </c>
      <c r="S81" s="33">
        <f t="shared" ca="1" si="14"/>
        <v>0</v>
      </c>
      <c r="T81" s="3" t="str">
        <f t="shared" si="15"/>
        <v>Leistungswert eintragen</v>
      </c>
      <c r="U81" s="3">
        <f t="shared" si="16"/>
        <v>63.75</v>
      </c>
      <c r="V81" s="3">
        <f t="shared" si="17"/>
        <v>0</v>
      </c>
    </row>
    <row r="82" spans="1:22" ht="15" customHeight="1" x14ac:dyDescent="0.2">
      <c r="A82" s="77">
        <v>61</v>
      </c>
      <c r="B82" s="91" t="s">
        <v>293</v>
      </c>
      <c r="C82" s="92" t="s">
        <v>276</v>
      </c>
      <c r="D82" s="92"/>
      <c r="E82" s="92" t="s">
        <v>294</v>
      </c>
      <c r="F82" s="92" t="s">
        <v>210</v>
      </c>
      <c r="G82" s="93">
        <v>17.3</v>
      </c>
      <c r="H82" s="93"/>
      <c r="I82" s="93"/>
      <c r="J82" s="77" t="s">
        <v>333</v>
      </c>
      <c r="K82" s="93">
        <v>5</v>
      </c>
      <c r="L82" s="33">
        <f>VLOOKUP(K82,Reinigungstage!A10:B31,2,FALSE)</f>
        <v>187.5</v>
      </c>
      <c r="M82" s="33">
        <f t="shared" si="9"/>
        <v>3243.75</v>
      </c>
      <c r="N82" s="94">
        <f t="shared" si="10"/>
        <v>0</v>
      </c>
      <c r="O82" s="33">
        <f ca="1">IF('SVS UnterhaltsRG'!H61="",0,'SVS UnterhaltsRG'!H61)</f>
        <v>0</v>
      </c>
      <c r="P82" s="33">
        <f t="shared" si="11"/>
        <v>0</v>
      </c>
      <c r="Q82" s="33">
        <f t="shared" ca="1" si="12"/>
        <v>0</v>
      </c>
      <c r="R82" s="33">
        <f t="shared" si="13"/>
        <v>0</v>
      </c>
      <c r="S82" s="33">
        <f t="shared" ca="1" si="14"/>
        <v>0</v>
      </c>
      <c r="T82" s="3" t="str">
        <f t="shared" si="15"/>
        <v>Leistungswert eintragen</v>
      </c>
      <c r="U82" s="3">
        <f t="shared" si="16"/>
        <v>88.75</v>
      </c>
      <c r="V82" s="3">
        <f t="shared" si="17"/>
        <v>0</v>
      </c>
    </row>
    <row r="83" spans="1:22" ht="15" customHeight="1" x14ac:dyDescent="0.2">
      <c r="A83" s="77">
        <v>62</v>
      </c>
      <c r="B83" s="91" t="s">
        <v>295</v>
      </c>
      <c r="C83" s="92" t="s">
        <v>276</v>
      </c>
      <c r="D83" s="92"/>
      <c r="E83" s="92" t="s">
        <v>296</v>
      </c>
      <c r="F83" s="92" t="s">
        <v>210</v>
      </c>
      <c r="G83" s="93">
        <v>9.1999999999999993</v>
      </c>
      <c r="H83" s="93"/>
      <c r="I83" s="93"/>
      <c r="J83" s="77" t="s">
        <v>333</v>
      </c>
      <c r="K83" s="93">
        <v>5</v>
      </c>
      <c r="L83" s="33">
        <f>VLOOKUP(K83,Reinigungstage!A10:B31,2,FALSE)</f>
        <v>187.5</v>
      </c>
      <c r="M83" s="33">
        <f t="shared" si="9"/>
        <v>1725</v>
      </c>
      <c r="N83" s="94">
        <f t="shared" si="10"/>
        <v>0</v>
      </c>
      <c r="O83" s="33">
        <f ca="1">IF('SVS UnterhaltsRG'!H61="",0,'SVS UnterhaltsRG'!H61)</f>
        <v>0</v>
      </c>
      <c r="P83" s="33">
        <f t="shared" si="11"/>
        <v>0</v>
      </c>
      <c r="Q83" s="33">
        <f t="shared" ca="1" si="12"/>
        <v>0</v>
      </c>
      <c r="R83" s="33">
        <f t="shared" si="13"/>
        <v>0</v>
      </c>
      <c r="S83" s="33">
        <f t="shared" ca="1" si="14"/>
        <v>0</v>
      </c>
      <c r="T83" s="3" t="str">
        <f t="shared" si="15"/>
        <v>Leistungswert eintragen</v>
      </c>
      <c r="U83" s="3">
        <f t="shared" si="16"/>
        <v>88.75</v>
      </c>
      <c r="V83" s="3">
        <f t="shared" si="17"/>
        <v>0</v>
      </c>
    </row>
    <row r="84" spans="1:22" ht="15" customHeight="1" x14ac:dyDescent="0.2">
      <c r="A84" s="77">
        <v>63</v>
      </c>
      <c r="B84" s="91" t="s">
        <v>297</v>
      </c>
      <c r="C84" s="92" t="s">
        <v>276</v>
      </c>
      <c r="D84" s="92"/>
      <c r="E84" s="92" t="s">
        <v>298</v>
      </c>
      <c r="F84" s="92" t="s">
        <v>213</v>
      </c>
      <c r="G84" s="93">
        <v>28.05</v>
      </c>
      <c r="H84" s="93"/>
      <c r="I84" s="93"/>
      <c r="J84" s="77" t="s">
        <v>329</v>
      </c>
      <c r="K84" s="93">
        <v>5</v>
      </c>
      <c r="L84" s="33">
        <f>VLOOKUP(K84,Reinigungstage!A10:B31,2,FALSE)</f>
        <v>187.5</v>
      </c>
      <c r="M84" s="33">
        <f t="shared" si="9"/>
        <v>5259.38</v>
      </c>
      <c r="N84" s="94">
        <f t="shared" si="10"/>
        <v>0</v>
      </c>
      <c r="O84" s="33">
        <f ca="1">IF('SVS UnterhaltsRG'!H61="",0,'SVS UnterhaltsRG'!H61)</f>
        <v>0</v>
      </c>
      <c r="P84" s="33">
        <f t="shared" si="11"/>
        <v>0</v>
      </c>
      <c r="Q84" s="33">
        <f t="shared" ca="1" si="12"/>
        <v>0</v>
      </c>
      <c r="R84" s="33">
        <f t="shared" si="13"/>
        <v>0</v>
      </c>
      <c r="S84" s="33">
        <f t="shared" ca="1" si="14"/>
        <v>0</v>
      </c>
      <c r="T84" s="3" t="str">
        <f t="shared" si="15"/>
        <v>Leistungswert eintragen</v>
      </c>
      <c r="U84" s="3">
        <f t="shared" si="16"/>
        <v>300</v>
      </c>
      <c r="V84" s="3">
        <f t="shared" si="17"/>
        <v>0</v>
      </c>
    </row>
    <row r="85" spans="1:22" ht="15" customHeight="1" x14ac:dyDescent="0.2">
      <c r="A85" s="77">
        <v>64</v>
      </c>
      <c r="B85" s="91" t="s">
        <v>299</v>
      </c>
      <c r="C85" s="92" t="s">
        <v>276</v>
      </c>
      <c r="D85" s="92">
        <v>3</v>
      </c>
      <c r="E85" s="92" t="s">
        <v>209</v>
      </c>
      <c r="F85" s="92" t="s">
        <v>210</v>
      </c>
      <c r="G85" s="93">
        <v>16.100000000000001</v>
      </c>
      <c r="H85" s="93"/>
      <c r="I85" s="93"/>
      <c r="J85" s="77" t="s">
        <v>327</v>
      </c>
      <c r="K85" s="93">
        <v>5</v>
      </c>
      <c r="L85" s="33">
        <f>VLOOKUP(K85,Reinigungstage!A10:B31,2,FALSE)</f>
        <v>187.5</v>
      </c>
      <c r="M85" s="33">
        <f t="shared" si="9"/>
        <v>3018.75</v>
      </c>
      <c r="N85" s="94">
        <f t="shared" si="10"/>
        <v>0</v>
      </c>
      <c r="O85" s="33">
        <f ca="1">IF('SVS UnterhaltsRG'!H61="",0,'SVS UnterhaltsRG'!H61)</f>
        <v>0</v>
      </c>
      <c r="P85" s="33">
        <f t="shared" si="11"/>
        <v>0</v>
      </c>
      <c r="Q85" s="33">
        <f t="shared" ca="1" si="12"/>
        <v>0</v>
      </c>
      <c r="R85" s="33">
        <f t="shared" si="13"/>
        <v>0</v>
      </c>
      <c r="S85" s="33">
        <f t="shared" ca="1" si="14"/>
        <v>0</v>
      </c>
      <c r="T85" s="3" t="str">
        <f t="shared" si="15"/>
        <v>Leistungswert eintragen</v>
      </c>
      <c r="U85" s="3">
        <f t="shared" si="16"/>
        <v>138.75</v>
      </c>
      <c r="V85" s="3">
        <f t="shared" si="17"/>
        <v>0</v>
      </c>
    </row>
    <row r="86" spans="1:22" ht="15" customHeight="1" x14ac:dyDescent="0.2">
      <c r="A86" s="77">
        <v>65</v>
      </c>
      <c r="B86" s="91" t="s">
        <v>300</v>
      </c>
      <c r="C86" s="92" t="s">
        <v>276</v>
      </c>
      <c r="D86" s="92" t="s">
        <v>301</v>
      </c>
      <c r="E86" s="92" t="s">
        <v>302</v>
      </c>
      <c r="F86" s="92" t="s">
        <v>213</v>
      </c>
      <c r="G86" s="93">
        <v>15</v>
      </c>
      <c r="H86" s="93"/>
      <c r="I86" s="93"/>
      <c r="J86" s="77" t="s">
        <v>332</v>
      </c>
      <c r="K86" s="77" t="s">
        <v>141</v>
      </c>
      <c r="L86" s="33">
        <f>VLOOKUP(K86,Reinigungstage!A10:B31,2,FALSE)</f>
        <v>2</v>
      </c>
      <c r="M86" s="33">
        <f t="shared" ref="M86:M102" si="18">ROUND(IF(L86=0,0,L86*G86),2)</f>
        <v>30</v>
      </c>
      <c r="N86" s="94">
        <f t="shared" ref="N86:N102" si="19">VLOOKUP(J86,$G$4:$H$11,2,FALSE)</f>
        <v>0</v>
      </c>
      <c r="O86" s="33">
        <f ca="1">IF('SVS UnterhaltsRG'!H61="",0,'SVS UnterhaltsRG'!H61)</f>
        <v>0</v>
      </c>
      <c r="P86" s="33">
        <f t="shared" ref="P86:P102" si="20">ROUND(IF(N86=0,0,M86/N86),2)</f>
        <v>0</v>
      </c>
      <c r="Q86" s="33">
        <f t="shared" ref="Q86:Q102" ca="1" si="21">IF(M86=0,0,IF(O86="",0,ROUND(P86*O86,2)))</f>
        <v>0</v>
      </c>
      <c r="R86" s="33">
        <f t="shared" ref="R86:R102" si="22">ROUND(IF(P86=0,0,P86/L86),2)</f>
        <v>0</v>
      </c>
      <c r="S86" s="33">
        <f t="shared" ref="S86:S102" ca="1" si="23">ROUND(IF(Q86=0,0,Q86/L86),2)</f>
        <v>0</v>
      </c>
      <c r="T86" s="3" t="str">
        <f t="shared" ref="T86:T102" si="24">IF(M86=0,"",IF(N86=0,"Leistungswert eintragen",IF(O86=0,"SVS prüfen","")))</f>
        <v>Leistungswert eintragen</v>
      </c>
      <c r="U86" s="3">
        <f t="shared" ref="U86:U102" si="25">VLOOKUP(J86,$U$4:$V$11,2,FALSE)</f>
        <v>262.5</v>
      </c>
      <c r="V86" s="3">
        <f t="shared" ref="V86:V102" si="26">IF(M86=0,0,IF(U86&lt;N86,1,IF(U86&gt;=N86,0,"")))</f>
        <v>0</v>
      </c>
    </row>
    <row r="87" spans="1:22" ht="15" customHeight="1" x14ac:dyDescent="0.2">
      <c r="A87" s="77">
        <v>66</v>
      </c>
      <c r="B87" s="91" t="s">
        <v>303</v>
      </c>
      <c r="C87" s="92" t="s">
        <v>276</v>
      </c>
      <c r="D87" s="92">
        <v>2</v>
      </c>
      <c r="E87" s="92" t="s">
        <v>223</v>
      </c>
      <c r="F87" s="92" t="s">
        <v>213</v>
      </c>
      <c r="G87" s="93">
        <v>40.75</v>
      </c>
      <c r="H87" s="93"/>
      <c r="I87" s="93"/>
      <c r="J87" s="77" t="s">
        <v>329</v>
      </c>
      <c r="K87" s="93">
        <v>5</v>
      </c>
      <c r="L87" s="33">
        <f>VLOOKUP(K87,Reinigungstage!A10:B31,2,FALSE)</f>
        <v>187.5</v>
      </c>
      <c r="M87" s="33">
        <f t="shared" si="18"/>
        <v>7640.63</v>
      </c>
      <c r="N87" s="94">
        <f t="shared" si="19"/>
        <v>0</v>
      </c>
      <c r="O87" s="33">
        <f ca="1">IF('SVS UnterhaltsRG'!H61="",0,'SVS UnterhaltsRG'!H61)</f>
        <v>0</v>
      </c>
      <c r="P87" s="33">
        <f t="shared" si="20"/>
        <v>0</v>
      </c>
      <c r="Q87" s="33">
        <f t="shared" ca="1" si="21"/>
        <v>0</v>
      </c>
      <c r="R87" s="33">
        <f t="shared" si="22"/>
        <v>0</v>
      </c>
      <c r="S87" s="33">
        <f t="shared" ca="1" si="23"/>
        <v>0</v>
      </c>
      <c r="T87" s="3" t="str">
        <f t="shared" si="24"/>
        <v>Leistungswert eintragen</v>
      </c>
      <c r="U87" s="3">
        <f t="shared" si="25"/>
        <v>300</v>
      </c>
      <c r="V87" s="3">
        <f t="shared" si="26"/>
        <v>0</v>
      </c>
    </row>
    <row r="88" spans="1:22" ht="15" customHeight="1" x14ac:dyDescent="0.2">
      <c r="A88" s="77">
        <v>67</v>
      </c>
      <c r="B88" s="91" t="s">
        <v>304</v>
      </c>
      <c r="C88" s="92" t="s">
        <v>276</v>
      </c>
      <c r="D88" s="92"/>
      <c r="E88" s="92" t="s">
        <v>228</v>
      </c>
      <c r="F88" s="92" t="s">
        <v>210</v>
      </c>
      <c r="G88" s="93">
        <v>20.75</v>
      </c>
      <c r="H88" s="93"/>
      <c r="I88" s="93"/>
      <c r="J88" s="77" t="s">
        <v>331</v>
      </c>
      <c r="K88" s="93">
        <v>5</v>
      </c>
      <c r="L88" s="33">
        <f>VLOOKUP(K88,Reinigungstage!A10:B31,2,FALSE)</f>
        <v>187.5</v>
      </c>
      <c r="M88" s="33">
        <f t="shared" si="18"/>
        <v>3890.63</v>
      </c>
      <c r="N88" s="94">
        <f t="shared" si="19"/>
        <v>0</v>
      </c>
      <c r="O88" s="33">
        <f ca="1">IF('SVS UnterhaltsRG'!H61="",0,'SVS UnterhaltsRG'!H61)</f>
        <v>0</v>
      </c>
      <c r="P88" s="33">
        <f t="shared" si="20"/>
        <v>0</v>
      </c>
      <c r="Q88" s="33">
        <f t="shared" ca="1" si="21"/>
        <v>0</v>
      </c>
      <c r="R88" s="33">
        <f t="shared" si="22"/>
        <v>0</v>
      </c>
      <c r="S88" s="33">
        <f t="shared" ca="1" si="23"/>
        <v>0</v>
      </c>
      <c r="T88" s="3" t="str">
        <f t="shared" si="24"/>
        <v>Leistungswert eintragen</v>
      </c>
      <c r="U88" s="3">
        <f t="shared" si="25"/>
        <v>63.75</v>
      </c>
      <c r="V88" s="3">
        <f t="shared" si="26"/>
        <v>0</v>
      </c>
    </row>
    <row r="89" spans="1:22" ht="15" customHeight="1" x14ac:dyDescent="0.2">
      <c r="A89" s="77">
        <v>68</v>
      </c>
      <c r="B89" s="91" t="s">
        <v>305</v>
      </c>
      <c r="C89" s="92" t="s">
        <v>276</v>
      </c>
      <c r="D89" s="92"/>
      <c r="E89" s="92" t="s">
        <v>226</v>
      </c>
      <c r="F89" s="92" t="s">
        <v>210</v>
      </c>
      <c r="G89" s="93">
        <v>27.05</v>
      </c>
      <c r="H89" s="93"/>
      <c r="I89" s="93"/>
      <c r="J89" s="77" t="s">
        <v>331</v>
      </c>
      <c r="K89" s="93">
        <v>5</v>
      </c>
      <c r="L89" s="33">
        <f>VLOOKUP(K89,Reinigungstage!A10:B31,2,FALSE)</f>
        <v>187.5</v>
      </c>
      <c r="M89" s="33">
        <f t="shared" si="18"/>
        <v>5071.88</v>
      </c>
      <c r="N89" s="94">
        <f t="shared" si="19"/>
        <v>0</v>
      </c>
      <c r="O89" s="33">
        <f ca="1">IF('SVS UnterhaltsRG'!H61="",0,'SVS UnterhaltsRG'!H61)</f>
        <v>0</v>
      </c>
      <c r="P89" s="33">
        <f t="shared" si="20"/>
        <v>0</v>
      </c>
      <c r="Q89" s="33">
        <f t="shared" ca="1" si="21"/>
        <v>0</v>
      </c>
      <c r="R89" s="33">
        <f t="shared" si="22"/>
        <v>0</v>
      </c>
      <c r="S89" s="33">
        <f t="shared" ca="1" si="23"/>
        <v>0</v>
      </c>
      <c r="T89" s="3" t="str">
        <f t="shared" si="24"/>
        <v>Leistungswert eintragen</v>
      </c>
      <c r="U89" s="3">
        <f t="shared" si="25"/>
        <v>63.75</v>
      </c>
      <c r="V89" s="3">
        <f t="shared" si="26"/>
        <v>0</v>
      </c>
    </row>
    <row r="90" spans="1:22" ht="15" customHeight="1" x14ac:dyDescent="0.2">
      <c r="A90" s="77">
        <v>69</v>
      </c>
      <c r="B90" s="91" t="s">
        <v>306</v>
      </c>
      <c r="C90" s="92" t="s">
        <v>276</v>
      </c>
      <c r="D90" s="92"/>
      <c r="E90" s="92" t="s">
        <v>307</v>
      </c>
      <c r="F90" s="92" t="s">
        <v>210</v>
      </c>
      <c r="G90" s="93">
        <v>6.5</v>
      </c>
      <c r="H90" s="93"/>
      <c r="I90" s="93"/>
      <c r="J90" s="77" t="s">
        <v>331</v>
      </c>
      <c r="K90" s="93">
        <v>5</v>
      </c>
      <c r="L90" s="33">
        <f>VLOOKUP(K90,Reinigungstage!A10:B31,2,FALSE)</f>
        <v>187.5</v>
      </c>
      <c r="M90" s="33">
        <f t="shared" si="18"/>
        <v>1218.75</v>
      </c>
      <c r="N90" s="94">
        <f t="shared" si="19"/>
        <v>0</v>
      </c>
      <c r="O90" s="33">
        <f ca="1">IF('SVS UnterhaltsRG'!H61="",0,'SVS UnterhaltsRG'!H61)</f>
        <v>0</v>
      </c>
      <c r="P90" s="33">
        <f t="shared" si="20"/>
        <v>0</v>
      </c>
      <c r="Q90" s="33">
        <f t="shared" ca="1" si="21"/>
        <v>0</v>
      </c>
      <c r="R90" s="33">
        <f t="shared" si="22"/>
        <v>0</v>
      </c>
      <c r="S90" s="33">
        <f t="shared" ca="1" si="23"/>
        <v>0</v>
      </c>
      <c r="T90" s="3" t="str">
        <f t="shared" si="24"/>
        <v>Leistungswert eintragen</v>
      </c>
      <c r="U90" s="3">
        <f t="shared" si="25"/>
        <v>63.75</v>
      </c>
      <c r="V90" s="3">
        <f t="shared" si="26"/>
        <v>0</v>
      </c>
    </row>
    <row r="91" spans="1:22" ht="15" customHeight="1" x14ac:dyDescent="0.2">
      <c r="A91" s="77">
        <v>70</v>
      </c>
      <c r="B91" s="91" t="s">
        <v>308</v>
      </c>
      <c r="C91" s="92" t="s">
        <v>276</v>
      </c>
      <c r="D91" s="92"/>
      <c r="E91" s="92" t="s">
        <v>309</v>
      </c>
      <c r="F91" s="92" t="s">
        <v>210</v>
      </c>
      <c r="G91" s="93">
        <v>10.1</v>
      </c>
      <c r="H91" s="93"/>
      <c r="I91" s="93"/>
      <c r="J91" s="77" t="s">
        <v>331</v>
      </c>
      <c r="K91" s="93">
        <v>5</v>
      </c>
      <c r="L91" s="33">
        <f>VLOOKUP(K91,Reinigungstage!A10:B31,2,FALSE)</f>
        <v>187.5</v>
      </c>
      <c r="M91" s="33">
        <f t="shared" si="18"/>
        <v>1893.75</v>
      </c>
      <c r="N91" s="94">
        <f t="shared" si="19"/>
        <v>0</v>
      </c>
      <c r="O91" s="33">
        <f ca="1">IF('SVS UnterhaltsRG'!H61="",0,'SVS UnterhaltsRG'!H61)</f>
        <v>0</v>
      </c>
      <c r="P91" s="33">
        <f t="shared" si="20"/>
        <v>0</v>
      </c>
      <c r="Q91" s="33">
        <f t="shared" ca="1" si="21"/>
        <v>0</v>
      </c>
      <c r="R91" s="33">
        <f t="shared" si="22"/>
        <v>0</v>
      </c>
      <c r="S91" s="33">
        <f t="shared" ca="1" si="23"/>
        <v>0</v>
      </c>
      <c r="T91" s="3" t="str">
        <f t="shared" si="24"/>
        <v>Leistungswert eintragen</v>
      </c>
      <c r="U91" s="3">
        <f t="shared" si="25"/>
        <v>63.75</v>
      </c>
      <c r="V91" s="3">
        <f t="shared" si="26"/>
        <v>0</v>
      </c>
    </row>
    <row r="92" spans="1:22" ht="15" customHeight="1" x14ac:dyDescent="0.2">
      <c r="A92" s="77">
        <v>71</v>
      </c>
      <c r="B92" s="91" t="s">
        <v>310</v>
      </c>
      <c r="C92" s="92" t="s">
        <v>276</v>
      </c>
      <c r="D92" s="92"/>
      <c r="E92" s="92" t="s">
        <v>311</v>
      </c>
      <c r="F92" s="92" t="s">
        <v>210</v>
      </c>
      <c r="G92" s="93">
        <v>4.5999999999999996</v>
      </c>
      <c r="H92" s="93"/>
      <c r="I92" s="93"/>
      <c r="J92" s="77" t="s">
        <v>331</v>
      </c>
      <c r="K92" s="93">
        <v>5</v>
      </c>
      <c r="L92" s="33">
        <f>VLOOKUP(K92,Reinigungstage!A10:B31,2,FALSE)</f>
        <v>187.5</v>
      </c>
      <c r="M92" s="33">
        <f t="shared" si="18"/>
        <v>862.5</v>
      </c>
      <c r="N92" s="94">
        <f t="shared" si="19"/>
        <v>0</v>
      </c>
      <c r="O92" s="33">
        <f ca="1">IF('SVS UnterhaltsRG'!H61="",0,'SVS UnterhaltsRG'!H61)</f>
        <v>0</v>
      </c>
      <c r="P92" s="33">
        <f t="shared" si="20"/>
        <v>0</v>
      </c>
      <c r="Q92" s="33">
        <f t="shared" ca="1" si="21"/>
        <v>0</v>
      </c>
      <c r="R92" s="33">
        <f t="shared" si="22"/>
        <v>0</v>
      </c>
      <c r="S92" s="33">
        <f t="shared" ca="1" si="23"/>
        <v>0</v>
      </c>
      <c r="T92" s="3" t="str">
        <f t="shared" si="24"/>
        <v>Leistungswert eintragen</v>
      </c>
      <c r="U92" s="3">
        <f t="shared" si="25"/>
        <v>63.75</v>
      </c>
      <c r="V92" s="3">
        <f t="shared" si="26"/>
        <v>0</v>
      </c>
    </row>
    <row r="93" spans="1:22" ht="15" customHeight="1" x14ac:dyDescent="0.2">
      <c r="A93" s="77">
        <v>72</v>
      </c>
      <c r="B93" s="91" t="s">
        <v>312</v>
      </c>
      <c r="C93" s="92" t="s">
        <v>276</v>
      </c>
      <c r="D93" s="92"/>
      <c r="E93" s="92" t="s">
        <v>313</v>
      </c>
      <c r="F93" s="92" t="s">
        <v>210</v>
      </c>
      <c r="G93" s="93">
        <v>7.55</v>
      </c>
      <c r="H93" s="93"/>
      <c r="I93" s="93"/>
      <c r="J93" s="77" t="s">
        <v>331</v>
      </c>
      <c r="K93" s="93">
        <v>5</v>
      </c>
      <c r="L93" s="33">
        <f>VLOOKUP(K93,Reinigungstage!A10:B31,2,FALSE)</f>
        <v>187.5</v>
      </c>
      <c r="M93" s="33">
        <f t="shared" si="18"/>
        <v>1415.63</v>
      </c>
      <c r="N93" s="94">
        <f t="shared" si="19"/>
        <v>0</v>
      </c>
      <c r="O93" s="33">
        <f ca="1">IF('SVS UnterhaltsRG'!H61="",0,'SVS UnterhaltsRG'!H61)</f>
        <v>0</v>
      </c>
      <c r="P93" s="33">
        <f t="shared" si="20"/>
        <v>0</v>
      </c>
      <c r="Q93" s="33">
        <f t="shared" ca="1" si="21"/>
        <v>0</v>
      </c>
      <c r="R93" s="33">
        <f t="shared" si="22"/>
        <v>0</v>
      </c>
      <c r="S93" s="33">
        <f t="shared" ca="1" si="23"/>
        <v>0</v>
      </c>
      <c r="T93" s="3" t="str">
        <f t="shared" si="24"/>
        <v>Leistungswert eintragen</v>
      </c>
      <c r="U93" s="3">
        <f t="shared" si="25"/>
        <v>63.75</v>
      </c>
      <c r="V93" s="3">
        <f t="shared" si="26"/>
        <v>0</v>
      </c>
    </row>
    <row r="94" spans="1:22" ht="15" customHeight="1" x14ac:dyDescent="0.2">
      <c r="A94" s="77">
        <v>73</v>
      </c>
      <c r="B94" s="91" t="s">
        <v>314</v>
      </c>
      <c r="C94" s="92" t="s">
        <v>276</v>
      </c>
      <c r="D94" s="92">
        <v>3</v>
      </c>
      <c r="E94" s="92" t="s">
        <v>212</v>
      </c>
      <c r="F94" s="92" t="s">
        <v>213</v>
      </c>
      <c r="G94" s="93">
        <v>52.95</v>
      </c>
      <c r="H94" s="93"/>
      <c r="I94" s="93"/>
      <c r="J94" s="77" t="s">
        <v>328</v>
      </c>
      <c r="K94" s="93">
        <v>5</v>
      </c>
      <c r="L94" s="33">
        <f>VLOOKUP(K94,Reinigungstage!A10:B31,2,FALSE)</f>
        <v>187.5</v>
      </c>
      <c r="M94" s="33">
        <f t="shared" si="18"/>
        <v>9928.1299999999992</v>
      </c>
      <c r="N94" s="94">
        <f t="shared" si="19"/>
        <v>0</v>
      </c>
      <c r="O94" s="33">
        <f ca="1">IF('SVS UnterhaltsRG'!H61="",0,'SVS UnterhaltsRG'!H61)</f>
        <v>0</v>
      </c>
      <c r="P94" s="33">
        <f t="shared" si="20"/>
        <v>0</v>
      </c>
      <c r="Q94" s="33">
        <f t="shared" ca="1" si="21"/>
        <v>0</v>
      </c>
      <c r="R94" s="33">
        <f t="shared" si="22"/>
        <v>0</v>
      </c>
      <c r="S94" s="33">
        <f t="shared" ca="1" si="23"/>
        <v>0</v>
      </c>
      <c r="T94" s="3" t="str">
        <f t="shared" si="24"/>
        <v>Leistungswert eintragen</v>
      </c>
      <c r="U94" s="3">
        <f t="shared" si="25"/>
        <v>195</v>
      </c>
      <c r="V94" s="3">
        <f t="shared" si="26"/>
        <v>0</v>
      </c>
    </row>
    <row r="95" spans="1:22" ht="15" customHeight="1" x14ac:dyDescent="0.2">
      <c r="A95" s="77">
        <v>74</v>
      </c>
      <c r="B95" s="91" t="s">
        <v>315</v>
      </c>
      <c r="C95" s="92" t="s">
        <v>276</v>
      </c>
      <c r="D95" s="92"/>
      <c r="E95" s="92" t="s">
        <v>316</v>
      </c>
      <c r="F95" s="92" t="s">
        <v>213</v>
      </c>
      <c r="G95" s="93">
        <v>37</v>
      </c>
      <c r="H95" s="93"/>
      <c r="I95" s="93"/>
      <c r="J95" s="77" t="s">
        <v>232</v>
      </c>
      <c r="K95" s="93">
        <v>5</v>
      </c>
      <c r="L95" s="33">
        <f>VLOOKUP(K95,Reinigungstage!A10:B31,2,FALSE)</f>
        <v>187.5</v>
      </c>
      <c r="M95" s="33">
        <f t="shared" si="18"/>
        <v>6937.5</v>
      </c>
      <c r="N95" s="94">
        <f t="shared" si="19"/>
        <v>0</v>
      </c>
      <c r="O95" s="33">
        <f ca="1">IF('SVS UnterhaltsRG'!H61="",0,'SVS UnterhaltsRG'!H61)</f>
        <v>0</v>
      </c>
      <c r="P95" s="33">
        <f t="shared" si="20"/>
        <v>0</v>
      </c>
      <c r="Q95" s="33">
        <f t="shared" ca="1" si="21"/>
        <v>0</v>
      </c>
      <c r="R95" s="33">
        <f t="shared" si="22"/>
        <v>0</v>
      </c>
      <c r="S95" s="33">
        <f t="shared" ca="1" si="23"/>
        <v>0</v>
      </c>
      <c r="T95" s="3" t="str">
        <f t="shared" si="24"/>
        <v>Leistungswert eintragen</v>
      </c>
      <c r="U95" s="3">
        <f t="shared" si="25"/>
        <v>168.75</v>
      </c>
      <c r="V95" s="3">
        <f t="shared" si="26"/>
        <v>0</v>
      </c>
    </row>
    <row r="96" spans="1:22" ht="21" x14ac:dyDescent="0.2">
      <c r="A96" s="77">
        <v>75</v>
      </c>
      <c r="B96" s="91" t="s">
        <v>317</v>
      </c>
      <c r="C96" s="92" t="s">
        <v>276</v>
      </c>
      <c r="D96" s="92"/>
      <c r="E96" s="92" t="s">
        <v>318</v>
      </c>
      <c r="F96" s="92" t="s">
        <v>213</v>
      </c>
      <c r="G96" s="93">
        <v>55.3</v>
      </c>
      <c r="H96" s="93"/>
      <c r="I96" s="93"/>
      <c r="J96" s="77" t="s">
        <v>328</v>
      </c>
      <c r="K96" s="93">
        <v>5</v>
      </c>
      <c r="L96" s="33">
        <f>VLOOKUP(K96,Reinigungstage!A10:B31,2,FALSE)</f>
        <v>187.5</v>
      </c>
      <c r="M96" s="33">
        <f t="shared" si="18"/>
        <v>10368.75</v>
      </c>
      <c r="N96" s="94">
        <f t="shared" si="19"/>
        <v>0</v>
      </c>
      <c r="O96" s="33">
        <f ca="1">IF('SVS UnterhaltsRG'!H61="",0,'SVS UnterhaltsRG'!H61)</f>
        <v>0</v>
      </c>
      <c r="P96" s="33">
        <f t="shared" si="20"/>
        <v>0</v>
      </c>
      <c r="Q96" s="33">
        <f t="shared" ca="1" si="21"/>
        <v>0</v>
      </c>
      <c r="R96" s="33">
        <f t="shared" si="22"/>
        <v>0</v>
      </c>
      <c r="S96" s="33">
        <f t="shared" ca="1" si="23"/>
        <v>0</v>
      </c>
      <c r="T96" s="3" t="str">
        <f t="shared" si="24"/>
        <v>Leistungswert eintragen</v>
      </c>
      <c r="U96" s="3">
        <f t="shared" si="25"/>
        <v>195</v>
      </c>
      <c r="V96" s="3">
        <f t="shared" si="26"/>
        <v>0</v>
      </c>
    </row>
    <row r="97" spans="1:22" ht="15" customHeight="1" x14ac:dyDescent="0.2">
      <c r="A97" s="77">
        <v>76</v>
      </c>
      <c r="B97" s="91" t="s">
        <v>319</v>
      </c>
      <c r="C97" s="92" t="s">
        <v>276</v>
      </c>
      <c r="D97" s="92"/>
      <c r="E97" s="92" t="s">
        <v>320</v>
      </c>
      <c r="F97" s="92" t="s">
        <v>213</v>
      </c>
      <c r="G97" s="93">
        <v>18.600000000000001</v>
      </c>
      <c r="H97" s="93"/>
      <c r="I97" s="93"/>
      <c r="J97" s="77" t="s">
        <v>328</v>
      </c>
      <c r="K97" s="93">
        <v>5</v>
      </c>
      <c r="L97" s="33">
        <f>VLOOKUP(K97,Reinigungstage!A10:B31,2,FALSE)</f>
        <v>187.5</v>
      </c>
      <c r="M97" s="33">
        <f t="shared" si="18"/>
        <v>3487.5</v>
      </c>
      <c r="N97" s="94">
        <f t="shared" si="19"/>
        <v>0</v>
      </c>
      <c r="O97" s="33">
        <f ca="1">IF('SVS UnterhaltsRG'!H61="",0,'SVS UnterhaltsRG'!H61)</f>
        <v>0</v>
      </c>
      <c r="P97" s="33">
        <f t="shared" si="20"/>
        <v>0</v>
      </c>
      <c r="Q97" s="33">
        <f t="shared" ca="1" si="21"/>
        <v>0</v>
      </c>
      <c r="R97" s="33">
        <f t="shared" si="22"/>
        <v>0</v>
      </c>
      <c r="S97" s="33">
        <f t="shared" ca="1" si="23"/>
        <v>0</v>
      </c>
      <c r="T97" s="3" t="str">
        <f t="shared" si="24"/>
        <v>Leistungswert eintragen</v>
      </c>
      <c r="U97" s="3">
        <f t="shared" si="25"/>
        <v>195</v>
      </c>
      <c r="V97" s="3">
        <f t="shared" si="26"/>
        <v>0</v>
      </c>
    </row>
    <row r="98" spans="1:22" ht="15" customHeight="1" x14ac:dyDescent="0.2">
      <c r="A98" s="77">
        <v>77</v>
      </c>
      <c r="B98" s="91" t="s">
        <v>321</v>
      </c>
      <c r="C98" s="92" t="s">
        <v>276</v>
      </c>
      <c r="D98" s="92">
        <v>2</v>
      </c>
      <c r="E98" s="92" t="s">
        <v>212</v>
      </c>
      <c r="F98" s="92" t="s">
        <v>213</v>
      </c>
      <c r="G98" s="93">
        <v>54.15</v>
      </c>
      <c r="H98" s="93"/>
      <c r="I98" s="93"/>
      <c r="J98" s="77" t="s">
        <v>328</v>
      </c>
      <c r="K98" s="93">
        <v>5</v>
      </c>
      <c r="L98" s="33">
        <f>VLOOKUP(K98,Reinigungstage!A10:B31,2,FALSE)</f>
        <v>187.5</v>
      </c>
      <c r="M98" s="33">
        <f t="shared" si="18"/>
        <v>10153.129999999999</v>
      </c>
      <c r="N98" s="94">
        <f t="shared" si="19"/>
        <v>0</v>
      </c>
      <c r="O98" s="33">
        <f ca="1">IF('SVS UnterhaltsRG'!H61="",0,'SVS UnterhaltsRG'!H61)</f>
        <v>0</v>
      </c>
      <c r="P98" s="33">
        <f t="shared" si="20"/>
        <v>0</v>
      </c>
      <c r="Q98" s="33">
        <f t="shared" ca="1" si="21"/>
        <v>0</v>
      </c>
      <c r="R98" s="33">
        <f t="shared" si="22"/>
        <v>0</v>
      </c>
      <c r="S98" s="33">
        <f t="shared" ca="1" si="23"/>
        <v>0</v>
      </c>
      <c r="T98" s="3" t="str">
        <f t="shared" si="24"/>
        <v>Leistungswert eintragen</v>
      </c>
      <c r="U98" s="3">
        <f t="shared" si="25"/>
        <v>195</v>
      </c>
      <c r="V98" s="3">
        <f t="shared" si="26"/>
        <v>0</v>
      </c>
    </row>
    <row r="99" spans="1:22" ht="15" customHeight="1" x14ac:dyDescent="0.2">
      <c r="A99" s="77">
        <v>78</v>
      </c>
      <c r="B99" s="91" t="s">
        <v>322</v>
      </c>
      <c r="C99" s="92" t="s">
        <v>276</v>
      </c>
      <c r="D99" s="92">
        <v>1</v>
      </c>
      <c r="E99" s="92" t="s">
        <v>212</v>
      </c>
      <c r="F99" s="92" t="s">
        <v>213</v>
      </c>
      <c r="G99" s="93">
        <v>59.8</v>
      </c>
      <c r="H99" s="93"/>
      <c r="I99" s="93"/>
      <c r="J99" s="77" t="s">
        <v>328</v>
      </c>
      <c r="K99" s="93">
        <v>5</v>
      </c>
      <c r="L99" s="33">
        <f>VLOOKUP(K99,Reinigungstage!A10:B31,2,FALSE)</f>
        <v>187.5</v>
      </c>
      <c r="M99" s="33">
        <f t="shared" si="18"/>
        <v>11212.5</v>
      </c>
      <c r="N99" s="94">
        <f t="shared" si="19"/>
        <v>0</v>
      </c>
      <c r="O99" s="33">
        <f ca="1">IF('SVS UnterhaltsRG'!H61="",0,'SVS UnterhaltsRG'!H61)</f>
        <v>0</v>
      </c>
      <c r="P99" s="33">
        <f t="shared" si="20"/>
        <v>0</v>
      </c>
      <c r="Q99" s="33">
        <f t="shared" ca="1" si="21"/>
        <v>0</v>
      </c>
      <c r="R99" s="33">
        <f t="shared" si="22"/>
        <v>0</v>
      </c>
      <c r="S99" s="33">
        <f t="shared" ca="1" si="23"/>
        <v>0</v>
      </c>
      <c r="T99" s="3" t="str">
        <f t="shared" si="24"/>
        <v>Leistungswert eintragen</v>
      </c>
      <c r="U99" s="3">
        <f t="shared" si="25"/>
        <v>195</v>
      </c>
      <c r="V99" s="3">
        <f t="shared" si="26"/>
        <v>0</v>
      </c>
    </row>
    <row r="100" spans="1:22" ht="15" customHeight="1" x14ac:dyDescent="0.2">
      <c r="A100" s="77">
        <v>79</v>
      </c>
      <c r="B100" s="91" t="s">
        <v>323</v>
      </c>
      <c r="C100" s="92" t="s">
        <v>276</v>
      </c>
      <c r="D100" s="92"/>
      <c r="E100" s="92" t="s">
        <v>324</v>
      </c>
      <c r="F100" s="92" t="s">
        <v>213</v>
      </c>
      <c r="G100" s="93">
        <v>13.35</v>
      </c>
      <c r="H100" s="93"/>
      <c r="I100" s="93"/>
      <c r="J100" s="77" t="s">
        <v>330</v>
      </c>
      <c r="K100" s="93">
        <v>5</v>
      </c>
      <c r="L100" s="33">
        <f>VLOOKUP(K100,Reinigungstage!A10:B31,2,FALSE)</f>
        <v>187.5</v>
      </c>
      <c r="M100" s="33">
        <f t="shared" si="18"/>
        <v>2503.13</v>
      </c>
      <c r="N100" s="94">
        <f t="shared" si="19"/>
        <v>0</v>
      </c>
      <c r="O100" s="33">
        <f ca="1">IF('SVS UnterhaltsRG'!H61="",0,'SVS UnterhaltsRG'!H61)</f>
        <v>0</v>
      </c>
      <c r="P100" s="33">
        <f t="shared" si="20"/>
        <v>0</v>
      </c>
      <c r="Q100" s="33">
        <f t="shared" ca="1" si="21"/>
        <v>0</v>
      </c>
      <c r="R100" s="33">
        <f t="shared" si="22"/>
        <v>0</v>
      </c>
      <c r="S100" s="33">
        <f t="shared" ca="1" si="23"/>
        <v>0</v>
      </c>
      <c r="T100" s="3" t="str">
        <f t="shared" si="24"/>
        <v>Leistungswert eintragen</v>
      </c>
      <c r="U100" s="3">
        <f t="shared" si="25"/>
        <v>166.25</v>
      </c>
      <c r="V100" s="3">
        <f t="shared" si="26"/>
        <v>0</v>
      </c>
    </row>
    <row r="101" spans="1:22" ht="15" customHeight="1" x14ac:dyDescent="0.2">
      <c r="A101" s="77">
        <v>80</v>
      </c>
      <c r="B101" s="91" t="s">
        <v>325</v>
      </c>
      <c r="C101" s="92" t="s">
        <v>276</v>
      </c>
      <c r="D101" s="92">
        <v>3</v>
      </c>
      <c r="E101" s="92" t="s">
        <v>223</v>
      </c>
      <c r="F101" s="92" t="s">
        <v>213</v>
      </c>
      <c r="G101" s="93">
        <v>8.0500000000000007</v>
      </c>
      <c r="H101" s="93"/>
      <c r="I101" s="93"/>
      <c r="J101" s="77" t="s">
        <v>329</v>
      </c>
      <c r="K101" s="93">
        <v>5</v>
      </c>
      <c r="L101" s="33">
        <f>VLOOKUP(K101,Reinigungstage!A10:B31,2,FALSE)</f>
        <v>187.5</v>
      </c>
      <c r="M101" s="33">
        <f t="shared" si="18"/>
        <v>1509.38</v>
      </c>
      <c r="N101" s="94">
        <f t="shared" si="19"/>
        <v>0</v>
      </c>
      <c r="O101" s="33">
        <f ca="1">IF('SVS UnterhaltsRG'!H61="",0,'SVS UnterhaltsRG'!H61)</f>
        <v>0</v>
      </c>
      <c r="P101" s="33">
        <f t="shared" si="20"/>
        <v>0</v>
      </c>
      <c r="Q101" s="33">
        <f t="shared" ca="1" si="21"/>
        <v>0</v>
      </c>
      <c r="R101" s="33">
        <f t="shared" si="22"/>
        <v>0</v>
      </c>
      <c r="S101" s="33">
        <f t="shared" ca="1" si="23"/>
        <v>0</v>
      </c>
      <c r="T101" s="3" t="str">
        <f t="shared" si="24"/>
        <v>Leistungswert eintragen</v>
      </c>
      <c r="U101" s="3">
        <f t="shared" si="25"/>
        <v>300</v>
      </c>
      <c r="V101" s="3">
        <f t="shared" si="26"/>
        <v>0</v>
      </c>
    </row>
    <row r="102" spans="1:22" ht="15" customHeight="1" x14ac:dyDescent="0.2">
      <c r="A102" s="77">
        <v>81</v>
      </c>
      <c r="B102" s="91" t="s">
        <v>326</v>
      </c>
      <c r="C102" s="92" t="s">
        <v>276</v>
      </c>
      <c r="D102" s="92">
        <v>1</v>
      </c>
      <c r="E102" s="92" t="s">
        <v>209</v>
      </c>
      <c r="F102" s="92" t="s">
        <v>210</v>
      </c>
      <c r="G102" s="93">
        <v>30.2</v>
      </c>
      <c r="H102" s="93"/>
      <c r="I102" s="93"/>
      <c r="J102" s="77" t="s">
        <v>327</v>
      </c>
      <c r="K102" s="93">
        <v>5</v>
      </c>
      <c r="L102" s="33">
        <f>VLOOKUP(K102,Reinigungstage!A10:B31,2,FALSE)</f>
        <v>187.5</v>
      </c>
      <c r="M102" s="33">
        <f t="shared" si="18"/>
        <v>5662.5</v>
      </c>
      <c r="N102" s="94">
        <f t="shared" si="19"/>
        <v>0</v>
      </c>
      <c r="O102" s="33">
        <f ca="1">IF('SVS UnterhaltsRG'!H61="",0,'SVS UnterhaltsRG'!H61)</f>
        <v>0</v>
      </c>
      <c r="P102" s="33">
        <f t="shared" si="20"/>
        <v>0</v>
      </c>
      <c r="Q102" s="33">
        <f t="shared" ca="1" si="21"/>
        <v>0</v>
      </c>
      <c r="R102" s="33">
        <f t="shared" si="22"/>
        <v>0</v>
      </c>
      <c r="S102" s="33">
        <f t="shared" ca="1" si="23"/>
        <v>0</v>
      </c>
      <c r="T102" s="3" t="str">
        <f t="shared" si="24"/>
        <v>Leistungswert eintragen</v>
      </c>
      <c r="U102" s="3">
        <f t="shared" si="25"/>
        <v>138.75</v>
      </c>
      <c r="V102" s="3">
        <f t="shared" si="26"/>
        <v>0</v>
      </c>
    </row>
  </sheetData>
  <sheetProtection algorithmName="SHA-512" hashValue="vcsLAkTxKYz57XlnBzTt+emll2C+YF/awgWAVkqlhtqulFtjZruL0GEH1vJKdkp1a5StqC29iM0Dz3z6hMCAhA==" saltValue="ZBoUeC661VvvsKeq/AdudA=="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1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11" priority="5" operator="containsText" text="Bitte prüfen Sie diese.">
      <formula>NOT(ISERROR(SEARCH("Bitte prüfen Sie diese.",L9)))</formula>
    </cfRule>
  </conditionalFormatting>
  <conditionalFormatting sqref="L10">
    <cfRule type="containsText" dxfId="11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09" priority="3" operator="containsText" text="lediglich Fehleingaben vermeiden wollen.">
      <formula>NOT(ISERROR(SEARCH("lediglich Fehleingaben vermeiden wollen.",L11)))</formula>
    </cfRule>
  </conditionalFormatting>
  <conditionalFormatting sqref="M11">
    <cfRule type="containsText" dxfId="10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7" priority="7" operator="containsText" text="für die Objektart prüfen.">
      <formula>NOT(ISERROR(SEARCH("für die Objektart prüfen.",M12)))</formula>
    </cfRule>
  </conditionalFormatting>
  <conditionalFormatting sqref="N13">
    <cfRule type="expression" dxfId="106" priority="2" stopIfTrue="1">
      <formula>N13=0</formula>
    </cfRule>
  </conditionalFormatting>
  <conditionalFormatting sqref="N14">
    <cfRule type="expression" dxfId="105" priority="1">
      <formula>N14=0</formula>
    </cfRule>
  </conditionalFormatting>
  <conditionalFormatting sqref="N22:N102">
    <cfRule type="expression" dxfId="104" priority="11">
      <formula>V22=0</formula>
    </cfRule>
    <cfRule type="expression" dxfId="103" priority="12" stopIfTrue="1">
      <formula>V22=1</formula>
    </cfRule>
  </conditionalFormatting>
  <conditionalFormatting sqref="O13">
    <cfRule type="containsText" dxfId="10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01" priority="9" operator="containsText" text="Wert(e) prüfen.">
      <formula>NOT(ISERROR(SEARCH("Wert(e) prüfen.",O14)))</formula>
    </cfRule>
  </conditionalFormatting>
  <conditionalFormatting sqref="T22:T102">
    <cfRule type="containsText" dxfId="100" priority="13" stopIfTrue="1" operator="containsText" text="SVS prüfen">
      <formula>NOT(ISERROR(SEARCH("SVS prüfen",T22)))</formula>
    </cfRule>
    <cfRule type="containsText" dxfId="99" priority="14" stopIfTrue="1" operator="containsText" text="Leistungswert eintragen">
      <formula>NOT(ISERROR(SEARCH("Leistungswert eintragen",T22)))</formula>
    </cfRule>
  </conditionalFormatting>
  <hyperlinks>
    <hyperlink ref="M1" location="Inhaltsverzeichnis!A1" display="Zurück zum Inhaltsverzeichnis" xr:uid="{E90FB0BE-A113-4C44-B8AB-7747BAC5C0CD}"/>
  </hyperlinks>
  <printOptions horizontalCentered="1"/>
  <pageMargins left="0.78740157480314965" right="0.78740157480314965" top="0.98425196850393704" bottom="0.98425196850393704" header="0.51181102362204722" footer="0.51181102362204722"/>
  <pageSetup paperSize="9" scale="58" orientation="landscape" r:id="rId1"/>
  <headerFooter alignWithMargins="0">
    <oddHeader>&amp;L&amp;F</oddHeader>
    <oddFooter>&amp;LSalzstadt Staßfurt&amp;CSeite &amp;P von &amp;N&amp;RKal Unter GS Uhland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B51B-A8A2-474F-89DC-934243795DB1}">
  <sheetPr codeName="Tabelle34">
    <tabColor indexed="40"/>
  </sheetPr>
  <dimension ref="A1:X99"/>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425781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1406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33" t="s">
        <v>150</v>
      </c>
      <c r="B2" s="134"/>
      <c r="C2" s="134"/>
      <c r="D2" s="134"/>
      <c r="E2" s="135"/>
      <c r="G2" s="136" t="s">
        <v>163</v>
      </c>
      <c r="H2" s="136" t="s">
        <v>155</v>
      </c>
      <c r="I2" s="136" t="s">
        <v>156</v>
      </c>
      <c r="J2" s="136" t="s">
        <v>175</v>
      </c>
      <c r="M2" s="76"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4" customHeight="1" x14ac:dyDescent="0.2">
      <c r="A3" s="78" t="s">
        <v>158</v>
      </c>
      <c r="B3" s="79"/>
      <c r="C3" s="79"/>
      <c r="D3" s="79"/>
      <c r="E3" s="80"/>
      <c r="G3" s="137"/>
      <c r="H3" s="137"/>
      <c r="I3" s="137"/>
      <c r="J3" s="137"/>
      <c r="M3" s="76" t="b">
        <v>0</v>
      </c>
      <c r="N3" s="108"/>
      <c r="O3" s="108"/>
      <c r="P3" s="108"/>
      <c r="Q3" s="108"/>
    </row>
    <row r="4" spans="1:22" ht="18.600000000000001" customHeight="1" x14ac:dyDescent="0.2">
      <c r="A4" s="131" t="s">
        <v>91</v>
      </c>
      <c r="B4" s="141" t="str">
        <f>IF(Inhaltsverzeichnis!C3="","",Inhaltsverzeichnis!C3)</f>
        <v/>
      </c>
      <c r="C4" s="142"/>
      <c r="D4" s="142"/>
      <c r="E4" s="143"/>
      <c r="G4" s="77" t="s">
        <v>232</v>
      </c>
      <c r="H4" s="81"/>
      <c r="I4" s="82">
        <f ca="1">SUMIF('Kal Grund GS Uhland'!J22:M99,$G$4,'Kal Grund GS Uhland'!M22:M99)</f>
        <v>181.04999999999998</v>
      </c>
      <c r="J4" s="54">
        <f>COUNTIFS('Kal Grund GS Uhland'!J22:M99,$G$4)</f>
        <v>7</v>
      </c>
      <c r="M4" s="76" t="b">
        <v>0</v>
      </c>
      <c r="N4" s="108"/>
      <c r="O4" s="108"/>
      <c r="P4" s="108"/>
      <c r="Q4" s="108"/>
      <c r="U4" s="77" t="s">
        <v>232</v>
      </c>
      <c r="V4" s="3">
        <v>11.5</v>
      </c>
    </row>
    <row r="5" spans="1:22" ht="15" customHeight="1" x14ac:dyDescent="0.2">
      <c r="A5" s="132"/>
      <c r="B5" s="144"/>
      <c r="C5" s="145"/>
      <c r="D5" s="145"/>
      <c r="E5" s="146"/>
      <c r="G5" s="77" t="s">
        <v>330</v>
      </c>
      <c r="H5" s="81"/>
      <c r="I5" s="82">
        <f ca="1">SUMIF('Kal Grund GS Uhland'!J22:M99,$G$5,'Kal Grund GS Uhland'!M22:M99)</f>
        <v>103.85</v>
      </c>
      <c r="J5" s="54">
        <f>COUNTIFS('Kal Grund GS Uhland'!J22:M99,$G$5)</f>
        <v>6</v>
      </c>
      <c r="M5" s="76" t="b">
        <v>0</v>
      </c>
      <c r="N5" s="108"/>
      <c r="O5" s="108"/>
      <c r="P5" s="108"/>
      <c r="Q5" s="108"/>
      <c r="U5" s="77" t="s">
        <v>330</v>
      </c>
      <c r="V5" s="3">
        <v>12.75</v>
      </c>
    </row>
    <row r="6" spans="1:22" ht="15" customHeight="1" x14ac:dyDescent="0.2">
      <c r="A6" s="83" t="s">
        <v>173</v>
      </c>
      <c r="B6" s="147" t="s">
        <v>191</v>
      </c>
      <c r="C6" s="148"/>
      <c r="D6" s="148"/>
      <c r="E6" s="149"/>
      <c r="G6" s="77" t="s">
        <v>331</v>
      </c>
      <c r="H6" s="81"/>
      <c r="I6" s="82">
        <f ca="1">SUMIF('Kal Grund GS Uhland'!J22:M99,$G$6,'Kal Grund GS Uhland'!M22:M99)</f>
        <v>146</v>
      </c>
      <c r="J6" s="54">
        <f>COUNTIFS('Kal Grund GS Uhland'!J22:M99,$G$6)</f>
        <v>15</v>
      </c>
      <c r="U6" s="77" t="s">
        <v>331</v>
      </c>
      <c r="V6" s="3">
        <v>6.25</v>
      </c>
    </row>
    <row r="7" spans="1:22" ht="15" customHeight="1" x14ac:dyDescent="0.2">
      <c r="A7" s="84" t="s">
        <v>171</v>
      </c>
      <c r="B7" s="150" t="s">
        <v>192</v>
      </c>
      <c r="C7" s="148"/>
      <c r="D7" s="148"/>
      <c r="E7" s="149"/>
      <c r="G7" s="77" t="s">
        <v>327</v>
      </c>
      <c r="H7" s="81"/>
      <c r="I7" s="82">
        <f ca="1">SUMIF('Kal Grund GS Uhland'!J22:M99,$G$7,'Kal Grund GS Uhland'!M22:M99)</f>
        <v>265.25</v>
      </c>
      <c r="J7" s="54">
        <f>COUNTIFS('Kal Grund GS Uhland'!J22:M99,$G$7)</f>
        <v>9</v>
      </c>
      <c r="U7" s="77" t="s">
        <v>332</v>
      </c>
      <c r="V7" s="3">
        <v>18.5</v>
      </c>
    </row>
    <row r="8" spans="1:22" ht="15" customHeight="1" x14ac:dyDescent="0.2">
      <c r="A8" s="84" t="s">
        <v>172</v>
      </c>
      <c r="B8" s="147" t="s">
        <v>193</v>
      </c>
      <c r="C8" s="148"/>
      <c r="D8" s="148"/>
      <c r="E8" s="149"/>
      <c r="G8" s="77" t="s">
        <v>328</v>
      </c>
      <c r="H8" s="81"/>
      <c r="I8" s="82">
        <f ca="1">SUMIF('Kal Grund GS Uhland'!J22:M99,$G$8,'Kal Grund GS Uhland'!M22:M99)</f>
        <v>1043.9000000000001</v>
      </c>
      <c r="J8" s="54">
        <f>COUNTIFS('Kal Grund GS Uhland'!J22:M99,$G$8)</f>
        <v>20</v>
      </c>
      <c r="L8" s="95" t="str">
        <f>IF(N14&gt;0,"Ihre Eintragungen der Leistungswerte liegen weit über den Erfahrungswerten aus der Preisschätzung.","")</f>
        <v/>
      </c>
      <c r="U8" s="77" t="s">
        <v>327</v>
      </c>
      <c r="V8" s="3">
        <v>12.5</v>
      </c>
    </row>
    <row r="9" spans="1:22" ht="15" customHeight="1" x14ac:dyDescent="0.2">
      <c r="A9" s="83" t="s">
        <v>170</v>
      </c>
      <c r="B9" s="151" t="s">
        <v>190</v>
      </c>
      <c r="C9" s="148"/>
      <c r="D9" s="148"/>
      <c r="E9" s="149"/>
      <c r="G9" s="77" t="s">
        <v>329</v>
      </c>
      <c r="H9" s="81"/>
      <c r="I9" s="82">
        <f ca="1">SUMIF('Kal Grund GS Uhland'!J22:M99,$G$9,'Kal Grund GS Uhland'!M22:M99)</f>
        <v>312.45</v>
      </c>
      <c r="J9" s="54">
        <f>COUNTIFS('Kal Grund GS Uhland'!J22:M99,$G$9)</f>
        <v>11</v>
      </c>
      <c r="L9" s="95" t="str">
        <f>IF(N14&gt;0,"Bitte prüfen Sie diese.","")</f>
        <v/>
      </c>
      <c r="U9" s="77" t="s">
        <v>328</v>
      </c>
      <c r="V9" s="3">
        <v>13.25</v>
      </c>
    </row>
    <row r="10" spans="1:22" ht="15" customHeight="1" x14ac:dyDescent="0.2">
      <c r="A10" s="84" t="s">
        <v>152</v>
      </c>
      <c r="B10" s="147" t="s">
        <v>194</v>
      </c>
      <c r="C10" s="148"/>
      <c r="D10" s="148"/>
      <c r="E10" s="149"/>
      <c r="G10" s="77" t="s">
        <v>333</v>
      </c>
      <c r="H10" s="81"/>
      <c r="I10" s="82">
        <f ca="1">SUMIF('Kal Grund GS Uhland'!J22:M99,$G$10,'Kal Grund GS Uhland'!M22:M99)</f>
        <v>340.85</v>
      </c>
      <c r="J10" s="54">
        <f>COUNTIFS('Kal Grund GS Uhland'!J22:M99,$G$10)</f>
        <v>10</v>
      </c>
      <c r="L10" s="95" t="str">
        <f>IF(N14&gt;0,"Beachten Sie, dass Sie frei in der Kalkulation dieser Leistungswerte sind und wir durch den Hinweis","")</f>
        <v/>
      </c>
      <c r="U10" s="77" t="s">
        <v>329</v>
      </c>
      <c r="V10" s="3">
        <v>21</v>
      </c>
    </row>
    <row r="11" spans="1:22" ht="15" customHeight="1" x14ac:dyDescent="0.2">
      <c r="A11" s="84" t="s">
        <v>153</v>
      </c>
      <c r="B11" s="152" t="s">
        <v>195</v>
      </c>
      <c r="C11" s="148"/>
      <c r="D11" s="148"/>
      <c r="E11" s="149"/>
      <c r="L11" s="95" t="str">
        <f>IF(N14&gt;0,"lediglich Fehleingaben vermeiden wollen.","")</f>
        <v/>
      </c>
      <c r="U11" s="77" t="s">
        <v>333</v>
      </c>
      <c r="V11" s="3">
        <v>15.375</v>
      </c>
    </row>
    <row r="12" spans="1:22" ht="15" customHeight="1" x14ac:dyDescent="0.2">
      <c r="A12" s="84" t="s">
        <v>154</v>
      </c>
      <c r="B12" s="147" t="s">
        <v>196</v>
      </c>
      <c r="C12" s="148"/>
      <c r="D12" s="148"/>
      <c r="E12" s="149"/>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row>
    <row r="14" spans="1:22" ht="15" customHeight="1" x14ac:dyDescent="0.2">
      <c r="N14" s="85">
        <f>COUNTIF(X22:X$99,1)</f>
        <v>0</v>
      </c>
      <c r="O14" s="3" t="str">
        <f>IF(N14&gt;0,"Wert(e) prüfen.","")</f>
        <v/>
      </c>
      <c r="S14" s="87">
        <f>IF(COUNTA($S$22:$S$99)-COUNTBLANK($S$22:$S$99)=0,"",COUNTA($S$22:$S$99)-COUNTBLANK($S$22:$S$99))</f>
        <v>78</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133</v>
      </c>
    </row>
    <row r="21" spans="1:24" ht="29.1" customHeight="1" x14ac:dyDescent="0.2">
      <c r="A21" s="88" t="s">
        <v>118</v>
      </c>
      <c r="B21" s="12"/>
      <c r="C21" s="12"/>
      <c r="D21" s="12"/>
      <c r="E21" s="12"/>
      <c r="F21" s="12"/>
      <c r="G21" s="89">
        <f>SUM($G$22:$G$99)</f>
        <v>2393.3500000000004</v>
      </c>
      <c r="H21" s="89">
        <f>SUM($H$22:$H$99)</f>
        <v>0</v>
      </c>
      <c r="I21" s="89">
        <f>SUM($I$22:$I$99)</f>
        <v>0</v>
      </c>
      <c r="J21" s="33"/>
      <c r="K21" s="33"/>
      <c r="L21" s="90">
        <f>MAX(L22:L99)</f>
        <v>1</v>
      </c>
      <c r="M21" s="89">
        <f>SUM($M$22:$M$99)</f>
        <v>2393.3500000000004</v>
      </c>
      <c r="N21" s="33"/>
      <c r="O21" s="33"/>
      <c r="P21" s="89">
        <f>SUM($P$22:$P$99)</f>
        <v>0</v>
      </c>
      <c r="Q21" s="89">
        <f>SUM($Q$22:$Q$99)</f>
        <v>0</v>
      </c>
      <c r="R21" s="89">
        <f>ROUND(IF(Q21=0,0,Q21/L21),2)</f>
        <v>0</v>
      </c>
    </row>
    <row r="22" spans="1:24" ht="15" customHeight="1" x14ac:dyDescent="0.2">
      <c r="A22" s="77">
        <v>1</v>
      </c>
      <c r="B22" s="91" t="s">
        <v>207</v>
      </c>
      <c r="C22" s="92" t="s">
        <v>208</v>
      </c>
      <c r="D22" s="92">
        <v>2</v>
      </c>
      <c r="E22" s="92" t="s">
        <v>209</v>
      </c>
      <c r="F22" s="92" t="s">
        <v>210</v>
      </c>
      <c r="G22" s="93">
        <v>29.4</v>
      </c>
      <c r="H22" s="93"/>
      <c r="I22" s="93"/>
      <c r="J22" s="77" t="s">
        <v>327</v>
      </c>
      <c r="K22" s="77" t="s">
        <v>142</v>
      </c>
      <c r="L22" s="33">
        <f>VLOOKUP(K22,Reinigungstage!A10:E31,5,FALSE)</f>
        <v>1</v>
      </c>
      <c r="M22" s="33">
        <f t="shared" ref="M22:M51" si="0">ROUND(IF(L22=0,0,L22*G22),2)</f>
        <v>29.4</v>
      </c>
      <c r="N22" s="94">
        <f t="shared" ref="N22:N53" si="1">VLOOKUP(J22,$G$4:$H$10,2,FALSE)</f>
        <v>0</v>
      </c>
      <c r="O22" s="33">
        <f ca="1">IF('SVS GrundRG'!H61="",0,'SVS GrundRG'!H61)</f>
        <v>0</v>
      </c>
      <c r="P22" s="33">
        <f t="shared" ref="P22:P51" si="2">ROUND(IF(N22=0,0,M22/N22),2)</f>
        <v>0</v>
      </c>
      <c r="Q22" s="33">
        <f t="shared" ref="Q22:Q51" si="3">ROUND(IF(P22=0,0,P22*O22),2)</f>
        <v>0</v>
      </c>
      <c r="R22" s="33">
        <f t="shared" ref="R22:R51" si="4">ROUND(IF(P22=0,0,Q22/L22),2)</f>
        <v>0</v>
      </c>
      <c r="S22" s="3" t="str">
        <f t="shared" ref="S22:S51" si="5">IF(M22=0,"",IF(N22=0,"Leistungswert eintragen",IF(O22=0,"SVS prüfen","")))</f>
        <v>Leistungswert eintragen</v>
      </c>
      <c r="U22" s="3">
        <f t="shared" ref="U22:U51" si="6">VLOOKUP(J22,$U$4:$V$11,2,FALSE)</f>
        <v>12.5</v>
      </c>
      <c r="V22" s="3">
        <f t="shared" ref="V22:V51" si="7">U22*30%</f>
        <v>3.75</v>
      </c>
      <c r="W22" s="3">
        <f t="shared" ref="W22:W51" si="8">SUM(U22:V22)</f>
        <v>16.25</v>
      </c>
      <c r="X22" s="3" t="str">
        <f t="shared" ref="X22:X51" si="9">IF(N22=0,"",IF(W22&lt;N22,1,IF(W22&gt;=N22,0,"")))</f>
        <v/>
      </c>
    </row>
    <row r="23" spans="1:24" ht="15" customHeight="1" x14ac:dyDescent="0.2">
      <c r="A23" s="77">
        <v>2</v>
      </c>
      <c r="B23" s="91" t="s">
        <v>211</v>
      </c>
      <c r="C23" s="92" t="s">
        <v>208</v>
      </c>
      <c r="D23" s="92">
        <v>13</v>
      </c>
      <c r="E23" s="92" t="s">
        <v>212</v>
      </c>
      <c r="F23" s="92" t="s">
        <v>213</v>
      </c>
      <c r="G23" s="93">
        <v>54.5</v>
      </c>
      <c r="H23" s="93"/>
      <c r="I23" s="93"/>
      <c r="J23" s="77" t="s">
        <v>328</v>
      </c>
      <c r="K23" s="77" t="s">
        <v>142</v>
      </c>
      <c r="L23" s="33">
        <f>VLOOKUP(K23,Reinigungstage!A10:E31,5,FALSE)</f>
        <v>1</v>
      </c>
      <c r="M23" s="33">
        <f t="shared" si="0"/>
        <v>54.5</v>
      </c>
      <c r="N23" s="94">
        <f t="shared" si="1"/>
        <v>0</v>
      </c>
      <c r="O23" s="33">
        <f ca="1">IF('SVS GrundRG'!H61="",0,'SVS GrundRG'!H61)</f>
        <v>0</v>
      </c>
      <c r="P23" s="33">
        <f t="shared" si="2"/>
        <v>0</v>
      </c>
      <c r="Q23" s="33">
        <f t="shared" si="3"/>
        <v>0</v>
      </c>
      <c r="R23" s="33">
        <f t="shared" si="4"/>
        <v>0</v>
      </c>
      <c r="S23" s="3" t="str">
        <f t="shared" si="5"/>
        <v>Leistungswert eintragen</v>
      </c>
      <c r="U23" s="3">
        <f t="shared" si="6"/>
        <v>13.25</v>
      </c>
      <c r="V23" s="3">
        <f t="shared" si="7"/>
        <v>3.9749999999999996</v>
      </c>
      <c r="W23" s="3">
        <f t="shared" si="8"/>
        <v>17.225000000000001</v>
      </c>
      <c r="X23" s="3" t="str">
        <f t="shared" si="9"/>
        <v/>
      </c>
    </row>
    <row r="24" spans="1:24" ht="15" customHeight="1" x14ac:dyDescent="0.2">
      <c r="A24" s="77">
        <v>3</v>
      </c>
      <c r="B24" s="91" t="s">
        <v>214</v>
      </c>
      <c r="C24" s="92" t="s">
        <v>208</v>
      </c>
      <c r="D24" s="92">
        <v>14</v>
      </c>
      <c r="E24" s="92" t="s">
        <v>212</v>
      </c>
      <c r="F24" s="92" t="s">
        <v>213</v>
      </c>
      <c r="G24" s="93">
        <v>44.25</v>
      </c>
      <c r="H24" s="93"/>
      <c r="I24" s="93"/>
      <c r="J24" s="77" t="s">
        <v>328</v>
      </c>
      <c r="K24" s="77" t="s">
        <v>142</v>
      </c>
      <c r="L24" s="33">
        <f>VLOOKUP(K24,Reinigungstage!A10:E31,5,FALSE)</f>
        <v>1</v>
      </c>
      <c r="M24" s="33">
        <f t="shared" si="0"/>
        <v>44.25</v>
      </c>
      <c r="N24" s="94">
        <f t="shared" si="1"/>
        <v>0</v>
      </c>
      <c r="O24" s="33">
        <f ca="1">IF('SVS GrundRG'!H61="",0,'SVS GrundRG'!H61)</f>
        <v>0</v>
      </c>
      <c r="P24" s="33">
        <f t="shared" si="2"/>
        <v>0</v>
      </c>
      <c r="Q24" s="33">
        <f t="shared" si="3"/>
        <v>0</v>
      </c>
      <c r="R24" s="33">
        <f t="shared" si="4"/>
        <v>0</v>
      </c>
      <c r="S24" s="3" t="str">
        <f t="shared" si="5"/>
        <v>Leistungswert eintragen</v>
      </c>
      <c r="U24" s="3">
        <f t="shared" si="6"/>
        <v>13.25</v>
      </c>
      <c r="V24" s="3">
        <f t="shared" si="7"/>
        <v>3.9749999999999996</v>
      </c>
      <c r="W24" s="3">
        <f t="shared" si="8"/>
        <v>17.225000000000001</v>
      </c>
      <c r="X24" s="3" t="str">
        <f t="shared" si="9"/>
        <v/>
      </c>
    </row>
    <row r="25" spans="1:24" ht="15" customHeight="1" x14ac:dyDescent="0.2">
      <c r="A25" s="77">
        <v>4</v>
      </c>
      <c r="B25" s="91" t="s">
        <v>215</v>
      </c>
      <c r="C25" s="92" t="s">
        <v>208</v>
      </c>
      <c r="D25" s="92">
        <v>15</v>
      </c>
      <c r="E25" s="92" t="s">
        <v>212</v>
      </c>
      <c r="F25" s="92" t="s">
        <v>213</v>
      </c>
      <c r="G25" s="93">
        <v>44.25</v>
      </c>
      <c r="H25" s="93"/>
      <c r="I25" s="93"/>
      <c r="J25" s="77" t="s">
        <v>328</v>
      </c>
      <c r="K25" s="77" t="s">
        <v>142</v>
      </c>
      <c r="L25" s="33">
        <f>VLOOKUP(K25,Reinigungstage!A10:E31,5,FALSE)</f>
        <v>1</v>
      </c>
      <c r="M25" s="33">
        <f t="shared" si="0"/>
        <v>44.25</v>
      </c>
      <c r="N25" s="94">
        <f t="shared" si="1"/>
        <v>0</v>
      </c>
      <c r="O25" s="33">
        <f ca="1">IF('SVS GrundRG'!H61="",0,'SVS GrundRG'!H61)</f>
        <v>0</v>
      </c>
      <c r="P25" s="33">
        <f t="shared" si="2"/>
        <v>0</v>
      </c>
      <c r="Q25" s="33">
        <f t="shared" si="3"/>
        <v>0</v>
      </c>
      <c r="R25" s="33">
        <f t="shared" si="4"/>
        <v>0</v>
      </c>
      <c r="S25" s="3" t="str">
        <f t="shared" si="5"/>
        <v>Leistungswert eintragen</v>
      </c>
      <c r="U25" s="3">
        <f t="shared" si="6"/>
        <v>13.25</v>
      </c>
      <c r="V25" s="3">
        <f t="shared" si="7"/>
        <v>3.9749999999999996</v>
      </c>
      <c r="W25" s="3">
        <f t="shared" si="8"/>
        <v>17.225000000000001</v>
      </c>
      <c r="X25" s="3" t="str">
        <f t="shared" si="9"/>
        <v/>
      </c>
    </row>
    <row r="26" spans="1:24" ht="15" customHeight="1" x14ac:dyDescent="0.2">
      <c r="A26" s="77">
        <v>5</v>
      </c>
      <c r="B26" s="91" t="s">
        <v>216</v>
      </c>
      <c r="C26" s="92" t="s">
        <v>208</v>
      </c>
      <c r="D26" s="92">
        <v>2</v>
      </c>
      <c r="E26" s="92" t="s">
        <v>217</v>
      </c>
      <c r="F26" s="92" t="s">
        <v>213</v>
      </c>
      <c r="G26" s="93">
        <v>60.7</v>
      </c>
      <c r="H26" s="93"/>
      <c r="I26" s="93"/>
      <c r="J26" s="77" t="s">
        <v>328</v>
      </c>
      <c r="K26" s="77" t="s">
        <v>142</v>
      </c>
      <c r="L26" s="33">
        <f>VLOOKUP(K26,Reinigungstage!A10:E31,5,FALSE)</f>
        <v>1</v>
      </c>
      <c r="M26" s="33">
        <f t="shared" si="0"/>
        <v>60.7</v>
      </c>
      <c r="N26" s="94">
        <f t="shared" si="1"/>
        <v>0</v>
      </c>
      <c r="O26" s="33">
        <f ca="1">IF('SVS GrundRG'!H61="",0,'SVS GrundRG'!H61)</f>
        <v>0</v>
      </c>
      <c r="P26" s="33">
        <f t="shared" si="2"/>
        <v>0</v>
      </c>
      <c r="Q26" s="33">
        <f t="shared" si="3"/>
        <v>0</v>
      </c>
      <c r="R26" s="33">
        <f t="shared" si="4"/>
        <v>0</v>
      </c>
      <c r="S26" s="3" t="str">
        <f t="shared" si="5"/>
        <v>Leistungswert eintragen</v>
      </c>
      <c r="U26" s="3">
        <f t="shared" si="6"/>
        <v>13.25</v>
      </c>
      <c r="V26" s="3">
        <f t="shared" si="7"/>
        <v>3.9749999999999996</v>
      </c>
      <c r="W26" s="3">
        <f t="shared" si="8"/>
        <v>17.225000000000001</v>
      </c>
      <c r="X26" s="3" t="str">
        <f t="shared" si="9"/>
        <v/>
      </c>
    </row>
    <row r="27" spans="1:24" ht="15" customHeight="1" x14ac:dyDescent="0.2">
      <c r="A27" s="77">
        <v>6</v>
      </c>
      <c r="B27" s="91" t="s">
        <v>218</v>
      </c>
      <c r="C27" s="92" t="s">
        <v>208</v>
      </c>
      <c r="D27" s="92">
        <v>1</v>
      </c>
      <c r="E27" s="92" t="s">
        <v>217</v>
      </c>
      <c r="F27" s="92" t="s">
        <v>213</v>
      </c>
      <c r="G27" s="93">
        <v>59.3</v>
      </c>
      <c r="H27" s="93"/>
      <c r="I27" s="93"/>
      <c r="J27" s="77" t="s">
        <v>328</v>
      </c>
      <c r="K27" s="77" t="s">
        <v>142</v>
      </c>
      <c r="L27" s="33">
        <f>VLOOKUP(K27,Reinigungstage!A10:E31,5,FALSE)</f>
        <v>1</v>
      </c>
      <c r="M27" s="33">
        <f t="shared" si="0"/>
        <v>59.3</v>
      </c>
      <c r="N27" s="94">
        <f t="shared" si="1"/>
        <v>0</v>
      </c>
      <c r="O27" s="33">
        <f ca="1">IF('SVS GrundRG'!H61="",0,'SVS GrundRG'!H61)</f>
        <v>0</v>
      </c>
      <c r="P27" s="33">
        <f t="shared" si="2"/>
        <v>0</v>
      </c>
      <c r="Q27" s="33">
        <f t="shared" si="3"/>
        <v>0</v>
      </c>
      <c r="R27" s="33">
        <f t="shared" si="4"/>
        <v>0</v>
      </c>
      <c r="S27" s="3" t="str">
        <f t="shared" si="5"/>
        <v>Leistungswert eintragen</v>
      </c>
      <c r="U27" s="3">
        <f t="shared" si="6"/>
        <v>13.25</v>
      </c>
      <c r="V27" s="3">
        <f t="shared" si="7"/>
        <v>3.9749999999999996</v>
      </c>
      <c r="W27" s="3">
        <f t="shared" si="8"/>
        <v>17.225000000000001</v>
      </c>
      <c r="X27" s="3" t="str">
        <f t="shared" si="9"/>
        <v/>
      </c>
    </row>
    <row r="28" spans="1:24" ht="15" customHeight="1" x14ac:dyDescent="0.2">
      <c r="A28" s="77">
        <v>7</v>
      </c>
      <c r="B28" s="91" t="s">
        <v>219</v>
      </c>
      <c r="C28" s="92" t="s">
        <v>208</v>
      </c>
      <c r="D28" s="92"/>
      <c r="E28" s="92" t="s">
        <v>220</v>
      </c>
      <c r="F28" s="92" t="s">
        <v>213</v>
      </c>
      <c r="G28" s="93">
        <v>30.15</v>
      </c>
      <c r="H28" s="93"/>
      <c r="I28" s="93"/>
      <c r="J28" s="77" t="s">
        <v>329</v>
      </c>
      <c r="K28" s="77" t="s">
        <v>142</v>
      </c>
      <c r="L28" s="33">
        <f>VLOOKUP(K28,Reinigungstage!A10:E31,5,FALSE)</f>
        <v>1</v>
      </c>
      <c r="M28" s="33">
        <f t="shared" si="0"/>
        <v>30.15</v>
      </c>
      <c r="N28" s="94">
        <f t="shared" si="1"/>
        <v>0</v>
      </c>
      <c r="O28" s="33">
        <f ca="1">IF('SVS GrundRG'!H61="",0,'SVS GrundRG'!H61)</f>
        <v>0</v>
      </c>
      <c r="P28" s="33">
        <f t="shared" si="2"/>
        <v>0</v>
      </c>
      <c r="Q28" s="33">
        <f t="shared" si="3"/>
        <v>0</v>
      </c>
      <c r="R28" s="33">
        <f t="shared" si="4"/>
        <v>0</v>
      </c>
      <c r="S28" s="3" t="str">
        <f t="shared" si="5"/>
        <v>Leistungswert eintragen</v>
      </c>
      <c r="U28" s="3">
        <f t="shared" si="6"/>
        <v>21</v>
      </c>
      <c r="V28" s="3">
        <f t="shared" si="7"/>
        <v>6.3</v>
      </c>
      <c r="W28" s="3">
        <f t="shared" si="8"/>
        <v>27.3</v>
      </c>
      <c r="X28" s="3" t="str">
        <f t="shared" si="9"/>
        <v/>
      </c>
    </row>
    <row r="29" spans="1:24" ht="15" customHeight="1" x14ac:dyDescent="0.2">
      <c r="A29" s="77">
        <v>8</v>
      </c>
      <c r="B29" s="91" t="s">
        <v>221</v>
      </c>
      <c r="C29" s="92" t="s">
        <v>208</v>
      </c>
      <c r="D29" s="92">
        <v>3</v>
      </c>
      <c r="E29" s="92" t="s">
        <v>209</v>
      </c>
      <c r="F29" s="92" t="s">
        <v>213</v>
      </c>
      <c r="G29" s="93">
        <v>35.6</v>
      </c>
      <c r="H29" s="93"/>
      <c r="I29" s="93"/>
      <c r="J29" s="77" t="s">
        <v>327</v>
      </c>
      <c r="K29" s="77" t="s">
        <v>142</v>
      </c>
      <c r="L29" s="33">
        <f>VLOOKUP(K29,Reinigungstage!A10:E31,5,FALSE)</f>
        <v>1</v>
      </c>
      <c r="M29" s="33">
        <f t="shared" si="0"/>
        <v>35.6</v>
      </c>
      <c r="N29" s="94">
        <f t="shared" si="1"/>
        <v>0</v>
      </c>
      <c r="O29" s="33">
        <f ca="1">IF('SVS GrundRG'!H61="",0,'SVS GrundRG'!H61)</f>
        <v>0</v>
      </c>
      <c r="P29" s="33">
        <f t="shared" si="2"/>
        <v>0</v>
      </c>
      <c r="Q29" s="33">
        <f t="shared" si="3"/>
        <v>0</v>
      </c>
      <c r="R29" s="33">
        <f t="shared" si="4"/>
        <v>0</v>
      </c>
      <c r="S29" s="3" t="str">
        <f t="shared" si="5"/>
        <v>Leistungswert eintragen</v>
      </c>
      <c r="U29" s="3">
        <f t="shared" si="6"/>
        <v>12.5</v>
      </c>
      <c r="V29" s="3">
        <f t="shared" si="7"/>
        <v>3.75</v>
      </c>
      <c r="W29" s="3">
        <f t="shared" si="8"/>
        <v>16.25</v>
      </c>
      <c r="X29" s="3" t="str">
        <f t="shared" si="9"/>
        <v/>
      </c>
    </row>
    <row r="30" spans="1:24" ht="15" customHeight="1" x14ac:dyDescent="0.2">
      <c r="A30" s="77">
        <v>9</v>
      </c>
      <c r="B30" s="91" t="s">
        <v>222</v>
      </c>
      <c r="C30" s="92" t="s">
        <v>208</v>
      </c>
      <c r="D30" s="92">
        <v>12</v>
      </c>
      <c r="E30" s="92" t="s">
        <v>212</v>
      </c>
      <c r="F30" s="92" t="s">
        <v>213</v>
      </c>
      <c r="G30" s="93">
        <v>58.4</v>
      </c>
      <c r="H30" s="93"/>
      <c r="I30" s="93"/>
      <c r="J30" s="77" t="s">
        <v>328</v>
      </c>
      <c r="K30" s="77" t="s">
        <v>142</v>
      </c>
      <c r="L30" s="33">
        <f>VLOOKUP(K30,Reinigungstage!A10:E31,5,FALSE)</f>
        <v>1</v>
      </c>
      <c r="M30" s="33">
        <f t="shared" si="0"/>
        <v>58.4</v>
      </c>
      <c r="N30" s="94">
        <f t="shared" si="1"/>
        <v>0</v>
      </c>
      <c r="O30" s="33">
        <f ca="1">IF('SVS GrundRG'!H61="",0,'SVS GrundRG'!H61)</f>
        <v>0</v>
      </c>
      <c r="P30" s="33">
        <f t="shared" si="2"/>
        <v>0</v>
      </c>
      <c r="Q30" s="33">
        <f t="shared" si="3"/>
        <v>0</v>
      </c>
      <c r="R30" s="33">
        <f t="shared" si="4"/>
        <v>0</v>
      </c>
      <c r="S30" s="3" t="str">
        <f t="shared" si="5"/>
        <v>Leistungswert eintragen</v>
      </c>
      <c r="U30" s="3">
        <f t="shared" si="6"/>
        <v>13.25</v>
      </c>
      <c r="V30" s="3">
        <f t="shared" si="7"/>
        <v>3.9749999999999996</v>
      </c>
      <c r="W30" s="3">
        <f t="shared" si="8"/>
        <v>17.225000000000001</v>
      </c>
      <c r="X30" s="3" t="str">
        <f t="shared" si="9"/>
        <v/>
      </c>
    </row>
    <row r="31" spans="1:24" ht="15" customHeight="1" x14ac:dyDescent="0.2">
      <c r="A31" s="77">
        <v>10</v>
      </c>
      <c r="B31" s="91" t="s">
        <v>7</v>
      </c>
      <c r="C31" s="92" t="s">
        <v>208</v>
      </c>
      <c r="D31" s="92">
        <v>1</v>
      </c>
      <c r="E31" s="92" t="s">
        <v>223</v>
      </c>
      <c r="F31" s="92" t="s">
        <v>213</v>
      </c>
      <c r="G31" s="93">
        <v>37.85</v>
      </c>
      <c r="H31" s="93"/>
      <c r="I31" s="93"/>
      <c r="J31" s="77" t="s">
        <v>329</v>
      </c>
      <c r="K31" s="77" t="s">
        <v>142</v>
      </c>
      <c r="L31" s="33">
        <f>VLOOKUP(K31,Reinigungstage!A10:E31,5,FALSE)</f>
        <v>1</v>
      </c>
      <c r="M31" s="33">
        <f t="shared" si="0"/>
        <v>37.85</v>
      </c>
      <c r="N31" s="94">
        <f t="shared" si="1"/>
        <v>0</v>
      </c>
      <c r="O31" s="33">
        <f ca="1">IF('SVS GrundRG'!H61="",0,'SVS GrundRG'!H61)</f>
        <v>0</v>
      </c>
      <c r="P31" s="33">
        <f t="shared" si="2"/>
        <v>0</v>
      </c>
      <c r="Q31" s="33">
        <f t="shared" si="3"/>
        <v>0</v>
      </c>
      <c r="R31" s="33">
        <f t="shared" si="4"/>
        <v>0</v>
      </c>
      <c r="S31" s="3" t="str">
        <f t="shared" si="5"/>
        <v>Leistungswert eintragen</v>
      </c>
      <c r="U31" s="3">
        <f t="shared" si="6"/>
        <v>21</v>
      </c>
      <c r="V31" s="3">
        <f t="shared" si="7"/>
        <v>6.3</v>
      </c>
      <c r="W31" s="3">
        <f t="shared" si="8"/>
        <v>27.3</v>
      </c>
      <c r="X31" s="3" t="str">
        <f t="shared" si="9"/>
        <v/>
      </c>
    </row>
    <row r="32" spans="1:24" ht="15" customHeight="1" x14ac:dyDescent="0.2">
      <c r="A32" s="77">
        <v>11</v>
      </c>
      <c r="B32" s="91" t="s">
        <v>9</v>
      </c>
      <c r="C32" s="92" t="s">
        <v>208</v>
      </c>
      <c r="D32" s="92"/>
      <c r="E32" s="92" t="s">
        <v>224</v>
      </c>
      <c r="F32" s="92" t="s">
        <v>213</v>
      </c>
      <c r="G32" s="93">
        <v>9.6</v>
      </c>
      <c r="H32" s="93"/>
      <c r="I32" s="93"/>
      <c r="J32" s="77" t="s">
        <v>330</v>
      </c>
      <c r="K32" s="77" t="s">
        <v>142</v>
      </c>
      <c r="L32" s="33">
        <f>VLOOKUP(K32,Reinigungstage!A10:E31,5,FALSE)</f>
        <v>1</v>
      </c>
      <c r="M32" s="33">
        <f t="shared" si="0"/>
        <v>9.6</v>
      </c>
      <c r="N32" s="94">
        <f t="shared" si="1"/>
        <v>0</v>
      </c>
      <c r="O32" s="33">
        <f ca="1">IF('SVS GrundRG'!H61="",0,'SVS GrundRG'!H61)</f>
        <v>0</v>
      </c>
      <c r="P32" s="33">
        <f t="shared" si="2"/>
        <v>0</v>
      </c>
      <c r="Q32" s="33">
        <f t="shared" si="3"/>
        <v>0</v>
      </c>
      <c r="R32" s="33">
        <f t="shared" si="4"/>
        <v>0</v>
      </c>
      <c r="S32" s="3" t="str">
        <f t="shared" si="5"/>
        <v>Leistungswert eintragen</v>
      </c>
      <c r="U32" s="3">
        <f t="shared" si="6"/>
        <v>12.75</v>
      </c>
      <c r="V32" s="3">
        <f t="shared" si="7"/>
        <v>3.8249999999999997</v>
      </c>
      <c r="W32" s="3">
        <f t="shared" si="8"/>
        <v>16.574999999999999</v>
      </c>
      <c r="X32" s="3" t="str">
        <f t="shared" si="9"/>
        <v/>
      </c>
    </row>
    <row r="33" spans="1:24" ht="15" customHeight="1" x14ac:dyDescent="0.2">
      <c r="A33" s="77">
        <v>12</v>
      </c>
      <c r="B33" s="91" t="s">
        <v>11</v>
      </c>
      <c r="C33" s="92" t="s">
        <v>208</v>
      </c>
      <c r="D33" s="92">
        <v>2</v>
      </c>
      <c r="E33" s="92" t="s">
        <v>223</v>
      </c>
      <c r="F33" s="92" t="s">
        <v>213</v>
      </c>
      <c r="G33" s="93">
        <v>41.95</v>
      </c>
      <c r="H33" s="93"/>
      <c r="I33" s="93"/>
      <c r="J33" s="77" t="s">
        <v>329</v>
      </c>
      <c r="K33" s="77" t="s">
        <v>142</v>
      </c>
      <c r="L33" s="33">
        <f>VLOOKUP(K33,Reinigungstage!A10:E31,5,FALSE)</f>
        <v>1</v>
      </c>
      <c r="M33" s="33">
        <f t="shared" si="0"/>
        <v>41.95</v>
      </c>
      <c r="N33" s="94">
        <f t="shared" si="1"/>
        <v>0</v>
      </c>
      <c r="O33" s="33">
        <f ca="1">IF('SVS GrundRG'!H61="",0,'SVS GrundRG'!H61)</f>
        <v>0</v>
      </c>
      <c r="P33" s="33">
        <f t="shared" si="2"/>
        <v>0</v>
      </c>
      <c r="Q33" s="33">
        <f t="shared" si="3"/>
        <v>0</v>
      </c>
      <c r="R33" s="33">
        <f t="shared" si="4"/>
        <v>0</v>
      </c>
      <c r="S33" s="3" t="str">
        <f t="shared" si="5"/>
        <v>Leistungswert eintragen</v>
      </c>
      <c r="U33" s="3">
        <f t="shared" si="6"/>
        <v>21</v>
      </c>
      <c r="V33" s="3">
        <f t="shared" si="7"/>
        <v>6.3</v>
      </c>
      <c r="W33" s="3">
        <f t="shared" si="8"/>
        <v>27.3</v>
      </c>
      <c r="X33" s="3" t="str">
        <f t="shared" si="9"/>
        <v/>
      </c>
    </row>
    <row r="34" spans="1:24" ht="15" customHeight="1" x14ac:dyDescent="0.2">
      <c r="A34" s="77">
        <v>13</v>
      </c>
      <c r="B34" s="91" t="s">
        <v>13</v>
      </c>
      <c r="C34" s="92" t="s">
        <v>208</v>
      </c>
      <c r="D34" s="92">
        <v>11</v>
      </c>
      <c r="E34" s="92" t="s">
        <v>212</v>
      </c>
      <c r="F34" s="92" t="s">
        <v>213</v>
      </c>
      <c r="G34" s="93">
        <v>54.95</v>
      </c>
      <c r="H34" s="93"/>
      <c r="I34" s="93"/>
      <c r="J34" s="77" t="s">
        <v>328</v>
      </c>
      <c r="K34" s="77" t="s">
        <v>142</v>
      </c>
      <c r="L34" s="33">
        <f>VLOOKUP(K34,Reinigungstage!A10:E31,5,FALSE)</f>
        <v>1</v>
      </c>
      <c r="M34" s="33">
        <f t="shared" si="0"/>
        <v>54.95</v>
      </c>
      <c r="N34" s="94">
        <f t="shared" si="1"/>
        <v>0</v>
      </c>
      <c r="O34" s="33">
        <f ca="1">IF('SVS GrundRG'!H61="",0,'SVS GrundRG'!H61)</f>
        <v>0</v>
      </c>
      <c r="P34" s="33">
        <f t="shared" si="2"/>
        <v>0</v>
      </c>
      <c r="Q34" s="33">
        <f t="shared" si="3"/>
        <v>0</v>
      </c>
      <c r="R34" s="33">
        <f t="shared" si="4"/>
        <v>0</v>
      </c>
      <c r="S34" s="3" t="str">
        <f t="shared" si="5"/>
        <v>Leistungswert eintragen</v>
      </c>
      <c r="U34" s="3">
        <f t="shared" si="6"/>
        <v>13.25</v>
      </c>
      <c r="V34" s="3">
        <f t="shared" si="7"/>
        <v>3.9749999999999996</v>
      </c>
      <c r="W34" s="3">
        <f t="shared" si="8"/>
        <v>17.225000000000001</v>
      </c>
      <c r="X34" s="3" t="str">
        <f t="shared" si="9"/>
        <v/>
      </c>
    </row>
    <row r="35" spans="1:24" ht="15" customHeight="1" x14ac:dyDescent="0.2">
      <c r="A35" s="77">
        <v>14</v>
      </c>
      <c r="B35" s="91" t="s">
        <v>15</v>
      </c>
      <c r="C35" s="92" t="s">
        <v>208</v>
      </c>
      <c r="D35" s="92"/>
      <c r="E35" s="92" t="s">
        <v>225</v>
      </c>
      <c r="F35" s="92" t="s">
        <v>210</v>
      </c>
      <c r="G35" s="93">
        <v>4.5999999999999996</v>
      </c>
      <c r="H35" s="93"/>
      <c r="I35" s="93"/>
      <c r="J35" s="77" t="s">
        <v>331</v>
      </c>
      <c r="K35" s="77" t="s">
        <v>142</v>
      </c>
      <c r="L35" s="33">
        <f>VLOOKUP(K35,Reinigungstage!A10:E31,5,FALSE)</f>
        <v>1</v>
      </c>
      <c r="M35" s="33">
        <f t="shared" si="0"/>
        <v>4.5999999999999996</v>
      </c>
      <c r="N35" s="94">
        <f t="shared" si="1"/>
        <v>0</v>
      </c>
      <c r="O35" s="33">
        <f ca="1">IF('SVS GrundRG'!H61="",0,'SVS GrundRG'!H61)</f>
        <v>0</v>
      </c>
      <c r="P35" s="33">
        <f t="shared" si="2"/>
        <v>0</v>
      </c>
      <c r="Q35" s="33">
        <f t="shared" si="3"/>
        <v>0</v>
      </c>
      <c r="R35" s="33">
        <f t="shared" si="4"/>
        <v>0</v>
      </c>
      <c r="S35" s="3" t="str">
        <f t="shared" si="5"/>
        <v>Leistungswert eintragen</v>
      </c>
      <c r="U35" s="3">
        <f t="shared" si="6"/>
        <v>6.25</v>
      </c>
      <c r="V35" s="3">
        <f t="shared" si="7"/>
        <v>1.875</v>
      </c>
      <c r="W35" s="3">
        <f t="shared" si="8"/>
        <v>8.125</v>
      </c>
      <c r="X35" s="3" t="str">
        <f t="shared" si="9"/>
        <v/>
      </c>
    </row>
    <row r="36" spans="1:24" ht="15" customHeight="1" x14ac:dyDescent="0.2">
      <c r="A36" s="77">
        <v>15</v>
      </c>
      <c r="B36" s="91" t="s">
        <v>17</v>
      </c>
      <c r="C36" s="92" t="s">
        <v>208</v>
      </c>
      <c r="D36" s="92"/>
      <c r="E36" s="92" t="s">
        <v>226</v>
      </c>
      <c r="F36" s="92" t="s">
        <v>210</v>
      </c>
      <c r="G36" s="93">
        <v>9.35</v>
      </c>
      <c r="H36" s="93"/>
      <c r="I36" s="93"/>
      <c r="J36" s="77" t="s">
        <v>331</v>
      </c>
      <c r="K36" s="77" t="s">
        <v>142</v>
      </c>
      <c r="L36" s="33">
        <f>VLOOKUP(K36,Reinigungstage!A10:E31,5,FALSE)</f>
        <v>1</v>
      </c>
      <c r="M36" s="33">
        <f t="shared" si="0"/>
        <v>9.35</v>
      </c>
      <c r="N36" s="94">
        <f t="shared" si="1"/>
        <v>0</v>
      </c>
      <c r="O36" s="33">
        <f ca="1">IF('SVS GrundRG'!H61="",0,'SVS GrundRG'!H61)</f>
        <v>0</v>
      </c>
      <c r="P36" s="33">
        <f t="shared" si="2"/>
        <v>0</v>
      </c>
      <c r="Q36" s="33">
        <f t="shared" si="3"/>
        <v>0</v>
      </c>
      <c r="R36" s="33">
        <f t="shared" si="4"/>
        <v>0</v>
      </c>
      <c r="S36" s="3" t="str">
        <f t="shared" si="5"/>
        <v>Leistungswert eintragen</v>
      </c>
      <c r="U36" s="3">
        <f t="shared" si="6"/>
        <v>6.25</v>
      </c>
      <c r="V36" s="3">
        <f t="shared" si="7"/>
        <v>1.875</v>
      </c>
      <c r="W36" s="3">
        <f t="shared" si="8"/>
        <v>8.125</v>
      </c>
      <c r="X36" s="3" t="str">
        <f t="shared" si="9"/>
        <v/>
      </c>
    </row>
    <row r="37" spans="1:24" ht="15" customHeight="1" x14ac:dyDescent="0.2">
      <c r="A37" s="77">
        <v>16</v>
      </c>
      <c r="B37" s="91" t="s">
        <v>227</v>
      </c>
      <c r="C37" s="92" t="s">
        <v>208</v>
      </c>
      <c r="D37" s="92"/>
      <c r="E37" s="92" t="s">
        <v>228</v>
      </c>
      <c r="F37" s="92" t="s">
        <v>210</v>
      </c>
      <c r="G37" s="93">
        <v>8.6999999999999993</v>
      </c>
      <c r="H37" s="93"/>
      <c r="I37" s="93"/>
      <c r="J37" s="77" t="s">
        <v>331</v>
      </c>
      <c r="K37" s="77" t="s">
        <v>142</v>
      </c>
      <c r="L37" s="33">
        <f>VLOOKUP(K37,Reinigungstage!A10:E31,5,FALSE)</f>
        <v>1</v>
      </c>
      <c r="M37" s="33">
        <f t="shared" si="0"/>
        <v>8.6999999999999993</v>
      </c>
      <c r="N37" s="94">
        <f t="shared" si="1"/>
        <v>0</v>
      </c>
      <c r="O37" s="33">
        <f ca="1">IF('SVS GrundRG'!H61="",0,'SVS GrundRG'!H61)</f>
        <v>0</v>
      </c>
      <c r="P37" s="33">
        <f t="shared" si="2"/>
        <v>0</v>
      </c>
      <c r="Q37" s="33">
        <f t="shared" si="3"/>
        <v>0</v>
      </c>
      <c r="R37" s="33">
        <f t="shared" si="4"/>
        <v>0</v>
      </c>
      <c r="S37" s="3" t="str">
        <f t="shared" si="5"/>
        <v>Leistungswert eintragen</v>
      </c>
      <c r="U37" s="3">
        <f t="shared" si="6"/>
        <v>6.25</v>
      </c>
      <c r="V37" s="3">
        <f t="shared" si="7"/>
        <v>1.875</v>
      </c>
      <c r="W37" s="3">
        <f t="shared" si="8"/>
        <v>8.125</v>
      </c>
      <c r="X37" s="3" t="str">
        <f t="shared" si="9"/>
        <v/>
      </c>
    </row>
    <row r="38" spans="1:24" ht="15" customHeight="1" x14ac:dyDescent="0.2">
      <c r="A38" s="77">
        <v>17</v>
      </c>
      <c r="B38" s="91" t="s">
        <v>231</v>
      </c>
      <c r="C38" s="92" t="s">
        <v>208</v>
      </c>
      <c r="D38" s="92"/>
      <c r="E38" s="92" t="s">
        <v>232</v>
      </c>
      <c r="F38" s="92" t="s">
        <v>213</v>
      </c>
      <c r="G38" s="93">
        <v>16</v>
      </c>
      <c r="H38" s="93"/>
      <c r="I38" s="93"/>
      <c r="J38" s="77" t="s">
        <v>232</v>
      </c>
      <c r="K38" s="77" t="s">
        <v>142</v>
      </c>
      <c r="L38" s="33">
        <f>VLOOKUP(K38,Reinigungstage!A10:E31,5,FALSE)</f>
        <v>1</v>
      </c>
      <c r="M38" s="33">
        <f t="shared" si="0"/>
        <v>16</v>
      </c>
      <c r="N38" s="94">
        <f t="shared" si="1"/>
        <v>0</v>
      </c>
      <c r="O38" s="33">
        <f ca="1">IF('SVS GrundRG'!H61="",0,'SVS GrundRG'!H61)</f>
        <v>0</v>
      </c>
      <c r="P38" s="33">
        <f t="shared" si="2"/>
        <v>0</v>
      </c>
      <c r="Q38" s="33">
        <f t="shared" si="3"/>
        <v>0</v>
      </c>
      <c r="R38" s="33">
        <f t="shared" si="4"/>
        <v>0</v>
      </c>
      <c r="S38" s="3" t="str">
        <f t="shared" si="5"/>
        <v>Leistungswert eintragen</v>
      </c>
      <c r="U38" s="3">
        <f t="shared" si="6"/>
        <v>11.5</v>
      </c>
      <c r="V38" s="3">
        <f t="shared" si="7"/>
        <v>3.4499999999999997</v>
      </c>
      <c r="W38" s="3">
        <f t="shared" si="8"/>
        <v>14.95</v>
      </c>
      <c r="X38" s="3" t="str">
        <f t="shared" si="9"/>
        <v/>
      </c>
    </row>
    <row r="39" spans="1:24" ht="15" customHeight="1" x14ac:dyDescent="0.2">
      <c r="A39" s="77">
        <v>18</v>
      </c>
      <c r="B39" s="91" t="s">
        <v>233</v>
      </c>
      <c r="C39" s="92" t="s">
        <v>208</v>
      </c>
      <c r="D39" s="92"/>
      <c r="E39" s="92" t="s">
        <v>234</v>
      </c>
      <c r="F39" s="92" t="s">
        <v>213</v>
      </c>
      <c r="G39" s="93">
        <v>55.7</v>
      </c>
      <c r="H39" s="93"/>
      <c r="I39" s="93"/>
      <c r="J39" s="77" t="s">
        <v>328</v>
      </c>
      <c r="K39" s="77" t="s">
        <v>142</v>
      </c>
      <c r="L39" s="33">
        <f>VLOOKUP(K39,Reinigungstage!A10:E31,5,FALSE)</f>
        <v>1</v>
      </c>
      <c r="M39" s="33">
        <f t="shared" si="0"/>
        <v>55.7</v>
      </c>
      <c r="N39" s="94">
        <f t="shared" si="1"/>
        <v>0</v>
      </c>
      <c r="O39" s="33">
        <f ca="1">IF('SVS GrundRG'!H61="",0,'SVS GrundRG'!H61)</f>
        <v>0</v>
      </c>
      <c r="P39" s="33">
        <f t="shared" si="2"/>
        <v>0</v>
      </c>
      <c r="Q39" s="33">
        <f t="shared" si="3"/>
        <v>0</v>
      </c>
      <c r="R39" s="33">
        <f t="shared" si="4"/>
        <v>0</v>
      </c>
      <c r="S39" s="3" t="str">
        <f t="shared" si="5"/>
        <v>Leistungswert eintragen</v>
      </c>
      <c r="U39" s="3">
        <f t="shared" si="6"/>
        <v>13.25</v>
      </c>
      <c r="V39" s="3">
        <f t="shared" si="7"/>
        <v>3.9749999999999996</v>
      </c>
      <c r="W39" s="3">
        <f t="shared" si="8"/>
        <v>17.225000000000001</v>
      </c>
      <c r="X39" s="3" t="str">
        <f t="shared" si="9"/>
        <v/>
      </c>
    </row>
    <row r="40" spans="1:24" ht="15" customHeight="1" x14ac:dyDescent="0.2">
      <c r="A40" s="77">
        <v>19</v>
      </c>
      <c r="B40" s="91" t="s">
        <v>22</v>
      </c>
      <c r="C40" s="92" t="s">
        <v>208</v>
      </c>
      <c r="D40" s="92">
        <v>1</v>
      </c>
      <c r="E40" s="92" t="s">
        <v>209</v>
      </c>
      <c r="F40" s="92" t="s">
        <v>210</v>
      </c>
      <c r="G40" s="93">
        <v>33.5</v>
      </c>
      <c r="H40" s="93"/>
      <c r="I40" s="93"/>
      <c r="J40" s="77" t="s">
        <v>327</v>
      </c>
      <c r="K40" s="77" t="s">
        <v>142</v>
      </c>
      <c r="L40" s="33">
        <f>VLOOKUP(K40,Reinigungstage!A10:E31,5,FALSE)</f>
        <v>1</v>
      </c>
      <c r="M40" s="33">
        <f t="shared" si="0"/>
        <v>33.5</v>
      </c>
      <c r="N40" s="94">
        <f t="shared" si="1"/>
        <v>0</v>
      </c>
      <c r="O40" s="33">
        <f ca="1">IF('SVS GrundRG'!H61="",0,'SVS GrundRG'!H61)</f>
        <v>0</v>
      </c>
      <c r="P40" s="33">
        <f t="shared" si="2"/>
        <v>0</v>
      </c>
      <c r="Q40" s="33">
        <f t="shared" si="3"/>
        <v>0</v>
      </c>
      <c r="R40" s="33">
        <f t="shared" si="4"/>
        <v>0</v>
      </c>
      <c r="S40" s="3" t="str">
        <f t="shared" si="5"/>
        <v>Leistungswert eintragen</v>
      </c>
      <c r="U40" s="3">
        <f t="shared" si="6"/>
        <v>12.5</v>
      </c>
      <c r="V40" s="3">
        <f t="shared" si="7"/>
        <v>3.75</v>
      </c>
      <c r="W40" s="3">
        <f t="shared" si="8"/>
        <v>16.25</v>
      </c>
      <c r="X40" s="3" t="str">
        <f t="shared" si="9"/>
        <v/>
      </c>
    </row>
    <row r="41" spans="1:24" ht="15" customHeight="1" x14ac:dyDescent="0.2">
      <c r="A41" s="77">
        <v>20</v>
      </c>
      <c r="B41" s="91" t="s">
        <v>236</v>
      </c>
      <c r="C41" s="92" t="s">
        <v>237</v>
      </c>
      <c r="D41" s="92">
        <v>2</v>
      </c>
      <c r="E41" s="92" t="s">
        <v>209</v>
      </c>
      <c r="F41" s="92" t="s">
        <v>210</v>
      </c>
      <c r="G41" s="93">
        <v>28.9</v>
      </c>
      <c r="H41" s="93"/>
      <c r="I41" s="93"/>
      <c r="J41" s="77" t="s">
        <v>327</v>
      </c>
      <c r="K41" s="77" t="s">
        <v>142</v>
      </c>
      <c r="L41" s="33">
        <f>VLOOKUP(K41,Reinigungstage!A10:E31,5,FALSE)</f>
        <v>1</v>
      </c>
      <c r="M41" s="33">
        <f t="shared" si="0"/>
        <v>28.9</v>
      </c>
      <c r="N41" s="94">
        <f t="shared" si="1"/>
        <v>0</v>
      </c>
      <c r="O41" s="33">
        <f ca="1">IF('SVS GrundRG'!H61="",0,'SVS GrundRG'!H61)</f>
        <v>0</v>
      </c>
      <c r="P41" s="33">
        <f t="shared" si="2"/>
        <v>0</v>
      </c>
      <c r="Q41" s="33">
        <f t="shared" si="3"/>
        <v>0</v>
      </c>
      <c r="R41" s="33">
        <f t="shared" si="4"/>
        <v>0</v>
      </c>
      <c r="S41" s="3" t="str">
        <f t="shared" si="5"/>
        <v>Leistungswert eintragen</v>
      </c>
      <c r="U41" s="3">
        <f t="shared" si="6"/>
        <v>12.5</v>
      </c>
      <c r="V41" s="3">
        <f t="shared" si="7"/>
        <v>3.75</v>
      </c>
      <c r="W41" s="3">
        <f t="shared" si="8"/>
        <v>16.25</v>
      </c>
      <c r="X41" s="3" t="str">
        <f t="shared" si="9"/>
        <v/>
      </c>
    </row>
    <row r="42" spans="1:24" ht="15" customHeight="1" x14ac:dyDescent="0.2">
      <c r="A42" s="77">
        <v>21</v>
      </c>
      <c r="B42" s="91" t="s">
        <v>238</v>
      </c>
      <c r="C42" s="92" t="s">
        <v>237</v>
      </c>
      <c r="D42" s="92">
        <v>7</v>
      </c>
      <c r="E42" s="92" t="s">
        <v>212</v>
      </c>
      <c r="F42" s="92" t="s">
        <v>213</v>
      </c>
      <c r="G42" s="93">
        <v>53.85</v>
      </c>
      <c r="H42" s="93"/>
      <c r="I42" s="93"/>
      <c r="J42" s="77" t="s">
        <v>328</v>
      </c>
      <c r="K42" s="77" t="s">
        <v>142</v>
      </c>
      <c r="L42" s="33">
        <f>VLOOKUP(K42,Reinigungstage!A10:E31,5,FALSE)</f>
        <v>1</v>
      </c>
      <c r="M42" s="33">
        <f t="shared" si="0"/>
        <v>53.85</v>
      </c>
      <c r="N42" s="94">
        <f t="shared" si="1"/>
        <v>0</v>
      </c>
      <c r="O42" s="33">
        <f ca="1">IF('SVS GrundRG'!H61="",0,'SVS GrundRG'!H61)</f>
        <v>0</v>
      </c>
      <c r="P42" s="33">
        <f t="shared" si="2"/>
        <v>0</v>
      </c>
      <c r="Q42" s="33">
        <f t="shared" si="3"/>
        <v>0</v>
      </c>
      <c r="R42" s="33">
        <f t="shared" si="4"/>
        <v>0</v>
      </c>
      <c r="S42" s="3" t="str">
        <f t="shared" si="5"/>
        <v>Leistungswert eintragen</v>
      </c>
      <c r="U42" s="3">
        <f t="shared" si="6"/>
        <v>13.25</v>
      </c>
      <c r="V42" s="3">
        <f t="shared" si="7"/>
        <v>3.9749999999999996</v>
      </c>
      <c r="W42" s="3">
        <f t="shared" si="8"/>
        <v>17.225000000000001</v>
      </c>
      <c r="X42" s="3" t="str">
        <f t="shared" si="9"/>
        <v/>
      </c>
    </row>
    <row r="43" spans="1:24" ht="15" customHeight="1" x14ac:dyDescent="0.2">
      <c r="A43" s="77">
        <v>22</v>
      </c>
      <c r="B43" s="91" t="s">
        <v>239</v>
      </c>
      <c r="C43" s="92" t="s">
        <v>237</v>
      </c>
      <c r="D43" s="92">
        <v>8</v>
      </c>
      <c r="E43" s="92" t="s">
        <v>212</v>
      </c>
      <c r="F43" s="92" t="s">
        <v>213</v>
      </c>
      <c r="G43" s="93">
        <v>44.6</v>
      </c>
      <c r="H43" s="93"/>
      <c r="I43" s="93"/>
      <c r="J43" s="77" t="s">
        <v>328</v>
      </c>
      <c r="K43" s="77" t="s">
        <v>142</v>
      </c>
      <c r="L43" s="33">
        <f>VLOOKUP(K43,Reinigungstage!A10:E31,5,FALSE)</f>
        <v>1</v>
      </c>
      <c r="M43" s="33">
        <f t="shared" si="0"/>
        <v>44.6</v>
      </c>
      <c r="N43" s="94">
        <f t="shared" si="1"/>
        <v>0</v>
      </c>
      <c r="O43" s="33">
        <f ca="1">IF('SVS GrundRG'!H61="",0,'SVS GrundRG'!H61)</f>
        <v>0</v>
      </c>
      <c r="P43" s="33">
        <f t="shared" si="2"/>
        <v>0</v>
      </c>
      <c r="Q43" s="33">
        <f t="shared" si="3"/>
        <v>0</v>
      </c>
      <c r="R43" s="33">
        <f t="shared" si="4"/>
        <v>0</v>
      </c>
      <c r="S43" s="3" t="str">
        <f t="shared" si="5"/>
        <v>Leistungswert eintragen</v>
      </c>
      <c r="U43" s="3">
        <f t="shared" si="6"/>
        <v>13.25</v>
      </c>
      <c r="V43" s="3">
        <f t="shared" si="7"/>
        <v>3.9749999999999996</v>
      </c>
      <c r="W43" s="3">
        <f t="shared" si="8"/>
        <v>17.225000000000001</v>
      </c>
      <c r="X43" s="3" t="str">
        <f t="shared" si="9"/>
        <v/>
      </c>
    </row>
    <row r="44" spans="1:24" ht="15" customHeight="1" x14ac:dyDescent="0.2">
      <c r="A44" s="77">
        <v>23</v>
      </c>
      <c r="B44" s="91" t="s">
        <v>240</v>
      </c>
      <c r="C44" s="92" t="s">
        <v>237</v>
      </c>
      <c r="D44" s="92">
        <v>9</v>
      </c>
      <c r="E44" s="92" t="s">
        <v>212</v>
      </c>
      <c r="F44" s="92" t="s">
        <v>213</v>
      </c>
      <c r="G44" s="93">
        <v>43.6</v>
      </c>
      <c r="H44" s="93"/>
      <c r="I44" s="93"/>
      <c r="J44" s="77" t="s">
        <v>328</v>
      </c>
      <c r="K44" s="77" t="s">
        <v>142</v>
      </c>
      <c r="L44" s="33">
        <f>VLOOKUP(K44,Reinigungstage!A10:E31,5,FALSE)</f>
        <v>1</v>
      </c>
      <c r="M44" s="33">
        <f t="shared" si="0"/>
        <v>43.6</v>
      </c>
      <c r="N44" s="94">
        <f t="shared" si="1"/>
        <v>0</v>
      </c>
      <c r="O44" s="33">
        <f ca="1">IF('SVS GrundRG'!H61="",0,'SVS GrundRG'!H61)</f>
        <v>0</v>
      </c>
      <c r="P44" s="33">
        <f t="shared" si="2"/>
        <v>0</v>
      </c>
      <c r="Q44" s="33">
        <f t="shared" si="3"/>
        <v>0</v>
      </c>
      <c r="R44" s="33">
        <f t="shared" si="4"/>
        <v>0</v>
      </c>
      <c r="S44" s="3" t="str">
        <f t="shared" si="5"/>
        <v>Leistungswert eintragen</v>
      </c>
      <c r="U44" s="3">
        <f t="shared" si="6"/>
        <v>13.25</v>
      </c>
      <c r="V44" s="3">
        <f t="shared" si="7"/>
        <v>3.9749999999999996</v>
      </c>
      <c r="W44" s="3">
        <f t="shared" si="8"/>
        <v>17.225000000000001</v>
      </c>
      <c r="X44" s="3" t="str">
        <f t="shared" si="9"/>
        <v/>
      </c>
    </row>
    <row r="45" spans="1:24" ht="15" customHeight="1" x14ac:dyDescent="0.2">
      <c r="A45" s="77">
        <v>24</v>
      </c>
      <c r="B45" s="91" t="s">
        <v>241</v>
      </c>
      <c r="C45" s="92" t="s">
        <v>237</v>
      </c>
      <c r="D45" s="92">
        <v>10</v>
      </c>
      <c r="E45" s="92" t="s">
        <v>212</v>
      </c>
      <c r="F45" s="92" t="s">
        <v>213</v>
      </c>
      <c r="G45" s="93">
        <v>58.2</v>
      </c>
      <c r="H45" s="93"/>
      <c r="I45" s="93"/>
      <c r="J45" s="77" t="s">
        <v>328</v>
      </c>
      <c r="K45" s="77" t="s">
        <v>142</v>
      </c>
      <c r="L45" s="33">
        <f>VLOOKUP(K45,Reinigungstage!A10:E31,5,FALSE)</f>
        <v>1</v>
      </c>
      <c r="M45" s="33">
        <f t="shared" si="0"/>
        <v>58.2</v>
      </c>
      <c r="N45" s="94">
        <f t="shared" si="1"/>
        <v>0</v>
      </c>
      <c r="O45" s="33">
        <f ca="1">IF('SVS GrundRG'!H61="",0,'SVS GrundRG'!H61)</f>
        <v>0</v>
      </c>
      <c r="P45" s="33">
        <f t="shared" si="2"/>
        <v>0</v>
      </c>
      <c r="Q45" s="33">
        <f t="shared" si="3"/>
        <v>0</v>
      </c>
      <c r="R45" s="33">
        <f t="shared" si="4"/>
        <v>0</v>
      </c>
      <c r="S45" s="3" t="str">
        <f t="shared" si="5"/>
        <v>Leistungswert eintragen</v>
      </c>
      <c r="U45" s="3">
        <f t="shared" si="6"/>
        <v>13.25</v>
      </c>
      <c r="V45" s="3">
        <f t="shared" si="7"/>
        <v>3.9749999999999996</v>
      </c>
      <c r="W45" s="3">
        <f t="shared" si="8"/>
        <v>17.225000000000001</v>
      </c>
      <c r="X45" s="3" t="str">
        <f t="shared" si="9"/>
        <v/>
      </c>
    </row>
    <row r="46" spans="1:24" ht="15" customHeight="1" x14ac:dyDescent="0.2">
      <c r="A46" s="77">
        <v>25</v>
      </c>
      <c r="B46" s="91" t="s">
        <v>242</v>
      </c>
      <c r="C46" s="92" t="s">
        <v>237</v>
      </c>
      <c r="D46" s="92">
        <v>6</v>
      </c>
      <c r="E46" s="92" t="s">
        <v>212</v>
      </c>
      <c r="F46" s="92" t="s">
        <v>213</v>
      </c>
      <c r="G46" s="93">
        <v>58.65</v>
      </c>
      <c r="H46" s="93"/>
      <c r="I46" s="93"/>
      <c r="J46" s="77" t="s">
        <v>328</v>
      </c>
      <c r="K46" s="77" t="s">
        <v>142</v>
      </c>
      <c r="L46" s="33">
        <f>VLOOKUP(K46,Reinigungstage!A10:E31,5,FALSE)</f>
        <v>1</v>
      </c>
      <c r="M46" s="33">
        <f t="shared" si="0"/>
        <v>58.65</v>
      </c>
      <c r="N46" s="94">
        <f t="shared" si="1"/>
        <v>0</v>
      </c>
      <c r="O46" s="33">
        <f ca="1">IF('SVS GrundRG'!H61="",0,'SVS GrundRG'!H61)</f>
        <v>0</v>
      </c>
      <c r="P46" s="33">
        <f t="shared" si="2"/>
        <v>0</v>
      </c>
      <c r="Q46" s="33">
        <f t="shared" si="3"/>
        <v>0</v>
      </c>
      <c r="R46" s="33">
        <f t="shared" si="4"/>
        <v>0</v>
      </c>
      <c r="S46" s="3" t="str">
        <f t="shared" si="5"/>
        <v>Leistungswert eintragen</v>
      </c>
      <c r="U46" s="3">
        <f t="shared" si="6"/>
        <v>13.25</v>
      </c>
      <c r="V46" s="3">
        <f t="shared" si="7"/>
        <v>3.9749999999999996</v>
      </c>
      <c r="W46" s="3">
        <f t="shared" si="8"/>
        <v>17.225000000000001</v>
      </c>
      <c r="X46" s="3" t="str">
        <f t="shared" si="9"/>
        <v/>
      </c>
    </row>
    <row r="47" spans="1:24" ht="15" customHeight="1" x14ac:dyDescent="0.2">
      <c r="A47" s="77">
        <v>26</v>
      </c>
      <c r="B47" s="91" t="s">
        <v>243</v>
      </c>
      <c r="C47" s="92" t="s">
        <v>237</v>
      </c>
      <c r="D47" s="92"/>
      <c r="E47" s="92" t="s">
        <v>220</v>
      </c>
      <c r="F47" s="92" t="s">
        <v>213</v>
      </c>
      <c r="G47" s="93">
        <v>29.15</v>
      </c>
      <c r="H47" s="93"/>
      <c r="I47" s="93"/>
      <c r="J47" s="77" t="s">
        <v>329</v>
      </c>
      <c r="K47" s="77" t="s">
        <v>142</v>
      </c>
      <c r="L47" s="33">
        <f>VLOOKUP(K47,Reinigungstage!A10:E31,5,FALSE)</f>
        <v>1</v>
      </c>
      <c r="M47" s="33">
        <f t="shared" si="0"/>
        <v>29.15</v>
      </c>
      <c r="N47" s="94">
        <f t="shared" si="1"/>
        <v>0</v>
      </c>
      <c r="O47" s="33">
        <f ca="1">IF('SVS GrundRG'!H61="",0,'SVS GrundRG'!H61)</f>
        <v>0</v>
      </c>
      <c r="P47" s="33">
        <f t="shared" si="2"/>
        <v>0</v>
      </c>
      <c r="Q47" s="33">
        <f t="shared" si="3"/>
        <v>0</v>
      </c>
      <c r="R47" s="33">
        <f t="shared" si="4"/>
        <v>0</v>
      </c>
      <c r="S47" s="3" t="str">
        <f t="shared" si="5"/>
        <v>Leistungswert eintragen</v>
      </c>
      <c r="U47" s="3">
        <f t="shared" si="6"/>
        <v>21</v>
      </c>
      <c r="V47" s="3">
        <f t="shared" si="7"/>
        <v>6.3</v>
      </c>
      <c r="W47" s="3">
        <f t="shared" si="8"/>
        <v>27.3</v>
      </c>
      <c r="X47" s="3" t="str">
        <f t="shared" si="9"/>
        <v/>
      </c>
    </row>
    <row r="48" spans="1:24" ht="15" customHeight="1" x14ac:dyDescent="0.2">
      <c r="A48" s="77">
        <v>27</v>
      </c>
      <c r="B48" s="91" t="s">
        <v>244</v>
      </c>
      <c r="C48" s="92" t="s">
        <v>237</v>
      </c>
      <c r="D48" s="92">
        <v>3</v>
      </c>
      <c r="E48" s="92" t="s">
        <v>209</v>
      </c>
      <c r="F48" s="92" t="s">
        <v>213</v>
      </c>
      <c r="G48" s="93">
        <v>33.6</v>
      </c>
      <c r="H48" s="93"/>
      <c r="I48" s="93"/>
      <c r="J48" s="77" t="s">
        <v>327</v>
      </c>
      <c r="K48" s="77" t="s">
        <v>142</v>
      </c>
      <c r="L48" s="33">
        <f>VLOOKUP(K48,Reinigungstage!A10:E31,5,FALSE)</f>
        <v>1</v>
      </c>
      <c r="M48" s="33">
        <f t="shared" si="0"/>
        <v>33.6</v>
      </c>
      <c r="N48" s="94">
        <f t="shared" si="1"/>
        <v>0</v>
      </c>
      <c r="O48" s="33">
        <f ca="1">IF('SVS GrundRG'!H61="",0,'SVS GrundRG'!H61)</f>
        <v>0</v>
      </c>
      <c r="P48" s="33">
        <f t="shared" si="2"/>
        <v>0</v>
      </c>
      <c r="Q48" s="33">
        <f t="shared" si="3"/>
        <v>0</v>
      </c>
      <c r="R48" s="33">
        <f t="shared" si="4"/>
        <v>0</v>
      </c>
      <c r="S48" s="3" t="str">
        <f t="shared" si="5"/>
        <v>Leistungswert eintragen</v>
      </c>
      <c r="U48" s="3">
        <f t="shared" si="6"/>
        <v>12.5</v>
      </c>
      <c r="V48" s="3">
        <f t="shared" si="7"/>
        <v>3.75</v>
      </c>
      <c r="W48" s="3">
        <f t="shared" si="8"/>
        <v>16.25</v>
      </c>
      <c r="X48" s="3" t="str">
        <f t="shared" si="9"/>
        <v/>
      </c>
    </row>
    <row r="49" spans="1:24" ht="15" customHeight="1" x14ac:dyDescent="0.2">
      <c r="A49" s="77">
        <v>28</v>
      </c>
      <c r="B49" s="91" t="s">
        <v>245</v>
      </c>
      <c r="C49" s="92" t="s">
        <v>237</v>
      </c>
      <c r="D49" s="92">
        <v>1</v>
      </c>
      <c r="E49" s="92" t="s">
        <v>223</v>
      </c>
      <c r="F49" s="92" t="s">
        <v>213</v>
      </c>
      <c r="G49" s="93">
        <v>38.4</v>
      </c>
      <c r="H49" s="93"/>
      <c r="I49" s="93"/>
      <c r="J49" s="77" t="s">
        <v>329</v>
      </c>
      <c r="K49" s="77" t="s">
        <v>142</v>
      </c>
      <c r="L49" s="33">
        <f>VLOOKUP(K49,Reinigungstage!A10:E31,5,FALSE)</f>
        <v>1</v>
      </c>
      <c r="M49" s="33">
        <f t="shared" si="0"/>
        <v>38.4</v>
      </c>
      <c r="N49" s="94">
        <f t="shared" si="1"/>
        <v>0</v>
      </c>
      <c r="O49" s="33">
        <f ca="1">IF('SVS GrundRG'!H61="",0,'SVS GrundRG'!H61)</f>
        <v>0</v>
      </c>
      <c r="P49" s="33">
        <f t="shared" si="2"/>
        <v>0</v>
      </c>
      <c r="Q49" s="33">
        <f t="shared" si="3"/>
        <v>0</v>
      </c>
      <c r="R49" s="33">
        <f t="shared" si="4"/>
        <v>0</v>
      </c>
      <c r="S49" s="3" t="str">
        <f t="shared" si="5"/>
        <v>Leistungswert eintragen</v>
      </c>
      <c r="U49" s="3">
        <f t="shared" si="6"/>
        <v>21</v>
      </c>
      <c r="V49" s="3">
        <f t="shared" si="7"/>
        <v>6.3</v>
      </c>
      <c r="W49" s="3">
        <f t="shared" si="8"/>
        <v>27.3</v>
      </c>
      <c r="X49" s="3" t="str">
        <f t="shared" si="9"/>
        <v/>
      </c>
    </row>
    <row r="50" spans="1:24" ht="15" customHeight="1" x14ac:dyDescent="0.2">
      <c r="A50" s="77">
        <v>29</v>
      </c>
      <c r="B50" s="91" t="s">
        <v>246</v>
      </c>
      <c r="C50" s="92" t="s">
        <v>237</v>
      </c>
      <c r="D50" s="92"/>
      <c r="E50" s="92" t="s">
        <v>247</v>
      </c>
      <c r="F50" s="92" t="s">
        <v>213</v>
      </c>
      <c r="G50" s="93">
        <v>15.5</v>
      </c>
      <c r="H50" s="93"/>
      <c r="I50" s="93"/>
      <c r="J50" s="77" t="s">
        <v>330</v>
      </c>
      <c r="K50" s="77" t="s">
        <v>142</v>
      </c>
      <c r="L50" s="33">
        <f>VLOOKUP(K50,Reinigungstage!A10:E31,5,FALSE)</f>
        <v>1</v>
      </c>
      <c r="M50" s="33">
        <f t="shared" si="0"/>
        <v>15.5</v>
      </c>
      <c r="N50" s="94">
        <f t="shared" si="1"/>
        <v>0</v>
      </c>
      <c r="O50" s="33">
        <f ca="1">IF('SVS GrundRG'!H61="",0,'SVS GrundRG'!H61)</f>
        <v>0</v>
      </c>
      <c r="P50" s="33">
        <f t="shared" si="2"/>
        <v>0</v>
      </c>
      <c r="Q50" s="33">
        <f t="shared" si="3"/>
        <v>0</v>
      </c>
      <c r="R50" s="33">
        <f t="shared" si="4"/>
        <v>0</v>
      </c>
      <c r="S50" s="3" t="str">
        <f t="shared" si="5"/>
        <v>Leistungswert eintragen</v>
      </c>
      <c r="U50" s="3">
        <f t="shared" si="6"/>
        <v>12.75</v>
      </c>
      <c r="V50" s="3">
        <f t="shared" si="7"/>
        <v>3.8249999999999997</v>
      </c>
      <c r="W50" s="3">
        <f t="shared" si="8"/>
        <v>16.574999999999999</v>
      </c>
      <c r="X50" s="3" t="str">
        <f t="shared" si="9"/>
        <v/>
      </c>
    </row>
    <row r="51" spans="1:24" ht="15" customHeight="1" x14ac:dyDescent="0.2">
      <c r="A51" s="77">
        <v>30</v>
      </c>
      <c r="B51" s="91" t="s">
        <v>248</v>
      </c>
      <c r="C51" s="92" t="s">
        <v>237</v>
      </c>
      <c r="D51" s="92">
        <v>5</v>
      </c>
      <c r="E51" s="92" t="s">
        <v>212</v>
      </c>
      <c r="F51" s="92" t="s">
        <v>213</v>
      </c>
      <c r="G51" s="93">
        <v>58.1</v>
      </c>
      <c r="H51" s="93"/>
      <c r="I51" s="93"/>
      <c r="J51" s="77" t="s">
        <v>328</v>
      </c>
      <c r="K51" s="77" t="s">
        <v>142</v>
      </c>
      <c r="L51" s="33">
        <f>VLOOKUP(K51,Reinigungstage!A10:E31,5,FALSE)</f>
        <v>1</v>
      </c>
      <c r="M51" s="33">
        <f t="shared" si="0"/>
        <v>58.1</v>
      </c>
      <c r="N51" s="94">
        <f t="shared" si="1"/>
        <v>0</v>
      </c>
      <c r="O51" s="33">
        <f ca="1">IF('SVS GrundRG'!H61="",0,'SVS GrundRG'!H61)</f>
        <v>0</v>
      </c>
      <c r="P51" s="33">
        <f t="shared" si="2"/>
        <v>0</v>
      </c>
      <c r="Q51" s="33">
        <f t="shared" si="3"/>
        <v>0</v>
      </c>
      <c r="R51" s="33">
        <f t="shared" si="4"/>
        <v>0</v>
      </c>
      <c r="S51" s="3" t="str">
        <f t="shared" si="5"/>
        <v>Leistungswert eintragen</v>
      </c>
      <c r="U51" s="3">
        <f t="shared" si="6"/>
        <v>13.25</v>
      </c>
      <c r="V51" s="3">
        <f t="shared" si="7"/>
        <v>3.9749999999999996</v>
      </c>
      <c r="W51" s="3">
        <f t="shared" si="8"/>
        <v>17.225000000000001</v>
      </c>
      <c r="X51" s="3" t="str">
        <f t="shared" si="9"/>
        <v/>
      </c>
    </row>
    <row r="52" spans="1:24" ht="15" customHeight="1" x14ac:dyDescent="0.2">
      <c r="A52" s="77">
        <v>31</v>
      </c>
      <c r="B52" s="91" t="s">
        <v>249</v>
      </c>
      <c r="C52" s="92" t="s">
        <v>237</v>
      </c>
      <c r="D52" s="92">
        <v>2</v>
      </c>
      <c r="E52" s="92" t="s">
        <v>223</v>
      </c>
      <c r="F52" s="92" t="s">
        <v>213</v>
      </c>
      <c r="G52" s="93">
        <v>40.75</v>
      </c>
      <c r="H52" s="93"/>
      <c r="I52" s="93"/>
      <c r="J52" s="77" t="s">
        <v>329</v>
      </c>
      <c r="K52" s="77" t="s">
        <v>142</v>
      </c>
      <c r="L52" s="33">
        <f>VLOOKUP(K52,Reinigungstage!A10:E31,5,FALSE)</f>
        <v>1</v>
      </c>
      <c r="M52" s="33">
        <f t="shared" ref="M52:M83" si="10">ROUND(IF(L52=0,0,L52*G52),2)</f>
        <v>40.75</v>
      </c>
      <c r="N52" s="94">
        <f t="shared" si="1"/>
        <v>0</v>
      </c>
      <c r="O52" s="33">
        <f ca="1">IF('SVS GrundRG'!H61="",0,'SVS GrundRG'!H61)</f>
        <v>0</v>
      </c>
      <c r="P52" s="33">
        <f t="shared" ref="P52:P83" si="11">ROUND(IF(N52=0,0,M52/N52),2)</f>
        <v>0</v>
      </c>
      <c r="Q52" s="33">
        <f t="shared" ref="Q52:Q83" si="12">ROUND(IF(P52=0,0,P52*O52),2)</f>
        <v>0</v>
      </c>
      <c r="R52" s="33">
        <f t="shared" ref="R52:R83" si="13">ROUND(IF(P52=0,0,Q52/L52),2)</f>
        <v>0</v>
      </c>
      <c r="S52" s="3" t="str">
        <f t="shared" ref="S52:S83" si="14">IF(M52=0,"",IF(N52=0,"Leistungswert eintragen",IF(O52=0,"SVS prüfen","")))</f>
        <v>Leistungswert eintragen</v>
      </c>
      <c r="U52" s="3">
        <f t="shared" ref="U52:U83" si="15">VLOOKUP(J52,$U$4:$V$11,2,FALSE)</f>
        <v>21</v>
      </c>
      <c r="V52" s="3">
        <f t="shared" ref="V52:V83" si="16">U52*30%</f>
        <v>6.3</v>
      </c>
      <c r="W52" s="3">
        <f t="shared" ref="W52:W83" si="17">SUM(U52:V52)</f>
        <v>27.3</v>
      </c>
      <c r="X52" s="3" t="str">
        <f t="shared" ref="X52:X83" si="18">IF(N52=0,"",IF(W52&lt;N52,1,IF(W52&gt;=N52,0,"")))</f>
        <v/>
      </c>
    </row>
    <row r="53" spans="1:24" ht="15" customHeight="1" x14ac:dyDescent="0.2">
      <c r="A53" s="77">
        <v>32</v>
      </c>
      <c r="B53" s="91" t="s">
        <v>250</v>
      </c>
      <c r="C53" s="92" t="s">
        <v>237</v>
      </c>
      <c r="D53" s="92"/>
      <c r="E53" s="92" t="s">
        <v>251</v>
      </c>
      <c r="F53" s="92" t="s">
        <v>210</v>
      </c>
      <c r="G53" s="93">
        <v>4.95</v>
      </c>
      <c r="H53" s="93"/>
      <c r="I53" s="93"/>
      <c r="J53" s="77" t="s">
        <v>331</v>
      </c>
      <c r="K53" s="77" t="s">
        <v>142</v>
      </c>
      <c r="L53" s="33">
        <f>VLOOKUP(K53,Reinigungstage!A10:E31,5,FALSE)</f>
        <v>1</v>
      </c>
      <c r="M53" s="33">
        <f t="shared" si="10"/>
        <v>4.95</v>
      </c>
      <c r="N53" s="94">
        <f t="shared" si="1"/>
        <v>0</v>
      </c>
      <c r="O53" s="33">
        <f ca="1">IF('SVS GrundRG'!H61="",0,'SVS GrundRG'!H61)</f>
        <v>0</v>
      </c>
      <c r="P53" s="33">
        <f t="shared" si="11"/>
        <v>0</v>
      </c>
      <c r="Q53" s="33">
        <f t="shared" si="12"/>
        <v>0</v>
      </c>
      <c r="R53" s="33">
        <f t="shared" si="13"/>
        <v>0</v>
      </c>
      <c r="S53" s="3" t="str">
        <f t="shared" si="14"/>
        <v>Leistungswert eintragen</v>
      </c>
      <c r="U53" s="3">
        <f t="shared" si="15"/>
        <v>6.25</v>
      </c>
      <c r="V53" s="3">
        <f t="shared" si="16"/>
        <v>1.875</v>
      </c>
      <c r="W53" s="3">
        <f t="shared" si="17"/>
        <v>8.125</v>
      </c>
      <c r="X53" s="3" t="str">
        <f t="shared" si="18"/>
        <v/>
      </c>
    </row>
    <row r="54" spans="1:24" ht="15" customHeight="1" x14ac:dyDescent="0.2">
      <c r="A54" s="77">
        <v>33</v>
      </c>
      <c r="B54" s="91" t="s">
        <v>252</v>
      </c>
      <c r="C54" s="92" t="s">
        <v>237</v>
      </c>
      <c r="D54" s="92"/>
      <c r="E54" s="92" t="s">
        <v>226</v>
      </c>
      <c r="F54" s="92" t="s">
        <v>210</v>
      </c>
      <c r="G54" s="93">
        <v>9.35</v>
      </c>
      <c r="H54" s="93"/>
      <c r="I54" s="93"/>
      <c r="J54" s="77" t="s">
        <v>331</v>
      </c>
      <c r="K54" s="77" t="s">
        <v>142</v>
      </c>
      <c r="L54" s="33">
        <f>VLOOKUP(K54,Reinigungstage!A10:E31,5,FALSE)</f>
        <v>1</v>
      </c>
      <c r="M54" s="33">
        <f t="shared" si="10"/>
        <v>9.35</v>
      </c>
      <c r="N54" s="94">
        <f t="shared" ref="N54:N85" si="19">VLOOKUP(J54,$G$4:$H$10,2,FALSE)</f>
        <v>0</v>
      </c>
      <c r="O54" s="33">
        <f ca="1">IF('SVS GrundRG'!H61="",0,'SVS GrundRG'!H61)</f>
        <v>0</v>
      </c>
      <c r="P54" s="33">
        <f t="shared" si="11"/>
        <v>0</v>
      </c>
      <c r="Q54" s="33">
        <f t="shared" si="12"/>
        <v>0</v>
      </c>
      <c r="R54" s="33">
        <f t="shared" si="13"/>
        <v>0</v>
      </c>
      <c r="S54" s="3" t="str">
        <f t="shared" si="14"/>
        <v>Leistungswert eintragen</v>
      </c>
      <c r="U54" s="3">
        <f t="shared" si="15"/>
        <v>6.25</v>
      </c>
      <c r="V54" s="3">
        <f t="shared" si="16"/>
        <v>1.875</v>
      </c>
      <c r="W54" s="3">
        <f t="shared" si="17"/>
        <v>8.125</v>
      </c>
      <c r="X54" s="3" t="str">
        <f t="shared" si="18"/>
        <v/>
      </c>
    </row>
    <row r="55" spans="1:24" ht="15" customHeight="1" x14ac:dyDescent="0.2">
      <c r="A55" s="77">
        <v>34</v>
      </c>
      <c r="B55" s="91" t="s">
        <v>253</v>
      </c>
      <c r="C55" s="92" t="s">
        <v>237</v>
      </c>
      <c r="D55" s="92"/>
      <c r="E55" s="92" t="s">
        <v>228</v>
      </c>
      <c r="F55" s="92" t="s">
        <v>210</v>
      </c>
      <c r="G55" s="93">
        <v>8.6999999999999993</v>
      </c>
      <c r="H55" s="93"/>
      <c r="I55" s="93"/>
      <c r="J55" s="77" t="s">
        <v>331</v>
      </c>
      <c r="K55" s="77" t="s">
        <v>142</v>
      </c>
      <c r="L55" s="33">
        <f>VLOOKUP(K55,Reinigungstage!A10:E31,5,FALSE)</f>
        <v>1</v>
      </c>
      <c r="M55" s="33">
        <f t="shared" si="10"/>
        <v>8.6999999999999993</v>
      </c>
      <c r="N55" s="94">
        <f t="shared" si="19"/>
        <v>0</v>
      </c>
      <c r="O55" s="33">
        <f ca="1">IF('SVS GrundRG'!H61="",0,'SVS GrundRG'!H61)</f>
        <v>0</v>
      </c>
      <c r="P55" s="33">
        <f t="shared" si="11"/>
        <v>0</v>
      </c>
      <c r="Q55" s="33">
        <f t="shared" si="12"/>
        <v>0</v>
      </c>
      <c r="R55" s="33">
        <f t="shared" si="13"/>
        <v>0</v>
      </c>
      <c r="S55" s="3" t="str">
        <f t="shared" si="14"/>
        <v>Leistungswert eintragen</v>
      </c>
      <c r="U55" s="3">
        <f t="shared" si="15"/>
        <v>6.25</v>
      </c>
      <c r="V55" s="3">
        <f t="shared" si="16"/>
        <v>1.875</v>
      </c>
      <c r="W55" s="3">
        <f t="shared" si="17"/>
        <v>8.125</v>
      </c>
      <c r="X55" s="3" t="str">
        <f t="shared" si="18"/>
        <v/>
      </c>
    </row>
    <row r="56" spans="1:24" ht="15" customHeight="1" x14ac:dyDescent="0.2">
      <c r="A56" s="77">
        <v>35</v>
      </c>
      <c r="B56" s="91" t="s">
        <v>254</v>
      </c>
      <c r="C56" s="92" t="s">
        <v>237</v>
      </c>
      <c r="D56" s="92"/>
      <c r="E56" s="92" t="s">
        <v>255</v>
      </c>
      <c r="F56" s="92" t="s">
        <v>210</v>
      </c>
      <c r="G56" s="93">
        <v>5.5</v>
      </c>
      <c r="H56" s="93"/>
      <c r="I56" s="93"/>
      <c r="J56" s="77" t="s">
        <v>331</v>
      </c>
      <c r="K56" s="77" t="s">
        <v>142</v>
      </c>
      <c r="L56" s="33">
        <f>VLOOKUP(K56,Reinigungstage!A10:E31,5,FALSE)</f>
        <v>1</v>
      </c>
      <c r="M56" s="33">
        <f t="shared" si="10"/>
        <v>5.5</v>
      </c>
      <c r="N56" s="94">
        <f t="shared" si="19"/>
        <v>0</v>
      </c>
      <c r="O56" s="33">
        <f ca="1">IF('SVS GrundRG'!H61="",0,'SVS GrundRG'!H61)</f>
        <v>0</v>
      </c>
      <c r="P56" s="33">
        <f t="shared" si="11"/>
        <v>0</v>
      </c>
      <c r="Q56" s="33">
        <f t="shared" si="12"/>
        <v>0</v>
      </c>
      <c r="R56" s="33">
        <f t="shared" si="13"/>
        <v>0</v>
      </c>
      <c r="S56" s="3" t="str">
        <f t="shared" si="14"/>
        <v>Leistungswert eintragen</v>
      </c>
      <c r="U56" s="3">
        <f t="shared" si="15"/>
        <v>6.25</v>
      </c>
      <c r="V56" s="3">
        <f t="shared" si="16"/>
        <v>1.875</v>
      </c>
      <c r="W56" s="3">
        <f t="shared" si="17"/>
        <v>8.125</v>
      </c>
      <c r="X56" s="3" t="str">
        <f t="shared" si="18"/>
        <v/>
      </c>
    </row>
    <row r="57" spans="1:24" ht="15" customHeight="1" x14ac:dyDescent="0.2">
      <c r="A57" s="77">
        <v>36</v>
      </c>
      <c r="B57" s="91" t="s">
        <v>256</v>
      </c>
      <c r="C57" s="92" t="s">
        <v>237</v>
      </c>
      <c r="D57" s="92"/>
      <c r="E57" s="92" t="s">
        <v>257</v>
      </c>
      <c r="F57" s="92" t="s">
        <v>210</v>
      </c>
      <c r="G57" s="93">
        <v>15.3</v>
      </c>
      <c r="H57" s="93"/>
      <c r="I57" s="93"/>
      <c r="J57" s="77" t="s">
        <v>331</v>
      </c>
      <c r="K57" s="77" t="s">
        <v>142</v>
      </c>
      <c r="L57" s="33">
        <f>VLOOKUP(K57,Reinigungstage!A10:E31,5,FALSE)</f>
        <v>1</v>
      </c>
      <c r="M57" s="33">
        <f t="shared" si="10"/>
        <v>15.3</v>
      </c>
      <c r="N57" s="94">
        <f t="shared" si="19"/>
        <v>0</v>
      </c>
      <c r="O57" s="33">
        <f ca="1">IF('SVS GrundRG'!H61="",0,'SVS GrundRG'!H61)</f>
        <v>0</v>
      </c>
      <c r="P57" s="33">
        <f t="shared" si="11"/>
        <v>0</v>
      </c>
      <c r="Q57" s="33">
        <f t="shared" si="12"/>
        <v>0</v>
      </c>
      <c r="R57" s="33">
        <f t="shared" si="13"/>
        <v>0</v>
      </c>
      <c r="S57" s="3" t="str">
        <f t="shared" si="14"/>
        <v>Leistungswert eintragen</v>
      </c>
      <c r="U57" s="3">
        <f t="shared" si="15"/>
        <v>6.25</v>
      </c>
      <c r="V57" s="3">
        <f t="shared" si="16"/>
        <v>1.875</v>
      </c>
      <c r="W57" s="3">
        <f t="shared" si="17"/>
        <v>8.125</v>
      </c>
      <c r="X57" s="3" t="str">
        <f t="shared" si="18"/>
        <v/>
      </c>
    </row>
    <row r="58" spans="1:24" ht="15" customHeight="1" x14ac:dyDescent="0.2">
      <c r="A58" s="77">
        <v>37</v>
      </c>
      <c r="B58" s="91" t="s">
        <v>258</v>
      </c>
      <c r="C58" s="92" t="s">
        <v>237</v>
      </c>
      <c r="D58" s="92">
        <v>4</v>
      </c>
      <c r="E58" s="92" t="s">
        <v>212</v>
      </c>
      <c r="F58" s="92" t="s">
        <v>213</v>
      </c>
      <c r="G58" s="93">
        <v>54.05</v>
      </c>
      <c r="H58" s="93"/>
      <c r="I58" s="93"/>
      <c r="J58" s="77" t="s">
        <v>328</v>
      </c>
      <c r="K58" s="77" t="s">
        <v>142</v>
      </c>
      <c r="L58" s="33">
        <f>VLOOKUP(K58,Reinigungstage!A10:E31,5,FALSE)</f>
        <v>1</v>
      </c>
      <c r="M58" s="33">
        <f t="shared" si="10"/>
        <v>54.05</v>
      </c>
      <c r="N58" s="94">
        <f t="shared" si="19"/>
        <v>0</v>
      </c>
      <c r="O58" s="33">
        <f ca="1">IF('SVS GrundRG'!H61="",0,'SVS GrundRG'!H61)</f>
        <v>0</v>
      </c>
      <c r="P58" s="33">
        <f t="shared" si="11"/>
        <v>0</v>
      </c>
      <c r="Q58" s="33">
        <f t="shared" si="12"/>
        <v>0</v>
      </c>
      <c r="R58" s="33">
        <f t="shared" si="13"/>
        <v>0</v>
      </c>
      <c r="S58" s="3" t="str">
        <f t="shared" si="14"/>
        <v>Leistungswert eintragen</v>
      </c>
      <c r="U58" s="3">
        <f t="shared" si="15"/>
        <v>13.25</v>
      </c>
      <c r="V58" s="3">
        <f t="shared" si="16"/>
        <v>3.9749999999999996</v>
      </c>
      <c r="W58" s="3">
        <f t="shared" si="17"/>
        <v>17.225000000000001</v>
      </c>
      <c r="X58" s="3" t="str">
        <f t="shared" si="18"/>
        <v/>
      </c>
    </row>
    <row r="59" spans="1:24" ht="15" customHeight="1" x14ac:dyDescent="0.2">
      <c r="A59" s="77">
        <v>38</v>
      </c>
      <c r="B59" s="91" t="s">
        <v>259</v>
      </c>
      <c r="C59" s="92" t="s">
        <v>237</v>
      </c>
      <c r="D59" s="92"/>
      <c r="E59" s="92" t="s">
        <v>260</v>
      </c>
      <c r="F59" s="92" t="s">
        <v>213</v>
      </c>
      <c r="G59" s="93">
        <v>56.45</v>
      </c>
      <c r="H59" s="93"/>
      <c r="I59" s="93"/>
      <c r="J59" s="77" t="s">
        <v>232</v>
      </c>
      <c r="K59" s="77" t="s">
        <v>142</v>
      </c>
      <c r="L59" s="33">
        <f>VLOOKUP(K59,Reinigungstage!A10:E31,5,FALSE)</f>
        <v>1</v>
      </c>
      <c r="M59" s="33">
        <f t="shared" si="10"/>
        <v>56.45</v>
      </c>
      <c r="N59" s="94">
        <f t="shared" si="19"/>
        <v>0</v>
      </c>
      <c r="O59" s="33">
        <f ca="1">IF('SVS GrundRG'!H61="",0,'SVS GrundRG'!H61)</f>
        <v>0</v>
      </c>
      <c r="P59" s="33">
        <f t="shared" si="11"/>
        <v>0</v>
      </c>
      <c r="Q59" s="33">
        <f t="shared" si="12"/>
        <v>0</v>
      </c>
      <c r="R59" s="33">
        <f t="shared" si="13"/>
        <v>0</v>
      </c>
      <c r="S59" s="3" t="str">
        <f t="shared" si="14"/>
        <v>Leistungswert eintragen</v>
      </c>
      <c r="U59" s="3">
        <f t="shared" si="15"/>
        <v>11.5</v>
      </c>
      <c r="V59" s="3">
        <f t="shared" si="16"/>
        <v>3.4499999999999997</v>
      </c>
      <c r="W59" s="3">
        <f t="shared" si="17"/>
        <v>14.95</v>
      </c>
      <c r="X59" s="3" t="str">
        <f t="shared" si="18"/>
        <v/>
      </c>
    </row>
    <row r="60" spans="1:24" ht="15" customHeight="1" x14ac:dyDescent="0.2">
      <c r="A60" s="77">
        <v>39</v>
      </c>
      <c r="B60" s="91" t="s">
        <v>261</v>
      </c>
      <c r="C60" s="92" t="s">
        <v>237</v>
      </c>
      <c r="D60" s="92"/>
      <c r="E60" s="92" t="s">
        <v>262</v>
      </c>
      <c r="F60" s="92" t="s">
        <v>213</v>
      </c>
      <c r="G60" s="93">
        <v>20.399999999999999</v>
      </c>
      <c r="H60" s="93"/>
      <c r="I60" s="93"/>
      <c r="J60" s="77" t="s">
        <v>330</v>
      </c>
      <c r="K60" s="77" t="s">
        <v>142</v>
      </c>
      <c r="L60" s="33">
        <f>VLOOKUP(K60,Reinigungstage!A10:E31,5,FALSE)</f>
        <v>1</v>
      </c>
      <c r="M60" s="33">
        <f t="shared" si="10"/>
        <v>20.399999999999999</v>
      </c>
      <c r="N60" s="94">
        <f t="shared" si="19"/>
        <v>0</v>
      </c>
      <c r="O60" s="33">
        <f ca="1">IF('SVS GrundRG'!H61="",0,'SVS GrundRG'!H61)</f>
        <v>0</v>
      </c>
      <c r="P60" s="33">
        <f t="shared" si="11"/>
        <v>0</v>
      </c>
      <c r="Q60" s="33">
        <f t="shared" si="12"/>
        <v>0</v>
      </c>
      <c r="R60" s="33">
        <f t="shared" si="13"/>
        <v>0</v>
      </c>
      <c r="S60" s="3" t="str">
        <f t="shared" si="14"/>
        <v>Leistungswert eintragen</v>
      </c>
      <c r="U60" s="3">
        <f t="shared" si="15"/>
        <v>12.75</v>
      </c>
      <c r="V60" s="3">
        <f t="shared" si="16"/>
        <v>3.8249999999999997</v>
      </c>
      <c r="W60" s="3">
        <f t="shared" si="17"/>
        <v>16.574999999999999</v>
      </c>
      <c r="X60" s="3" t="str">
        <f t="shared" si="18"/>
        <v/>
      </c>
    </row>
    <row r="61" spans="1:24" ht="15" customHeight="1" x14ac:dyDescent="0.2">
      <c r="A61" s="77">
        <v>40</v>
      </c>
      <c r="B61" s="91" t="s">
        <v>263</v>
      </c>
      <c r="C61" s="92" t="s">
        <v>237</v>
      </c>
      <c r="D61" s="92"/>
      <c r="E61" s="92" t="s">
        <v>264</v>
      </c>
      <c r="F61" s="92" t="s">
        <v>213</v>
      </c>
      <c r="G61" s="93">
        <v>23.5</v>
      </c>
      <c r="H61" s="93"/>
      <c r="I61" s="93"/>
      <c r="J61" s="77" t="s">
        <v>330</v>
      </c>
      <c r="K61" s="77" t="s">
        <v>142</v>
      </c>
      <c r="L61" s="33">
        <f>VLOOKUP(K61,Reinigungstage!A10:E31,5,FALSE)</f>
        <v>1</v>
      </c>
      <c r="M61" s="33">
        <f t="shared" si="10"/>
        <v>23.5</v>
      </c>
      <c r="N61" s="94">
        <f t="shared" si="19"/>
        <v>0</v>
      </c>
      <c r="O61" s="33">
        <f ca="1">IF('SVS GrundRG'!H61="",0,'SVS GrundRG'!H61)</f>
        <v>0</v>
      </c>
      <c r="P61" s="33">
        <f t="shared" si="11"/>
        <v>0</v>
      </c>
      <c r="Q61" s="33">
        <f t="shared" si="12"/>
        <v>0</v>
      </c>
      <c r="R61" s="33">
        <f t="shared" si="13"/>
        <v>0</v>
      </c>
      <c r="S61" s="3" t="str">
        <f t="shared" si="14"/>
        <v>Leistungswert eintragen</v>
      </c>
      <c r="U61" s="3">
        <f t="shared" si="15"/>
        <v>12.75</v>
      </c>
      <c r="V61" s="3">
        <f t="shared" si="16"/>
        <v>3.8249999999999997</v>
      </c>
      <c r="W61" s="3">
        <f t="shared" si="17"/>
        <v>16.574999999999999</v>
      </c>
      <c r="X61" s="3" t="str">
        <f t="shared" si="18"/>
        <v/>
      </c>
    </row>
    <row r="62" spans="1:24" ht="15" customHeight="1" x14ac:dyDescent="0.2">
      <c r="A62" s="77">
        <v>41</v>
      </c>
      <c r="B62" s="91" t="s">
        <v>265</v>
      </c>
      <c r="C62" s="92" t="s">
        <v>237</v>
      </c>
      <c r="D62" s="92"/>
      <c r="E62" s="92" t="s">
        <v>266</v>
      </c>
      <c r="F62" s="92" t="s">
        <v>213</v>
      </c>
      <c r="G62" s="93">
        <v>21.5</v>
      </c>
      <c r="H62" s="93"/>
      <c r="I62" s="93"/>
      <c r="J62" s="77" t="s">
        <v>232</v>
      </c>
      <c r="K62" s="77" t="s">
        <v>142</v>
      </c>
      <c r="L62" s="33">
        <f>VLOOKUP(K62,Reinigungstage!A10:E31,5,FALSE)</f>
        <v>1</v>
      </c>
      <c r="M62" s="33">
        <f t="shared" si="10"/>
        <v>21.5</v>
      </c>
      <c r="N62" s="94">
        <f t="shared" si="19"/>
        <v>0</v>
      </c>
      <c r="O62" s="33">
        <f ca="1">IF('SVS GrundRG'!H61="",0,'SVS GrundRG'!H61)</f>
        <v>0</v>
      </c>
      <c r="P62" s="33">
        <f t="shared" si="11"/>
        <v>0</v>
      </c>
      <c r="Q62" s="33">
        <f t="shared" si="12"/>
        <v>0</v>
      </c>
      <c r="R62" s="33">
        <f t="shared" si="13"/>
        <v>0</v>
      </c>
      <c r="S62" s="3" t="str">
        <f t="shared" si="14"/>
        <v>Leistungswert eintragen</v>
      </c>
      <c r="U62" s="3">
        <f t="shared" si="15"/>
        <v>11.5</v>
      </c>
      <c r="V62" s="3">
        <f t="shared" si="16"/>
        <v>3.4499999999999997</v>
      </c>
      <c r="W62" s="3">
        <f t="shared" si="17"/>
        <v>14.95</v>
      </c>
      <c r="X62" s="3" t="str">
        <f t="shared" si="18"/>
        <v/>
      </c>
    </row>
    <row r="63" spans="1:24" ht="15" customHeight="1" x14ac:dyDescent="0.2">
      <c r="A63" s="77">
        <v>42</v>
      </c>
      <c r="B63" s="91" t="s">
        <v>267</v>
      </c>
      <c r="C63" s="92" t="s">
        <v>237</v>
      </c>
      <c r="D63" s="92"/>
      <c r="E63" s="92" t="s">
        <v>268</v>
      </c>
      <c r="F63" s="92" t="s">
        <v>213</v>
      </c>
      <c r="G63" s="93">
        <v>24.5</v>
      </c>
      <c r="H63" s="93"/>
      <c r="I63" s="93"/>
      <c r="J63" s="77" t="s">
        <v>232</v>
      </c>
      <c r="K63" s="77" t="s">
        <v>142</v>
      </c>
      <c r="L63" s="33">
        <f>VLOOKUP(K63,Reinigungstage!A10:E31,5,FALSE)</f>
        <v>1</v>
      </c>
      <c r="M63" s="33">
        <f t="shared" si="10"/>
        <v>24.5</v>
      </c>
      <c r="N63" s="94">
        <f t="shared" si="19"/>
        <v>0</v>
      </c>
      <c r="O63" s="33">
        <f ca="1">IF('SVS GrundRG'!H61="",0,'SVS GrundRG'!H61)</f>
        <v>0</v>
      </c>
      <c r="P63" s="33">
        <f t="shared" si="11"/>
        <v>0</v>
      </c>
      <c r="Q63" s="33">
        <f t="shared" si="12"/>
        <v>0</v>
      </c>
      <c r="R63" s="33">
        <f t="shared" si="13"/>
        <v>0</v>
      </c>
      <c r="S63" s="3" t="str">
        <f t="shared" si="14"/>
        <v>Leistungswert eintragen</v>
      </c>
      <c r="U63" s="3">
        <f t="shared" si="15"/>
        <v>11.5</v>
      </c>
      <c r="V63" s="3">
        <f t="shared" si="16"/>
        <v>3.4499999999999997</v>
      </c>
      <c r="W63" s="3">
        <f t="shared" si="17"/>
        <v>14.95</v>
      </c>
      <c r="X63" s="3" t="str">
        <f t="shared" si="18"/>
        <v/>
      </c>
    </row>
    <row r="64" spans="1:24" ht="21" x14ac:dyDescent="0.2">
      <c r="A64" s="77">
        <v>43</v>
      </c>
      <c r="B64" s="91" t="s">
        <v>269</v>
      </c>
      <c r="C64" s="92" t="s">
        <v>237</v>
      </c>
      <c r="D64" s="92"/>
      <c r="E64" s="92" t="s">
        <v>270</v>
      </c>
      <c r="F64" s="92" t="s">
        <v>213</v>
      </c>
      <c r="G64" s="93">
        <v>16</v>
      </c>
      <c r="H64" s="93"/>
      <c r="I64" s="93"/>
      <c r="J64" s="77" t="s">
        <v>232</v>
      </c>
      <c r="K64" s="77" t="s">
        <v>142</v>
      </c>
      <c r="L64" s="33">
        <f>VLOOKUP(K64,Reinigungstage!A10:E31,5,FALSE)</f>
        <v>1</v>
      </c>
      <c r="M64" s="33">
        <f t="shared" si="10"/>
        <v>16</v>
      </c>
      <c r="N64" s="94">
        <f t="shared" si="19"/>
        <v>0</v>
      </c>
      <c r="O64" s="33">
        <f ca="1">IF('SVS GrundRG'!H61="",0,'SVS GrundRG'!H61)</f>
        <v>0</v>
      </c>
      <c r="P64" s="33">
        <f t="shared" si="11"/>
        <v>0</v>
      </c>
      <c r="Q64" s="33">
        <f t="shared" si="12"/>
        <v>0</v>
      </c>
      <c r="R64" s="33">
        <f t="shared" si="13"/>
        <v>0</v>
      </c>
      <c r="S64" s="3" t="str">
        <f t="shared" si="14"/>
        <v>Leistungswert eintragen</v>
      </c>
      <c r="U64" s="3">
        <f t="shared" si="15"/>
        <v>11.5</v>
      </c>
      <c r="V64" s="3">
        <f t="shared" si="16"/>
        <v>3.4499999999999997</v>
      </c>
      <c r="W64" s="3">
        <f t="shared" si="17"/>
        <v>14.95</v>
      </c>
      <c r="X64" s="3" t="str">
        <f t="shared" si="18"/>
        <v/>
      </c>
    </row>
    <row r="65" spans="1:24" ht="15" customHeight="1" x14ac:dyDescent="0.2">
      <c r="A65" s="77">
        <v>44</v>
      </c>
      <c r="B65" s="91" t="s">
        <v>271</v>
      </c>
      <c r="C65" s="92" t="s">
        <v>237</v>
      </c>
      <c r="D65" s="92"/>
      <c r="E65" s="92" t="s">
        <v>224</v>
      </c>
      <c r="F65" s="92" t="s">
        <v>213</v>
      </c>
      <c r="G65" s="93">
        <v>21.5</v>
      </c>
      <c r="H65" s="93"/>
      <c r="I65" s="93"/>
      <c r="J65" s="77" t="s">
        <v>330</v>
      </c>
      <c r="K65" s="77" t="s">
        <v>142</v>
      </c>
      <c r="L65" s="33">
        <f>VLOOKUP(K65,Reinigungstage!A10:E31,5,FALSE)</f>
        <v>1</v>
      </c>
      <c r="M65" s="33">
        <f t="shared" si="10"/>
        <v>21.5</v>
      </c>
      <c r="N65" s="94">
        <f t="shared" si="19"/>
        <v>0</v>
      </c>
      <c r="O65" s="33">
        <f ca="1">IF('SVS GrundRG'!H61="",0,'SVS GrundRG'!H61)</f>
        <v>0</v>
      </c>
      <c r="P65" s="33">
        <f t="shared" si="11"/>
        <v>0</v>
      </c>
      <c r="Q65" s="33">
        <f t="shared" si="12"/>
        <v>0</v>
      </c>
      <c r="R65" s="33">
        <f t="shared" si="13"/>
        <v>0</v>
      </c>
      <c r="S65" s="3" t="str">
        <f t="shared" si="14"/>
        <v>Leistungswert eintragen</v>
      </c>
      <c r="U65" s="3">
        <f t="shared" si="15"/>
        <v>12.75</v>
      </c>
      <c r="V65" s="3">
        <f t="shared" si="16"/>
        <v>3.8249999999999997</v>
      </c>
      <c r="W65" s="3">
        <f t="shared" si="17"/>
        <v>16.574999999999999</v>
      </c>
      <c r="X65" s="3" t="str">
        <f t="shared" si="18"/>
        <v/>
      </c>
    </row>
    <row r="66" spans="1:24" ht="15" customHeight="1" x14ac:dyDescent="0.2">
      <c r="A66" s="77">
        <v>45</v>
      </c>
      <c r="B66" s="91" t="s">
        <v>272</v>
      </c>
      <c r="C66" s="92" t="s">
        <v>237</v>
      </c>
      <c r="D66" s="92"/>
      <c r="E66" s="92" t="s">
        <v>273</v>
      </c>
      <c r="F66" s="92" t="s">
        <v>213</v>
      </c>
      <c r="G66" s="93">
        <v>8.6999999999999993</v>
      </c>
      <c r="H66" s="93"/>
      <c r="I66" s="93"/>
      <c r="J66" s="77" t="s">
        <v>329</v>
      </c>
      <c r="K66" s="77" t="s">
        <v>142</v>
      </c>
      <c r="L66" s="33">
        <f>VLOOKUP(K66,Reinigungstage!A10:E31,5,FALSE)</f>
        <v>1</v>
      </c>
      <c r="M66" s="33">
        <f t="shared" si="10"/>
        <v>8.6999999999999993</v>
      </c>
      <c r="N66" s="94">
        <f t="shared" si="19"/>
        <v>0</v>
      </c>
      <c r="O66" s="33">
        <f ca="1">IF('SVS GrundRG'!H61="",0,'SVS GrundRG'!H61)</f>
        <v>0</v>
      </c>
      <c r="P66" s="33">
        <f t="shared" si="11"/>
        <v>0</v>
      </c>
      <c r="Q66" s="33">
        <f t="shared" si="12"/>
        <v>0</v>
      </c>
      <c r="R66" s="33">
        <f t="shared" si="13"/>
        <v>0</v>
      </c>
      <c r="S66" s="3" t="str">
        <f t="shared" si="14"/>
        <v>Leistungswert eintragen</v>
      </c>
      <c r="U66" s="3">
        <f t="shared" si="15"/>
        <v>21</v>
      </c>
      <c r="V66" s="3">
        <f t="shared" si="16"/>
        <v>6.3</v>
      </c>
      <c r="W66" s="3">
        <f t="shared" si="17"/>
        <v>27.3</v>
      </c>
      <c r="X66" s="3" t="str">
        <f t="shared" si="18"/>
        <v/>
      </c>
    </row>
    <row r="67" spans="1:24" ht="15" customHeight="1" x14ac:dyDescent="0.2">
      <c r="A67" s="77">
        <v>46</v>
      </c>
      <c r="B67" s="91" t="s">
        <v>274</v>
      </c>
      <c r="C67" s="92" t="s">
        <v>237</v>
      </c>
      <c r="D67" s="92">
        <v>1</v>
      </c>
      <c r="E67" s="92" t="s">
        <v>209</v>
      </c>
      <c r="F67" s="92" t="s">
        <v>210</v>
      </c>
      <c r="G67" s="93">
        <v>31.7</v>
      </c>
      <c r="H67" s="93"/>
      <c r="I67" s="93"/>
      <c r="J67" s="77" t="s">
        <v>327</v>
      </c>
      <c r="K67" s="77" t="s">
        <v>142</v>
      </c>
      <c r="L67" s="33">
        <f>VLOOKUP(K67,Reinigungstage!A10:E31,5,FALSE)</f>
        <v>1</v>
      </c>
      <c r="M67" s="33">
        <f t="shared" si="10"/>
        <v>31.7</v>
      </c>
      <c r="N67" s="94">
        <f t="shared" si="19"/>
        <v>0</v>
      </c>
      <c r="O67" s="33">
        <f ca="1">IF('SVS GrundRG'!H61="",0,'SVS GrundRG'!H61)</f>
        <v>0</v>
      </c>
      <c r="P67" s="33">
        <f t="shared" si="11"/>
        <v>0</v>
      </c>
      <c r="Q67" s="33">
        <f t="shared" si="12"/>
        <v>0</v>
      </c>
      <c r="R67" s="33">
        <f t="shared" si="13"/>
        <v>0</v>
      </c>
      <c r="S67" s="3" t="str">
        <f t="shared" si="14"/>
        <v>Leistungswert eintragen</v>
      </c>
      <c r="U67" s="3">
        <f t="shared" si="15"/>
        <v>12.5</v>
      </c>
      <c r="V67" s="3">
        <f t="shared" si="16"/>
        <v>3.75</v>
      </c>
      <c r="W67" s="3">
        <f t="shared" si="17"/>
        <v>16.25</v>
      </c>
      <c r="X67" s="3" t="str">
        <f t="shared" si="18"/>
        <v/>
      </c>
    </row>
    <row r="68" spans="1:24" ht="15" customHeight="1" x14ac:dyDescent="0.2">
      <c r="A68" s="77">
        <v>47</v>
      </c>
      <c r="B68" s="91" t="s">
        <v>275</v>
      </c>
      <c r="C68" s="92" t="s">
        <v>276</v>
      </c>
      <c r="D68" s="92">
        <v>2</v>
      </c>
      <c r="E68" s="92" t="s">
        <v>209</v>
      </c>
      <c r="F68" s="92" t="s">
        <v>210</v>
      </c>
      <c r="G68" s="93">
        <v>26.25</v>
      </c>
      <c r="H68" s="93"/>
      <c r="I68" s="93"/>
      <c r="J68" s="77" t="s">
        <v>327</v>
      </c>
      <c r="K68" s="77" t="s">
        <v>142</v>
      </c>
      <c r="L68" s="33">
        <f>VLOOKUP(K68,Reinigungstage!A10:E31,5,FALSE)</f>
        <v>1</v>
      </c>
      <c r="M68" s="33">
        <f t="shared" si="10"/>
        <v>26.25</v>
      </c>
      <c r="N68" s="94">
        <f t="shared" si="19"/>
        <v>0</v>
      </c>
      <c r="O68" s="33">
        <f ca="1">IF('SVS GrundRG'!H61="",0,'SVS GrundRG'!H61)</f>
        <v>0</v>
      </c>
      <c r="P68" s="33">
        <f t="shared" si="11"/>
        <v>0</v>
      </c>
      <c r="Q68" s="33">
        <f t="shared" si="12"/>
        <v>0</v>
      </c>
      <c r="R68" s="33">
        <f t="shared" si="13"/>
        <v>0</v>
      </c>
      <c r="S68" s="3" t="str">
        <f t="shared" si="14"/>
        <v>Leistungswert eintragen</v>
      </c>
      <c r="U68" s="3">
        <f t="shared" si="15"/>
        <v>12.5</v>
      </c>
      <c r="V68" s="3">
        <f t="shared" si="16"/>
        <v>3.75</v>
      </c>
      <c r="W68" s="3">
        <f t="shared" si="17"/>
        <v>16.25</v>
      </c>
      <c r="X68" s="3" t="str">
        <f t="shared" si="18"/>
        <v/>
      </c>
    </row>
    <row r="69" spans="1:24" ht="15" customHeight="1" x14ac:dyDescent="0.2">
      <c r="A69" s="77">
        <v>48</v>
      </c>
      <c r="B69" s="91" t="s">
        <v>277</v>
      </c>
      <c r="C69" s="92" t="s">
        <v>276</v>
      </c>
      <c r="D69" s="92"/>
      <c r="E69" s="92" t="s">
        <v>278</v>
      </c>
      <c r="F69" s="92" t="s">
        <v>210</v>
      </c>
      <c r="G69" s="93">
        <v>8.65</v>
      </c>
      <c r="H69" s="93"/>
      <c r="I69" s="93"/>
      <c r="J69" s="77" t="s">
        <v>329</v>
      </c>
      <c r="K69" s="77" t="s">
        <v>142</v>
      </c>
      <c r="L69" s="33">
        <f>VLOOKUP(K69,Reinigungstage!A10:E31,5,FALSE)</f>
        <v>1</v>
      </c>
      <c r="M69" s="33">
        <f t="shared" si="10"/>
        <v>8.65</v>
      </c>
      <c r="N69" s="94">
        <f t="shared" si="19"/>
        <v>0</v>
      </c>
      <c r="O69" s="33">
        <f ca="1">IF('SVS GrundRG'!H61="",0,'SVS GrundRG'!H61)</f>
        <v>0</v>
      </c>
      <c r="P69" s="33">
        <f t="shared" si="11"/>
        <v>0</v>
      </c>
      <c r="Q69" s="33">
        <f t="shared" si="12"/>
        <v>0</v>
      </c>
      <c r="R69" s="33">
        <f t="shared" si="13"/>
        <v>0</v>
      </c>
      <c r="S69" s="3" t="str">
        <f t="shared" si="14"/>
        <v>Leistungswert eintragen</v>
      </c>
      <c r="U69" s="3">
        <f t="shared" si="15"/>
        <v>21</v>
      </c>
      <c r="V69" s="3">
        <f t="shared" si="16"/>
        <v>6.3</v>
      </c>
      <c r="W69" s="3">
        <f t="shared" si="17"/>
        <v>27.3</v>
      </c>
      <c r="X69" s="3" t="str">
        <f t="shared" si="18"/>
        <v/>
      </c>
    </row>
    <row r="70" spans="1:24" ht="15" customHeight="1" x14ac:dyDescent="0.2">
      <c r="A70" s="77">
        <v>49</v>
      </c>
      <c r="B70" s="91" t="s">
        <v>279</v>
      </c>
      <c r="C70" s="92" t="s">
        <v>276</v>
      </c>
      <c r="D70" s="92">
        <v>1</v>
      </c>
      <c r="E70" s="92" t="s">
        <v>280</v>
      </c>
      <c r="F70" s="92" t="s">
        <v>213</v>
      </c>
      <c r="G70" s="93">
        <v>59.4</v>
      </c>
      <c r="H70" s="93"/>
      <c r="I70" s="93"/>
      <c r="J70" s="77" t="s">
        <v>333</v>
      </c>
      <c r="K70" s="77" t="s">
        <v>142</v>
      </c>
      <c r="L70" s="33">
        <f>VLOOKUP(K70,Reinigungstage!A10:E31,5,FALSE)</f>
        <v>1</v>
      </c>
      <c r="M70" s="33">
        <f t="shared" si="10"/>
        <v>59.4</v>
      </c>
      <c r="N70" s="94">
        <f t="shared" si="19"/>
        <v>0</v>
      </c>
      <c r="O70" s="33">
        <f ca="1">IF('SVS GrundRG'!H61="",0,'SVS GrundRG'!H61)</f>
        <v>0</v>
      </c>
      <c r="P70" s="33">
        <f t="shared" si="11"/>
        <v>0</v>
      </c>
      <c r="Q70" s="33">
        <f t="shared" si="12"/>
        <v>0</v>
      </c>
      <c r="R70" s="33">
        <f t="shared" si="13"/>
        <v>0</v>
      </c>
      <c r="S70" s="3" t="str">
        <f t="shared" si="14"/>
        <v>Leistungswert eintragen</v>
      </c>
      <c r="U70" s="3">
        <f t="shared" si="15"/>
        <v>15.375</v>
      </c>
      <c r="V70" s="3">
        <f t="shared" si="16"/>
        <v>4.6124999999999998</v>
      </c>
      <c r="W70" s="3">
        <f t="shared" si="17"/>
        <v>19.987500000000001</v>
      </c>
      <c r="X70" s="3" t="str">
        <f t="shared" si="18"/>
        <v/>
      </c>
    </row>
    <row r="71" spans="1:24" ht="15" customHeight="1" x14ac:dyDescent="0.2">
      <c r="A71" s="77">
        <v>50</v>
      </c>
      <c r="B71" s="91" t="s">
        <v>281</v>
      </c>
      <c r="C71" s="92" t="s">
        <v>276</v>
      </c>
      <c r="D71" s="92">
        <v>1</v>
      </c>
      <c r="E71" s="92" t="s">
        <v>280</v>
      </c>
      <c r="F71" s="92" t="s">
        <v>213</v>
      </c>
      <c r="G71" s="93">
        <v>59.85</v>
      </c>
      <c r="H71" s="93"/>
      <c r="I71" s="93"/>
      <c r="J71" s="77" t="s">
        <v>333</v>
      </c>
      <c r="K71" s="77" t="s">
        <v>142</v>
      </c>
      <c r="L71" s="33">
        <f>VLOOKUP(K71,Reinigungstage!A10:E31,5,FALSE)</f>
        <v>1</v>
      </c>
      <c r="M71" s="33">
        <f t="shared" si="10"/>
        <v>59.85</v>
      </c>
      <c r="N71" s="94">
        <f t="shared" si="19"/>
        <v>0</v>
      </c>
      <c r="O71" s="33">
        <f ca="1">IF('SVS GrundRG'!H61="",0,'SVS GrundRG'!H61)</f>
        <v>0</v>
      </c>
      <c r="P71" s="33">
        <f t="shared" si="11"/>
        <v>0</v>
      </c>
      <c r="Q71" s="33">
        <f t="shared" si="12"/>
        <v>0</v>
      </c>
      <c r="R71" s="33">
        <f t="shared" si="13"/>
        <v>0</v>
      </c>
      <c r="S71" s="3" t="str">
        <f t="shared" si="14"/>
        <v>Leistungswert eintragen</v>
      </c>
      <c r="U71" s="3">
        <f t="shared" si="15"/>
        <v>15.375</v>
      </c>
      <c r="V71" s="3">
        <f t="shared" si="16"/>
        <v>4.6124999999999998</v>
      </c>
      <c r="W71" s="3">
        <f t="shared" si="17"/>
        <v>19.987500000000001</v>
      </c>
      <c r="X71" s="3" t="str">
        <f t="shared" si="18"/>
        <v/>
      </c>
    </row>
    <row r="72" spans="1:24" ht="15" customHeight="1" x14ac:dyDescent="0.2">
      <c r="A72" s="77">
        <v>51</v>
      </c>
      <c r="B72" s="91" t="s">
        <v>282</v>
      </c>
      <c r="C72" s="92" t="s">
        <v>276</v>
      </c>
      <c r="D72" s="92">
        <v>1</v>
      </c>
      <c r="E72" s="92" t="s">
        <v>280</v>
      </c>
      <c r="F72" s="92" t="s">
        <v>213</v>
      </c>
      <c r="G72" s="93">
        <v>44.1</v>
      </c>
      <c r="H72" s="93"/>
      <c r="I72" s="93"/>
      <c r="J72" s="77" t="s">
        <v>333</v>
      </c>
      <c r="K72" s="77" t="s">
        <v>142</v>
      </c>
      <c r="L72" s="33">
        <f>VLOOKUP(K72,Reinigungstage!A10:E31,5,FALSE)</f>
        <v>1</v>
      </c>
      <c r="M72" s="33">
        <f t="shared" si="10"/>
        <v>44.1</v>
      </c>
      <c r="N72" s="94">
        <f t="shared" si="19"/>
        <v>0</v>
      </c>
      <c r="O72" s="33">
        <f ca="1">IF('SVS GrundRG'!H61="",0,'SVS GrundRG'!H61)</f>
        <v>0</v>
      </c>
      <c r="P72" s="33">
        <f t="shared" si="11"/>
        <v>0</v>
      </c>
      <c r="Q72" s="33">
        <f t="shared" si="12"/>
        <v>0</v>
      </c>
      <c r="R72" s="33">
        <f t="shared" si="13"/>
        <v>0</v>
      </c>
      <c r="S72" s="3" t="str">
        <f t="shared" si="14"/>
        <v>Leistungswert eintragen</v>
      </c>
      <c r="U72" s="3">
        <f t="shared" si="15"/>
        <v>15.375</v>
      </c>
      <c r="V72" s="3">
        <f t="shared" si="16"/>
        <v>4.6124999999999998</v>
      </c>
      <c r="W72" s="3">
        <f t="shared" si="17"/>
        <v>19.987500000000001</v>
      </c>
      <c r="X72" s="3" t="str">
        <f t="shared" si="18"/>
        <v/>
      </c>
    </row>
    <row r="73" spans="1:24" ht="15" customHeight="1" x14ac:dyDescent="0.2">
      <c r="A73" s="77">
        <v>52</v>
      </c>
      <c r="B73" s="91" t="s">
        <v>283</v>
      </c>
      <c r="C73" s="92" t="s">
        <v>276</v>
      </c>
      <c r="D73" s="92">
        <v>1</v>
      </c>
      <c r="E73" s="92" t="s">
        <v>280</v>
      </c>
      <c r="F73" s="92" t="s">
        <v>213</v>
      </c>
      <c r="G73" s="93">
        <v>44.2</v>
      </c>
      <c r="H73" s="93"/>
      <c r="I73" s="93"/>
      <c r="J73" s="77" t="s">
        <v>333</v>
      </c>
      <c r="K73" s="77" t="s">
        <v>142</v>
      </c>
      <c r="L73" s="33">
        <f>VLOOKUP(K73,Reinigungstage!A10:E31,5,FALSE)</f>
        <v>1</v>
      </c>
      <c r="M73" s="33">
        <f t="shared" si="10"/>
        <v>44.2</v>
      </c>
      <c r="N73" s="94">
        <f t="shared" si="19"/>
        <v>0</v>
      </c>
      <c r="O73" s="33">
        <f ca="1">IF('SVS GrundRG'!H61="",0,'SVS GrundRG'!H61)</f>
        <v>0</v>
      </c>
      <c r="P73" s="33">
        <f t="shared" si="11"/>
        <v>0</v>
      </c>
      <c r="Q73" s="33">
        <f t="shared" si="12"/>
        <v>0</v>
      </c>
      <c r="R73" s="33">
        <f t="shared" si="13"/>
        <v>0</v>
      </c>
      <c r="S73" s="3" t="str">
        <f t="shared" si="14"/>
        <v>Leistungswert eintragen</v>
      </c>
      <c r="U73" s="3">
        <f t="shared" si="15"/>
        <v>15.375</v>
      </c>
      <c r="V73" s="3">
        <f t="shared" si="16"/>
        <v>4.6124999999999998</v>
      </c>
      <c r="W73" s="3">
        <f t="shared" si="17"/>
        <v>19.987500000000001</v>
      </c>
      <c r="X73" s="3" t="str">
        <f t="shared" si="18"/>
        <v/>
      </c>
    </row>
    <row r="74" spans="1:24" ht="15" customHeight="1" x14ac:dyDescent="0.2">
      <c r="A74" s="77">
        <v>53</v>
      </c>
      <c r="B74" s="91" t="s">
        <v>284</v>
      </c>
      <c r="C74" s="92" t="s">
        <v>276</v>
      </c>
      <c r="D74" s="92">
        <v>1</v>
      </c>
      <c r="E74" s="92" t="s">
        <v>280</v>
      </c>
      <c r="F74" s="92" t="s">
        <v>213</v>
      </c>
      <c r="G74" s="93">
        <v>25.05</v>
      </c>
      <c r="H74" s="93"/>
      <c r="I74" s="93"/>
      <c r="J74" s="77" t="s">
        <v>333</v>
      </c>
      <c r="K74" s="77" t="s">
        <v>142</v>
      </c>
      <c r="L74" s="33">
        <f>VLOOKUP(K74,Reinigungstage!A10:E31,5,FALSE)</f>
        <v>1</v>
      </c>
      <c r="M74" s="33">
        <f t="shared" si="10"/>
        <v>25.05</v>
      </c>
      <c r="N74" s="94">
        <f t="shared" si="19"/>
        <v>0</v>
      </c>
      <c r="O74" s="33">
        <f ca="1">IF('SVS GrundRG'!H61="",0,'SVS GrundRG'!H61)</f>
        <v>0</v>
      </c>
      <c r="P74" s="33">
        <f t="shared" si="11"/>
        <v>0</v>
      </c>
      <c r="Q74" s="33">
        <f t="shared" si="12"/>
        <v>0</v>
      </c>
      <c r="R74" s="33">
        <f t="shared" si="13"/>
        <v>0</v>
      </c>
      <c r="S74" s="3" t="str">
        <f t="shared" si="14"/>
        <v>Leistungswert eintragen</v>
      </c>
      <c r="U74" s="3">
        <f t="shared" si="15"/>
        <v>15.375</v>
      </c>
      <c r="V74" s="3">
        <f t="shared" si="16"/>
        <v>4.6124999999999998</v>
      </c>
      <c r="W74" s="3">
        <f t="shared" si="17"/>
        <v>19.987500000000001</v>
      </c>
      <c r="X74" s="3" t="str">
        <f t="shared" si="18"/>
        <v/>
      </c>
    </row>
    <row r="75" spans="1:24" ht="15" customHeight="1" x14ac:dyDescent="0.2">
      <c r="A75" s="77">
        <v>54</v>
      </c>
      <c r="B75" s="91" t="s">
        <v>285</v>
      </c>
      <c r="C75" s="92" t="s">
        <v>276</v>
      </c>
      <c r="D75" s="92">
        <v>1</v>
      </c>
      <c r="E75" s="92" t="s">
        <v>280</v>
      </c>
      <c r="F75" s="92" t="s">
        <v>213</v>
      </c>
      <c r="G75" s="93">
        <v>10.55</v>
      </c>
      <c r="H75" s="93"/>
      <c r="I75" s="93"/>
      <c r="J75" s="77" t="s">
        <v>333</v>
      </c>
      <c r="K75" s="77" t="s">
        <v>142</v>
      </c>
      <c r="L75" s="33">
        <f>VLOOKUP(K75,Reinigungstage!A10:E31,5,FALSE)</f>
        <v>1</v>
      </c>
      <c r="M75" s="33">
        <f t="shared" si="10"/>
        <v>10.55</v>
      </c>
      <c r="N75" s="94">
        <f t="shared" si="19"/>
        <v>0</v>
      </c>
      <c r="O75" s="33">
        <f ca="1">IF('SVS GrundRG'!H61="",0,'SVS GrundRG'!H61)</f>
        <v>0</v>
      </c>
      <c r="P75" s="33">
        <f t="shared" si="11"/>
        <v>0</v>
      </c>
      <c r="Q75" s="33">
        <f t="shared" si="12"/>
        <v>0</v>
      </c>
      <c r="R75" s="33">
        <f t="shared" si="13"/>
        <v>0</v>
      </c>
      <c r="S75" s="3" t="str">
        <f t="shared" si="14"/>
        <v>Leistungswert eintragen</v>
      </c>
      <c r="U75" s="3">
        <f t="shared" si="15"/>
        <v>15.375</v>
      </c>
      <c r="V75" s="3">
        <f t="shared" si="16"/>
        <v>4.6124999999999998</v>
      </c>
      <c r="W75" s="3">
        <f t="shared" si="17"/>
        <v>19.987500000000001</v>
      </c>
      <c r="X75" s="3" t="str">
        <f t="shared" si="18"/>
        <v/>
      </c>
    </row>
    <row r="76" spans="1:24" ht="15" customHeight="1" x14ac:dyDescent="0.2">
      <c r="A76" s="77">
        <v>55</v>
      </c>
      <c r="B76" s="91" t="s">
        <v>286</v>
      </c>
      <c r="C76" s="92" t="s">
        <v>276</v>
      </c>
      <c r="D76" s="92">
        <v>2</v>
      </c>
      <c r="E76" s="92" t="s">
        <v>280</v>
      </c>
      <c r="F76" s="92" t="s">
        <v>213</v>
      </c>
      <c r="G76" s="93">
        <v>56.7</v>
      </c>
      <c r="H76" s="93"/>
      <c r="I76" s="93"/>
      <c r="J76" s="77" t="s">
        <v>333</v>
      </c>
      <c r="K76" s="77" t="s">
        <v>142</v>
      </c>
      <c r="L76" s="33">
        <f>VLOOKUP(K76,Reinigungstage!A10:E31,5,FALSE)</f>
        <v>1</v>
      </c>
      <c r="M76" s="33">
        <f t="shared" si="10"/>
        <v>56.7</v>
      </c>
      <c r="N76" s="94">
        <f t="shared" si="19"/>
        <v>0</v>
      </c>
      <c r="O76" s="33">
        <f ca="1">IF('SVS GrundRG'!H61="",0,'SVS GrundRG'!H61)</f>
        <v>0</v>
      </c>
      <c r="P76" s="33">
        <f t="shared" si="11"/>
        <v>0</v>
      </c>
      <c r="Q76" s="33">
        <f t="shared" si="12"/>
        <v>0</v>
      </c>
      <c r="R76" s="33">
        <f t="shared" si="13"/>
        <v>0</v>
      </c>
      <c r="S76" s="3" t="str">
        <f t="shared" si="14"/>
        <v>Leistungswert eintragen</v>
      </c>
      <c r="U76" s="3">
        <f t="shared" si="15"/>
        <v>15.375</v>
      </c>
      <c r="V76" s="3">
        <f t="shared" si="16"/>
        <v>4.6124999999999998</v>
      </c>
      <c r="W76" s="3">
        <f t="shared" si="17"/>
        <v>19.987500000000001</v>
      </c>
      <c r="X76" s="3" t="str">
        <f t="shared" si="18"/>
        <v/>
      </c>
    </row>
    <row r="77" spans="1:24" ht="15" customHeight="1" x14ac:dyDescent="0.2">
      <c r="A77" s="77">
        <v>56</v>
      </c>
      <c r="B77" s="91" t="s">
        <v>287</v>
      </c>
      <c r="C77" s="92" t="s">
        <v>276</v>
      </c>
      <c r="D77" s="92"/>
      <c r="E77" s="92" t="s">
        <v>288</v>
      </c>
      <c r="F77" s="92" t="s">
        <v>210</v>
      </c>
      <c r="G77" s="93">
        <v>14.5</v>
      </c>
      <c r="H77" s="93"/>
      <c r="I77" s="93"/>
      <c r="J77" s="77" t="s">
        <v>333</v>
      </c>
      <c r="K77" s="77" t="s">
        <v>142</v>
      </c>
      <c r="L77" s="33">
        <f>VLOOKUP(K77,Reinigungstage!A10:E31,5,FALSE)</f>
        <v>1</v>
      </c>
      <c r="M77" s="33">
        <f t="shared" si="10"/>
        <v>14.5</v>
      </c>
      <c r="N77" s="94">
        <f t="shared" si="19"/>
        <v>0</v>
      </c>
      <c r="O77" s="33">
        <f ca="1">IF('SVS GrundRG'!H61="",0,'SVS GrundRG'!H61)</f>
        <v>0</v>
      </c>
      <c r="P77" s="33">
        <f t="shared" si="11"/>
        <v>0</v>
      </c>
      <c r="Q77" s="33">
        <f t="shared" si="12"/>
        <v>0</v>
      </c>
      <c r="R77" s="33">
        <f t="shared" si="13"/>
        <v>0</v>
      </c>
      <c r="S77" s="3" t="str">
        <f t="shared" si="14"/>
        <v>Leistungswert eintragen</v>
      </c>
      <c r="U77" s="3">
        <f t="shared" si="15"/>
        <v>15.375</v>
      </c>
      <c r="V77" s="3">
        <f t="shared" si="16"/>
        <v>4.6124999999999998</v>
      </c>
      <c r="W77" s="3">
        <f t="shared" si="17"/>
        <v>19.987500000000001</v>
      </c>
      <c r="X77" s="3" t="str">
        <f t="shared" si="18"/>
        <v/>
      </c>
    </row>
    <row r="78" spans="1:24" ht="15" customHeight="1" x14ac:dyDescent="0.2">
      <c r="A78" s="77">
        <v>57</v>
      </c>
      <c r="B78" s="91" t="s">
        <v>289</v>
      </c>
      <c r="C78" s="92" t="s">
        <v>276</v>
      </c>
      <c r="D78" s="92"/>
      <c r="E78" s="92" t="s">
        <v>290</v>
      </c>
      <c r="F78" s="92" t="s">
        <v>210</v>
      </c>
      <c r="G78" s="93">
        <v>9.6</v>
      </c>
      <c r="H78" s="93"/>
      <c r="I78" s="93"/>
      <c r="J78" s="77" t="s">
        <v>232</v>
      </c>
      <c r="K78" s="77" t="s">
        <v>142</v>
      </c>
      <c r="L78" s="33">
        <f>VLOOKUP(K78,Reinigungstage!A10:E31,5,FALSE)</f>
        <v>1</v>
      </c>
      <c r="M78" s="33">
        <f t="shared" si="10"/>
        <v>9.6</v>
      </c>
      <c r="N78" s="94">
        <f t="shared" si="19"/>
        <v>0</v>
      </c>
      <c r="O78" s="33">
        <f ca="1">IF('SVS GrundRG'!H61="",0,'SVS GrundRG'!H61)</f>
        <v>0</v>
      </c>
      <c r="P78" s="33">
        <f t="shared" si="11"/>
        <v>0</v>
      </c>
      <c r="Q78" s="33">
        <f t="shared" si="12"/>
        <v>0</v>
      </c>
      <c r="R78" s="33">
        <f t="shared" si="13"/>
        <v>0</v>
      </c>
      <c r="S78" s="3" t="str">
        <f t="shared" si="14"/>
        <v>Leistungswert eintragen</v>
      </c>
      <c r="U78" s="3">
        <f t="shared" si="15"/>
        <v>11.5</v>
      </c>
      <c r="V78" s="3">
        <f t="shared" si="16"/>
        <v>3.4499999999999997</v>
      </c>
      <c r="W78" s="3">
        <f t="shared" si="17"/>
        <v>14.95</v>
      </c>
      <c r="X78" s="3" t="str">
        <f t="shared" si="18"/>
        <v/>
      </c>
    </row>
    <row r="79" spans="1:24" ht="15" customHeight="1" x14ac:dyDescent="0.2">
      <c r="A79" s="77">
        <v>58</v>
      </c>
      <c r="B79" s="91" t="s">
        <v>291</v>
      </c>
      <c r="C79" s="92" t="s">
        <v>276</v>
      </c>
      <c r="D79" s="92"/>
      <c r="E79" s="92" t="s">
        <v>292</v>
      </c>
      <c r="F79" s="92" t="s">
        <v>210</v>
      </c>
      <c r="G79" s="93">
        <v>3</v>
      </c>
      <c r="H79" s="93"/>
      <c r="I79" s="93"/>
      <c r="J79" s="77" t="s">
        <v>331</v>
      </c>
      <c r="K79" s="77" t="s">
        <v>142</v>
      </c>
      <c r="L79" s="33">
        <f>VLOOKUP(K79,Reinigungstage!A10:E31,5,FALSE)</f>
        <v>1</v>
      </c>
      <c r="M79" s="33">
        <f t="shared" si="10"/>
        <v>3</v>
      </c>
      <c r="N79" s="94">
        <f t="shared" si="19"/>
        <v>0</v>
      </c>
      <c r="O79" s="33">
        <f ca="1">IF('SVS GrundRG'!H61="",0,'SVS GrundRG'!H61)</f>
        <v>0</v>
      </c>
      <c r="P79" s="33">
        <f t="shared" si="11"/>
        <v>0</v>
      </c>
      <c r="Q79" s="33">
        <f t="shared" si="12"/>
        <v>0</v>
      </c>
      <c r="R79" s="33">
        <f t="shared" si="13"/>
        <v>0</v>
      </c>
      <c r="S79" s="3" t="str">
        <f t="shared" si="14"/>
        <v>Leistungswert eintragen</v>
      </c>
      <c r="U79" s="3">
        <f t="shared" si="15"/>
        <v>6.25</v>
      </c>
      <c r="V79" s="3">
        <f t="shared" si="16"/>
        <v>1.875</v>
      </c>
      <c r="W79" s="3">
        <f t="shared" si="17"/>
        <v>8.125</v>
      </c>
      <c r="X79" s="3" t="str">
        <f t="shared" si="18"/>
        <v/>
      </c>
    </row>
    <row r="80" spans="1:24" ht="15" customHeight="1" x14ac:dyDescent="0.2">
      <c r="A80" s="77">
        <v>59</v>
      </c>
      <c r="B80" s="91" t="s">
        <v>293</v>
      </c>
      <c r="C80" s="92" t="s">
        <v>276</v>
      </c>
      <c r="D80" s="92"/>
      <c r="E80" s="92" t="s">
        <v>294</v>
      </c>
      <c r="F80" s="92" t="s">
        <v>210</v>
      </c>
      <c r="G80" s="93">
        <v>17.3</v>
      </c>
      <c r="H80" s="93"/>
      <c r="I80" s="93"/>
      <c r="J80" s="77" t="s">
        <v>333</v>
      </c>
      <c r="K80" s="77" t="s">
        <v>142</v>
      </c>
      <c r="L80" s="33">
        <f>VLOOKUP(K80,Reinigungstage!A10:E31,5,FALSE)</f>
        <v>1</v>
      </c>
      <c r="M80" s="33">
        <f t="shared" si="10"/>
        <v>17.3</v>
      </c>
      <c r="N80" s="94">
        <f t="shared" si="19"/>
        <v>0</v>
      </c>
      <c r="O80" s="33">
        <f ca="1">IF('SVS GrundRG'!H61="",0,'SVS GrundRG'!H61)</f>
        <v>0</v>
      </c>
      <c r="P80" s="33">
        <f t="shared" si="11"/>
        <v>0</v>
      </c>
      <c r="Q80" s="33">
        <f t="shared" si="12"/>
        <v>0</v>
      </c>
      <c r="R80" s="33">
        <f t="shared" si="13"/>
        <v>0</v>
      </c>
      <c r="S80" s="3" t="str">
        <f t="shared" si="14"/>
        <v>Leistungswert eintragen</v>
      </c>
      <c r="U80" s="3">
        <f t="shared" si="15"/>
        <v>15.375</v>
      </c>
      <c r="V80" s="3">
        <f t="shared" si="16"/>
        <v>4.6124999999999998</v>
      </c>
      <c r="W80" s="3">
        <f t="shared" si="17"/>
        <v>19.987500000000001</v>
      </c>
      <c r="X80" s="3" t="str">
        <f t="shared" si="18"/>
        <v/>
      </c>
    </row>
    <row r="81" spans="1:24" ht="15" customHeight="1" x14ac:dyDescent="0.2">
      <c r="A81" s="77">
        <v>60</v>
      </c>
      <c r="B81" s="91" t="s">
        <v>295</v>
      </c>
      <c r="C81" s="92" t="s">
        <v>276</v>
      </c>
      <c r="D81" s="92"/>
      <c r="E81" s="92" t="s">
        <v>296</v>
      </c>
      <c r="F81" s="92" t="s">
        <v>210</v>
      </c>
      <c r="G81" s="93">
        <v>9.1999999999999993</v>
      </c>
      <c r="H81" s="93"/>
      <c r="I81" s="93"/>
      <c r="J81" s="77" t="s">
        <v>333</v>
      </c>
      <c r="K81" s="77" t="s">
        <v>142</v>
      </c>
      <c r="L81" s="33">
        <f>VLOOKUP(K81,Reinigungstage!A10:E31,5,FALSE)</f>
        <v>1</v>
      </c>
      <c r="M81" s="33">
        <f t="shared" si="10"/>
        <v>9.1999999999999993</v>
      </c>
      <c r="N81" s="94">
        <f t="shared" si="19"/>
        <v>0</v>
      </c>
      <c r="O81" s="33">
        <f ca="1">IF('SVS GrundRG'!H61="",0,'SVS GrundRG'!H61)</f>
        <v>0</v>
      </c>
      <c r="P81" s="33">
        <f t="shared" si="11"/>
        <v>0</v>
      </c>
      <c r="Q81" s="33">
        <f t="shared" si="12"/>
        <v>0</v>
      </c>
      <c r="R81" s="33">
        <f t="shared" si="13"/>
        <v>0</v>
      </c>
      <c r="S81" s="3" t="str">
        <f t="shared" si="14"/>
        <v>Leistungswert eintragen</v>
      </c>
      <c r="U81" s="3">
        <f t="shared" si="15"/>
        <v>15.375</v>
      </c>
      <c r="V81" s="3">
        <f t="shared" si="16"/>
        <v>4.6124999999999998</v>
      </c>
      <c r="W81" s="3">
        <f t="shared" si="17"/>
        <v>19.987500000000001</v>
      </c>
      <c r="X81" s="3" t="str">
        <f t="shared" si="18"/>
        <v/>
      </c>
    </row>
    <row r="82" spans="1:24" ht="15" customHeight="1" x14ac:dyDescent="0.2">
      <c r="A82" s="77">
        <v>61</v>
      </c>
      <c r="B82" s="91" t="s">
        <v>297</v>
      </c>
      <c r="C82" s="92" t="s">
        <v>276</v>
      </c>
      <c r="D82" s="92"/>
      <c r="E82" s="92" t="s">
        <v>298</v>
      </c>
      <c r="F82" s="92" t="s">
        <v>213</v>
      </c>
      <c r="G82" s="93">
        <v>28.05</v>
      </c>
      <c r="H82" s="93"/>
      <c r="I82" s="93"/>
      <c r="J82" s="77" t="s">
        <v>329</v>
      </c>
      <c r="K82" s="77" t="s">
        <v>142</v>
      </c>
      <c r="L82" s="33">
        <f>VLOOKUP(K82,Reinigungstage!A10:E31,5,FALSE)</f>
        <v>1</v>
      </c>
      <c r="M82" s="33">
        <f t="shared" si="10"/>
        <v>28.05</v>
      </c>
      <c r="N82" s="94">
        <f t="shared" si="19"/>
        <v>0</v>
      </c>
      <c r="O82" s="33">
        <f ca="1">IF('SVS GrundRG'!H61="",0,'SVS GrundRG'!H61)</f>
        <v>0</v>
      </c>
      <c r="P82" s="33">
        <f t="shared" si="11"/>
        <v>0</v>
      </c>
      <c r="Q82" s="33">
        <f t="shared" si="12"/>
        <v>0</v>
      </c>
      <c r="R82" s="33">
        <f t="shared" si="13"/>
        <v>0</v>
      </c>
      <c r="S82" s="3" t="str">
        <f t="shared" si="14"/>
        <v>Leistungswert eintragen</v>
      </c>
      <c r="U82" s="3">
        <f t="shared" si="15"/>
        <v>21</v>
      </c>
      <c r="V82" s="3">
        <f t="shared" si="16"/>
        <v>6.3</v>
      </c>
      <c r="W82" s="3">
        <f t="shared" si="17"/>
        <v>27.3</v>
      </c>
      <c r="X82" s="3" t="str">
        <f t="shared" si="18"/>
        <v/>
      </c>
    </row>
    <row r="83" spans="1:24" ht="15" customHeight="1" x14ac:dyDescent="0.2">
      <c r="A83" s="77">
        <v>62</v>
      </c>
      <c r="B83" s="91" t="s">
        <v>299</v>
      </c>
      <c r="C83" s="92" t="s">
        <v>276</v>
      </c>
      <c r="D83" s="92">
        <v>3</v>
      </c>
      <c r="E83" s="92" t="s">
        <v>209</v>
      </c>
      <c r="F83" s="92" t="s">
        <v>210</v>
      </c>
      <c r="G83" s="93">
        <v>16.100000000000001</v>
      </c>
      <c r="H83" s="93"/>
      <c r="I83" s="93"/>
      <c r="J83" s="77" t="s">
        <v>327</v>
      </c>
      <c r="K83" s="77" t="s">
        <v>142</v>
      </c>
      <c r="L83" s="33">
        <f>VLOOKUP(K83,Reinigungstage!A10:E31,5,FALSE)</f>
        <v>1</v>
      </c>
      <c r="M83" s="33">
        <f t="shared" si="10"/>
        <v>16.100000000000001</v>
      </c>
      <c r="N83" s="94">
        <f t="shared" si="19"/>
        <v>0</v>
      </c>
      <c r="O83" s="33">
        <f ca="1">IF('SVS GrundRG'!H61="",0,'SVS GrundRG'!H61)</f>
        <v>0</v>
      </c>
      <c r="P83" s="33">
        <f t="shared" si="11"/>
        <v>0</v>
      </c>
      <c r="Q83" s="33">
        <f t="shared" si="12"/>
        <v>0</v>
      </c>
      <c r="R83" s="33">
        <f t="shared" si="13"/>
        <v>0</v>
      </c>
      <c r="S83" s="3" t="str">
        <f t="shared" si="14"/>
        <v>Leistungswert eintragen</v>
      </c>
      <c r="U83" s="3">
        <f t="shared" si="15"/>
        <v>12.5</v>
      </c>
      <c r="V83" s="3">
        <f t="shared" si="16"/>
        <v>3.75</v>
      </c>
      <c r="W83" s="3">
        <f t="shared" si="17"/>
        <v>16.25</v>
      </c>
      <c r="X83" s="3" t="str">
        <f t="shared" si="18"/>
        <v/>
      </c>
    </row>
    <row r="84" spans="1:24" ht="15" customHeight="1" x14ac:dyDescent="0.2">
      <c r="A84" s="77">
        <v>63</v>
      </c>
      <c r="B84" s="91" t="s">
        <v>303</v>
      </c>
      <c r="C84" s="92" t="s">
        <v>276</v>
      </c>
      <c r="D84" s="92">
        <v>2</v>
      </c>
      <c r="E84" s="92" t="s">
        <v>223</v>
      </c>
      <c r="F84" s="92" t="s">
        <v>213</v>
      </c>
      <c r="G84" s="93">
        <v>40.75</v>
      </c>
      <c r="H84" s="93"/>
      <c r="I84" s="93"/>
      <c r="J84" s="77" t="s">
        <v>329</v>
      </c>
      <c r="K84" s="77" t="s">
        <v>142</v>
      </c>
      <c r="L84" s="33">
        <f>VLOOKUP(K84,Reinigungstage!A10:E31,5,FALSE)</f>
        <v>1</v>
      </c>
      <c r="M84" s="33">
        <f t="shared" ref="M84:M99" si="20">ROUND(IF(L84=0,0,L84*G84),2)</f>
        <v>40.75</v>
      </c>
      <c r="N84" s="94">
        <f t="shared" si="19"/>
        <v>0</v>
      </c>
      <c r="O84" s="33">
        <f ca="1">IF('SVS GrundRG'!H61="",0,'SVS GrundRG'!H61)</f>
        <v>0</v>
      </c>
      <c r="P84" s="33">
        <f t="shared" ref="P84:P99" si="21">ROUND(IF(N84=0,0,M84/N84),2)</f>
        <v>0</v>
      </c>
      <c r="Q84" s="33">
        <f t="shared" ref="Q84:Q99" si="22">ROUND(IF(P84=0,0,P84*O84),2)</f>
        <v>0</v>
      </c>
      <c r="R84" s="33">
        <f t="shared" ref="R84:R99" si="23">ROUND(IF(P84=0,0,Q84/L84),2)</f>
        <v>0</v>
      </c>
      <c r="S84" s="3" t="str">
        <f t="shared" ref="S84:S99" si="24">IF(M84=0,"",IF(N84=0,"Leistungswert eintragen",IF(O84=0,"SVS prüfen","")))</f>
        <v>Leistungswert eintragen</v>
      </c>
      <c r="U84" s="3">
        <f t="shared" ref="U84:U99" si="25">VLOOKUP(J84,$U$4:$V$11,2,FALSE)</f>
        <v>21</v>
      </c>
      <c r="V84" s="3">
        <f t="shared" ref="V84:V99" si="26">U84*30%</f>
        <v>6.3</v>
      </c>
      <c r="W84" s="3">
        <f t="shared" ref="W84:W99" si="27">SUM(U84:V84)</f>
        <v>27.3</v>
      </c>
      <c r="X84" s="3" t="str">
        <f t="shared" ref="X84:X99" si="28">IF(N84=0,"",IF(W84&lt;N84,1,IF(W84&gt;=N84,0,"")))</f>
        <v/>
      </c>
    </row>
    <row r="85" spans="1:24" ht="15" customHeight="1" x14ac:dyDescent="0.2">
      <c r="A85" s="77">
        <v>64</v>
      </c>
      <c r="B85" s="91" t="s">
        <v>304</v>
      </c>
      <c r="C85" s="92" t="s">
        <v>276</v>
      </c>
      <c r="D85" s="92"/>
      <c r="E85" s="92" t="s">
        <v>228</v>
      </c>
      <c r="F85" s="92" t="s">
        <v>210</v>
      </c>
      <c r="G85" s="93">
        <v>20.75</v>
      </c>
      <c r="H85" s="93"/>
      <c r="I85" s="93"/>
      <c r="J85" s="77" t="s">
        <v>331</v>
      </c>
      <c r="K85" s="77" t="s">
        <v>142</v>
      </c>
      <c r="L85" s="33">
        <f>VLOOKUP(K85,Reinigungstage!A10:E31,5,FALSE)</f>
        <v>1</v>
      </c>
      <c r="M85" s="33">
        <f t="shared" si="20"/>
        <v>20.75</v>
      </c>
      <c r="N85" s="94">
        <f t="shared" si="19"/>
        <v>0</v>
      </c>
      <c r="O85" s="33">
        <f ca="1">IF('SVS GrundRG'!H61="",0,'SVS GrundRG'!H61)</f>
        <v>0</v>
      </c>
      <c r="P85" s="33">
        <f t="shared" si="21"/>
        <v>0</v>
      </c>
      <c r="Q85" s="33">
        <f t="shared" si="22"/>
        <v>0</v>
      </c>
      <c r="R85" s="33">
        <f t="shared" si="23"/>
        <v>0</v>
      </c>
      <c r="S85" s="3" t="str">
        <f t="shared" si="24"/>
        <v>Leistungswert eintragen</v>
      </c>
      <c r="U85" s="3">
        <f t="shared" si="25"/>
        <v>6.25</v>
      </c>
      <c r="V85" s="3">
        <f t="shared" si="26"/>
        <v>1.875</v>
      </c>
      <c r="W85" s="3">
        <f t="shared" si="27"/>
        <v>8.125</v>
      </c>
      <c r="X85" s="3" t="str">
        <f t="shared" si="28"/>
        <v/>
      </c>
    </row>
    <row r="86" spans="1:24" ht="15" customHeight="1" x14ac:dyDescent="0.2">
      <c r="A86" s="77">
        <v>65</v>
      </c>
      <c r="B86" s="91" t="s">
        <v>305</v>
      </c>
      <c r="C86" s="92" t="s">
        <v>276</v>
      </c>
      <c r="D86" s="92"/>
      <c r="E86" s="92" t="s">
        <v>226</v>
      </c>
      <c r="F86" s="92" t="s">
        <v>210</v>
      </c>
      <c r="G86" s="93">
        <v>27.05</v>
      </c>
      <c r="H86" s="93"/>
      <c r="I86" s="93"/>
      <c r="J86" s="77" t="s">
        <v>331</v>
      </c>
      <c r="K86" s="77" t="s">
        <v>142</v>
      </c>
      <c r="L86" s="33">
        <f>VLOOKUP(K86,Reinigungstage!A10:E31,5,FALSE)</f>
        <v>1</v>
      </c>
      <c r="M86" s="33">
        <f t="shared" si="20"/>
        <v>27.05</v>
      </c>
      <c r="N86" s="94">
        <f t="shared" ref="N86:N99" si="29">VLOOKUP(J86,$G$4:$H$10,2,FALSE)</f>
        <v>0</v>
      </c>
      <c r="O86" s="33">
        <f ca="1">IF('SVS GrundRG'!H61="",0,'SVS GrundRG'!H61)</f>
        <v>0</v>
      </c>
      <c r="P86" s="33">
        <f t="shared" si="21"/>
        <v>0</v>
      </c>
      <c r="Q86" s="33">
        <f t="shared" si="22"/>
        <v>0</v>
      </c>
      <c r="R86" s="33">
        <f t="shared" si="23"/>
        <v>0</v>
      </c>
      <c r="S86" s="3" t="str">
        <f t="shared" si="24"/>
        <v>Leistungswert eintragen</v>
      </c>
      <c r="U86" s="3">
        <f t="shared" si="25"/>
        <v>6.25</v>
      </c>
      <c r="V86" s="3">
        <f t="shared" si="26"/>
        <v>1.875</v>
      </c>
      <c r="W86" s="3">
        <f t="shared" si="27"/>
        <v>8.125</v>
      </c>
      <c r="X86" s="3" t="str">
        <f t="shared" si="28"/>
        <v/>
      </c>
    </row>
    <row r="87" spans="1:24" ht="15" customHeight="1" x14ac:dyDescent="0.2">
      <c r="A87" s="77">
        <v>66</v>
      </c>
      <c r="B87" s="91" t="s">
        <v>306</v>
      </c>
      <c r="C87" s="92" t="s">
        <v>276</v>
      </c>
      <c r="D87" s="92"/>
      <c r="E87" s="92" t="s">
        <v>307</v>
      </c>
      <c r="F87" s="92" t="s">
        <v>210</v>
      </c>
      <c r="G87" s="93">
        <v>6.5</v>
      </c>
      <c r="H87" s="93"/>
      <c r="I87" s="93"/>
      <c r="J87" s="77" t="s">
        <v>331</v>
      </c>
      <c r="K87" s="77" t="s">
        <v>142</v>
      </c>
      <c r="L87" s="33">
        <f>VLOOKUP(K87,Reinigungstage!A10:E31,5,FALSE)</f>
        <v>1</v>
      </c>
      <c r="M87" s="33">
        <f t="shared" si="20"/>
        <v>6.5</v>
      </c>
      <c r="N87" s="94">
        <f t="shared" si="29"/>
        <v>0</v>
      </c>
      <c r="O87" s="33">
        <f ca="1">IF('SVS GrundRG'!H61="",0,'SVS GrundRG'!H61)</f>
        <v>0</v>
      </c>
      <c r="P87" s="33">
        <f t="shared" si="21"/>
        <v>0</v>
      </c>
      <c r="Q87" s="33">
        <f t="shared" si="22"/>
        <v>0</v>
      </c>
      <c r="R87" s="33">
        <f t="shared" si="23"/>
        <v>0</v>
      </c>
      <c r="S87" s="3" t="str">
        <f t="shared" si="24"/>
        <v>Leistungswert eintragen</v>
      </c>
      <c r="U87" s="3">
        <f t="shared" si="25"/>
        <v>6.25</v>
      </c>
      <c r="V87" s="3">
        <f t="shared" si="26"/>
        <v>1.875</v>
      </c>
      <c r="W87" s="3">
        <f t="shared" si="27"/>
        <v>8.125</v>
      </c>
      <c r="X87" s="3" t="str">
        <f t="shared" si="28"/>
        <v/>
      </c>
    </row>
    <row r="88" spans="1:24" ht="15" customHeight="1" x14ac:dyDescent="0.2">
      <c r="A88" s="77">
        <v>67</v>
      </c>
      <c r="B88" s="91" t="s">
        <v>308</v>
      </c>
      <c r="C88" s="92" t="s">
        <v>276</v>
      </c>
      <c r="D88" s="92"/>
      <c r="E88" s="92" t="s">
        <v>309</v>
      </c>
      <c r="F88" s="92" t="s">
        <v>210</v>
      </c>
      <c r="G88" s="93">
        <v>10.1</v>
      </c>
      <c r="H88" s="93"/>
      <c r="I88" s="93"/>
      <c r="J88" s="77" t="s">
        <v>331</v>
      </c>
      <c r="K88" s="77" t="s">
        <v>142</v>
      </c>
      <c r="L88" s="33">
        <f>VLOOKUP(K88,Reinigungstage!A10:E31,5,FALSE)</f>
        <v>1</v>
      </c>
      <c r="M88" s="33">
        <f t="shared" si="20"/>
        <v>10.1</v>
      </c>
      <c r="N88" s="94">
        <f t="shared" si="29"/>
        <v>0</v>
      </c>
      <c r="O88" s="33">
        <f ca="1">IF('SVS GrundRG'!H61="",0,'SVS GrundRG'!H61)</f>
        <v>0</v>
      </c>
      <c r="P88" s="33">
        <f t="shared" si="21"/>
        <v>0</v>
      </c>
      <c r="Q88" s="33">
        <f t="shared" si="22"/>
        <v>0</v>
      </c>
      <c r="R88" s="33">
        <f t="shared" si="23"/>
        <v>0</v>
      </c>
      <c r="S88" s="3" t="str">
        <f t="shared" si="24"/>
        <v>Leistungswert eintragen</v>
      </c>
      <c r="U88" s="3">
        <f t="shared" si="25"/>
        <v>6.25</v>
      </c>
      <c r="V88" s="3">
        <f t="shared" si="26"/>
        <v>1.875</v>
      </c>
      <c r="W88" s="3">
        <f t="shared" si="27"/>
        <v>8.125</v>
      </c>
      <c r="X88" s="3" t="str">
        <f t="shared" si="28"/>
        <v/>
      </c>
    </row>
    <row r="89" spans="1:24" ht="15" customHeight="1" x14ac:dyDescent="0.2">
      <c r="A89" s="77">
        <v>68</v>
      </c>
      <c r="B89" s="91" t="s">
        <v>310</v>
      </c>
      <c r="C89" s="92" t="s">
        <v>276</v>
      </c>
      <c r="D89" s="92"/>
      <c r="E89" s="92" t="s">
        <v>311</v>
      </c>
      <c r="F89" s="92" t="s">
        <v>210</v>
      </c>
      <c r="G89" s="93">
        <v>4.5999999999999996</v>
      </c>
      <c r="H89" s="93"/>
      <c r="I89" s="93"/>
      <c r="J89" s="77" t="s">
        <v>331</v>
      </c>
      <c r="K89" s="77" t="s">
        <v>142</v>
      </c>
      <c r="L89" s="33">
        <f>VLOOKUP(K89,Reinigungstage!A10:E31,5,FALSE)</f>
        <v>1</v>
      </c>
      <c r="M89" s="33">
        <f t="shared" si="20"/>
        <v>4.5999999999999996</v>
      </c>
      <c r="N89" s="94">
        <f t="shared" si="29"/>
        <v>0</v>
      </c>
      <c r="O89" s="33">
        <f ca="1">IF('SVS GrundRG'!H61="",0,'SVS GrundRG'!H61)</f>
        <v>0</v>
      </c>
      <c r="P89" s="33">
        <f t="shared" si="21"/>
        <v>0</v>
      </c>
      <c r="Q89" s="33">
        <f t="shared" si="22"/>
        <v>0</v>
      </c>
      <c r="R89" s="33">
        <f t="shared" si="23"/>
        <v>0</v>
      </c>
      <c r="S89" s="3" t="str">
        <f t="shared" si="24"/>
        <v>Leistungswert eintragen</v>
      </c>
      <c r="U89" s="3">
        <f t="shared" si="25"/>
        <v>6.25</v>
      </c>
      <c r="V89" s="3">
        <f t="shared" si="26"/>
        <v>1.875</v>
      </c>
      <c r="W89" s="3">
        <f t="shared" si="27"/>
        <v>8.125</v>
      </c>
      <c r="X89" s="3" t="str">
        <f t="shared" si="28"/>
        <v/>
      </c>
    </row>
    <row r="90" spans="1:24" ht="15" customHeight="1" x14ac:dyDescent="0.2">
      <c r="A90" s="77">
        <v>69</v>
      </c>
      <c r="B90" s="91" t="s">
        <v>312</v>
      </c>
      <c r="C90" s="92" t="s">
        <v>276</v>
      </c>
      <c r="D90" s="92"/>
      <c r="E90" s="92" t="s">
        <v>313</v>
      </c>
      <c r="F90" s="92" t="s">
        <v>210</v>
      </c>
      <c r="G90" s="93">
        <v>7.55</v>
      </c>
      <c r="H90" s="93"/>
      <c r="I90" s="93"/>
      <c r="J90" s="77" t="s">
        <v>331</v>
      </c>
      <c r="K90" s="77" t="s">
        <v>142</v>
      </c>
      <c r="L90" s="33">
        <f>VLOOKUP(K90,Reinigungstage!A10:E31,5,FALSE)</f>
        <v>1</v>
      </c>
      <c r="M90" s="33">
        <f t="shared" si="20"/>
        <v>7.55</v>
      </c>
      <c r="N90" s="94">
        <f t="shared" si="29"/>
        <v>0</v>
      </c>
      <c r="O90" s="33">
        <f ca="1">IF('SVS GrundRG'!H61="",0,'SVS GrundRG'!H61)</f>
        <v>0</v>
      </c>
      <c r="P90" s="33">
        <f t="shared" si="21"/>
        <v>0</v>
      </c>
      <c r="Q90" s="33">
        <f t="shared" si="22"/>
        <v>0</v>
      </c>
      <c r="R90" s="33">
        <f t="shared" si="23"/>
        <v>0</v>
      </c>
      <c r="S90" s="3" t="str">
        <f t="shared" si="24"/>
        <v>Leistungswert eintragen</v>
      </c>
      <c r="U90" s="3">
        <f t="shared" si="25"/>
        <v>6.25</v>
      </c>
      <c r="V90" s="3">
        <f t="shared" si="26"/>
        <v>1.875</v>
      </c>
      <c r="W90" s="3">
        <f t="shared" si="27"/>
        <v>8.125</v>
      </c>
      <c r="X90" s="3" t="str">
        <f t="shared" si="28"/>
        <v/>
      </c>
    </row>
    <row r="91" spans="1:24" ht="15" customHeight="1" x14ac:dyDescent="0.2">
      <c r="A91" s="77">
        <v>70</v>
      </c>
      <c r="B91" s="91" t="s">
        <v>314</v>
      </c>
      <c r="C91" s="92" t="s">
        <v>276</v>
      </c>
      <c r="D91" s="92">
        <v>3</v>
      </c>
      <c r="E91" s="92" t="s">
        <v>212</v>
      </c>
      <c r="F91" s="92" t="s">
        <v>213</v>
      </c>
      <c r="G91" s="93">
        <v>52.95</v>
      </c>
      <c r="H91" s="93"/>
      <c r="I91" s="93"/>
      <c r="J91" s="77" t="s">
        <v>328</v>
      </c>
      <c r="K91" s="77" t="s">
        <v>142</v>
      </c>
      <c r="L91" s="33">
        <f>VLOOKUP(K91,Reinigungstage!A10:E31,5,FALSE)</f>
        <v>1</v>
      </c>
      <c r="M91" s="33">
        <f t="shared" si="20"/>
        <v>52.95</v>
      </c>
      <c r="N91" s="94">
        <f t="shared" si="29"/>
        <v>0</v>
      </c>
      <c r="O91" s="33">
        <f ca="1">IF('SVS GrundRG'!H61="",0,'SVS GrundRG'!H61)</f>
        <v>0</v>
      </c>
      <c r="P91" s="33">
        <f t="shared" si="21"/>
        <v>0</v>
      </c>
      <c r="Q91" s="33">
        <f t="shared" si="22"/>
        <v>0</v>
      </c>
      <c r="R91" s="33">
        <f t="shared" si="23"/>
        <v>0</v>
      </c>
      <c r="S91" s="3" t="str">
        <f t="shared" si="24"/>
        <v>Leistungswert eintragen</v>
      </c>
      <c r="U91" s="3">
        <f t="shared" si="25"/>
        <v>13.25</v>
      </c>
      <c r="V91" s="3">
        <f t="shared" si="26"/>
        <v>3.9749999999999996</v>
      </c>
      <c r="W91" s="3">
        <f t="shared" si="27"/>
        <v>17.225000000000001</v>
      </c>
      <c r="X91" s="3" t="str">
        <f t="shared" si="28"/>
        <v/>
      </c>
    </row>
    <row r="92" spans="1:24" ht="15" customHeight="1" x14ac:dyDescent="0.2">
      <c r="A92" s="77">
        <v>71</v>
      </c>
      <c r="B92" s="91" t="s">
        <v>315</v>
      </c>
      <c r="C92" s="92" t="s">
        <v>276</v>
      </c>
      <c r="D92" s="92"/>
      <c r="E92" s="92" t="s">
        <v>316</v>
      </c>
      <c r="F92" s="92" t="s">
        <v>213</v>
      </c>
      <c r="G92" s="93">
        <v>37</v>
      </c>
      <c r="H92" s="93"/>
      <c r="I92" s="93"/>
      <c r="J92" s="77" t="s">
        <v>232</v>
      </c>
      <c r="K92" s="77" t="s">
        <v>142</v>
      </c>
      <c r="L92" s="33">
        <f>VLOOKUP(K92,Reinigungstage!A10:E31,5,FALSE)</f>
        <v>1</v>
      </c>
      <c r="M92" s="33">
        <f t="shared" si="20"/>
        <v>37</v>
      </c>
      <c r="N92" s="94">
        <f t="shared" si="29"/>
        <v>0</v>
      </c>
      <c r="O92" s="33">
        <f ca="1">IF('SVS GrundRG'!H61="",0,'SVS GrundRG'!H61)</f>
        <v>0</v>
      </c>
      <c r="P92" s="33">
        <f t="shared" si="21"/>
        <v>0</v>
      </c>
      <c r="Q92" s="33">
        <f t="shared" si="22"/>
        <v>0</v>
      </c>
      <c r="R92" s="33">
        <f t="shared" si="23"/>
        <v>0</v>
      </c>
      <c r="S92" s="3" t="str">
        <f t="shared" si="24"/>
        <v>Leistungswert eintragen</v>
      </c>
      <c r="U92" s="3">
        <f t="shared" si="25"/>
        <v>11.5</v>
      </c>
      <c r="V92" s="3">
        <f t="shared" si="26"/>
        <v>3.4499999999999997</v>
      </c>
      <c r="W92" s="3">
        <f t="shared" si="27"/>
        <v>14.95</v>
      </c>
      <c r="X92" s="3" t="str">
        <f t="shared" si="28"/>
        <v/>
      </c>
    </row>
    <row r="93" spans="1:24" ht="21" x14ac:dyDescent="0.2">
      <c r="A93" s="77">
        <v>72</v>
      </c>
      <c r="B93" s="91" t="s">
        <v>317</v>
      </c>
      <c r="C93" s="92" t="s">
        <v>276</v>
      </c>
      <c r="D93" s="92"/>
      <c r="E93" s="92" t="s">
        <v>318</v>
      </c>
      <c r="F93" s="92" t="s">
        <v>213</v>
      </c>
      <c r="G93" s="93">
        <v>55.3</v>
      </c>
      <c r="H93" s="93"/>
      <c r="I93" s="93"/>
      <c r="J93" s="77" t="s">
        <v>328</v>
      </c>
      <c r="K93" s="77" t="s">
        <v>142</v>
      </c>
      <c r="L93" s="33">
        <f>VLOOKUP(K93,Reinigungstage!A10:E31,5,FALSE)</f>
        <v>1</v>
      </c>
      <c r="M93" s="33">
        <f t="shared" si="20"/>
        <v>55.3</v>
      </c>
      <c r="N93" s="94">
        <f t="shared" si="29"/>
        <v>0</v>
      </c>
      <c r="O93" s="33">
        <f ca="1">IF('SVS GrundRG'!H61="",0,'SVS GrundRG'!H61)</f>
        <v>0</v>
      </c>
      <c r="P93" s="33">
        <f t="shared" si="21"/>
        <v>0</v>
      </c>
      <c r="Q93" s="33">
        <f t="shared" si="22"/>
        <v>0</v>
      </c>
      <c r="R93" s="33">
        <f t="shared" si="23"/>
        <v>0</v>
      </c>
      <c r="S93" s="3" t="str">
        <f t="shared" si="24"/>
        <v>Leistungswert eintragen</v>
      </c>
      <c r="U93" s="3">
        <f t="shared" si="25"/>
        <v>13.25</v>
      </c>
      <c r="V93" s="3">
        <f t="shared" si="26"/>
        <v>3.9749999999999996</v>
      </c>
      <c r="W93" s="3">
        <f t="shared" si="27"/>
        <v>17.225000000000001</v>
      </c>
      <c r="X93" s="3" t="str">
        <f t="shared" si="28"/>
        <v/>
      </c>
    </row>
    <row r="94" spans="1:24" ht="15" customHeight="1" x14ac:dyDescent="0.2">
      <c r="A94" s="77">
        <v>73</v>
      </c>
      <c r="B94" s="91" t="s">
        <v>319</v>
      </c>
      <c r="C94" s="92" t="s">
        <v>276</v>
      </c>
      <c r="D94" s="92"/>
      <c r="E94" s="92" t="s">
        <v>320</v>
      </c>
      <c r="F94" s="92" t="s">
        <v>213</v>
      </c>
      <c r="G94" s="93">
        <v>18.600000000000001</v>
      </c>
      <c r="H94" s="93"/>
      <c r="I94" s="93"/>
      <c r="J94" s="77" t="s">
        <v>328</v>
      </c>
      <c r="K94" s="77" t="s">
        <v>142</v>
      </c>
      <c r="L94" s="33">
        <f>VLOOKUP(K94,Reinigungstage!A10:E31,5,FALSE)</f>
        <v>1</v>
      </c>
      <c r="M94" s="33">
        <f t="shared" si="20"/>
        <v>18.600000000000001</v>
      </c>
      <c r="N94" s="94">
        <f t="shared" si="29"/>
        <v>0</v>
      </c>
      <c r="O94" s="33">
        <f ca="1">IF('SVS GrundRG'!H61="",0,'SVS GrundRG'!H61)</f>
        <v>0</v>
      </c>
      <c r="P94" s="33">
        <f t="shared" si="21"/>
        <v>0</v>
      </c>
      <c r="Q94" s="33">
        <f t="shared" si="22"/>
        <v>0</v>
      </c>
      <c r="R94" s="33">
        <f t="shared" si="23"/>
        <v>0</v>
      </c>
      <c r="S94" s="3" t="str">
        <f t="shared" si="24"/>
        <v>Leistungswert eintragen</v>
      </c>
      <c r="U94" s="3">
        <f t="shared" si="25"/>
        <v>13.25</v>
      </c>
      <c r="V94" s="3">
        <f t="shared" si="26"/>
        <v>3.9749999999999996</v>
      </c>
      <c r="W94" s="3">
        <f t="shared" si="27"/>
        <v>17.225000000000001</v>
      </c>
      <c r="X94" s="3" t="str">
        <f t="shared" si="28"/>
        <v/>
      </c>
    </row>
    <row r="95" spans="1:24" ht="15" customHeight="1" x14ac:dyDescent="0.2">
      <c r="A95" s="77">
        <v>74</v>
      </c>
      <c r="B95" s="91" t="s">
        <v>321</v>
      </c>
      <c r="C95" s="92" t="s">
        <v>276</v>
      </c>
      <c r="D95" s="92">
        <v>2</v>
      </c>
      <c r="E95" s="92" t="s">
        <v>212</v>
      </c>
      <c r="F95" s="92" t="s">
        <v>213</v>
      </c>
      <c r="G95" s="93">
        <v>54.15</v>
      </c>
      <c r="H95" s="93"/>
      <c r="I95" s="93"/>
      <c r="J95" s="77" t="s">
        <v>328</v>
      </c>
      <c r="K95" s="77" t="s">
        <v>142</v>
      </c>
      <c r="L95" s="33">
        <f>VLOOKUP(K95,Reinigungstage!A10:E31,5,FALSE)</f>
        <v>1</v>
      </c>
      <c r="M95" s="33">
        <f t="shared" si="20"/>
        <v>54.15</v>
      </c>
      <c r="N95" s="94">
        <f t="shared" si="29"/>
        <v>0</v>
      </c>
      <c r="O95" s="33">
        <f ca="1">IF('SVS GrundRG'!H61="",0,'SVS GrundRG'!H61)</f>
        <v>0</v>
      </c>
      <c r="P95" s="33">
        <f t="shared" si="21"/>
        <v>0</v>
      </c>
      <c r="Q95" s="33">
        <f t="shared" si="22"/>
        <v>0</v>
      </c>
      <c r="R95" s="33">
        <f t="shared" si="23"/>
        <v>0</v>
      </c>
      <c r="S95" s="3" t="str">
        <f t="shared" si="24"/>
        <v>Leistungswert eintragen</v>
      </c>
      <c r="U95" s="3">
        <f t="shared" si="25"/>
        <v>13.25</v>
      </c>
      <c r="V95" s="3">
        <f t="shared" si="26"/>
        <v>3.9749999999999996</v>
      </c>
      <c r="W95" s="3">
        <f t="shared" si="27"/>
        <v>17.225000000000001</v>
      </c>
      <c r="X95" s="3" t="str">
        <f t="shared" si="28"/>
        <v/>
      </c>
    </row>
    <row r="96" spans="1:24" ht="15" customHeight="1" x14ac:dyDescent="0.2">
      <c r="A96" s="77">
        <v>75</v>
      </c>
      <c r="B96" s="91" t="s">
        <v>322</v>
      </c>
      <c r="C96" s="92" t="s">
        <v>276</v>
      </c>
      <c r="D96" s="92">
        <v>1</v>
      </c>
      <c r="E96" s="92" t="s">
        <v>212</v>
      </c>
      <c r="F96" s="92" t="s">
        <v>213</v>
      </c>
      <c r="G96" s="93">
        <v>59.8</v>
      </c>
      <c r="H96" s="93"/>
      <c r="I96" s="93"/>
      <c r="J96" s="77" t="s">
        <v>328</v>
      </c>
      <c r="K96" s="77" t="s">
        <v>142</v>
      </c>
      <c r="L96" s="33">
        <f>VLOOKUP(K96,Reinigungstage!A10:E31,5,FALSE)</f>
        <v>1</v>
      </c>
      <c r="M96" s="33">
        <f t="shared" si="20"/>
        <v>59.8</v>
      </c>
      <c r="N96" s="94">
        <f t="shared" si="29"/>
        <v>0</v>
      </c>
      <c r="O96" s="33">
        <f ca="1">IF('SVS GrundRG'!H61="",0,'SVS GrundRG'!H61)</f>
        <v>0</v>
      </c>
      <c r="P96" s="33">
        <f t="shared" si="21"/>
        <v>0</v>
      </c>
      <c r="Q96" s="33">
        <f t="shared" si="22"/>
        <v>0</v>
      </c>
      <c r="R96" s="33">
        <f t="shared" si="23"/>
        <v>0</v>
      </c>
      <c r="S96" s="3" t="str">
        <f t="shared" si="24"/>
        <v>Leistungswert eintragen</v>
      </c>
      <c r="U96" s="3">
        <f t="shared" si="25"/>
        <v>13.25</v>
      </c>
      <c r="V96" s="3">
        <f t="shared" si="26"/>
        <v>3.9749999999999996</v>
      </c>
      <c r="W96" s="3">
        <f t="shared" si="27"/>
        <v>17.225000000000001</v>
      </c>
      <c r="X96" s="3" t="str">
        <f t="shared" si="28"/>
        <v/>
      </c>
    </row>
    <row r="97" spans="1:24" ht="15" customHeight="1" x14ac:dyDescent="0.2">
      <c r="A97" s="77">
        <v>76</v>
      </c>
      <c r="B97" s="91" t="s">
        <v>323</v>
      </c>
      <c r="C97" s="92" t="s">
        <v>276</v>
      </c>
      <c r="D97" s="92"/>
      <c r="E97" s="92" t="s">
        <v>324</v>
      </c>
      <c r="F97" s="92" t="s">
        <v>213</v>
      </c>
      <c r="G97" s="93">
        <v>13.35</v>
      </c>
      <c r="H97" s="93"/>
      <c r="I97" s="93"/>
      <c r="J97" s="77" t="s">
        <v>330</v>
      </c>
      <c r="K97" s="77" t="s">
        <v>142</v>
      </c>
      <c r="L97" s="33">
        <f>VLOOKUP(K97,Reinigungstage!A10:E31,5,FALSE)</f>
        <v>1</v>
      </c>
      <c r="M97" s="33">
        <f t="shared" si="20"/>
        <v>13.35</v>
      </c>
      <c r="N97" s="94">
        <f t="shared" si="29"/>
        <v>0</v>
      </c>
      <c r="O97" s="33">
        <f ca="1">IF('SVS GrundRG'!H61="",0,'SVS GrundRG'!H61)</f>
        <v>0</v>
      </c>
      <c r="P97" s="33">
        <f t="shared" si="21"/>
        <v>0</v>
      </c>
      <c r="Q97" s="33">
        <f t="shared" si="22"/>
        <v>0</v>
      </c>
      <c r="R97" s="33">
        <f t="shared" si="23"/>
        <v>0</v>
      </c>
      <c r="S97" s="3" t="str">
        <f t="shared" si="24"/>
        <v>Leistungswert eintragen</v>
      </c>
      <c r="U97" s="3">
        <f t="shared" si="25"/>
        <v>12.75</v>
      </c>
      <c r="V97" s="3">
        <f t="shared" si="26"/>
        <v>3.8249999999999997</v>
      </c>
      <c r="W97" s="3">
        <f t="shared" si="27"/>
        <v>16.574999999999999</v>
      </c>
      <c r="X97" s="3" t="str">
        <f t="shared" si="28"/>
        <v/>
      </c>
    </row>
    <row r="98" spans="1:24" ht="15" customHeight="1" x14ac:dyDescent="0.2">
      <c r="A98" s="77">
        <v>77</v>
      </c>
      <c r="B98" s="91" t="s">
        <v>325</v>
      </c>
      <c r="C98" s="92" t="s">
        <v>276</v>
      </c>
      <c r="D98" s="92">
        <v>3</v>
      </c>
      <c r="E98" s="92" t="s">
        <v>223</v>
      </c>
      <c r="F98" s="92" t="s">
        <v>213</v>
      </c>
      <c r="G98" s="93">
        <v>8.0500000000000007</v>
      </c>
      <c r="H98" s="93"/>
      <c r="I98" s="93"/>
      <c r="J98" s="77" t="s">
        <v>329</v>
      </c>
      <c r="K98" s="77" t="s">
        <v>142</v>
      </c>
      <c r="L98" s="33">
        <f>VLOOKUP(K98,Reinigungstage!A10:E31,5,FALSE)</f>
        <v>1</v>
      </c>
      <c r="M98" s="33">
        <f t="shared" si="20"/>
        <v>8.0500000000000007</v>
      </c>
      <c r="N98" s="94">
        <f t="shared" si="29"/>
        <v>0</v>
      </c>
      <c r="O98" s="33">
        <f ca="1">IF('SVS GrundRG'!H61="",0,'SVS GrundRG'!H61)</f>
        <v>0</v>
      </c>
      <c r="P98" s="33">
        <f t="shared" si="21"/>
        <v>0</v>
      </c>
      <c r="Q98" s="33">
        <f t="shared" si="22"/>
        <v>0</v>
      </c>
      <c r="R98" s="33">
        <f t="shared" si="23"/>
        <v>0</v>
      </c>
      <c r="S98" s="3" t="str">
        <f t="shared" si="24"/>
        <v>Leistungswert eintragen</v>
      </c>
      <c r="U98" s="3">
        <f t="shared" si="25"/>
        <v>21</v>
      </c>
      <c r="V98" s="3">
        <f t="shared" si="26"/>
        <v>6.3</v>
      </c>
      <c r="W98" s="3">
        <f t="shared" si="27"/>
        <v>27.3</v>
      </c>
      <c r="X98" s="3" t="str">
        <f t="shared" si="28"/>
        <v/>
      </c>
    </row>
    <row r="99" spans="1:24" ht="15" customHeight="1" x14ac:dyDescent="0.2">
      <c r="A99" s="77">
        <v>78</v>
      </c>
      <c r="B99" s="91" t="s">
        <v>326</v>
      </c>
      <c r="C99" s="92" t="s">
        <v>276</v>
      </c>
      <c r="D99" s="92">
        <v>1</v>
      </c>
      <c r="E99" s="92" t="s">
        <v>209</v>
      </c>
      <c r="F99" s="92" t="s">
        <v>210</v>
      </c>
      <c r="G99" s="93">
        <v>30.2</v>
      </c>
      <c r="H99" s="93"/>
      <c r="I99" s="93"/>
      <c r="J99" s="77" t="s">
        <v>327</v>
      </c>
      <c r="K99" s="77" t="s">
        <v>142</v>
      </c>
      <c r="L99" s="33">
        <f>VLOOKUP(K99,Reinigungstage!A10:E31,5,FALSE)</f>
        <v>1</v>
      </c>
      <c r="M99" s="33">
        <f t="shared" si="20"/>
        <v>30.2</v>
      </c>
      <c r="N99" s="94">
        <f t="shared" si="29"/>
        <v>0</v>
      </c>
      <c r="O99" s="33">
        <f ca="1">IF('SVS GrundRG'!H61="",0,'SVS GrundRG'!H61)</f>
        <v>0</v>
      </c>
      <c r="P99" s="33">
        <f t="shared" si="21"/>
        <v>0</v>
      </c>
      <c r="Q99" s="33">
        <f t="shared" si="22"/>
        <v>0</v>
      </c>
      <c r="R99" s="33">
        <f t="shared" si="23"/>
        <v>0</v>
      </c>
      <c r="S99" s="3" t="str">
        <f t="shared" si="24"/>
        <v>Leistungswert eintragen</v>
      </c>
      <c r="U99" s="3">
        <f t="shared" si="25"/>
        <v>12.5</v>
      </c>
      <c r="V99" s="3">
        <f t="shared" si="26"/>
        <v>3.75</v>
      </c>
      <c r="W99" s="3">
        <f t="shared" si="27"/>
        <v>16.25</v>
      </c>
      <c r="X99" s="3" t="str">
        <f t="shared" si="28"/>
        <v/>
      </c>
    </row>
  </sheetData>
  <sheetProtection algorithmName="SHA-512" hashValue="keiGN6jbu8fT9PKx+FQZBwgdVQYl2cNT9gQvVNq2IZkhcwf5b0UXOCuWYUkWgrGC0bv8Bu3QUz0TNvt46aK9CQ==" saltValue="ii3fWZdJPEzcTp1VXLJyhQ=="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9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97" priority="5" operator="containsText" text="Bitte prüfen Sie diese.">
      <formula>NOT(ISERROR(SEARCH("Bitte prüfen Sie diese.",L9)))</formula>
    </cfRule>
  </conditionalFormatting>
  <conditionalFormatting sqref="L10">
    <cfRule type="containsText" dxfId="9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95" priority="3" operator="containsText" text="lediglich Fehleingaben vermeiden wollen.">
      <formula>NOT(ISERROR(SEARCH("lediglich Fehleingaben vermeiden wollen.",L11)))</formula>
    </cfRule>
  </conditionalFormatting>
  <conditionalFormatting sqref="M11">
    <cfRule type="containsText" dxfId="9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3" priority="7" operator="containsText" text="für die Objektart prüfen.">
      <formula>NOT(ISERROR(SEARCH("für die Objektart prüfen.",M12)))</formula>
    </cfRule>
  </conditionalFormatting>
  <conditionalFormatting sqref="N13">
    <cfRule type="expression" dxfId="92" priority="2" stopIfTrue="1">
      <formula>N13=0</formula>
    </cfRule>
  </conditionalFormatting>
  <conditionalFormatting sqref="N14">
    <cfRule type="expression" dxfId="91" priority="1">
      <formula>N14=0</formula>
    </cfRule>
  </conditionalFormatting>
  <conditionalFormatting sqref="N22:N99">
    <cfRule type="expression" dxfId="90" priority="11">
      <formula>X22=0</formula>
    </cfRule>
    <cfRule type="expression" dxfId="89" priority="12" stopIfTrue="1">
      <formula>X22=1</formula>
    </cfRule>
  </conditionalFormatting>
  <conditionalFormatting sqref="O13">
    <cfRule type="containsText" dxfId="8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87" priority="9" operator="containsText" text="Wert(e) prüfen.">
      <formula>NOT(ISERROR(SEARCH("Wert(e) prüfen.",O14)))</formula>
    </cfRule>
  </conditionalFormatting>
  <conditionalFormatting sqref="S22:S99">
    <cfRule type="containsText" dxfId="86" priority="13" stopIfTrue="1" operator="containsText" text="SVS prüfen">
      <formula>NOT(ISERROR(SEARCH("SVS prüfen",S22)))</formula>
    </cfRule>
    <cfRule type="containsText" dxfId="85" priority="14" stopIfTrue="1" operator="containsText" text="Leistungswert eintragen">
      <formula>NOT(ISERROR(SEARCH("Leistungswert eintragen",S22)))</formula>
    </cfRule>
  </conditionalFormatting>
  <hyperlinks>
    <hyperlink ref="M1" location="Inhaltsverzeichnis!A1" display="Zurück zum Inhaltsverzeichnis" xr:uid="{FC4F4FEF-75D0-46F5-BC1F-01ECC73302D0}"/>
  </hyperlinks>
  <printOptions horizontalCentered="1"/>
  <pageMargins left="0.78740157480314965" right="0.78740157480314965" top="0.98425196850393704" bottom="0.98425196850393704" header="0.51181102362204722" footer="0.51181102362204722"/>
  <pageSetup paperSize="9" scale="59" orientation="landscape" r:id="rId1"/>
  <headerFooter alignWithMargins="0">
    <oddHeader>&amp;L&amp;F</oddHeader>
    <oddFooter>&amp;LSalzstadt Staßfurt&amp;CSeite &amp;P von &amp;N&amp;RKal Grund GS Uhland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9570"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9571"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9572"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0882-0085-4D06-B3CF-AB7338930792}">
  <sheetPr codeName="Tabelle37">
    <tabColor indexed="40"/>
  </sheetPr>
  <dimension ref="A1:V4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1406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1406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33" t="s">
        <v>150</v>
      </c>
      <c r="B2" s="134"/>
      <c r="C2" s="134"/>
      <c r="D2" s="134" t="b">
        <v>0</v>
      </c>
      <c r="E2" s="135"/>
      <c r="G2" s="136" t="s">
        <v>163</v>
      </c>
      <c r="H2" s="136" t="s">
        <v>155</v>
      </c>
      <c r="I2" s="136" t="s">
        <v>156</v>
      </c>
      <c r="J2" s="136" t="s">
        <v>175</v>
      </c>
      <c r="M2" s="20"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1" customHeight="1" x14ac:dyDescent="0.2">
      <c r="A3" s="78" t="s">
        <v>204</v>
      </c>
      <c r="B3" s="79"/>
      <c r="C3" s="79"/>
      <c r="D3" s="79"/>
      <c r="E3" s="80"/>
      <c r="G3" s="137"/>
      <c r="H3" s="137" t="b">
        <v>0</v>
      </c>
      <c r="I3" s="137"/>
      <c r="J3" s="137"/>
      <c r="M3" s="20" t="b">
        <v>0</v>
      </c>
      <c r="N3" s="108"/>
      <c r="O3" s="108"/>
      <c r="P3" s="108"/>
      <c r="Q3" s="108"/>
    </row>
    <row r="4" spans="1:22" ht="15" customHeight="1" x14ac:dyDescent="0.2">
      <c r="A4" s="131" t="s">
        <v>91</v>
      </c>
      <c r="B4" s="141" t="str">
        <f>IF(Inhaltsverzeichnis!C3="","",Inhaltsverzeichnis!C3)</f>
        <v/>
      </c>
      <c r="C4" s="142"/>
      <c r="D4" s="142"/>
      <c r="E4" s="143"/>
      <c r="G4" s="77" t="s">
        <v>232</v>
      </c>
      <c r="H4" s="81"/>
      <c r="I4" s="82">
        <f ca="1">SUMIF('Kal Unter Fer GS Uhland'!J22:M41,$G$4,'Kal Unter Fer GS Uhland'!M22:M41)</f>
        <v>1443</v>
      </c>
      <c r="J4" s="54">
        <f>COUNTIFS('Kal Unter Fer GS Uhland'!J22:M41,$G$4)</f>
        <v>1</v>
      </c>
      <c r="M4" s="20" t="b">
        <v>0</v>
      </c>
      <c r="N4" s="108"/>
      <c r="O4" s="108"/>
      <c r="P4" s="108"/>
      <c r="Q4" s="108"/>
      <c r="U4" s="77" t="s">
        <v>232</v>
      </c>
      <c r="V4" s="3">
        <v>168.75</v>
      </c>
    </row>
    <row r="5" spans="1:22" ht="15" customHeight="1" x14ac:dyDescent="0.2">
      <c r="A5" s="132"/>
      <c r="B5" s="144"/>
      <c r="C5" s="145"/>
      <c r="D5" s="145"/>
      <c r="E5" s="146"/>
      <c r="G5" s="77" t="s">
        <v>331</v>
      </c>
      <c r="H5" s="81"/>
      <c r="I5" s="82">
        <f ca="1">SUMIF('Kal Unter Fer GS Uhland'!J22:M41,$G$5,'Kal Unter Fer GS Uhland'!M22:M41)</f>
        <v>4975.75</v>
      </c>
      <c r="J5" s="54">
        <f>COUNTIFS('Kal Unter Fer GS Uhland'!J22:M41,$G$5)</f>
        <v>6</v>
      </c>
      <c r="M5" s="20" t="b">
        <v>0</v>
      </c>
      <c r="N5" s="108"/>
      <c r="O5" s="108"/>
      <c r="P5" s="108"/>
      <c r="Q5" s="108"/>
      <c r="U5" s="77" t="s">
        <v>330</v>
      </c>
      <c r="V5" s="3">
        <v>166.25</v>
      </c>
    </row>
    <row r="6" spans="1:22" ht="15" customHeight="1" x14ac:dyDescent="0.2">
      <c r="A6" s="83" t="s">
        <v>173</v>
      </c>
      <c r="B6" s="147" t="s">
        <v>191</v>
      </c>
      <c r="C6" s="148"/>
      <c r="D6" s="148"/>
      <c r="E6" s="149"/>
      <c r="G6" s="77" t="s">
        <v>327</v>
      </c>
      <c r="H6" s="81"/>
      <c r="I6" s="82">
        <f ca="1">SUMIF('Kal Unter Fer GS Uhland'!J22:M41,$G$6,'Kal Unter Fer GS Uhland'!M22:M41)</f>
        <v>2752.75</v>
      </c>
      <c r="J6" s="54">
        <f>COUNTIFS('Kal Unter Fer GS Uhland'!J22:M41,$G$6)</f>
        <v>2</v>
      </c>
      <c r="U6" s="77" t="s">
        <v>331</v>
      </c>
      <c r="V6" s="3">
        <v>63.75</v>
      </c>
    </row>
    <row r="7" spans="1:22" ht="15" customHeight="1" x14ac:dyDescent="0.2">
      <c r="A7" s="84" t="s">
        <v>171</v>
      </c>
      <c r="B7" s="150" t="s">
        <v>192</v>
      </c>
      <c r="C7" s="148"/>
      <c r="D7" s="148"/>
      <c r="E7" s="149"/>
      <c r="G7" s="77" t="s">
        <v>329</v>
      </c>
      <c r="H7" s="81"/>
      <c r="I7" s="82">
        <f ca="1">SUMIF('Kal Unter Fer GS Uhland'!J22:M41,$G$7,'Kal Unter Fer GS Uhland'!M22:M41)</f>
        <v>4472</v>
      </c>
      <c r="J7" s="54">
        <f>COUNTIFS('Kal Unter Fer GS Uhland'!J22:M41,$G$7)</f>
        <v>2</v>
      </c>
      <c r="U7" s="77" t="s">
        <v>332</v>
      </c>
      <c r="V7" s="3">
        <v>262.5</v>
      </c>
    </row>
    <row r="8" spans="1:22" ht="15" customHeight="1" x14ac:dyDescent="0.2">
      <c r="A8" s="84" t="s">
        <v>172</v>
      </c>
      <c r="B8" s="147" t="s">
        <v>193</v>
      </c>
      <c r="C8" s="148"/>
      <c r="D8" s="148"/>
      <c r="E8" s="149"/>
      <c r="G8" s="77" t="s">
        <v>333</v>
      </c>
      <c r="H8" s="81"/>
      <c r="I8" s="82">
        <f ca="1">SUMIF('Kal Unter Fer GS Uhland'!J22:M41,$G$8,'Kal Unter Fer GS Uhland'!M22:M41)</f>
        <v>21212.75</v>
      </c>
      <c r="J8" s="54">
        <f>COUNTIFS('Kal Unter Fer GS Uhland'!J22:M41,$G$8)</f>
        <v>9</v>
      </c>
      <c r="U8" s="77" t="s">
        <v>327</v>
      </c>
      <c r="V8" s="3">
        <v>138.75</v>
      </c>
    </row>
    <row r="9" spans="1:22" ht="15" customHeight="1" x14ac:dyDescent="0.2">
      <c r="A9" s="83" t="s">
        <v>170</v>
      </c>
      <c r="B9" s="151" t="s">
        <v>190</v>
      </c>
      <c r="C9" s="148"/>
      <c r="D9" s="148"/>
      <c r="E9" s="149"/>
      <c r="U9" s="77" t="s">
        <v>328</v>
      </c>
      <c r="V9" s="3">
        <v>195</v>
      </c>
    </row>
    <row r="10" spans="1:22" ht="15" customHeight="1" x14ac:dyDescent="0.2">
      <c r="A10" s="84" t="s">
        <v>152</v>
      </c>
      <c r="B10" s="147" t="s">
        <v>194</v>
      </c>
      <c r="C10" s="148"/>
      <c r="D10" s="148"/>
      <c r="E10" s="149"/>
      <c r="U10" s="77" t="s">
        <v>329</v>
      </c>
      <c r="V10" s="3">
        <v>300</v>
      </c>
    </row>
    <row r="11" spans="1:22" ht="15" customHeight="1" x14ac:dyDescent="0.2">
      <c r="A11" s="84" t="s">
        <v>153</v>
      </c>
      <c r="B11" s="152" t="s">
        <v>195</v>
      </c>
      <c r="C11" s="148"/>
      <c r="D11" s="148"/>
      <c r="E11" s="149"/>
      <c r="M11" s="3" t="str">
        <f>IF(N13&gt;0,"Bitte die Leistungswerte im Leistungsverzeichnis/ Tabellenblatt Leistungsrichtwerte","")</f>
        <v/>
      </c>
      <c r="U11" s="77" t="s">
        <v>333</v>
      </c>
      <c r="V11" s="3">
        <v>88.75</v>
      </c>
    </row>
    <row r="12" spans="1:22" ht="15" customHeight="1" x14ac:dyDescent="0.2">
      <c r="A12" s="84" t="s">
        <v>154</v>
      </c>
      <c r="B12" s="147" t="s">
        <v>196</v>
      </c>
      <c r="C12" s="148"/>
      <c r="D12" s="148"/>
      <c r="E12" s="149"/>
      <c r="M12" s="3" t="str">
        <f>IF(N13&gt;0,"für die Objektart prüfen.","")</f>
        <v/>
      </c>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c r="N13" s="85">
        <f>COUNTIF(V22:V$41,1)</f>
        <v>0</v>
      </c>
      <c r="O13" s="3" t="str">
        <f>IF(N13&gt;0,"Wert(e) überschritten, bitte mit dem Angebot plausibel darlegen.","")</f>
        <v/>
      </c>
    </row>
    <row r="14" spans="1:22" ht="15" customHeight="1" x14ac:dyDescent="0.2">
      <c r="N14" s="86">
        <f>COUNTIF(V22:V$41,0)</f>
        <v>20</v>
      </c>
      <c r="O14" s="3" t="str">
        <f>IF(N14&gt;0,"Wert(e) korrekt","")</f>
        <v>Wert(e) korrekt</v>
      </c>
      <c r="T14" s="87">
        <f>IF(COUNTA($T$22:$T$41)-COUNTBLANK($T$22:$T$41)=0,"",COUNTA($T$22:$T$41)-COUNTBLANK($T$22:$T$41))</f>
        <v>20</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8" t="s">
        <v>118</v>
      </c>
      <c r="B21" s="12"/>
      <c r="C21" s="12"/>
      <c r="D21" s="12"/>
      <c r="E21" s="12"/>
      <c r="F21" s="12"/>
      <c r="G21" s="89">
        <f>SUM($G$22:$G$41)</f>
        <v>551.05000000000007</v>
      </c>
      <c r="H21" s="89">
        <f>SUM($H$22:$H$41)</f>
        <v>0</v>
      </c>
      <c r="I21" s="89">
        <f>SUM($I$22:$I$41)</f>
        <v>0</v>
      </c>
      <c r="J21" s="33"/>
      <c r="K21" s="33"/>
      <c r="L21" s="90">
        <f>MAX(L22:L41)</f>
        <v>65</v>
      </c>
      <c r="M21" s="89">
        <f>SUM($M$22:$M$41)</f>
        <v>34856.25</v>
      </c>
      <c r="N21" s="33"/>
      <c r="O21" s="33"/>
      <c r="P21" s="89">
        <f>SUM($P$22:$P$41)</f>
        <v>0</v>
      </c>
      <c r="Q21" s="89">
        <f ca="1">SUM($Q$22:$Q$41)</f>
        <v>0</v>
      </c>
      <c r="R21" s="89">
        <f>ROUND(IF(L21=0,0,P21/L21),2)</f>
        <v>0</v>
      </c>
      <c r="S21" s="89">
        <f ca="1">ROUND(IF(L21=0,0,Q21/L21),2)</f>
        <v>0</v>
      </c>
    </row>
    <row r="22" spans="1:22" ht="15" customHeight="1" x14ac:dyDescent="0.2">
      <c r="A22" s="77">
        <v>1</v>
      </c>
      <c r="B22" s="91" t="s">
        <v>275</v>
      </c>
      <c r="C22" s="92" t="s">
        <v>276</v>
      </c>
      <c r="D22" s="92">
        <v>2</v>
      </c>
      <c r="E22" s="92" t="s">
        <v>209</v>
      </c>
      <c r="F22" s="92" t="s">
        <v>210</v>
      </c>
      <c r="G22" s="93">
        <v>26.25</v>
      </c>
      <c r="H22" s="93"/>
      <c r="I22" s="93"/>
      <c r="J22" s="77" t="s">
        <v>327</v>
      </c>
      <c r="K22" s="93">
        <v>5</v>
      </c>
      <c r="L22" s="33">
        <f>VLOOKUP(K22,Reinigungstage!A10:H31,8,FALSE)</f>
        <v>65</v>
      </c>
      <c r="M22" s="33">
        <f t="shared" ref="M22:M33" si="0">ROUND(IF(L22=0,0,L22*G22),2)</f>
        <v>1706.25</v>
      </c>
      <c r="N22" s="94">
        <f t="shared" ref="N22:N41" si="1">VLOOKUP(J22,$G$4:$H$8,2,FALSE)</f>
        <v>0</v>
      </c>
      <c r="O22" s="33">
        <f ca="1">IF('SVS UnterhaltsRG'!H61="",0,'SVS UnterhaltsRG'!H61)</f>
        <v>0</v>
      </c>
      <c r="P22" s="33">
        <f t="shared" ref="P22:P33" si="2">ROUND(IF(N22=0,0,M22/N22),2)</f>
        <v>0</v>
      </c>
      <c r="Q22" s="33">
        <f t="shared" ref="Q22:Q33" ca="1" si="3">IF(M22=0,0,IF(O22="",0,ROUND(P22*O22,2)))</f>
        <v>0</v>
      </c>
      <c r="R22" s="33">
        <f t="shared" ref="R22:R33" si="4">ROUND(IF(P22=0,0,P22/L22),2)</f>
        <v>0</v>
      </c>
      <c r="S22" s="33">
        <f t="shared" ref="S22:S33" ca="1" si="5">ROUND(IF(Q22=0,0,Q22/L22),2)</f>
        <v>0</v>
      </c>
      <c r="T22" s="3" t="str">
        <f t="shared" ref="T22:T33" si="6">IF(M22=0,"",IF(N22=0,"Leistungswert eintragen",IF(O22=0,"SVS prüfen","")))</f>
        <v>Leistungswert eintragen</v>
      </c>
      <c r="U22" s="3">
        <f t="shared" ref="U22:U33" si="7">VLOOKUP(J22,$U$4:$V$11,2,FALSE)</f>
        <v>138.75</v>
      </c>
      <c r="V22" s="3">
        <f t="shared" ref="V22:V33" si="8">IF(M22=0,0,IF(U22&lt;N22,1,IF(U22&gt;=N22,0,"")))</f>
        <v>0</v>
      </c>
    </row>
    <row r="23" spans="1:22" ht="15" customHeight="1" x14ac:dyDescent="0.2">
      <c r="A23" s="77">
        <v>2</v>
      </c>
      <c r="B23" s="91" t="s">
        <v>279</v>
      </c>
      <c r="C23" s="92" t="s">
        <v>276</v>
      </c>
      <c r="D23" s="92">
        <v>1</v>
      </c>
      <c r="E23" s="92" t="s">
        <v>280</v>
      </c>
      <c r="F23" s="92" t="s">
        <v>213</v>
      </c>
      <c r="G23" s="93">
        <v>59.4</v>
      </c>
      <c r="H23" s="93"/>
      <c r="I23" s="93"/>
      <c r="J23" s="77" t="s">
        <v>333</v>
      </c>
      <c r="K23" s="93">
        <v>5</v>
      </c>
      <c r="L23" s="33">
        <f>VLOOKUP(K23,Reinigungstage!A10:H31,8,FALSE)</f>
        <v>65</v>
      </c>
      <c r="M23" s="33">
        <f t="shared" si="0"/>
        <v>3861</v>
      </c>
      <c r="N23" s="94">
        <f t="shared" si="1"/>
        <v>0</v>
      </c>
      <c r="O23" s="33">
        <f ca="1">IF('SVS UnterhaltsRG'!H61="",0,'SVS UnterhaltsRG'!H61)</f>
        <v>0</v>
      </c>
      <c r="P23" s="33">
        <f t="shared" si="2"/>
        <v>0</v>
      </c>
      <c r="Q23" s="33">
        <f t="shared" ca="1" si="3"/>
        <v>0</v>
      </c>
      <c r="R23" s="33">
        <f t="shared" si="4"/>
        <v>0</v>
      </c>
      <c r="S23" s="33">
        <f t="shared" ca="1" si="5"/>
        <v>0</v>
      </c>
      <c r="T23" s="3" t="str">
        <f t="shared" si="6"/>
        <v>Leistungswert eintragen</v>
      </c>
      <c r="U23" s="3">
        <f t="shared" si="7"/>
        <v>88.75</v>
      </c>
      <c r="V23" s="3">
        <f t="shared" si="8"/>
        <v>0</v>
      </c>
    </row>
    <row r="24" spans="1:22" ht="15" customHeight="1" x14ac:dyDescent="0.2">
      <c r="A24" s="77">
        <v>3</v>
      </c>
      <c r="B24" s="91" t="s">
        <v>281</v>
      </c>
      <c r="C24" s="92" t="s">
        <v>276</v>
      </c>
      <c r="D24" s="92">
        <v>1</v>
      </c>
      <c r="E24" s="92" t="s">
        <v>280</v>
      </c>
      <c r="F24" s="92" t="s">
        <v>213</v>
      </c>
      <c r="G24" s="93">
        <v>59.85</v>
      </c>
      <c r="H24" s="93"/>
      <c r="I24" s="93"/>
      <c r="J24" s="77" t="s">
        <v>333</v>
      </c>
      <c r="K24" s="93">
        <v>5</v>
      </c>
      <c r="L24" s="33">
        <f>VLOOKUP(K24,Reinigungstage!A10:H31,8,FALSE)</f>
        <v>65</v>
      </c>
      <c r="M24" s="33">
        <f t="shared" si="0"/>
        <v>3890.25</v>
      </c>
      <c r="N24" s="94">
        <f t="shared" si="1"/>
        <v>0</v>
      </c>
      <c r="O24" s="33">
        <f ca="1">IF('SVS UnterhaltsRG'!H61="",0,'SVS UnterhaltsRG'!H61)</f>
        <v>0</v>
      </c>
      <c r="P24" s="33">
        <f t="shared" si="2"/>
        <v>0</v>
      </c>
      <c r="Q24" s="33">
        <f t="shared" ca="1" si="3"/>
        <v>0</v>
      </c>
      <c r="R24" s="33">
        <f t="shared" si="4"/>
        <v>0</v>
      </c>
      <c r="S24" s="33">
        <f t="shared" ca="1" si="5"/>
        <v>0</v>
      </c>
      <c r="T24" s="3" t="str">
        <f t="shared" si="6"/>
        <v>Leistungswert eintragen</v>
      </c>
      <c r="U24" s="3">
        <f t="shared" si="7"/>
        <v>88.75</v>
      </c>
      <c r="V24" s="3">
        <f t="shared" si="8"/>
        <v>0</v>
      </c>
    </row>
    <row r="25" spans="1:22" ht="15" customHeight="1" x14ac:dyDescent="0.2">
      <c r="A25" s="77">
        <v>4</v>
      </c>
      <c r="B25" s="91" t="s">
        <v>282</v>
      </c>
      <c r="C25" s="92" t="s">
        <v>276</v>
      </c>
      <c r="D25" s="92">
        <v>1</v>
      </c>
      <c r="E25" s="92" t="s">
        <v>280</v>
      </c>
      <c r="F25" s="92" t="s">
        <v>213</v>
      </c>
      <c r="G25" s="93">
        <v>44.1</v>
      </c>
      <c r="H25" s="93"/>
      <c r="I25" s="93"/>
      <c r="J25" s="77" t="s">
        <v>333</v>
      </c>
      <c r="K25" s="93">
        <v>5</v>
      </c>
      <c r="L25" s="33">
        <f>VLOOKUP(K25,Reinigungstage!A10:H31,8,FALSE)</f>
        <v>65</v>
      </c>
      <c r="M25" s="33">
        <f t="shared" si="0"/>
        <v>2866.5</v>
      </c>
      <c r="N25" s="94">
        <f t="shared" si="1"/>
        <v>0</v>
      </c>
      <c r="O25" s="33">
        <f ca="1">IF('SVS UnterhaltsRG'!H61="",0,'SVS UnterhaltsRG'!H61)</f>
        <v>0</v>
      </c>
      <c r="P25" s="33">
        <f t="shared" si="2"/>
        <v>0</v>
      </c>
      <c r="Q25" s="33">
        <f t="shared" ca="1" si="3"/>
        <v>0</v>
      </c>
      <c r="R25" s="33">
        <f t="shared" si="4"/>
        <v>0</v>
      </c>
      <c r="S25" s="33">
        <f t="shared" ca="1" si="5"/>
        <v>0</v>
      </c>
      <c r="T25" s="3" t="str">
        <f t="shared" si="6"/>
        <v>Leistungswert eintragen</v>
      </c>
      <c r="U25" s="3">
        <f t="shared" si="7"/>
        <v>88.75</v>
      </c>
      <c r="V25" s="3">
        <f t="shared" si="8"/>
        <v>0</v>
      </c>
    </row>
    <row r="26" spans="1:22" ht="15" customHeight="1" x14ac:dyDescent="0.2">
      <c r="A26" s="77">
        <v>5</v>
      </c>
      <c r="B26" s="91" t="s">
        <v>283</v>
      </c>
      <c r="C26" s="92" t="s">
        <v>276</v>
      </c>
      <c r="D26" s="92">
        <v>1</v>
      </c>
      <c r="E26" s="92" t="s">
        <v>280</v>
      </c>
      <c r="F26" s="92" t="s">
        <v>213</v>
      </c>
      <c r="G26" s="93">
        <v>44.2</v>
      </c>
      <c r="H26" s="93"/>
      <c r="I26" s="93"/>
      <c r="J26" s="77" t="s">
        <v>333</v>
      </c>
      <c r="K26" s="93">
        <v>5</v>
      </c>
      <c r="L26" s="33">
        <f>VLOOKUP(K26,Reinigungstage!A10:H31,8,FALSE)</f>
        <v>65</v>
      </c>
      <c r="M26" s="33">
        <f t="shared" si="0"/>
        <v>2873</v>
      </c>
      <c r="N26" s="94">
        <f t="shared" si="1"/>
        <v>0</v>
      </c>
      <c r="O26" s="33">
        <f ca="1">IF('SVS UnterhaltsRG'!H61="",0,'SVS UnterhaltsRG'!H61)</f>
        <v>0</v>
      </c>
      <c r="P26" s="33">
        <f t="shared" si="2"/>
        <v>0</v>
      </c>
      <c r="Q26" s="33">
        <f t="shared" ca="1" si="3"/>
        <v>0</v>
      </c>
      <c r="R26" s="33">
        <f t="shared" si="4"/>
        <v>0</v>
      </c>
      <c r="S26" s="33">
        <f t="shared" ca="1" si="5"/>
        <v>0</v>
      </c>
      <c r="T26" s="3" t="str">
        <f t="shared" si="6"/>
        <v>Leistungswert eintragen</v>
      </c>
      <c r="U26" s="3">
        <f t="shared" si="7"/>
        <v>88.75</v>
      </c>
      <c r="V26" s="3">
        <f t="shared" si="8"/>
        <v>0</v>
      </c>
    </row>
    <row r="27" spans="1:22" ht="15" customHeight="1" x14ac:dyDescent="0.2">
      <c r="A27" s="77">
        <v>6</v>
      </c>
      <c r="B27" s="91" t="s">
        <v>284</v>
      </c>
      <c r="C27" s="92" t="s">
        <v>276</v>
      </c>
      <c r="D27" s="92">
        <v>1</v>
      </c>
      <c r="E27" s="92" t="s">
        <v>280</v>
      </c>
      <c r="F27" s="92" t="s">
        <v>213</v>
      </c>
      <c r="G27" s="93">
        <v>25.05</v>
      </c>
      <c r="H27" s="93"/>
      <c r="I27" s="93"/>
      <c r="J27" s="77" t="s">
        <v>333</v>
      </c>
      <c r="K27" s="93">
        <v>5</v>
      </c>
      <c r="L27" s="33">
        <f>VLOOKUP(K27,Reinigungstage!A10:H31,8,FALSE)</f>
        <v>65</v>
      </c>
      <c r="M27" s="33">
        <f t="shared" si="0"/>
        <v>1628.25</v>
      </c>
      <c r="N27" s="94">
        <f t="shared" si="1"/>
        <v>0</v>
      </c>
      <c r="O27" s="33">
        <f ca="1">IF('SVS UnterhaltsRG'!H61="",0,'SVS UnterhaltsRG'!H61)</f>
        <v>0</v>
      </c>
      <c r="P27" s="33">
        <f t="shared" si="2"/>
        <v>0</v>
      </c>
      <c r="Q27" s="33">
        <f t="shared" ca="1" si="3"/>
        <v>0</v>
      </c>
      <c r="R27" s="33">
        <f t="shared" si="4"/>
        <v>0</v>
      </c>
      <c r="S27" s="33">
        <f t="shared" ca="1" si="5"/>
        <v>0</v>
      </c>
      <c r="T27" s="3" t="str">
        <f t="shared" si="6"/>
        <v>Leistungswert eintragen</v>
      </c>
      <c r="U27" s="3">
        <f t="shared" si="7"/>
        <v>88.75</v>
      </c>
      <c r="V27" s="3">
        <f t="shared" si="8"/>
        <v>0</v>
      </c>
    </row>
    <row r="28" spans="1:22" ht="15" customHeight="1" x14ac:dyDescent="0.2">
      <c r="A28" s="77">
        <v>7</v>
      </c>
      <c r="B28" s="91" t="s">
        <v>285</v>
      </c>
      <c r="C28" s="92" t="s">
        <v>276</v>
      </c>
      <c r="D28" s="92">
        <v>1</v>
      </c>
      <c r="E28" s="92" t="s">
        <v>280</v>
      </c>
      <c r="F28" s="92" t="s">
        <v>213</v>
      </c>
      <c r="G28" s="93">
        <v>10.55</v>
      </c>
      <c r="H28" s="93"/>
      <c r="I28" s="93"/>
      <c r="J28" s="77" t="s">
        <v>333</v>
      </c>
      <c r="K28" s="93">
        <v>5</v>
      </c>
      <c r="L28" s="33">
        <f>VLOOKUP(K28,Reinigungstage!A10:H31,8,FALSE)</f>
        <v>65</v>
      </c>
      <c r="M28" s="33">
        <f t="shared" si="0"/>
        <v>685.75</v>
      </c>
      <c r="N28" s="94">
        <f t="shared" si="1"/>
        <v>0</v>
      </c>
      <c r="O28" s="33">
        <f ca="1">IF('SVS UnterhaltsRG'!H61="",0,'SVS UnterhaltsRG'!H61)</f>
        <v>0</v>
      </c>
      <c r="P28" s="33">
        <f t="shared" si="2"/>
        <v>0</v>
      </c>
      <c r="Q28" s="33">
        <f t="shared" ca="1" si="3"/>
        <v>0</v>
      </c>
      <c r="R28" s="33">
        <f t="shared" si="4"/>
        <v>0</v>
      </c>
      <c r="S28" s="33">
        <f t="shared" ca="1" si="5"/>
        <v>0</v>
      </c>
      <c r="T28" s="3" t="str">
        <f t="shared" si="6"/>
        <v>Leistungswert eintragen</v>
      </c>
      <c r="U28" s="3">
        <f t="shared" si="7"/>
        <v>88.75</v>
      </c>
      <c r="V28" s="3">
        <f t="shared" si="8"/>
        <v>0</v>
      </c>
    </row>
    <row r="29" spans="1:22" ht="15" customHeight="1" x14ac:dyDescent="0.2">
      <c r="A29" s="77">
        <v>8</v>
      </c>
      <c r="B29" s="91" t="s">
        <v>286</v>
      </c>
      <c r="C29" s="92" t="s">
        <v>276</v>
      </c>
      <c r="D29" s="92">
        <v>2</v>
      </c>
      <c r="E29" s="92" t="s">
        <v>280</v>
      </c>
      <c r="F29" s="92" t="s">
        <v>213</v>
      </c>
      <c r="G29" s="93">
        <v>56.7</v>
      </c>
      <c r="H29" s="93"/>
      <c r="I29" s="93"/>
      <c r="J29" s="77" t="s">
        <v>333</v>
      </c>
      <c r="K29" s="93">
        <v>5</v>
      </c>
      <c r="L29" s="33">
        <f>VLOOKUP(K29,Reinigungstage!A10:H31,8,FALSE)</f>
        <v>65</v>
      </c>
      <c r="M29" s="33">
        <f t="shared" si="0"/>
        <v>3685.5</v>
      </c>
      <c r="N29" s="94">
        <f t="shared" si="1"/>
        <v>0</v>
      </c>
      <c r="O29" s="33">
        <f ca="1">IF('SVS UnterhaltsRG'!H61="",0,'SVS UnterhaltsRG'!H61)</f>
        <v>0</v>
      </c>
      <c r="P29" s="33">
        <f t="shared" si="2"/>
        <v>0</v>
      </c>
      <c r="Q29" s="33">
        <f t="shared" ca="1" si="3"/>
        <v>0</v>
      </c>
      <c r="R29" s="33">
        <f t="shared" si="4"/>
        <v>0</v>
      </c>
      <c r="S29" s="33">
        <f t="shared" ca="1" si="5"/>
        <v>0</v>
      </c>
      <c r="T29" s="3" t="str">
        <f t="shared" si="6"/>
        <v>Leistungswert eintragen</v>
      </c>
      <c r="U29" s="3">
        <f t="shared" si="7"/>
        <v>88.75</v>
      </c>
      <c r="V29" s="3">
        <f t="shared" si="8"/>
        <v>0</v>
      </c>
    </row>
    <row r="30" spans="1:22" ht="15" customHeight="1" x14ac:dyDescent="0.2">
      <c r="A30" s="77">
        <v>9</v>
      </c>
      <c r="B30" s="91" t="s">
        <v>293</v>
      </c>
      <c r="C30" s="92" t="s">
        <v>276</v>
      </c>
      <c r="D30" s="92"/>
      <c r="E30" s="92" t="s">
        <v>294</v>
      </c>
      <c r="F30" s="92" t="s">
        <v>210</v>
      </c>
      <c r="G30" s="93">
        <v>17.3</v>
      </c>
      <c r="H30" s="93"/>
      <c r="I30" s="93"/>
      <c r="J30" s="77" t="s">
        <v>333</v>
      </c>
      <c r="K30" s="93">
        <v>5</v>
      </c>
      <c r="L30" s="33">
        <f>VLOOKUP(K30,Reinigungstage!A10:H31,8,FALSE)</f>
        <v>65</v>
      </c>
      <c r="M30" s="33">
        <f t="shared" si="0"/>
        <v>1124.5</v>
      </c>
      <c r="N30" s="94">
        <f t="shared" si="1"/>
        <v>0</v>
      </c>
      <c r="O30" s="33">
        <f ca="1">IF('SVS UnterhaltsRG'!H61="",0,'SVS UnterhaltsRG'!H61)</f>
        <v>0</v>
      </c>
      <c r="P30" s="33">
        <f t="shared" si="2"/>
        <v>0</v>
      </c>
      <c r="Q30" s="33">
        <f t="shared" ca="1" si="3"/>
        <v>0</v>
      </c>
      <c r="R30" s="33">
        <f t="shared" si="4"/>
        <v>0</v>
      </c>
      <c r="S30" s="33">
        <f t="shared" ca="1" si="5"/>
        <v>0</v>
      </c>
      <c r="T30" s="3" t="str">
        <f t="shared" si="6"/>
        <v>Leistungswert eintragen</v>
      </c>
      <c r="U30" s="3">
        <f t="shared" si="7"/>
        <v>88.75</v>
      </c>
      <c r="V30" s="3">
        <f t="shared" si="8"/>
        <v>0</v>
      </c>
    </row>
    <row r="31" spans="1:22" ht="15" customHeight="1" x14ac:dyDescent="0.2">
      <c r="A31" s="77">
        <v>10</v>
      </c>
      <c r="B31" s="91" t="s">
        <v>295</v>
      </c>
      <c r="C31" s="92" t="s">
        <v>276</v>
      </c>
      <c r="D31" s="92"/>
      <c r="E31" s="92" t="s">
        <v>296</v>
      </c>
      <c r="F31" s="92" t="s">
        <v>210</v>
      </c>
      <c r="G31" s="93">
        <v>9.1999999999999993</v>
      </c>
      <c r="H31" s="93"/>
      <c r="I31" s="93"/>
      <c r="J31" s="77" t="s">
        <v>333</v>
      </c>
      <c r="K31" s="93">
        <v>5</v>
      </c>
      <c r="L31" s="33">
        <f>VLOOKUP(K31,Reinigungstage!A10:H31,8,FALSE)</f>
        <v>65</v>
      </c>
      <c r="M31" s="33">
        <f t="shared" si="0"/>
        <v>598</v>
      </c>
      <c r="N31" s="94">
        <f t="shared" si="1"/>
        <v>0</v>
      </c>
      <c r="O31" s="33">
        <f ca="1">IF('SVS UnterhaltsRG'!H61="",0,'SVS UnterhaltsRG'!H61)</f>
        <v>0</v>
      </c>
      <c r="P31" s="33">
        <f t="shared" si="2"/>
        <v>0</v>
      </c>
      <c r="Q31" s="33">
        <f t="shared" ca="1" si="3"/>
        <v>0</v>
      </c>
      <c r="R31" s="33">
        <f t="shared" si="4"/>
        <v>0</v>
      </c>
      <c r="S31" s="33">
        <f t="shared" ca="1" si="5"/>
        <v>0</v>
      </c>
      <c r="T31" s="3" t="str">
        <f t="shared" si="6"/>
        <v>Leistungswert eintragen</v>
      </c>
      <c r="U31" s="3">
        <f t="shared" si="7"/>
        <v>88.75</v>
      </c>
      <c r="V31" s="3">
        <f t="shared" si="8"/>
        <v>0</v>
      </c>
    </row>
    <row r="32" spans="1:22" ht="15" customHeight="1" x14ac:dyDescent="0.2">
      <c r="A32" s="77">
        <v>11</v>
      </c>
      <c r="B32" s="91" t="s">
        <v>297</v>
      </c>
      <c r="C32" s="92" t="s">
        <v>276</v>
      </c>
      <c r="D32" s="92"/>
      <c r="E32" s="92" t="s">
        <v>298</v>
      </c>
      <c r="F32" s="92" t="s">
        <v>213</v>
      </c>
      <c r="G32" s="93">
        <v>28.05</v>
      </c>
      <c r="H32" s="93"/>
      <c r="I32" s="93"/>
      <c r="J32" s="77" t="s">
        <v>329</v>
      </c>
      <c r="K32" s="93">
        <v>5</v>
      </c>
      <c r="L32" s="33">
        <f>VLOOKUP(K32,Reinigungstage!A10:H31,8,FALSE)</f>
        <v>65</v>
      </c>
      <c r="M32" s="33">
        <f t="shared" si="0"/>
        <v>1823.25</v>
      </c>
      <c r="N32" s="94">
        <f t="shared" si="1"/>
        <v>0</v>
      </c>
      <c r="O32" s="33">
        <f ca="1">IF('SVS UnterhaltsRG'!H61="",0,'SVS UnterhaltsRG'!H61)</f>
        <v>0</v>
      </c>
      <c r="P32" s="33">
        <f t="shared" si="2"/>
        <v>0</v>
      </c>
      <c r="Q32" s="33">
        <f t="shared" ca="1" si="3"/>
        <v>0</v>
      </c>
      <c r="R32" s="33">
        <f t="shared" si="4"/>
        <v>0</v>
      </c>
      <c r="S32" s="33">
        <f t="shared" ca="1" si="5"/>
        <v>0</v>
      </c>
      <c r="T32" s="3" t="str">
        <f t="shared" si="6"/>
        <v>Leistungswert eintragen</v>
      </c>
      <c r="U32" s="3">
        <f t="shared" si="7"/>
        <v>300</v>
      </c>
      <c r="V32" s="3">
        <f t="shared" si="8"/>
        <v>0</v>
      </c>
    </row>
    <row r="33" spans="1:22" ht="15" customHeight="1" x14ac:dyDescent="0.2">
      <c r="A33" s="77">
        <v>12</v>
      </c>
      <c r="B33" s="91" t="s">
        <v>299</v>
      </c>
      <c r="C33" s="92" t="s">
        <v>276</v>
      </c>
      <c r="D33" s="92">
        <v>3</v>
      </c>
      <c r="E33" s="92" t="s">
        <v>209</v>
      </c>
      <c r="F33" s="92" t="s">
        <v>210</v>
      </c>
      <c r="G33" s="93">
        <v>16.100000000000001</v>
      </c>
      <c r="H33" s="93"/>
      <c r="I33" s="93"/>
      <c r="J33" s="77" t="s">
        <v>327</v>
      </c>
      <c r="K33" s="93">
        <v>5</v>
      </c>
      <c r="L33" s="33">
        <f>VLOOKUP(K33,Reinigungstage!A10:H31,8,FALSE)</f>
        <v>65</v>
      </c>
      <c r="M33" s="33">
        <f t="shared" si="0"/>
        <v>1046.5</v>
      </c>
      <c r="N33" s="94">
        <f t="shared" si="1"/>
        <v>0</v>
      </c>
      <c r="O33" s="33">
        <f ca="1">IF('SVS UnterhaltsRG'!H61="",0,'SVS UnterhaltsRG'!H61)</f>
        <v>0</v>
      </c>
      <c r="P33" s="33">
        <f t="shared" si="2"/>
        <v>0</v>
      </c>
      <c r="Q33" s="33">
        <f t="shared" ca="1" si="3"/>
        <v>0</v>
      </c>
      <c r="R33" s="33">
        <f t="shared" si="4"/>
        <v>0</v>
      </c>
      <c r="S33" s="33">
        <f t="shared" ca="1" si="5"/>
        <v>0</v>
      </c>
      <c r="T33" s="3" t="str">
        <f t="shared" si="6"/>
        <v>Leistungswert eintragen</v>
      </c>
      <c r="U33" s="3">
        <f t="shared" si="7"/>
        <v>138.75</v>
      </c>
      <c r="V33" s="3">
        <f t="shared" si="8"/>
        <v>0</v>
      </c>
    </row>
    <row r="34" spans="1:22" ht="15" customHeight="1" x14ac:dyDescent="0.2">
      <c r="A34" s="77">
        <v>13</v>
      </c>
      <c r="B34" s="91" t="s">
        <v>303</v>
      </c>
      <c r="C34" s="92" t="s">
        <v>276</v>
      </c>
      <c r="D34" s="92">
        <v>2</v>
      </c>
      <c r="E34" s="92" t="s">
        <v>223</v>
      </c>
      <c r="F34" s="92" t="s">
        <v>213</v>
      </c>
      <c r="G34" s="93">
        <v>40.75</v>
      </c>
      <c r="H34" s="93"/>
      <c r="I34" s="93"/>
      <c r="J34" s="77" t="s">
        <v>329</v>
      </c>
      <c r="K34" s="93">
        <v>5</v>
      </c>
      <c r="L34" s="33">
        <f>VLOOKUP(K34,Reinigungstage!A10:H31,8,FALSE)</f>
        <v>65</v>
      </c>
      <c r="M34" s="33">
        <f t="shared" ref="M34:M41" si="9">ROUND(IF(L34=0,0,L34*G34),2)</f>
        <v>2648.75</v>
      </c>
      <c r="N34" s="94">
        <f t="shared" si="1"/>
        <v>0</v>
      </c>
      <c r="O34" s="33">
        <f ca="1">IF('SVS UnterhaltsRG'!H61="",0,'SVS UnterhaltsRG'!H61)</f>
        <v>0</v>
      </c>
      <c r="P34" s="33">
        <f t="shared" ref="P34:P41" si="10">ROUND(IF(N34=0,0,M34/N34),2)</f>
        <v>0</v>
      </c>
      <c r="Q34" s="33">
        <f t="shared" ref="Q34:Q41" ca="1" si="11">IF(M34=0,0,IF(O34="",0,ROUND(P34*O34,2)))</f>
        <v>0</v>
      </c>
      <c r="R34" s="33">
        <f t="shared" ref="R34:R41" si="12">ROUND(IF(P34=0,0,P34/L34),2)</f>
        <v>0</v>
      </c>
      <c r="S34" s="33">
        <f t="shared" ref="S34:S41" ca="1" si="13">ROUND(IF(Q34=0,0,Q34/L34),2)</f>
        <v>0</v>
      </c>
      <c r="T34" s="3" t="str">
        <f t="shared" ref="T34:T41" si="14">IF(M34=0,"",IF(N34=0,"Leistungswert eintragen",IF(O34=0,"SVS prüfen","")))</f>
        <v>Leistungswert eintragen</v>
      </c>
      <c r="U34" s="3">
        <f t="shared" ref="U34:U41" si="15">VLOOKUP(J34,$U$4:$V$11,2,FALSE)</f>
        <v>300</v>
      </c>
      <c r="V34" s="3">
        <f t="shared" ref="V34:V41" si="16">IF(M34=0,0,IF(U34&lt;N34,1,IF(U34&gt;=N34,0,"")))</f>
        <v>0</v>
      </c>
    </row>
    <row r="35" spans="1:22" ht="15" customHeight="1" x14ac:dyDescent="0.2">
      <c r="A35" s="77">
        <v>14</v>
      </c>
      <c r="B35" s="91" t="s">
        <v>304</v>
      </c>
      <c r="C35" s="92" t="s">
        <v>276</v>
      </c>
      <c r="D35" s="92"/>
      <c r="E35" s="92" t="s">
        <v>228</v>
      </c>
      <c r="F35" s="92" t="s">
        <v>210</v>
      </c>
      <c r="G35" s="93">
        <v>20.75</v>
      </c>
      <c r="H35" s="93"/>
      <c r="I35" s="93"/>
      <c r="J35" s="77" t="s">
        <v>331</v>
      </c>
      <c r="K35" s="93">
        <v>5</v>
      </c>
      <c r="L35" s="33">
        <f>VLOOKUP(K35,Reinigungstage!A10:H31,8,FALSE)</f>
        <v>65</v>
      </c>
      <c r="M35" s="33">
        <f t="shared" si="9"/>
        <v>1348.75</v>
      </c>
      <c r="N35" s="94">
        <f t="shared" si="1"/>
        <v>0</v>
      </c>
      <c r="O35" s="33">
        <f ca="1">IF('SVS UnterhaltsRG'!H61="",0,'SVS UnterhaltsRG'!H61)</f>
        <v>0</v>
      </c>
      <c r="P35" s="33">
        <f t="shared" si="10"/>
        <v>0</v>
      </c>
      <c r="Q35" s="33">
        <f t="shared" ca="1" si="11"/>
        <v>0</v>
      </c>
      <c r="R35" s="33">
        <f t="shared" si="12"/>
        <v>0</v>
      </c>
      <c r="S35" s="33">
        <f t="shared" ca="1" si="13"/>
        <v>0</v>
      </c>
      <c r="T35" s="3" t="str">
        <f t="shared" si="14"/>
        <v>Leistungswert eintragen</v>
      </c>
      <c r="U35" s="3">
        <f t="shared" si="15"/>
        <v>63.75</v>
      </c>
      <c r="V35" s="3">
        <f t="shared" si="16"/>
        <v>0</v>
      </c>
    </row>
    <row r="36" spans="1:22" ht="15" customHeight="1" x14ac:dyDescent="0.2">
      <c r="A36" s="77">
        <v>15</v>
      </c>
      <c r="B36" s="91" t="s">
        <v>305</v>
      </c>
      <c r="C36" s="92" t="s">
        <v>276</v>
      </c>
      <c r="D36" s="92"/>
      <c r="E36" s="92" t="s">
        <v>226</v>
      </c>
      <c r="F36" s="92" t="s">
        <v>210</v>
      </c>
      <c r="G36" s="93">
        <v>27.05</v>
      </c>
      <c r="H36" s="93"/>
      <c r="I36" s="93"/>
      <c r="J36" s="77" t="s">
        <v>331</v>
      </c>
      <c r="K36" s="93">
        <v>5</v>
      </c>
      <c r="L36" s="33">
        <f>VLOOKUP(K36,Reinigungstage!A10:H31,8,FALSE)</f>
        <v>65</v>
      </c>
      <c r="M36" s="33">
        <f t="shared" si="9"/>
        <v>1758.25</v>
      </c>
      <c r="N36" s="94">
        <f t="shared" si="1"/>
        <v>0</v>
      </c>
      <c r="O36" s="33">
        <f ca="1">IF('SVS UnterhaltsRG'!H61="",0,'SVS UnterhaltsRG'!H61)</f>
        <v>0</v>
      </c>
      <c r="P36" s="33">
        <f t="shared" si="10"/>
        <v>0</v>
      </c>
      <c r="Q36" s="33">
        <f t="shared" ca="1" si="11"/>
        <v>0</v>
      </c>
      <c r="R36" s="33">
        <f t="shared" si="12"/>
        <v>0</v>
      </c>
      <c r="S36" s="33">
        <f t="shared" ca="1" si="13"/>
        <v>0</v>
      </c>
      <c r="T36" s="3" t="str">
        <f t="shared" si="14"/>
        <v>Leistungswert eintragen</v>
      </c>
      <c r="U36" s="3">
        <f t="shared" si="15"/>
        <v>63.75</v>
      </c>
      <c r="V36" s="3">
        <f t="shared" si="16"/>
        <v>0</v>
      </c>
    </row>
    <row r="37" spans="1:22" ht="15" customHeight="1" x14ac:dyDescent="0.2">
      <c r="A37" s="77">
        <v>16</v>
      </c>
      <c r="B37" s="91" t="s">
        <v>306</v>
      </c>
      <c r="C37" s="92" t="s">
        <v>276</v>
      </c>
      <c r="D37" s="92"/>
      <c r="E37" s="92" t="s">
        <v>307</v>
      </c>
      <c r="F37" s="92" t="s">
        <v>210</v>
      </c>
      <c r="G37" s="93">
        <v>6.5</v>
      </c>
      <c r="H37" s="93"/>
      <c r="I37" s="93"/>
      <c r="J37" s="77" t="s">
        <v>331</v>
      </c>
      <c r="K37" s="93">
        <v>5</v>
      </c>
      <c r="L37" s="33">
        <f>VLOOKUP(K37,Reinigungstage!A10:H31,8,FALSE)</f>
        <v>65</v>
      </c>
      <c r="M37" s="33">
        <f t="shared" si="9"/>
        <v>422.5</v>
      </c>
      <c r="N37" s="94">
        <f t="shared" si="1"/>
        <v>0</v>
      </c>
      <c r="O37" s="33">
        <f ca="1">IF('SVS UnterhaltsRG'!H61="",0,'SVS UnterhaltsRG'!H61)</f>
        <v>0</v>
      </c>
      <c r="P37" s="33">
        <f t="shared" si="10"/>
        <v>0</v>
      </c>
      <c r="Q37" s="33">
        <f t="shared" ca="1" si="11"/>
        <v>0</v>
      </c>
      <c r="R37" s="33">
        <f t="shared" si="12"/>
        <v>0</v>
      </c>
      <c r="S37" s="33">
        <f t="shared" ca="1" si="13"/>
        <v>0</v>
      </c>
      <c r="T37" s="3" t="str">
        <f t="shared" si="14"/>
        <v>Leistungswert eintragen</v>
      </c>
      <c r="U37" s="3">
        <f t="shared" si="15"/>
        <v>63.75</v>
      </c>
      <c r="V37" s="3">
        <f t="shared" si="16"/>
        <v>0</v>
      </c>
    </row>
    <row r="38" spans="1:22" ht="15" customHeight="1" x14ac:dyDescent="0.2">
      <c r="A38" s="77">
        <v>17</v>
      </c>
      <c r="B38" s="91" t="s">
        <v>308</v>
      </c>
      <c r="C38" s="92" t="s">
        <v>276</v>
      </c>
      <c r="D38" s="92"/>
      <c r="E38" s="92" t="s">
        <v>309</v>
      </c>
      <c r="F38" s="92" t="s">
        <v>210</v>
      </c>
      <c r="G38" s="93">
        <v>10.1</v>
      </c>
      <c r="H38" s="93"/>
      <c r="I38" s="93"/>
      <c r="J38" s="77" t="s">
        <v>331</v>
      </c>
      <c r="K38" s="93">
        <v>5</v>
      </c>
      <c r="L38" s="33">
        <f>VLOOKUP(K38,Reinigungstage!A10:H31,8,FALSE)</f>
        <v>65</v>
      </c>
      <c r="M38" s="33">
        <f t="shared" si="9"/>
        <v>656.5</v>
      </c>
      <c r="N38" s="94">
        <f t="shared" si="1"/>
        <v>0</v>
      </c>
      <c r="O38" s="33">
        <f ca="1">IF('SVS UnterhaltsRG'!H61="",0,'SVS UnterhaltsRG'!H61)</f>
        <v>0</v>
      </c>
      <c r="P38" s="33">
        <f t="shared" si="10"/>
        <v>0</v>
      </c>
      <c r="Q38" s="33">
        <f t="shared" ca="1" si="11"/>
        <v>0</v>
      </c>
      <c r="R38" s="33">
        <f t="shared" si="12"/>
        <v>0</v>
      </c>
      <c r="S38" s="33">
        <f t="shared" ca="1" si="13"/>
        <v>0</v>
      </c>
      <c r="T38" s="3" t="str">
        <f t="shared" si="14"/>
        <v>Leistungswert eintragen</v>
      </c>
      <c r="U38" s="3">
        <f t="shared" si="15"/>
        <v>63.75</v>
      </c>
      <c r="V38" s="3">
        <f t="shared" si="16"/>
        <v>0</v>
      </c>
    </row>
    <row r="39" spans="1:22" ht="15" customHeight="1" x14ac:dyDescent="0.2">
      <c r="A39" s="77">
        <v>18</v>
      </c>
      <c r="B39" s="91" t="s">
        <v>310</v>
      </c>
      <c r="C39" s="92" t="s">
        <v>276</v>
      </c>
      <c r="D39" s="92"/>
      <c r="E39" s="92" t="s">
        <v>311</v>
      </c>
      <c r="F39" s="92" t="s">
        <v>210</v>
      </c>
      <c r="G39" s="93">
        <v>4.5999999999999996</v>
      </c>
      <c r="H39" s="93"/>
      <c r="I39" s="93"/>
      <c r="J39" s="77" t="s">
        <v>331</v>
      </c>
      <c r="K39" s="93">
        <v>5</v>
      </c>
      <c r="L39" s="33">
        <f>VLOOKUP(K39,Reinigungstage!A10:H31,8,FALSE)</f>
        <v>65</v>
      </c>
      <c r="M39" s="33">
        <f t="shared" si="9"/>
        <v>299</v>
      </c>
      <c r="N39" s="94">
        <f t="shared" si="1"/>
        <v>0</v>
      </c>
      <c r="O39" s="33">
        <f ca="1">IF('SVS UnterhaltsRG'!H61="",0,'SVS UnterhaltsRG'!H61)</f>
        <v>0</v>
      </c>
      <c r="P39" s="33">
        <f t="shared" si="10"/>
        <v>0</v>
      </c>
      <c r="Q39" s="33">
        <f t="shared" ca="1" si="11"/>
        <v>0</v>
      </c>
      <c r="R39" s="33">
        <f t="shared" si="12"/>
        <v>0</v>
      </c>
      <c r="S39" s="33">
        <f t="shared" ca="1" si="13"/>
        <v>0</v>
      </c>
      <c r="T39" s="3" t="str">
        <f t="shared" si="14"/>
        <v>Leistungswert eintragen</v>
      </c>
      <c r="U39" s="3">
        <f t="shared" si="15"/>
        <v>63.75</v>
      </c>
      <c r="V39" s="3">
        <f t="shared" si="16"/>
        <v>0</v>
      </c>
    </row>
    <row r="40" spans="1:22" ht="15" customHeight="1" x14ac:dyDescent="0.2">
      <c r="A40" s="77">
        <v>19</v>
      </c>
      <c r="B40" s="91" t="s">
        <v>312</v>
      </c>
      <c r="C40" s="92" t="s">
        <v>276</v>
      </c>
      <c r="D40" s="92"/>
      <c r="E40" s="92" t="s">
        <v>313</v>
      </c>
      <c r="F40" s="92" t="s">
        <v>210</v>
      </c>
      <c r="G40" s="93">
        <v>7.55</v>
      </c>
      <c r="H40" s="93"/>
      <c r="I40" s="93"/>
      <c r="J40" s="77" t="s">
        <v>331</v>
      </c>
      <c r="K40" s="93">
        <v>5</v>
      </c>
      <c r="L40" s="33">
        <f>VLOOKUP(K40,Reinigungstage!A10:H31,8,FALSE)</f>
        <v>65</v>
      </c>
      <c r="M40" s="33">
        <f t="shared" si="9"/>
        <v>490.75</v>
      </c>
      <c r="N40" s="94">
        <f t="shared" si="1"/>
        <v>0</v>
      </c>
      <c r="O40" s="33">
        <f ca="1">IF('SVS UnterhaltsRG'!H61="",0,'SVS UnterhaltsRG'!H61)</f>
        <v>0</v>
      </c>
      <c r="P40" s="33">
        <f t="shared" si="10"/>
        <v>0</v>
      </c>
      <c r="Q40" s="33">
        <f t="shared" ca="1" si="11"/>
        <v>0</v>
      </c>
      <c r="R40" s="33">
        <f t="shared" si="12"/>
        <v>0</v>
      </c>
      <c r="S40" s="33">
        <f t="shared" ca="1" si="13"/>
        <v>0</v>
      </c>
      <c r="T40" s="3" t="str">
        <f t="shared" si="14"/>
        <v>Leistungswert eintragen</v>
      </c>
      <c r="U40" s="3">
        <f t="shared" si="15"/>
        <v>63.75</v>
      </c>
      <c r="V40" s="3">
        <f t="shared" si="16"/>
        <v>0</v>
      </c>
    </row>
    <row r="41" spans="1:22" ht="15" customHeight="1" x14ac:dyDescent="0.2">
      <c r="A41" s="77">
        <v>20</v>
      </c>
      <c r="B41" s="91" t="s">
        <v>315</v>
      </c>
      <c r="C41" s="92" t="s">
        <v>276</v>
      </c>
      <c r="D41" s="92"/>
      <c r="E41" s="92" t="s">
        <v>316</v>
      </c>
      <c r="F41" s="92" t="s">
        <v>213</v>
      </c>
      <c r="G41" s="93">
        <v>37</v>
      </c>
      <c r="H41" s="93"/>
      <c r="I41" s="93"/>
      <c r="J41" s="77" t="s">
        <v>232</v>
      </c>
      <c r="K41" s="93">
        <v>3</v>
      </c>
      <c r="L41" s="33">
        <f>VLOOKUP(K41,Reinigungstage!A10:H31,8,FALSE)</f>
        <v>39</v>
      </c>
      <c r="M41" s="33">
        <f t="shared" si="9"/>
        <v>1443</v>
      </c>
      <c r="N41" s="94">
        <f t="shared" si="1"/>
        <v>0</v>
      </c>
      <c r="O41" s="33">
        <f ca="1">IF('SVS UnterhaltsRG'!H61="",0,'SVS UnterhaltsRG'!H61)</f>
        <v>0</v>
      </c>
      <c r="P41" s="33">
        <f t="shared" si="10"/>
        <v>0</v>
      </c>
      <c r="Q41" s="33">
        <f t="shared" ca="1" si="11"/>
        <v>0</v>
      </c>
      <c r="R41" s="33">
        <f t="shared" si="12"/>
        <v>0</v>
      </c>
      <c r="S41" s="33">
        <f t="shared" ca="1" si="13"/>
        <v>0</v>
      </c>
      <c r="T41" s="3" t="str">
        <f t="shared" si="14"/>
        <v>Leistungswert eintragen</v>
      </c>
      <c r="U41" s="3">
        <f t="shared" si="15"/>
        <v>168.75</v>
      </c>
      <c r="V41" s="3">
        <f t="shared" si="16"/>
        <v>0</v>
      </c>
    </row>
  </sheetData>
  <sheetProtection algorithmName="SHA-512" hashValue="4XzEaklUBoa/EVLq4a0cHLvenlgT9Yk3nr4IgZGb0aB3tBGptDsM8k+gV9tFBnRpdpYQTRAHYMv9mT8NW3CF+g==" saltValue="8V8sJ4ZzdA84jrIM1Mp8Uw=="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8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83" priority="5" operator="containsText" text="Bitte prüfen Sie diese.">
      <formula>NOT(ISERROR(SEARCH("Bitte prüfen Sie diese.",L9)))</formula>
    </cfRule>
  </conditionalFormatting>
  <conditionalFormatting sqref="L10">
    <cfRule type="containsText" dxfId="8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81" priority="3" operator="containsText" text="lediglich Fehleingaben vermeiden wollen.">
      <formula>NOT(ISERROR(SEARCH("lediglich Fehleingaben vermeiden wollen.",L11)))</formula>
    </cfRule>
  </conditionalFormatting>
  <conditionalFormatting sqref="M11">
    <cfRule type="containsText" dxfId="8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79" priority="7" operator="containsText" text="für die Objektart prüfen.">
      <formula>NOT(ISERROR(SEARCH("für die Objektart prüfen.",M12)))</formula>
    </cfRule>
  </conditionalFormatting>
  <conditionalFormatting sqref="N13">
    <cfRule type="expression" dxfId="78" priority="2" stopIfTrue="1">
      <formula>N13=0</formula>
    </cfRule>
  </conditionalFormatting>
  <conditionalFormatting sqref="N14">
    <cfRule type="expression" dxfId="77" priority="1">
      <formula>N14=0</formula>
    </cfRule>
  </conditionalFormatting>
  <conditionalFormatting sqref="N22:N41">
    <cfRule type="expression" dxfId="76" priority="11">
      <formula>V22=0</formula>
    </cfRule>
    <cfRule type="expression" dxfId="75" priority="12" stopIfTrue="1">
      <formula>V22=1</formula>
    </cfRule>
  </conditionalFormatting>
  <conditionalFormatting sqref="O13">
    <cfRule type="containsText" dxfId="7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73" priority="9" operator="containsText" text="Wert(e) prüfen.">
      <formula>NOT(ISERROR(SEARCH("Wert(e) prüfen.",O14)))</formula>
    </cfRule>
  </conditionalFormatting>
  <conditionalFormatting sqref="T22:T41">
    <cfRule type="containsText" dxfId="72" priority="13" stopIfTrue="1" operator="containsText" text="SVS prüfen">
      <formula>NOT(ISERROR(SEARCH("SVS prüfen",T22)))</formula>
    </cfRule>
    <cfRule type="containsText" dxfId="71" priority="14" stopIfTrue="1" operator="containsText" text="Leistungswert eintragen">
      <formula>NOT(ISERROR(SEARCH("Leistungswert eintragen",T22)))</formula>
    </cfRule>
  </conditionalFormatting>
  <hyperlinks>
    <hyperlink ref="M1" location="Inhaltsverzeichnis!A1" display="Zurück zum Inhaltsverzeichnis" xr:uid="{6A469766-FEC9-4F30-909A-FB49607B656F}"/>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Fer GS Uhland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12642"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12643"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12644"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61D5F-22CA-4290-90F3-E299306AD9FF}">
  <sheetPr codeName="Tabelle38">
    <tabColor indexed="40"/>
  </sheetPr>
  <dimension ref="A1:V2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16384" width="11.42578125" style="3" hidden="1"/>
  </cols>
  <sheetData>
    <row r="1" spans="1:22" ht="15" customHeight="1" x14ac:dyDescent="0.2">
      <c r="M1" s="5" t="s">
        <v>100</v>
      </c>
    </row>
    <row r="2" spans="1:22" ht="21" customHeight="1" x14ac:dyDescent="0.2">
      <c r="A2" s="133" t="s">
        <v>150</v>
      </c>
      <c r="B2" s="134"/>
      <c r="C2" s="134"/>
      <c r="D2" s="134" t="b">
        <v>0</v>
      </c>
      <c r="E2" s="135"/>
      <c r="G2" s="136" t="s">
        <v>163</v>
      </c>
      <c r="H2" s="136" t="s">
        <v>155</v>
      </c>
      <c r="I2" s="136" t="s">
        <v>156</v>
      </c>
      <c r="J2" s="136" t="s">
        <v>175</v>
      </c>
      <c r="M2" s="20" t="b">
        <v>0</v>
      </c>
      <c r="N2" s="108"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08"/>
      <c r="P2" s="108"/>
      <c r="Q2" s="108"/>
    </row>
    <row r="3" spans="1:22" ht="21" customHeight="1" x14ac:dyDescent="0.2">
      <c r="A3" s="78" t="s">
        <v>205</v>
      </c>
      <c r="B3" s="79"/>
      <c r="C3" s="79"/>
      <c r="D3" s="79"/>
      <c r="E3" s="80"/>
      <c r="G3" s="137"/>
      <c r="H3" s="137" t="b">
        <v>0</v>
      </c>
      <c r="I3" s="137"/>
      <c r="J3" s="137"/>
      <c r="M3" s="20" t="b">
        <v>0</v>
      </c>
      <c r="N3" s="108"/>
      <c r="O3" s="108"/>
      <c r="P3" s="108"/>
      <c r="Q3" s="108"/>
    </row>
    <row r="4" spans="1:22" ht="15" customHeight="1" x14ac:dyDescent="0.2">
      <c r="A4" s="131" t="s">
        <v>91</v>
      </c>
      <c r="B4" s="141" t="str">
        <f>IF(Inhaltsverzeichnis!C3="","",Inhaltsverzeichnis!C3)</f>
        <v/>
      </c>
      <c r="C4" s="142"/>
      <c r="D4" s="142"/>
      <c r="E4" s="143"/>
      <c r="G4" s="77" t="s">
        <v>330</v>
      </c>
      <c r="H4" s="81"/>
      <c r="I4" s="82">
        <f ca="1">SUMIF('Kal Unter Bed GS Uhland'!J22:M22,$G$4,'Kal Unter Bed GS Uhland'!M22:M22)</f>
        <v>20.399999999999999</v>
      </c>
      <c r="J4" s="54">
        <f>COUNTIFS('Kal Unter Bed GS Uhland'!J22:M22,$G$4)</f>
        <v>1</v>
      </c>
      <c r="M4" s="20" t="b">
        <v>0</v>
      </c>
      <c r="N4" s="108"/>
      <c r="O4" s="108"/>
      <c r="P4" s="108"/>
      <c r="Q4" s="108"/>
      <c r="U4" s="77" t="s">
        <v>232</v>
      </c>
      <c r="V4" s="3">
        <v>168.75</v>
      </c>
    </row>
    <row r="5" spans="1:22" ht="15" customHeight="1" x14ac:dyDescent="0.2">
      <c r="A5" s="132"/>
      <c r="B5" s="144"/>
      <c r="C5" s="145"/>
      <c r="D5" s="145"/>
      <c r="E5" s="146"/>
      <c r="M5" s="20" t="b">
        <v>0</v>
      </c>
      <c r="N5" s="108"/>
      <c r="O5" s="108"/>
      <c r="P5" s="108"/>
      <c r="Q5" s="108"/>
      <c r="U5" s="77" t="s">
        <v>330</v>
      </c>
      <c r="V5" s="3">
        <v>166.25</v>
      </c>
    </row>
    <row r="6" spans="1:22" ht="15" customHeight="1" x14ac:dyDescent="0.2">
      <c r="A6" s="83" t="s">
        <v>173</v>
      </c>
      <c r="B6" s="147" t="s">
        <v>191</v>
      </c>
      <c r="C6" s="148"/>
      <c r="D6" s="148"/>
      <c r="E6" s="149"/>
      <c r="U6" s="77" t="s">
        <v>331</v>
      </c>
      <c r="V6" s="3">
        <v>63.75</v>
      </c>
    </row>
    <row r="7" spans="1:22" ht="15" customHeight="1" x14ac:dyDescent="0.2">
      <c r="A7" s="84" t="s">
        <v>171</v>
      </c>
      <c r="B7" s="150" t="s">
        <v>192</v>
      </c>
      <c r="C7" s="148"/>
      <c r="D7" s="148"/>
      <c r="E7" s="149"/>
      <c r="U7" s="77" t="s">
        <v>332</v>
      </c>
      <c r="V7" s="3">
        <v>262.5</v>
      </c>
    </row>
    <row r="8" spans="1:22" ht="15" customHeight="1" x14ac:dyDescent="0.2">
      <c r="A8" s="84" t="s">
        <v>172</v>
      </c>
      <c r="B8" s="147" t="s">
        <v>193</v>
      </c>
      <c r="C8" s="148"/>
      <c r="D8" s="148"/>
      <c r="E8" s="149"/>
      <c r="U8" s="77" t="s">
        <v>327</v>
      </c>
      <c r="V8" s="3">
        <v>138.75</v>
      </c>
    </row>
    <row r="9" spans="1:22" ht="15" customHeight="1" x14ac:dyDescent="0.2">
      <c r="A9" s="83" t="s">
        <v>170</v>
      </c>
      <c r="B9" s="151" t="s">
        <v>190</v>
      </c>
      <c r="C9" s="148"/>
      <c r="D9" s="148"/>
      <c r="E9" s="149"/>
      <c r="U9" s="77" t="s">
        <v>328</v>
      </c>
      <c r="V9" s="3">
        <v>195</v>
      </c>
    </row>
    <row r="10" spans="1:22" ht="15" customHeight="1" x14ac:dyDescent="0.2">
      <c r="A10" s="84" t="s">
        <v>152</v>
      </c>
      <c r="B10" s="147" t="s">
        <v>194</v>
      </c>
      <c r="C10" s="148"/>
      <c r="D10" s="148"/>
      <c r="E10" s="149"/>
      <c r="U10" s="77" t="s">
        <v>329</v>
      </c>
      <c r="V10" s="3">
        <v>300</v>
      </c>
    </row>
    <row r="11" spans="1:22" ht="15" customHeight="1" x14ac:dyDescent="0.2">
      <c r="A11" s="84" t="s">
        <v>153</v>
      </c>
      <c r="B11" s="152" t="s">
        <v>195</v>
      </c>
      <c r="C11" s="148"/>
      <c r="D11" s="148"/>
      <c r="E11" s="149"/>
      <c r="M11" s="3" t="str">
        <f>IF(N13&gt;0,"Bitte die Leistungswerte im Leistungsverzeichnis/ Tabellenblatt Leistungsrichtwerte","")</f>
        <v/>
      </c>
      <c r="U11" s="77" t="s">
        <v>333</v>
      </c>
      <c r="V11" s="3">
        <v>88.75</v>
      </c>
    </row>
    <row r="12" spans="1:22" ht="15" customHeight="1" x14ac:dyDescent="0.2">
      <c r="A12" s="84" t="s">
        <v>154</v>
      </c>
      <c r="B12" s="147" t="s">
        <v>196</v>
      </c>
      <c r="C12" s="148"/>
      <c r="D12" s="148"/>
      <c r="E12" s="149"/>
      <c r="M12" s="3" t="str">
        <f>IF(N13&gt;0,"für die Objektart prüfen.","")</f>
        <v/>
      </c>
    </row>
    <row r="13" spans="1:22" ht="15" customHeight="1" x14ac:dyDescent="0.2">
      <c r="A13" s="84" t="s">
        <v>157</v>
      </c>
      <c r="B13" s="138" t="str">
        <f>HYPERLINK("http://maps.google.de/maps?hl=de&amp;bav=on.2,or.r_qf.&amp;bvm=bv.44770516,d.Yms&amp;biw=1395&amp;bih=916&amp;um=1&amp;ie=UTF-8&amp;q="&amp;B7&amp;"+"&amp;B8&amp;"+"&amp;B10&amp;"+"&amp;B11&amp;"+"&amp;B12&amp;"","In Google-Maps anzeigen (wenn Internet verfügbar)")</f>
        <v>In Google-Maps anzeigen (wenn Internet verfügbar)</v>
      </c>
      <c r="C13" s="139"/>
      <c r="D13" s="139"/>
      <c r="E13" s="140"/>
      <c r="N13" s="85">
        <f>COUNTIF(V22:V$22,1)</f>
        <v>0</v>
      </c>
      <c r="O13" s="3" t="str">
        <f>IF(N13&gt;0,"Wert(e) überschritten, bitte mit dem Angebot plausibel darlegen.","")</f>
        <v/>
      </c>
    </row>
    <row r="14" spans="1:22" ht="15" customHeight="1" x14ac:dyDescent="0.2">
      <c r="N14" s="86">
        <f>COUNTIF(V22:V$22,0)</f>
        <v>1</v>
      </c>
      <c r="O14" s="3" t="str">
        <f>IF(N14&gt;0,"Wert(e) korrekt","")</f>
        <v>Wert(e) korrekt</v>
      </c>
      <c r="T14" s="87">
        <f>IF(COUNTA($T$22:$T$22)-COUNTBLANK($T$22:$T$22)=0,"",COUNTA($T$22:$T$22)-COUNTBLANK($T$22:$T$22))</f>
        <v>1</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134</v>
      </c>
      <c r="M20" s="1" t="s">
        <v>109</v>
      </c>
      <c r="N20" s="1" t="s">
        <v>105</v>
      </c>
      <c r="O20" s="1" t="s">
        <v>110</v>
      </c>
      <c r="P20" s="1" t="s">
        <v>111</v>
      </c>
      <c r="Q20" s="1" t="s">
        <v>112</v>
      </c>
      <c r="R20" s="1" t="s">
        <v>174</v>
      </c>
      <c r="S20" s="1" t="s">
        <v>133</v>
      </c>
    </row>
    <row r="21" spans="1:22" ht="29.1" customHeight="1" x14ac:dyDescent="0.2">
      <c r="A21" s="88" t="s">
        <v>118</v>
      </c>
      <c r="B21" s="12"/>
      <c r="C21" s="12"/>
      <c r="D21" s="12"/>
      <c r="E21" s="12"/>
      <c r="F21" s="12"/>
      <c r="G21" s="89">
        <f>SUM($G$22:$G$22)</f>
        <v>20.399999999999999</v>
      </c>
      <c r="H21" s="89">
        <f>SUM($H$22:$H$22)</f>
        <v>0</v>
      </c>
      <c r="I21" s="89">
        <f>SUM($I$22:$I$22)</f>
        <v>0</v>
      </c>
      <c r="J21" s="33"/>
      <c r="K21" s="33"/>
      <c r="L21" s="90">
        <f>MAX(L22)</f>
        <v>1</v>
      </c>
      <c r="M21" s="89">
        <f>SUM($M$22:$M$22)</f>
        <v>20.399999999999999</v>
      </c>
      <c r="N21" s="33"/>
      <c r="O21" s="33"/>
      <c r="P21" s="89">
        <f>SUM($P$22:$P$22)</f>
        <v>0</v>
      </c>
      <c r="Q21" s="89">
        <f ca="1">SUM($Q$22:$Q$22)</f>
        <v>0</v>
      </c>
      <c r="R21" s="89">
        <f>ROUND(IF(L21=0,0,P21/L21),2)</f>
        <v>0</v>
      </c>
      <c r="S21" s="89">
        <f ca="1">ROUND(IF(L21=0,0,Q21/L21),2)</f>
        <v>0</v>
      </c>
    </row>
    <row r="22" spans="1:22" ht="15" customHeight="1" x14ac:dyDescent="0.2">
      <c r="A22" s="77">
        <v>1</v>
      </c>
      <c r="B22" s="91" t="s">
        <v>261</v>
      </c>
      <c r="C22" s="92" t="s">
        <v>237</v>
      </c>
      <c r="D22" s="92"/>
      <c r="E22" s="92" t="s">
        <v>262</v>
      </c>
      <c r="F22" s="92" t="s">
        <v>213</v>
      </c>
      <c r="G22" s="93">
        <v>20.399999999999999</v>
      </c>
      <c r="H22" s="93"/>
      <c r="I22" s="93"/>
      <c r="J22" s="77" t="s">
        <v>330</v>
      </c>
      <c r="K22" s="77" t="s">
        <v>145</v>
      </c>
      <c r="L22" s="33">
        <f>VLOOKUP(K22,Reinigungstage!A10:I31,9,FALSE)</f>
        <v>1</v>
      </c>
      <c r="M22" s="33">
        <f t="shared" ref="M22" si="0">ROUND(IF(L22=0,0,L22*G22),2)</f>
        <v>20.399999999999999</v>
      </c>
      <c r="N22" s="94">
        <f>VLOOKUP(J22,$G$4:$H$11,2,FALSE)</f>
        <v>0</v>
      </c>
      <c r="O22" s="33">
        <f ca="1">IF('SVS UnterhaltsRG'!H61="",0,'SVS UnterhaltsRG'!H61)</f>
        <v>0</v>
      </c>
      <c r="P22" s="33">
        <f t="shared" ref="P22" si="1">ROUND(IF(N22=0,0,M22/N22),2)</f>
        <v>0</v>
      </c>
      <c r="Q22" s="33">
        <f t="shared" ref="Q22" ca="1" si="2">IF(M22=0,0,IF(O22="",0,ROUND(P22*O22,2)))</f>
        <v>0</v>
      </c>
      <c r="R22" s="33">
        <f t="shared" ref="R22" si="3">ROUND(IF(P22=0,0,P22/L22),2)</f>
        <v>0</v>
      </c>
      <c r="S22" s="33">
        <f t="shared" ref="S22" ca="1" si="4">ROUND(IF(Q22=0,0,Q22/L22),2)</f>
        <v>0</v>
      </c>
      <c r="T22" s="3" t="str">
        <f t="shared" ref="T22" si="5">IF(M22=0,"",IF(N22=0,"Leistungswert eintragen",IF(O22=0,"SVS prüfen","")))</f>
        <v>Leistungswert eintragen</v>
      </c>
      <c r="U22" s="3">
        <f t="shared" ref="U22" si="6">VLOOKUP(J22,$U$4:$V$11,2,FALSE)</f>
        <v>166.25</v>
      </c>
      <c r="V22" s="3">
        <f t="shared" ref="V22" si="7">IF(M22=0,0,IF(U22&lt;N22,1,IF(U22&gt;=N22,0,"")))</f>
        <v>0</v>
      </c>
    </row>
  </sheetData>
  <sheetProtection algorithmName="SHA-512" hashValue="UZbBlx82u5wQH/p+5i2+x25W9HNvzD5bmRiEOylgLK40isaZnRARUn6+R8zATN8QXbTyjlK6oGL4k8EZUQ1ccg==" saltValue="X8GIaMk/1UR1oNoDwQdacA=="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70"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69" priority="5" operator="containsText" text="Bitte prüfen Sie diese.">
      <formula>NOT(ISERROR(SEARCH("Bitte prüfen Sie diese.",L9)))</formula>
    </cfRule>
  </conditionalFormatting>
  <conditionalFormatting sqref="L10">
    <cfRule type="containsText" dxfId="68"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67" priority="3" operator="containsText" text="lediglich Fehleingaben vermeiden wollen.">
      <formula>NOT(ISERROR(SEARCH("lediglich Fehleingaben vermeiden wollen.",L11)))</formula>
    </cfRule>
  </conditionalFormatting>
  <conditionalFormatting sqref="M11">
    <cfRule type="containsText" dxfId="66"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65" priority="7" operator="containsText" text="für die Objektart prüfen.">
      <formula>NOT(ISERROR(SEARCH("für die Objektart prüfen.",M12)))</formula>
    </cfRule>
  </conditionalFormatting>
  <conditionalFormatting sqref="N13">
    <cfRule type="expression" dxfId="64" priority="2" stopIfTrue="1">
      <formula>N13=0</formula>
    </cfRule>
  </conditionalFormatting>
  <conditionalFormatting sqref="N14">
    <cfRule type="expression" dxfId="63" priority="1">
      <formula>N14=0</formula>
    </cfRule>
  </conditionalFormatting>
  <conditionalFormatting sqref="N22">
    <cfRule type="expression" dxfId="62" priority="11">
      <formula>V22=0</formula>
    </cfRule>
    <cfRule type="expression" dxfId="61" priority="12" stopIfTrue="1">
      <formula>V22=1</formula>
    </cfRule>
  </conditionalFormatting>
  <conditionalFormatting sqref="O13">
    <cfRule type="containsText" dxfId="60"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59" priority="9" operator="containsText" text="Wert(e) prüfen.">
      <formula>NOT(ISERROR(SEARCH("Wert(e) prüfen.",O14)))</formula>
    </cfRule>
  </conditionalFormatting>
  <conditionalFormatting sqref="T22">
    <cfRule type="containsText" dxfId="58" priority="13" stopIfTrue="1" operator="containsText" text="SVS prüfen">
      <formula>NOT(ISERROR(SEARCH("SVS prüfen",T22)))</formula>
    </cfRule>
    <cfRule type="containsText" dxfId="57" priority="14" stopIfTrue="1" operator="containsText" text="Leistungswert eintragen">
      <formula>NOT(ISERROR(SEARCH("Leistungswert eintragen",T22)))</formula>
    </cfRule>
  </conditionalFormatting>
  <hyperlinks>
    <hyperlink ref="M1" location="Inhaltsverzeichnis!A1" display="Zurück zum Inhaltsverzeichnis" xr:uid="{0A6191F4-4958-45EE-95EF-A9A31E54B687}"/>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Bed GS Uhland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13666"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13667"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13668"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25</vt:i4>
      </vt:variant>
    </vt:vector>
  </HeadingPairs>
  <TitlesOfParts>
    <vt:vector size="40" baseType="lpstr">
      <vt:lpstr>Inhaltsverzeichnis</vt:lpstr>
      <vt:lpstr>Preisübersicht</vt:lpstr>
      <vt:lpstr>Preisübersicht (nach Bedarf)</vt:lpstr>
      <vt:lpstr>SVS UnterhaltsRG</vt:lpstr>
      <vt:lpstr>SVS GrundRG</vt:lpstr>
      <vt:lpstr>Kal Unter GS Uhland</vt:lpstr>
      <vt:lpstr>Kal Grund GS Uhland</vt:lpstr>
      <vt:lpstr>Kal Unter Fer GS Uhland</vt:lpstr>
      <vt:lpstr>Kal Unter Bed GS Uhland</vt:lpstr>
      <vt:lpstr>Kal Unter JC Leo Treff</vt:lpstr>
      <vt:lpstr>Kal Grund JC Leo Treff</vt:lpstr>
      <vt:lpstr>Kal Unter Luther SH</vt:lpstr>
      <vt:lpstr>Kal Grund Luther SH</vt:lpstr>
      <vt:lpstr>Kal Verbrauch Gesamt</vt:lpstr>
      <vt:lpstr>Reinigungstage</vt:lpstr>
      <vt:lpstr>Inhaltsverzeichnis!Druckbereich</vt:lpstr>
      <vt:lpstr>'Kal Grund GS Uhland'!Druckbereich</vt:lpstr>
      <vt:lpstr>'Kal Grund JC Leo Treff'!Druckbereich</vt:lpstr>
      <vt:lpstr>'Kal Grund Luther SH'!Druckbereich</vt:lpstr>
      <vt:lpstr>'Kal Unter Bed GS Uhland'!Druckbereich</vt:lpstr>
      <vt:lpstr>'Kal Unter Fer GS Uhland'!Druckbereich</vt:lpstr>
      <vt:lpstr>'Kal Unter GS Uhland'!Druckbereich</vt:lpstr>
      <vt:lpstr>'Kal Unter JC Leo Treff'!Druckbereich</vt:lpstr>
      <vt:lpstr>'Kal Unter Luther SH'!Druckbereich</vt:lpstr>
      <vt:lpstr>'Kal Verbrauch Gesamt'!Druckbereich</vt:lpstr>
      <vt:lpstr>Preisübersicht!Druckbereich</vt:lpstr>
      <vt:lpstr>'Preisübersicht (nach Bedarf)'!Druckbereich</vt:lpstr>
      <vt:lpstr>Reinigungstage!Druckbereich</vt:lpstr>
      <vt:lpstr>'SVS GrundRG'!Druckbereich</vt:lpstr>
      <vt:lpstr>'SVS UnterhaltsRG'!Druckbereich</vt:lpstr>
      <vt:lpstr>'Kal Grund GS Uhland'!Drucktitel</vt:lpstr>
      <vt:lpstr>'Kal Grund JC Leo Treff'!Drucktitel</vt:lpstr>
      <vt:lpstr>'Kal Grund Luther SH'!Drucktitel</vt:lpstr>
      <vt:lpstr>'Kal Unter Bed GS Uhland'!Drucktitel</vt:lpstr>
      <vt:lpstr>'Kal Unter Fer GS Uhland'!Drucktitel</vt:lpstr>
      <vt:lpstr>'Kal Unter GS Uhland'!Drucktitel</vt:lpstr>
      <vt:lpstr>'Kal Unter JC Leo Treff'!Drucktitel</vt:lpstr>
      <vt:lpstr>'Kal Unter Luther SH'!Drucktitel</vt:lpstr>
      <vt:lpstr>Preisübersicht!Drucktitel</vt:lpstr>
      <vt:lpstr>'Preisübersicht (nach Bedarf)'!Drucktitel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2026-03-13T09:29:45Z</cp:lastPrinted>
  <dcterms:created xsi:type="dcterms:W3CDTF">2012-06-08T19:50:39Z</dcterms:created>
  <dcterms:modified xsi:type="dcterms:W3CDTF">2026-03-24T10:33:07Z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