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6.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7.xml" ContentType="application/vnd.openxmlformats-officedocument.drawing+xml"/>
  <Override PartName="/xl/ctrlProps/ctrlProp17.xml" ContentType="application/vnd.ms-excel.controlproperties+xml"/>
  <Override PartName="/xl/drawings/drawing8.xml" ContentType="application/vnd.openxmlformats-officedocument.drawing+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DieseArbeitsmappe" defaultThemeVersion="124226"/>
  <mc:AlternateContent xmlns:mc="http://schemas.openxmlformats.org/markup-compatibility/2006">
    <mc:Choice Requires="x15">
      <x15ac:absPath xmlns:x15ac="http://schemas.microsoft.com/office/spreadsheetml/2010/11/ac" url="S:\Kunden\Staßfurt, Stadtpflegebetrieb\Reinigung 2025\4-Leistungsbeschreibungen\2-ERK\"/>
    </mc:Choice>
  </mc:AlternateContent>
  <xr:revisionPtr revIDLastSave="0" documentId="13_ncr:1_{E64EC4BC-CB68-4C81-95C4-C5F739C2AA7A}" xr6:coauthVersionLast="47" xr6:coauthVersionMax="47" xr10:uidLastSave="{00000000-0000-0000-0000-000000000000}"/>
  <workbookProtection workbookAlgorithmName="SHA-512" workbookHashValue="U/p6r6Cnx+esOR7NSEFAA/aBCleAvGJs5XlZqKi01eY9kVJQrI9vEEwTxF6Owikky+V6JLEGuZXrO0V8OuwflQ==" workbookSaltValue="vFomwy6gG6jKhNml5VI3Jw==" workbookSpinCount="100000" lockStructure="1"/>
  <bookViews>
    <workbookView xWindow="-120" yWindow="-120" windowWidth="38640" windowHeight="21120" tabRatio="861" xr2:uid="{00000000-000D-0000-FFFF-FFFF00000000}"/>
  </bookViews>
  <sheets>
    <sheet name="Inhaltsverzeichnis" sheetId="1" r:id="rId1"/>
    <sheet name="Preisübersicht" sheetId="3" r:id="rId2"/>
    <sheet name="SVS UnterhaltsRG" sheetId="38" r:id="rId3"/>
    <sheet name="SVS GrundRG" sheetId="29" r:id="rId4"/>
    <sheet name="Kal Unter GS Nord" sheetId="62" r:id="rId5"/>
    <sheet name="Kal Grund GS Nord" sheetId="63" r:id="rId6"/>
    <sheet name="Kal Verbrauch Gesamt" sheetId="26" r:id="rId7"/>
    <sheet name="Reinigungstage" sheetId="46" r:id="rId8"/>
  </sheets>
  <definedNames>
    <definedName name="berAuftragskosten" localSheetId="5">SVS #REF!</definedName>
    <definedName name="berAuftragskosten" localSheetId="4">SVS #REF!</definedName>
    <definedName name="berAuftragskosten">SVS #REF!</definedName>
    <definedName name="BereichSVSGrundWC">#REF!</definedName>
    <definedName name="berRGTageObjekt">#REF!</definedName>
    <definedName name="_xlnm.Print_Area" localSheetId="0">Inhaltsverzeichnis!$A$1:$J$20</definedName>
    <definedName name="_xlnm.Print_Area" localSheetId="5">'Kal Grund GS Nord'!$A$1:$R$47</definedName>
    <definedName name="_xlnm.Print_Area" localSheetId="4">'Kal Unter GS Nord'!$A$1:$S$51</definedName>
    <definedName name="_xlnm.Print_Area" localSheetId="6">'Kal Verbrauch Gesamt'!$A$1:$G$16</definedName>
    <definedName name="_xlnm.Print_Area" localSheetId="1">Preisübersicht!$A$1:$H$7</definedName>
    <definedName name="_xlnm.Print_Area" localSheetId="7">Reinigungstage!$A$1:$C$31</definedName>
    <definedName name="_xlnm.Print_Area" localSheetId="3">'SVS GrundRG'!$A$1:$I$79</definedName>
    <definedName name="_xlnm.Print_Area" localSheetId="2">'SVS UnterhaltsRG'!$A$1:$I$79</definedName>
    <definedName name="_xlnm.Print_Titles" localSheetId="5">'Kal Grund GS Nord'!$20:$21</definedName>
    <definedName name="_xlnm.Print_Titles" localSheetId="4">'Kal Unter GS Nord'!$20:$21</definedName>
    <definedName name="_xlnm.Print_Titles" localSheetId="1">Preisübersicht!$1:$5</definedName>
    <definedName name="Ferien">#REF!</definedName>
    <definedName name="sAuftragskosten" localSheetId="5">SVS #REF!</definedName>
    <definedName name="sAuftragskosten" localSheetId="4">SVS #REF!</definedName>
    <definedName name="sAuftragskosten">SVS #REF!</definedName>
    <definedName name="SVListe">#REF!</definedName>
    <definedName name="TTListe">#REF!</definedName>
    <definedName name="Turnus">#REF!</definedName>
    <definedName name="TurnusKita">#REF!</definedName>
    <definedName name="TurnusSchule">#REF!</definedName>
    <definedName name="TurnusVerwal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1" i="63" l="1"/>
  <c r="L21" i="62"/>
  <c r="F6" i="1"/>
  <c r="H6" i="26"/>
  <c r="G6" i="26"/>
  <c r="H5" i="26"/>
  <c r="H3" i="26" s="1"/>
  <c r="G5" i="26"/>
  <c r="U47" i="63"/>
  <c r="U46" i="63"/>
  <c r="V46" i="63" s="1"/>
  <c r="W46" i="63" s="1"/>
  <c r="U45" i="63"/>
  <c r="U44" i="63"/>
  <c r="U43" i="63"/>
  <c r="V43" i="63" s="1"/>
  <c r="W43" i="63" s="1"/>
  <c r="U42" i="63"/>
  <c r="U41" i="63"/>
  <c r="U40" i="63"/>
  <c r="U39" i="63"/>
  <c r="U38" i="63"/>
  <c r="U37" i="63"/>
  <c r="V37" i="63" s="1"/>
  <c r="W37" i="63" s="1"/>
  <c r="U36" i="63"/>
  <c r="V36" i="63" s="1"/>
  <c r="W36" i="63" s="1"/>
  <c r="U35" i="63"/>
  <c r="V35" i="63" s="1"/>
  <c r="W35" i="63" s="1"/>
  <c r="U34" i="63"/>
  <c r="V34" i="63" s="1"/>
  <c r="W34" i="63" s="1"/>
  <c r="U33" i="63"/>
  <c r="U32" i="63"/>
  <c r="V32" i="63" s="1"/>
  <c r="W32" i="63" s="1"/>
  <c r="U31" i="63"/>
  <c r="U30" i="63"/>
  <c r="V30" i="63" s="1"/>
  <c r="W30" i="63" s="1"/>
  <c r="U29" i="63"/>
  <c r="U28" i="63"/>
  <c r="U27" i="63"/>
  <c r="U26" i="63"/>
  <c r="U25" i="63"/>
  <c r="U24" i="63"/>
  <c r="U23" i="63"/>
  <c r="U22" i="63"/>
  <c r="V22" i="63" s="1"/>
  <c r="N47" i="63"/>
  <c r="P47" i="63" s="1"/>
  <c r="N46" i="63"/>
  <c r="P46" i="63" s="1"/>
  <c r="N45" i="63"/>
  <c r="N44" i="63"/>
  <c r="N43" i="63"/>
  <c r="N42" i="63"/>
  <c r="N41" i="63"/>
  <c r="N40" i="63"/>
  <c r="N39" i="63"/>
  <c r="N38" i="63"/>
  <c r="N37" i="63"/>
  <c r="N36" i="63"/>
  <c r="N35" i="63"/>
  <c r="N34" i="63"/>
  <c r="N33" i="63"/>
  <c r="N32" i="63"/>
  <c r="N31" i="63"/>
  <c r="N30" i="63"/>
  <c r="N29" i="63"/>
  <c r="N28" i="63"/>
  <c r="N27" i="63"/>
  <c r="N26" i="63"/>
  <c r="N25" i="63"/>
  <c r="N24" i="63"/>
  <c r="N23" i="63"/>
  <c r="N22" i="63"/>
  <c r="I21" i="63"/>
  <c r="H21" i="63"/>
  <c r="G21" i="63"/>
  <c r="V47" i="63"/>
  <c r="W47" i="63" s="1"/>
  <c r="V45" i="63"/>
  <c r="W45" i="63" s="1"/>
  <c r="U51" i="62"/>
  <c r="U50" i="62"/>
  <c r="U49" i="62"/>
  <c r="U48" i="62"/>
  <c r="U47" i="62"/>
  <c r="U46" i="62"/>
  <c r="U45" i="62"/>
  <c r="U44" i="62"/>
  <c r="U43" i="62"/>
  <c r="U42" i="62"/>
  <c r="U41" i="62"/>
  <c r="U40" i="62"/>
  <c r="U39" i="62"/>
  <c r="U38" i="62"/>
  <c r="U37" i="62"/>
  <c r="U36" i="62"/>
  <c r="U35" i="62"/>
  <c r="U34" i="62"/>
  <c r="U33" i="62"/>
  <c r="U32" i="62"/>
  <c r="U31" i="62"/>
  <c r="U30" i="62"/>
  <c r="U29" i="62"/>
  <c r="U28" i="62"/>
  <c r="U27" i="62"/>
  <c r="U26" i="62"/>
  <c r="U25" i="62"/>
  <c r="U24" i="62"/>
  <c r="U23" i="62"/>
  <c r="U22" i="62"/>
  <c r="N51" i="62"/>
  <c r="N50" i="62"/>
  <c r="N49" i="62"/>
  <c r="N48" i="62"/>
  <c r="N47" i="62"/>
  <c r="P47" i="62" s="1"/>
  <c r="R47" i="62" s="1"/>
  <c r="N46" i="62"/>
  <c r="N45" i="62"/>
  <c r="N44" i="62"/>
  <c r="N43" i="62"/>
  <c r="N42" i="62"/>
  <c r="N41" i="62"/>
  <c r="N40" i="62"/>
  <c r="P40" i="62" s="1"/>
  <c r="R40" i="62" s="1"/>
  <c r="N39" i="62"/>
  <c r="P39" i="62" s="1"/>
  <c r="R39" i="62" s="1"/>
  <c r="N38" i="62"/>
  <c r="N37" i="62"/>
  <c r="P37" i="62" s="1"/>
  <c r="R37" i="62" s="1"/>
  <c r="N36" i="62"/>
  <c r="N35" i="62"/>
  <c r="P35" i="62" s="1"/>
  <c r="R35" i="62" s="1"/>
  <c r="N34" i="62"/>
  <c r="N33" i="62"/>
  <c r="P33" i="62" s="1"/>
  <c r="R33" i="62" s="1"/>
  <c r="N32" i="62"/>
  <c r="P32" i="62" s="1"/>
  <c r="R32" i="62" s="1"/>
  <c r="N31" i="62"/>
  <c r="P31" i="62" s="1"/>
  <c r="R31" i="62" s="1"/>
  <c r="N30" i="62"/>
  <c r="P30" i="62" s="1"/>
  <c r="R30" i="62" s="1"/>
  <c r="N29" i="62"/>
  <c r="P29" i="62" s="1"/>
  <c r="R29" i="62" s="1"/>
  <c r="N28" i="62"/>
  <c r="P28" i="62" s="1"/>
  <c r="R28" i="62" s="1"/>
  <c r="N27" i="62"/>
  <c r="P27" i="62" s="1"/>
  <c r="R27" i="62" s="1"/>
  <c r="N26" i="62"/>
  <c r="P26" i="62" s="1"/>
  <c r="R26" i="62" s="1"/>
  <c r="N25" i="62"/>
  <c r="P25" i="62" s="1"/>
  <c r="R25" i="62" s="1"/>
  <c r="N24" i="62"/>
  <c r="P24" i="62" s="1"/>
  <c r="R24" i="62" s="1"/>
  <c r="N23" i="62"/>
  <c r="P23" i="62" s="1"/>
  <c r="N22" i="62"/>
  <c r="P22" i="62" s="1"/>
  <c r="R22" i="62" s="1"/>
  <c r="I21" i="62"/>
  <c r="H21" i="62"/>
  <c r="G21" i="62"/>
  <c r="P51" i="62"/>
  <c r="R51" i="62" s="1"/>
  <c r="P50" i="62"/>
  <c r="R50" i="62" s="1"/>
  <c r="P49" i="62"/>
  <c r="R49" i="62" s="1"/>
  <c r="P48" i="62"/>
  <c r="R48" i="62" s="1"/>
  <c r="P44" i="62"/>
  <c r="R44" i="62" s="1"/>
  <c r="P43" i="62"/>
  <c r="R43" i="62" s="1"/>
  <c r="P42" i="62"/>
  <c r="R42" i="62" s="1"/>
  <c r="P38" i="62"/>
  <c r="R38" i="62" s="1"/>
  <c r="P36" i="62"/>
  <c r="R36" i="62" s="1"/>
  <c r="P34" i="62"/>
  <c r="R34" i="62" s="1"/>
  <c r="L47" i="63"/>
  <c r="M47" i="63" s="1"/>
  <c r="L46" i="63"/>
  <c r="M46" i="63" s="1"/>
  <c r="L45" i="63"/>
  <c r="M45" i="63" s="1"/>
  <c r="L44" i="63"/>
  <c r="M44" i="63" s="1"/>
  <c r="L43" i="63"/>
  <c r="M43" i="63" s="1"/>
  <c r="L42" i="63"/>
  <c r="M42" i="63" s="1"/>
  <c r="L41" i="63"/>
  <c r="M41" i="63" s="1"/>
  <c r="L40" i="63"/>
  <c r="M40" i="63" s="1"/>
  <c r="L39" i="63"/>
  <c r="M39" i="63" s="1"/>
  <c r="L38" i="63"/>
  <c r="M38" i="63" s="1"/>
  <c r="L37" i="63"/>
  <c r="M37" i="63" s="1"/>
  <c r="L36" i="63"/>
  <c r="M36" i="63" s="1"/>
  <c r="L35" i="63"/>
  <c r="M35" i="63" s="1"/>
  <c r="L34" i="63"/>
  <c r="M34" i="63" s="1"/>
  <c r="L33" i="63"/>
  <c r="M33" i="63" s="1"/>
  <c r="L32" i="63"/>
  <c r="M32" i="63" s="1"/>
  <c r="L31" i="63"/>
  <c r="M31" i="63" s="1"/>
  <c r="L30" i="63"/>
  <c r="M30" i="63" s="1"/>
  <c r="L29" i="63"/>
  <c r="M29" i="63" s="1"/>
  <c r="L28" i="63"/>
  <c r="M28" i="63" s="1"/>
  <c r="L27" i="63"/>
  <c r="M27" i="63" s="1"/>
  <c r="L26" i="63"/>
  <c r="M26" i="63" s="1"/>
  <c r="L25" i="63"/>
  <c r="M25" i="63" s="1"/>
  <c r="L24" i="63"/>
  <c r="M24" i="63" s="1"/>
  <c r="L23" i="63"/>
  <c r="M23" i="63" s="1"/>
  <c r="L22" i="63"/>
  <c r="M22" i="63" s="1"/>
  <c r="L46" i="62"/>
  <c r="M46" i="62" s="1"/>
  <c r="L45" i="62"/>
  <c r="M45" i="62" s="1"/>
  <c r="L41" i="62"/>
  <c r="M41" i="62" s="1"/>
  <c r="L38" i="62"/>
  <c r="M38" i="62" s="1"/>
  <c r="C22" i="46"/>
  <c r="C21" i="46"/>
  <c r="B22" i="46"/>
  <c r="B21" i="46"/>
  <c r="B20" i="46"/>
  <c r="B19" i="46"/>
  <c r="L29" i="62" s="1"/>
  <c r="M29" i="62" s="1"/>
  <c r="B18" i="46"/>
  <c r="B17" i="46"/>
  <c r="B16" i="46"/>
  <c r="L28" i="62" s="1"/>
  <c r="M28" i="62" s="1"/>
  <c r="B15" i="46"/>
  <c r="B14" i="46"/>
  <c r="B13" i="46"/>
  <c r="B12" i="46"/>
  <c r="B11" i="46"/>
  <c r="B10" i="46"/>
  <c r="B13" i="63"/>
  <c r="B4" i="63"/>
  <c r="N2" i="63"/>
  <c r="B13" i="62"/>
  <c r="B4" i="62"/>
  <c r="N2" i="62"/>
  <c r="H20" i="1" l="1"/>
  <c r="E6" i="3"/>
  <c r="E20" i="1"/>
  <c r="R21" i="62"/>
  <c r="X47" i="63"/>
  <c r="X46" i="63"/>
  <c r="P45" i="63"/>
  <c r="X45" i="63"/>
  <c r="W22" i="63"/>
  <c r="V44" i="63"/>
  <c r="W44" i="63" s="1"/>
  <c r="V33" i="63"/>
  <c r="W33" i="63" s="1"/>
  <c r="X33" i="63" s="1"/>
  <c r="P44" i="63"/>
  <c r="X44" i="63"/>
  <c r="X43" i="63"/>
  <c r="P43" i="63"/>
  <c r="X41" i="63"/>
  <c r="P41" i="63"/>
  <c r="X40" i="63"/>
  <c r="P40" i="63"/>
  <c r="X37" i="63"/>
  <c r="P37" i="63"/>
  <c r="X36" i="63"/>
  <c r="P36" i="63"/>
  <c r="X35" i="63"/>
  <c r="P35" i="63"/>
  <c r="X34" i="63"/>
  <c r="P34" i="63"/>
  <c r="P33" i="63"/>
  <c r="X31" i="63"/>
  <c r="P31" i="63"/>
  <c r="X30" i="63"/>
  <c r="P30" i="63"/>
  <c r="X27" i="63"/>
  <c r="P27" i="63"/>
  <c r="X22" i="63"/>
  <c r="P22" i="63"/>
  <c r="V38" i="62"/>
  <c r="M21" i="63"/>
  <c r="J4" i="63"/>
  <c r="J6" i="63"/>
  <c r="I7" i="63"/>
  <c r="J8" i="63"/>
  <c r="I8" i="63"/>
  <c r="J7" i="63"/>
  <c r="I5" i="63"/>
  <c r="I6" i="63"/>
  <c r="J9" i="63"/>
  <c r="I9" i="63"/>
  <c r="I4" i="63"/>
  <c r="J5" i="63"/>
  <c r="V29" i="62"/>
  <c r="L31" i="62"/>
  <c r="M31" i="62" s="1"/>
  <c r="L32" i="62"/>
  <c r="M32" i="62" s="1"/>
  <c r="L30" i="62"/>
  <c r="M30" i="62" s="1"/>
  <c r="V28" i="62"/>
  <c r="L23" i="62"/>
  <c r="M23" i="62" s="1"/>
  <c r="L42" i="62"/>
  <c r="M42" i="62" s="1"/>
  <c r="L40" i="62"/>
  <c r="M40" i="62" s="1"/>
  <c r="L39" i="62"/>
  <c r="M39" i="62" s="1"/>
  <c r="L37" i="62"/>
  <c r="M37" i="62" s="1"/>
  <c r="L36" i="62"/>
  <c r="M36" i="62" s="1"/>
  <c r="L35" i="62"/>
  <c r="M35" i="62" s="1"/>
  <c r="L34" i="62"/>
  <c r="M34" i="62" s="1"/>
  <c r="L26" i="62"/>
  <c r="M26" i="62" s="1"/>
  <c r="L48" i="62"/>
  <c r="M48" i="62" s="1"/>
  <c r="L49" i="62"/>
  <c r="M49" i="62" s="1"/>
  <c r="L25" i="62"/>
  <c r="M25" i="62" s="1"/>
  <c r="L27" i="62"/>
  <c r="M27" i="62" s="1"/>
  <c r="L43" i="62"/>
  <c r="M43" i="62" s="1"/>
  <c r="L50" i="62"/>
  <c r="M50" i="62" s="1"/>
  <c r="L22" i="62"/>
  <c r="L33" i="62"/>
  <c r="M33" i="62" s="1"/>
  <c r="L47" i="62"/>
  <c r="M47" i="62" s="1"/>
  <c r="L24" i="62"/>
  <c r="M24" i="62" s="1"/>
  <c r="L44" i="62"/>
  <c r="M44" i="62" s="1"/>
  <c r="L51" i="62"/>
  <c r="M51" i="62" s="1"/>
  <c r="V42" i="63"/>
  <c r="W42" i="63" s="1"/>
  <c r="V41" i="63"/>
  <c r="W41" i="63"/>
  <c r="V40" i="63"/>
  <c r="W40" i="63" s="1"/>
  <c r="V39" i="63"/>
  <c r="W39" i="63" s="1"/>
  <c r="V38" i="63"/>
  <c r="W38" i="63" s="1"/>
  <c r="V31" i="63"/>
  <c r="W31" i="63" s="1"/>
  <c r="V29" i="63"/>
  <c r="W29" i="63" s="1"/>
  <c r="V28" i="63"/>
  <c r="W28" i="63" s="1"/>
  <c r="V27" i="63"/>
  <c r="W27" i="63" s="1"/>
  <c r="V26" i="63"/>
  <c r="W26" i="63" s="1"/>
  <c r="V25" i="63"/>
  <c r="W25" i="63" s="1"/>
  <c r="V24" i="63"/>
  <c r="W24" i="63" s="1"/>
  <c r="V23" i="63"/>
  <c r="W23" i="63" s="1"/>
  <c r="P42" i="63"/>
  <c r="X42" i="63"/>
  <c r="X39" i="63"/>
  <c r="P39" i="63"/>
  <c r="X38" i="63"/>
  <c r="P38" i="63"/>
  <c r="X32" i="63"/>
  <c r="P32" i="63"/>
  <c r="P29" i="63"/>
  <c r="X29" i="63"/>
  <c r="P28" i="63"/>
  <c r="X28" i="63"/>
  <c r="P26" i="63"/>
  <c r="X26" i="63"/>
  <c r="P25" i="63"/>
  <c r="X25" i="63"/>
  <c r="X24" i="63"/>
  <c r="P24" i="63"/>
  <c r="X23" i="63"/>
  <c r="P23" i="63"/>
  <c r="V46" i="62"/>
  <c r="P46" i="62"/>
  <c r="R46" i="62" s="1"/>
  <c r="V45" i="62"/>
  <c r="P45" i="62"/>
  <c r="R45" i="62" s="1"/>
  <c r="V41" i="62"/>
  <c r="P41" i="62"/>
  <c r="R23" i="62"/>
  <c r="D17" i="29"/>
  <c r="D17" i="38"/>
  <c r="D18" i="38"/>
  <c r="F18" i="38" s="1"/>
  <c r="D19" i="38"/>
  <c r="D20" i="38"/>
  <c r="F20" i="38" s="1"/>
  <c r="D21" i="38"/>
  <c r="D22" i="38"/>
  <c r="F22" i="38"/>
  <c r="D76" i="29"/>
  <c r="R41" i="62" l="1"/>
  <c r="P21" i="62"/>
  <c r="V31" i="62"/>
  <c r="V32" i="62"/>
  <c r="V30" i="62"/>
  <c r="V23" i="62"/>
  <c r="V42" i="62"/>
  <c r="V40" i="62"/>
  <c r="V39" i="62"/>
  <c r="V37" i="62"/>
  <c r="V36" i="62"/>
  <c r="V35" i="62"/>
  <c r="V34" i="62"/>
  <c r="V26" i="62"/>
  <c r="V48" i="62"/>
  <c r="V49" i="62"/>
  <c r="V25" i="62"/>
  <c r="V27" i="62"/>
  <c r="V43" i="62"/>
  <c r="V50" i="62"/>
  <c r="J10" i="62"/>
  <c r="M22" i="62"/>
  <c r="J4" i="62"/>
  <c r="I10" i="62"/>
  <c r="V33" i="62"/>
  <c r="V47" i="62"/>
  <c r="V24" i="62"/>
  <c r="V44" i="62"/>
  <c r="V51" i="62"/>
  <c r="P21" i="63"/>
  <c r="N14" i="63"/>
  <c r="H18" i="38"/>
  <c r="H20" i="38"/>
  <c r="V22" i="62" l="1"/>
  <c r="M21" i="62"/>
  <c r="I8" i="62"/>
  <c r="I4" i="62"/>
  <c r="I7" i="62"/>
  <c r="J6" i="62"/>
  <c r="I9" i="62"/>
  <c r="J8" i="62"/>
  <c r="J7" i="62"/>
  <c r="I5" i="62"/>
  <c r="J5" i="62"/>
  <c r="J9" i="62"/>
  <c r="I6" i="62"/>
  <c r="L9" i="63"/>
  <c r="O14" i="63"/>
  <c r="L8" i="63"/>
  <c r="L11" i="63"/>
  <c r="L10" i="63"/>
  <c r="D76" i="38"/>
  <c r="D23" i="38" s="1"/>
  <c r="D24" i="38" s="1"/>
  <c r="F24" i="38" s="1"/>
  <c r="F57" i="29"/>
  <c r="F42" i="29"/>
  <c r="F34" i="29"/>
  <c r="F59" i="29" s="1"/>
  <c r="F57" i="38"/>
  <c r="F42" i="38"/>
  <c r="F34" i="38"/>
  <c r="F59" i="38" s="1"/>
  <c r="N14" i="62" l="1"/>
  <c r="O14" i="62" s="1"/>
  <c r="N13" i="62"/>
  <c r="F28" i="29"/>
  <c r="D23" i="29"/>
  <c r="D21" i="29"/>
  <c r="D19" i="29"/>
  <c r="F28" i="38"/>
  <c r="M12" i="62" l="1"/>
  <c r="O13" i="62"/>
  <c r="M11" i="62"/>
  <c r="B2" i="26"/>
  <c r="D2" i="26" l="1"/>
  <c r="C2" i="38" l="1"/>
  <c r="C2" i="29"/>
  <c r="C2" i="3" l="1"/>
  <c r="E1" i="46" l="1"/>
  <c r="E1" i="29"/>
  <c r="E1" i="38"/>
  <c r="I2" i="1"/>
  <c r="B2" i="46" l="1"/>
  <c r="K68" i="29" l="1"/>
  <c r="K67" i="29"/>
  <c r="K66" i="29"/>
  <c r="K65" i="29"/>
  <c r="K60" i="29"/>
  <c r="K56" i="29"/>
  <c r="K55" i="29"/>
  <c r="K54" i="29"/>
  <c r="K53" i="29"/>
  <c r="K52" i="29"/>
  <c r="K51" i="29"/>
  <c r="K50" i="29"/>
  <c r="K48" i="29"/>
  <c r="K47" i="29"/>
  <c r="K46" i="29"/>
  <c r="K41" i="29"/>
  <c r="K40" i="29"/>
  <c r="K39" i="29"/>
  <c r="K38" i="29"/>
  <c r="K33" i="29"/>
  <c r="K32" i="29"/>
  <c r="K27" i="29"/>
  <c r="K25" i="29"/>
  <c r="K13" i="29"/>
  <c r="K12" i="29"/>
  <c r="K11" i="29"/>
  <c r="K10" i="29"/>
  <c r="K9" i="29"/>
  <c r="K68" i="38"/>
  <c r="K67" i="38"/>
  <c r="K66" i="38"/>
  <c r="K65" i="38"/>
  <c r="K60" i="38"/>
  <c r="K56" i="38"/>
  <c r="K55" i="38"/>
  <c r="K54" i="38"/>
  <c r="K53" i="38"/>
  <c r="K52" i="38"/>
  <c r="K51" i="38"/>
  <c r="K50" i="38"/>
  <c r="K48" i="38"/>
  <c r="K47" i="38"/>
  <c r="K46" i="38"/>
  <c r="K41" i="38"/>
  <c r="K40" i="38"/>
  <c r="K39" i="38"/>
  <c r="K38" i="38"/>
  <c r="K33" i="38"/>
  <c r="K32" i="38"/>
  <c r="K27" i="38"/>
  <c r="K25" i="38"/>
  <c r="K13" i="38"/>
  <c r="K12" i="38"/>
  <c r="K11" i="38"/>
  <c r="K10" i="38"/>
  <c r="K9" i="38"/>
  <c r="H56" i="29"/>
  <c r="H55" i="29"/>
  <c r="H54" i="29"/>
  <c r="H53" i="29"/>
  <c r="H52" i="29"/>
  <c r="H51" i="29"/>
  <c r="H50" i="29"/>
  <c r="H48" i="29"/>
  <c r="H47" i="29"/>
  <c r="H46" i="29"/>
  <c r="H41" i="29"/>
  <c r="H40" i="29"/>
  <c r="H39" i="29"/>
  <c r="H38" i="29"/>
  <c r="H33" i="29"/>
  <c r="H32" i="29"/>
  <c r="H28" i="29"/>
  <c r="H27" i="29"/>
  <c r="H13" i="29"/>
  <c r="H14" i="29" s="1"/>
  <c r="K14" i="29" s="1"/>
  <c r="H12" i="29"/>
  <c r="H11" i="29"/>
  <c r="H10" i="29"/>
  <c r="H9" i="29"/>
  <c r="H56" i="38"/>
  <c r="H55" i="38"/>
  <c r="H54" i="38"/>
  <c r="H53" i="38"/>
  <c r="H52" i="38"/>
  <c r="H51" i="38"/>
  <c r="H50" i="38"/>
  <c r="H48" i="38"/>
  <c r="H47" i="38"/>
  <c r="H46" i="38"/>
  <c r="H41" i="38"/>
  <c r="H40" i="38"/>
  <c r="H39" i="38"/>
  <c r="H38" i="38"/>
  <c r="H33" i="38"/>
  <c r="H32" i="38"/>
  <c r="H28" i="38"/>
  <c r="H27" i="38"/>
  <c r="H13" i="38"/>
  <c r="H14" i="38" s="1"/>
  <c r="K14" i="38" s="1"/>
  <c r="H12" i="38"/>
  <c r="H11" i="38"/>
  <c r="H10" i="38"/>
  <c r="H9" i="38"/>
  <c r="F14" i="38"/>
  <c r="D26" i="38" s="1"/>
  <c r="F26" i="38" s="1"/>
  <c r="F14" i="29"/>
  <c r="D18" i="29" s="1"/>
  <c r="B3" i="3"/>
  <c r="D20" i="29" l="1"/>
  <c r="F20" i="29" s="1"/>
  <c r="D26" i="29"/>
  <c r="F26" i="29" s="1"/>
  <c r="H34" i="38"/>
  <c r="K34" i="38" s="1"/>
  <c r="F18" i="29"/>
  <c r="D24" i="29"/>
  <c r="F24" i="29" s="1"/>
  <c r="D22" i="29"/>
  <c r="H42" i="38"/>
  <c r="K42" i="38" s="1"/>
  <c r="H57" i="38"/>
  <c r="H22" i="38"/>
  <c r="H34" i="29"/>
  <c r="K34" i="29" s="1"/>
  <c r="H42" i="29"/>
  <c r="K42" i="29" s="1"/>
  <c r="H57" i="29"/>
  <c r="H26" i="38"/>
  <c r="K61" i="38"/>
  <c r="H61" i="38"/>
  <c r="K61" i="29"/>
  <c r="H61" i="29"/>
  <c r="O46" i="63" l="1"/>
  <c r="O47" i="63"/>
  <c r="O44" i="63"/>
  <c r="O45" i="63"/>
  <c r="O43" i="63"/>
  <c r="O42" i="63"/>
  <c r="O40" i="63"/>
  <c r="O41" i="63"/>
  <c r="O39" i="63"/>
  <c r="O38" i="63"/>
  <c r="O36" i="63"/>
  <c r="O37" i="63"/>
  <c r="O34" i="63"/>
  <c r="O35" i="63"/>
  <c r="O32" i="63"/>
  <c r="O33" i="63"/>
  <c r="O30" i="63"/>
  <c r="O31" i="63"/>
  <c r="O28" i="63"/>
  <c r="O29" i="63"/>
  <c r="O26" i="63"/>
  <c r="O27" i="63"/>
  <c r="O24" i="63"/>
  <c r="O25" i="63"/>
  <c r="O22" i="63"/>
  <c r="O23" i="63"/>
  <c r="O50" i="62"/>
  <c r="O51" i="62"/>
  <c r="O48" i="62"/>
  <c r="O49" i="62"/>
  <c r="O46" i="62"/>
  <c r="O47" i="62"/>
  <c r="O44" i="62"/>
  <c r="O45" i="62"/>
  <c r="O42" i="62"/>
  <c r="O43" i="62"/>
  <c r="O40" i="62"/>
  <c r="O41" i="62"/>
  <c r="O38" i="62"/>
  <c r="O39" i="62"/>
  <c r="O36" i="62"/>
  <c r="O37" i="62"/>
  <c r="O34" i="62"/>
  <c r="O35" i="62"/>
  <c r="O32" i="62"/>
  <c r="O33" i="62"/>
  <c r="O30" i="62"/>
  <c r="O31" i="62"/>
  <c r="O28" i="62"/>
  <c r="O29" i="62"/>
  <c r="O26" i="62"/>
  <c r="O27" i="62"/>
  <c r="O24" i="62"/>
  <c r="O25" i="62"/>
  <c r="O22" i="62"/>
  <c r="O23" i="62"/>
  <c r="K17" i="29"/>
  <c r="K17" i="38"/>
  <c r="K19" i="38"/>
  <c r="H18" i="29"/>
  <c r="F61" i="29"/>
  <c r="F62" i="29" s="1"/>
  <c r="K62" i="29" s="1"/>
  <c r="F61" i="38"/>
  <c r="F62" i="38" s="1"/>
  <c r="K5" i="29"/>
  <c r="K5" i="38"/>
  <c r="K28" i="29"/>
  <c r="K23" i="29"/>
  <c r="K21" i="29"/>
  <c r="K19" i="29"/>
  <c r="K28" i="38"/>
  <c r="K23" i="38"/>
  <c r="K21" i="38"/>
  <c r="H26" i="29"/>
  <c r="H20" i="29"/>
  <c r="A1" i="29"/>
  <c r="A1" i="38"/>
  <c r="F22" i="29"/>
  <c r="H22" i="29" s="1"/>
  <c r="H24" i="38"/>
  <c r="H59" i="38"/>
  <c r="H60" i="38" s="1"/>
  <c r="K57" i="38"/>
  <c r="H29" i="29"/>
  <c r="K29" i="29" s="1"/>
  <c r="F29" i="38"/>
  <c r="H29" i="38"/>
  <c r="K29" i="38" s="1"/>
  <c r="H59" i="29"/>
  <c r="H60" i="29" s="1"/>
  <c r="K57" i="29"/>
  <c r="H24" i="29"/>
  <c r="S38" i="63" l="1"/>
  <c r="Q38" i="63"/>
  <c r="R38" i="63" s="1"/>
  <c r="Q46" i="63"/>
  <c r="R46" i="63" s="1"/>
  <c r="S46" i="63"/>
  <c r="Q47" i="63"/>
  <c r="R47" i="63" s="1"/>
  <c r="S47" i="63"/>
  <c r="S44" i="63"/>
  <c r="Q44" i="63"/>
  <c r="R44" i="63" s="1"/>
  <c r="Q45" i="63"/>
  <c r="R45" i="63" s="1"/>
  <c r="S45" i="63"/>
  <c r="S43" i="63"/>
  <c r="Q43" i="63"/>
  <c r="R43" i="63" s="1"/>
  <c r="S28" i="63"/>
  <c r="Q28" i="63"/>
  <c r="R28" i="63" s="1"/>
  <c r="S26" i="63"/>
  <c r="Q26" i="63"/>
  <c r="R26" i="63" s="1"/>
  <c r="S27" i="63"/>
  <c r="Q27" i="63"/>
  <c r="R27" i="63" s="1"/>
  <c r="S24" i="63"/>
  <c r="Q24" i="63"/>
  <c r="R24" i="63" s="1"/>
  <c r="S25" i="63"/>
  <c r="Q25" i="63"/>
  <c r="R25" i="63" s="1"/>
  <c r="S22" i="63"/>
  <c r="Q22" i="63"/>
  <c r="R22" i="63" s="1"/>
  <c r="S23" i="63"/>
  <c r="Q23" i="63"/>
  <c r="R23" i="63" s="1"/>
  <c r="S42" i="63"/>
  <c r="Q42" i="63"/>
  <c r="R42" i="63" s="1"/>
  <c r="S40" i="63"/>
  <c r="Q40" i="63"/>
  <c r="R40" i="63" s="1"/>
  <c r="S41" i="63"/>
  <c r="Q41" i="63"/>
  <c r="R41" i="63" s="1"/>
  <c r="S36" i="63"/>
  <c r="Q36" i="63"/>
  <c r="R36" i="63" s="1"/>
  <c r="S37" i="63"/>
  <c r="Q37" i="63"/>
  <c r="R37" i="63" s="1"/>
  <c r="S34" i="63"/>
  <c r="Q34" i="63"/>
  <c r="R34" i="63" s="1"/>
  <c r="S35" i="63"/>
  <c r="Q35" i="63"/>
  <c r="R35" i="63" s="1"/>
  <c r="S33" i="63"/>
  <c r="Q33" i="63"/>
  <c r="R33" i="63" s="1"/>
  <c r="S39" i="63"/>
  <c r="Q39" i="63"/>
  <c r="R39" i="63" s="1"/>
  <c r="S29" i="63"/>
  <c r="Q29" i="63"/>
  <c r="R29" i="63" s="1"/>
  <c r="S32" i="63"/>
  <c r="Q32" i="63"/>
  <c r="R32" i="63" s="1"/>
  <c r="S30" i="63"/>
  <c r="Q30" i="63"/>
  <c r="S31" i="63"/>
  <c r="Q31" i="63"/>
  <c r="R31" i="63" s="1"/>
  <c r="Q39" i="62"/>
  <c r="S39" i="62" s="1"/>
  <c r="T39" i="62"/>
  <c r="Q50" i="62"/>
  <c r="S50" i="62" s="1"/>
  <c r="T50" i="62"/>
  <c r="Q51" i="62"/>
  <c r="S51" i="62" s="1"/>
  <c r="T51" i="62"/>
  <c r="Q48" i="62"/>
  <c r="S48" i="62" s="1"/>
  <c r="T48" i="62"/>
  <c r="Q49" i="62"/>
  <c r="S49" i="62" s="1"/>
  <c r="T49" i="62"/>
  <c r="Q47" i="62"/>
  <c r="S47" i="62" s="1"/>
  <c r="T47" i="62"/>
  <c r="Q28" i="62"/>
  <c r="S28" i="62" s="1"/>
  <c r="T28" i="62"/>
  <c r="Q26" i="62"/>
  <c r="S26" i="62" s="1"/>
  <c r="T26" i="62"/>
  <c r="Q27" i="62"/>
  <c r="S27" i="62" s="1"/>
  <c r="T27" i="62"/>
  <c r="Q24" i="62"/>
  <c r="S24" i="62" s="1"/>
  <c r="T24" i="62"/>
  <c r="Q25" i="62"/>
  <c r="S25" i="62" s="1"/>
  <c r="T25" i="62"/>
  <c r="Q22" i="62"/>
  <c r="S22" i="62" s="1"/>
  <c r="T22" i="62"/>
  <c r="Q23" i="62"/>
  <c r="S23" i="62" s="1"/>
  <c r="T23" i="62"/>
  <c r="Q46" i="62"/>
  <c r="S46" i="62" s="1"/>
  <c r="T46" i="62"/>
  <c r="Q45" i="62"/>
  <c r="S45" i="62" s="1"/>
  <c r="T45" i="62"/>
  <c r="Q41" i="62"/>
  <c r="S41" i="62" s="1"/>
  <c r="T41" i="62"/>
  <c r="Q38" i="62"/>
  <c r="S38" i="62" s="1"/>
  <c r="T38" i="62"/>
  <c r="Q44" i="62"/>
  <c r="T44" i="62"/>
  <c r="Q42" i="62"/>
  <c r="S42" i="62" s="1"/>
  <c r="T42" i="62"/>
  <c r="Q43" i="62"/>
  <c r="S43" i="62" s="1"/>
  <c r="T43" i="62"/>
  <c r="Q36" i="62"/>
  <c r="S36" i="62" s="1"/>
  <c r="T36" i="62"/>
  <c r="Q37" i="62"/>
  <c r="S37" i="62" s="1"/>
  <c r="T37" i="62"/>
  <c r="Q34" i="62"/>
  <c r="S34" i="62" s="1"/>
  <c r="T34" i="62"/>
  <c r="Q35" i="62"/>
  <c r="S35" i="62" s="1"/>
  <c r="T35" i="62"/>
  <c r="Q33" i="62"/>
  <c r="S33" i="62" s="1"/>
  <c r="T33" i="62"/>
  <c r="Q40" i="62"/>
  <c r="S40" i="62" s="1"/>
  <c r="T40" i="62"/>
  <c r="Q29" i="62"/>
  <c r="S29" i="62" s="1"/>
  <c r="T29" i="62"/>
  <c r="Q32" i="62"/>
  <c r="S32" i="62" s="1"/>
  <c r="T32" i="62"/>
  <c r="Q30" i="62"/>
  <c r="S30" i="62" s="1"/>
  <c r="T30" i="62"/>
  <c r="Q31" i="62"/>
  <c r="S31" i="62" s="1"/>
  <c r="T31" i="62"/>
  <c r="F29" i="29"/>
  <c r="K62" i="38"/>
  <c r="S14" i="63" l="1"/>
  <c r="Q21" i="63"/>
  <c r="R30" i="63"/>
  <c r="S44" i="62"/>
  <c r="Q21" i="62"/>
  <c r="S21" i="62" s="1"/>
  <c r="T14" i="62"/>
  <c r="G20" i="1" l="1"/>
  <c r="R21" i="63"/>
  <c r="D6" i="3"/>
  <c r="C6" i="3"/>
  <c r="F20" i="1"/>
  <c r="I20" i="1" s="1"/>
  <c r="J20" i="1" s="1"/>
  <c r="F6" i="3" l="1"/>
  <c r="H6" i="3" l="1"/>
  <c r="F7" i="3"/>
  <c r="G6" i="3" l="1"/>
  <c r="G7" i="3" s="1"/>
  <c r="H7" i="3"/>
</calcChain>
</file>

<file path=xl/sharedStrings.xml><?xml version="1.0" encoding="utf-8"?>
<sst xmlns="http://schemas.openxmlformats.org/spreadsheetml/2006/main" count="854" uniqueCount="260">
  <si>
    <t>Inhaltsverzeichnis</t>
  </si>
  <si>
    <t>1.00</t>
  </si>
  <si>
    <t>Produktiver Stundenlohn</t>
  </si>
  <si>
    <t>%</t>
  </si>
  <si>
    <t>€</t>
  </si>
  <si>
    <t>2.00</t>
  </si>
  <si>
    <t>Lohngebundene Kosten</t>
  </si>
  <si>
    <t>2.10</t>
  </si>
  <si>
    <t>Soziallöhne</t>
  </si>
  <si>
    <t>2.11</t>
  </si>
  <si>
    <t>Gesetzliche Feiertage</t>
  </si>
  <si>
    <t>2.12</t>
  </si>
  <si>
    <t>Urlaubsentgelt</t>
  </si>
  <si>
    <t>2.13</t>
  </si>
  <si>
    <t>Zusätzliches Urlaubsentgelt</t>
  </si>
  <si>
    <t>2.14</t>
  </si>
  <si>
    <t>Lohnfortzahlung im Krankheitsfall</t>
  </si>
  <si>
    <t>2.15</t>
  </si>
  <si>
    <t>Arbeitsfreistellung</t>
  </si>
  <si>
    <t>Zwischensumme Soziallöhne</t>
  </si>
  <si>
    <t>2.20</t>
  </si>
  <si>
    <t>Sozialversicherungsbeiträge auf Fertigungslohn und Soziallöhne (Arbeitgeberanteil)</t>
  </si>
  <si>
    <t>2.21</t>
  </si>
  <si>
    <t>Krankenversicherung auf Soziallöhne</t>
  </si>
  <si>
    <t>2.22</t>
  </si>
  <si>
    <t>Rentenversicherung auf Soziallöhne</t>
  </si>
  <si>
    <t>2.23</t>
  </si>
  <si>
    <t>Arbeitslosenversicherung auf Soziallöhne</t>
  </si>
  <si>
    <t>2.24</t>
  </si>
  <si>
    <t>Pflegeversicherung auf Soziallöhne</t>
  </si>
  <si>
    <t>2.25</t>
  </si>
  <si>
    <t>U2 Mutterschaftsaufwendungen auf Soziallöhne</t>
  </si>
  <si>
    <t>2.30</t>
  </si>
  <si>
    <t>2.31</t>
  </si>
  <si>
    <t>Zwischensumme Lohnkosten inkl. Sozialabgaben (Summe 2.10 - 2.31)</t>
  </si>
  <si>
    <t>Zusätzliche lohngebundene Kosten</t>
  </si>
  <si>
    <t>2.50</t>
  </si>
  <si>
    <t>Haftpflichtversicherung</t>
  </si>
  <si>
    <t>2.60</t>
  </si>
  <si>
    <t>Sonstige Personalkosten</t>
  </si>
  <si>
    <t>Summe lohngebundene Kosten (Summe 2.10 - 2.60)</t>
  </si>
  <si>
    <t>3.00</t>
  </si>
  <si>
    <t>Sonstige auftragsbezogene Kosten</t>
  </si>
  <si>
    <t>3.10</t>
  </si>
  <si>
    <t>Aufsichtslohn Vorarbeiter</t>
  </si>
  <si>
    <t>inkl. Soziale Folgekosten f. Aufsichtslohn</t>
  </si>
  <si>
    <t>3.20</t>
  </si>
  <si>
    <t>Fahrkostenzuschuss</t>
  </si>
  <si>
    <t>3.30</t>
  </si>
  <si>
    <t>Fertigungsmaterial; Maschinen, Geräte, AfA, etc.</t>
  </si>
  <si>
    <t>3.40</t>
  </si>
  <si>
    <t>Sondereinzelkosten</t>
  </si>
  <si>
    <t>Zwischensumme sonstige auftragsbezogene Kosten (Summe 3.10 - 3.40)</t>
  </si>
  <si>
    <t>4.00</t>
  </si>
  <si>
    <t>Unternehmensbezogene Kosten</t>
  </si>
  <si>
    <t>4.10</t>
  </si>
  <si>
    <t>Gehälter</t>
  </si>
  <si>
    <t>4.11</t>
  </si>
  <si>
    <t>Technische Angestellte, inkl. Lohnfolgekosten</t>
  </si>
  <si>
    <t>4.12</t>
  </si>
  <si>
    <t>4.20</t>
  </si>
  <si>
    <t>Fuhrparkkosten</t>
  </si>
  <si>
    <t>4.30</t>
  </si>
  <si>
    <t>Fertigungshilfskosten</t>
  </si>
  <si>
    <t>4.31</t>
  </si>
  <si>
    <t>Löhne Hilfsdienste, inkl. Lohnfolgekosten</t>
  </si>
  <si>
    <t>4.32</t>
  </si>
  <si>
    <t>Sonstige Betriebskosten</t>
  </si>
  <si>
    <t>4.40</t>
  </si>
  <si>
    <t>Schwerbehindertenabgabe</t>
  </si>
  <si>
    <t>4.50</t>
  </si>
  <si>
    <t>Sonstige Verwaltungskosten</t>
  </si>
  <si>
    <t>4.60</t>
  </si>
  <si>
    <t>Betriebsratskosten</t>
  </si>
  <si>
    <t>4.70</t>
  </si>
  <si>
    <t>Sonstige Kosten (Verbandsbeiträge, Zertifizierung etc.)</t>
  </si>
  <si>
    <t>4.80</t>
  </si>
  <si>
    <t>Gewerbesteuer</t>
  </si>
  <si>
    <t>Zwischensumme unternehmensbezogene Kosten (Summe 4.10 - 4.80)</t>
  </si>
  <si>
    <t>5.00</t>
  </si>
  <si>
    <t>Selbstkosten (Summe 1.00 - 4.80)</t>
  </si>
  <si>
    <t>6.00</t>
  </si>
  <si>
    <t>Zuschlag für Wagnis + Gewinn auf Selbstkosten</t>
  </si>
  <si>
    <t>Stundenverrechnungssatz Normalstunde</t>
  </si>
  <si>
    <t>Kalkulationszuschlag (Pos 6 - Pos 1)</t>
  </si>
  <si>
    <t>Basisdaten</t>
  </si>
  <si>
    <t>Anzahl Tage</t>
  </si>
  <si>
    <t>durchschnittliche Urlaubstage</t>
  </si>
  <si>
    <t>durchschnittliche Krankheitstage</t>
  </si>
  <si>
    <t>bezahlte Freistellungen</t>
  </si>
  <si>
    <t>Feiertage</t>
  </si>
  <si>
    <t>Bieter</t>
  </si>
  <si>
    <t>lfd. Nr.</t>
  </si>
  <si>
    <t>Etage</t>
  </si>
  <si>
    <t>Bereich</t>
  </si>
  <si>
    <t>Bodenart</t>
  </si>
  <si>
    <t>Objektname</t>
  </si>
  <si>
    <t>Raum-
nummer</t>
  </si>
  <si>
    <t>Raumbe-
zeichnung</t>
  </si>
  <si>
    <t>Reinigungs-
gruppe</t>
  </si>
  <si>
    <t>Zurück zum Inhaltsverzeichnis</t>
  </si>
  <si>
    <t>Kalkulation des Stundenverrechnungssatzes Grundreinigung</t>
  </si>
  <si>
    <t>Kalkulation des Stundenverrechnungssatzes Unterhaltsreinigung</t>
  </si>
  <si>
    <t>Bieter:</t>
  </si>
  <si>
    <t>Reini-
gungs-
intervall</t>
  </si>
  <si>
    <t>Leistungs-
werte 
(m²/h)</t>
  </si>
  <si>
    <t>aufge-
legter 
Teppich</t>
  </si>
  <si>
    <t>Anzahl 
Schmutz-
fang</t>
  </si>
  <si>
    <t>Reini-
gungs-
tage / Jahr</t>
  </si>
  <si>
    <t>Reinigungs-
fläche / Jahr 
(m²)</t>
  </si>
  <si>
    <t>SVS
(€/h)</t>
  </si>
  <si>
    <t>Reinigungs-
stunden / 
Jahr</t>
  </si>
  <si>
    <t>Preis / Jahr 
(€)</t>
  </si>
  <si>
    <t>Objekt</t>
  </si>
  <si>
    <t>Reinigungs-
fläche 
(m²)</t>
  </si>
  <si>
    <t>Reinigungsart</t>
  </si>
  <si>
    <t>Artikel</t>
  </si>
  <si>
    <t>Die gesetzliche Unfallversicherung richtet sich nach der Gefahrenklasse, die für den Betrieb gilt.</t>
  </si>
  <si>
    <t>Gesamt</t>
  </si>
  <si>
    <t>Kaufmännische Angestellte, inkl. Lohnfolgekosten</t>
  </si>
  <si>
    <r>
      <t>Krankenversicherung auf Produktivlohn</t>
    </r>
    <r>
      <rPr>
        <vertAlign val="superscript"/>
        <sz val="8"/>
        <rFont val="Verdana"/>
        <family val="2"/>
      </rPr>
      <t>1</t>
    </r>
  </si>
  <si>
    <r>
      <t>Rentenversicherung auf Produktivlohn</t>
    </r>
    <r>
      <rPr>
        <vertAlign val="superscript"/>
        <sz val="8"/>
        <rFont val="Verdana"/>
        <family val="2"/>
      </rPr>
      <t>2</t>
    </r>
  </si>
  <si>
    <r>
      <t>Arbeitslosenversicherung auf Produktivlohn</t>
    </r>
    <r>
      <rPr>
        <vertAlign val="superscript"/>
        <sz val="8"/>
        <rFont val="Verdana"/>
        <family val="2"/>
      </rPr>
      <t>3</t>
    </r>
  </si>
  <si>
    <r>
      <t>Pflegeversicherung auf Produktivlohn</t>
    </r>
    <r>
      <rPr>
        <vertAlign val="superscript"/>
        <sz val="8"/>
        <rFont val="Verdana"/>
        <family val="2"/>
      </rPr>
      <t>4</t>
    </r>
  </si>
  <si>
    <r>
      <t>U2 Mutterschaftsaufwendungen auf Produktivlohn</t>
    </r>
    <r>
      <rPr>
        <vertAlign val="superscript"/>
        <sz val="8"/>
        <rFont val="Verdana"/>
        <family val="2"/>
      </rPr>
      <t>5</t>
    </r>
  </si>
  <si>
    <r>
      <t>Gesetzliche Unfallversicherung</t>
    </r>
    <r>
      <rPr>
        <vertAlign val="superscript"/>
        <sz val="8"/>
        <rFont val="Verdana"/>
        <family val="2"/>
      </rPr>
      <t>6</t>
    </r>
  </si>
  <si>
    <r>
      <t>Insolvenzgeldumlage</t>
    </r>
    <r>
      <rPr>
        <vertAlign val="superscript"/>
        <sz val="8"/>
        <rFont val="Verdana"/>
        <family val="2"/>
      </rPr>
      <t>7</t>
    </r>
  </si>
  <si>
    <t xml:space="preserve">Krankenversicherung (gesetzlicher Arbeitgeberanteil): </t>
  </si>
  <si>
    <t xml:space="preserve">Rentenversicherung (gesetzlicher Arbeitgeberanteil): </t>
  </si>
  <si>
    <t xml:space="preserve">Arbeitslosenversicherung (gesetzlicher Arbeitgeberanteil): </t>
  </si>
  <si>
    <t xml:space="preserve">Pflegeversicherung (gesetzlicher Arbeitgeberanteil alle Bundesländer außer Sachsen: hier 0,5% Abzug): </t>
  </si>
  <si>
    <t>Insolvenzgeldumlage (gesetzlicher Arbeitgeberanteil - trägt der Arbeitgeber allein):</t>
  </si>
  <si>
    <t>Bundesland</t>
  </si>
  <si>
    <t>Preis für eine Reinigung 
(€)</t>
  </si>
  <si>
    <t>Reini-gungen / Jahr</t>
  </si>
  <si>
    <t>M2</t>
  </si>
  <si>
    <t>M1</t>
  </si>
  <si>
    <t>J6</t>
  </si>
  <si>
    <t>J5</t>
  </si>
  <si>
    <t>J4</t>
  </si>
  <si>
    <t>J3</t>
  </si>
  <si>
    <t>J2</t>
  </si>
  <si>
    <t>J1</t>
  </si>
  <si>
    <t>J0,5</t>
  </si>
  <si>
    <t>Objektart</t>
  </si>
  <si>
    <t>nB</t>
  </si>
  <si>
    <t>Einheit</t>
  </si>
  <si>
    <t>Reinigungstage</t>
  </si>
  <si>
    <t>Nettopreis</t>
  </si>
  <si>
    <t>Bruttopreis</t>
  </si>
  <si>
    <t>Kalkulation</t>
  </si>
  <si>
    <t>Unterhaltsreinigung</t>
  </si>
  <si>
    <t>Straße</t>
  </si>
  <si>
    <t>PLZ</t>
  </si>
  <si>
    <t>Ort</t>
  </si>
  <si>
    <t xml:space="preserve">Leistungs-werte 
(m²/h) </t>
  </si>
  <si>
    <t>Jahres- 
reinigungs-
fläche (m²)</t>
  </si>
  <si>
    <t>Lage</t>
  </si>
  <si>
    <t>Grundreinigung</t>
  </si>
  <si>
    <t>Vertragsbeginn</t>
  </si>
  <si>
    <t>Vertragsende</t>
  </si>
  <si>
    <t>Verlängerung</t>
  </si>
  <si>
    <t>max. Laufzeit bis</t>
  </si>
  <si>
    <t>Reinigungs-gruppe 
(RG)</t>
  </si>
  <si>
    <t>Unternehmen</t>
  </si>
  <si>
    <t>Telefon</t>
  </si>
  <si>
    <t>Fax</t>
  </si>
  <si>
    <t>Ansprechpartner</t>
  </si>
  <si>
    <t>E-Mailadresse</t>
  </si>
  <si>
    <t>Internetadresse</t>
  </si>
  <si>
    <t>Kurzname</t>
  </si>
  <si>
    <t>Gebäude</t>
  </si>
  <si>
    <t>Gebäudeteil</t>
  </si>
  <si>
    <t>Los</t>
  </si>
  <si>
    <t>Stunden für eine Reinigung (h)</t>
  </si>
  <si>
    <t>Anzahl 
der Räume</t>
  </si>
  <si>
    <t>Preisübersicht</t>
  </si>
  <si>
    <r>
      <rPr>
        <b/>
        <sz val="8"/>
        <rFont val="Verdana"/>
        <family val="2"/>
      </rPr>
      <t>Reinigungstage</t>
    </r>
    <r>
      <rPr>
        <sz val="8"/>
        <rFont val="Verdana"/>
        <family val="2"/>
      </rPr>
      <t xml:space="preserve"> pro Objekt und Reinigungsart</t>
    </r>
  </si>
  <si>
    <r>
      <rPr>
        <b/>
        <sz val="8"/>
        <rFont val="Verdana"/>
        <family val="2"/>
      </rPr>
      <t>Preisübersicht</t>
    </r>
    <r>
      <rPr>
        <sz val="8"/>
        <rFont val="Verdana"/>
        <family val="2"/>
      </rPr>
      <t xml:space="preserve"> pro Jahr (in €)</t>
    </r>
  </si>
  <si>
    <t>Anzahl / 
Jahr</t>
  </si>
  <si>
    <t>Preis pro 
Einheit (€)</t>
  </si>
  <si>
    <t>Netto-Preis / 
Jahr (€)</t>
  </si>
  <si>
    <t>maximale Reinigungstage
im Jahr für
Reinigungsintervall 5</t>
  </si>
  <si>
    <t>Reinigungsintervall</t>
  </si>
  <si>
    <t>Ausfüllhinweise 
(nur 1 Häkchen setzen):</t>
  </si>
  <si>
    <t/>
  </si>
  <si>
    <r>
      <t xml:space="preserve">Vorgaben
</t>
    </r>
    <r>
      <rPr>
        <sz val="8"/>
        <rFont val="Verdana"/>
        <family val="2"/>
      </rPr>
      <t>Die Vorgaben bei den Sozialversicherungsbeiträgen entsprechen den gesetzlichen Mindestangaben.</t>
    </r>
  </si>
  <si>
    <t>2026
in %</t>
  </si>
  <si>
    <t>Krankenversicherungzusatzbeitrag
(halber Zusatzbeitrag Arbeitgeberanteil vom durchschnittlichen Zusatzbeitrag von 2,90 %)</t>
  </si>
  <si>
    <t>GS Nord</t>
  </si>
  <si>
    <t>Los 2</t>
  </si>
  <si>
    <t>Grundschule Nord</t>
  </si>
  <si>
    <t>Straße der Solidarität 42</t>
  </si>
  <si>
    <t>39418</t>
  </si>
  <si>
    <t>Staßfurt</t>
  </si>
  <si>
    <t>Kalkulation Verbrauchsmaterial</t>
  </si>
  <si>
    <t>EG</t>
  </si>
  <si>
    <t>AUR 1</t>
  </si>
  <si>
    <t>Linoleum</t>
  </si>
  <si>
    <t>AUR 2</t>
  </si>
  <si>
    <t>AUR 3</t>
  </si>
  <si>
    <t>AUR 4</t>
  </si>
  <si>
    <t>AUR 5</t>
  </si>
  <si>
    <t>AUR 6</t>
  </si>
  <si>
    <t>Förderraum</t>
  </si>
  <si>
    <t>Sanitätsraum</t>
  </si>
  <si>
    <t>Sekretariat</t>
  </si>
  <si>
    <t>Schulleiter</t>
  </si>
  <si>
    <t>Lehrer</t>
  </si>
  <si>
    <t>WC Mädchen</t>
  </si>
  <si>
    <t>Fliesen</t>
  </si>
  <si>
    <t>WC Vorraum</t>
  </si>
  <si>
    <t>WC Jungen</t>
  </si>
  <si>
    <t>WC Küche</t>
  </si>
  <si>
    <t>HA-Raum</t>
  </si>
  <si>
    <t>Verteilerküche</t>
  </si>
  <si>
    <t>Mehrzweckraum</t>
  </si>
  <si>
    <t>Stuhllager</t>
  </si>
  <si>
    <t>WC RS</t>
  </si>
  <si>
    <t>WC Lehrerinnen</t>
  </si>
  <si>
    <t>WC Lehrer</t>
  </si>
  <si>
    <t>Putzmittelraum</t>
  </si>
  <si>
    <t>Unterrichtsmittel</t>
  </si>
  <si>
    <t>FUR Gestalten</t>
  </si>
  <si>
    <t>Foyer</t>
  </si>
  <si>
    <t>Flur</t>
  </si>
  <si>
    <t>Flur/Garderobe</t>
  </si>
  <si>
    <t>Unterricht</t>
  </si>
  <si>
    <t>Funktion</t>
  </si>
  <si>
    <t>Büro</t>
  </si>
  <si>
    <t>Sanitär</t>
  </si>
  <si>
    <t>Technik</t>
  </si>
  <si>
    <t>Versorgung</t>
  </si>
  <si>
    <t>Verkehr</t>
  </si>
  <si>
    <t>Papierhandtücher, 
Recyclingpapier natur
2-lagig,
Blattgröße ca. 24,5 cm x 23 cm,
5. 000 Blatt pro Einheit</t>
  </si>
  <si>
    <t>Karton</t>
  </si>
  <si>
    <t>Recycling-Tissue-Toilettenpapier, 
2 lagig, 
Blattgröße 11x9,4 cm,
250 Blatt pro Rolle, 
100% Altpapier,
64 Rollen pro Einheit</t>
  </si>
  <si>
    <t>Paket</t>
  </si>
  <si>
    <t>Schule</t>
  </si>
  <si>
    <t>UnterhaltsRG</t>
  </si>
  <si>
    <t>Reinigungs-häufigkeit</t>
  </si>
  <si>
    <t>GrundRG</t>
  </si>
  <si>
    <t>Verbrauch</t>
  </si>
  <si>
    <t>Preiszusammenstellung Los 2</t>
  </si>
  <si>
    <t>Jahrespreis in €</t>
  </si>
  <si>
    <t>MwSt.</t>
  </si>
  <si>
    <t>Jahrespreis Reinigung</t>
  </si>
  <si>
    <t>SVS UnterhaltsRG</t>
  </si>
  <si>
    <t>SVS GrundRG</t>
  </si>
  <si>
    <t>Wertungspreis (netto) in €</t>
  </si>
  <si>
    <t>Wertungspreis (brutto) in €</t>
  </si>
  <si>
    <t>Reinigungstage 
 maximal
 (UnterhaltsRG)</t>
  </si>
  <si>
    <t>Sachsen-Anhalt</t>
  </si>
  <si>
    <t>Der angegebene Verbrauch stellt eine Prognose des voraussichtlichen Bezugs von Sanitärverbrauchsmaterialien dar.</t>
  </si>
  <si>
    <t>Die tatsächlichen Werte können vom geplanten Bedarf abweichen.</t>
  </si>
  <si>
    <t>Die Abrechnung erfolgt auf Grundlage des nachweislich ermittelten tatsächlichen Verbrauchs.</t>
  </si>
  <si>
    <t>Im Lieferschein sind die einzelnen Positionen detailliert aufzuführen.</t>
  </si>
  <si>
    <t xml:space="preserve">Eine vom Auftraggeber benannte Person überprüft anschließend, ob die Anzahl der gelieferten Positionen mit den Angaben im Lieferschein übereinstimmt. </t>
  </si>
  <si>
    <t>Eine Kopie des Lieferscheins ist dieser Kontrollperson auszuhändigen.</t>
  </si>
  <si>
    <t>Die Abrechnung erfolgt anschließend auf Basis der im Lieferschein dokumentierten Angaben.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</si>
</sst>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 _€_-;\-* #,##0.00\ _€_-;_-* &quot;-&quot;??\ _€_-;_-@_-"/>
    <numFmt numFmtId="165" formatCode="_-* #,##0.00\ [$€]_-;\-* #,##0.00\ [$€]_-;_-* &quot;-&quot;??\ [$€]_-;_-@_-"/>
    <numFmt numFmtId="166" formatCode="0.000"/>
    <numFmt numFmtId="167" formatCode="#,##0.000"/>
    <numFmt numFmtId="168" formatCode="&quot;Bitte &quot;0&quot; Werte eintragen.&quot;"/>
  </numFmts>
  <fonts count="44" x14ac:knownFonts="1">
    <font>
      <sz val="10"/>
      <name val="Arial"/>
    </font>
    <font>
      <sz val="10"/>
      <name val="Arial"/>
      <family val="2"/>
    </font>
    <font>
      <sz val="10"/>
      <name val="Verdana"/>
      <family val="2"/>
    </font>
    <font>
      <sz val="8"/>
      <name val="Arial"/>
      <family val="2"/>
    </font>
    <font>
      <sz val="8"/>
      <name val="Verdana"/>
      <family val="2"/>
    </font>
    <font>
      <sz val="10"/>
      <name val="Arial"/>
      <family val="2"/>
    </font>
    <font>
      <i/>
      <sz val="8"/>
      <name val="Verdana"/>
      <family val="2"/>
    </font>
    <font>
      <u/>
      <sz val="10"/>
      <color indexed="12"/>
      <name val="Arial"/>
      <family val="2"/>
    </font>
    <font>
      <b/>
      <sz val="8"/>
      <name val="Verdana"/>
      <family val="2"/>
    </font>
    <font>
      <sz val="10"/>
      <name val="Arial"/>
      <family val="2"/>
    </font>
    <font>
      <u/>
      <sz val="8"/>
      <color indexed="12"/>
      <name val="Verdana"/>
      <family val="2"/>
    </font>
    <font>
      <b/>
      <sz val="18"/>
      <color indexed="56"/>
      <name val="Cambria"/>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0"/>
      <color indexed="12"/>
      <name val="Arial"/>
      <family val="2"/>
    </font>
    <font>
      <sz val="11"/>
      <color indexed="60"/>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Verdana"/>
      <family val="2"/>
    </font>
    <font>
      <sz val="8"/>
      <color indexed="10"/>
      <name val="Verdana"/>
      <family val="2"/>
    </font>
    <font>
      <vertAlign val="superscript"/>
      <sz val="8"/>
      <name val="Verdana"/>
      <family val="2"/>
    </font>
    <font>
      <b/>
      <sz val="10"/>
      <name val="Verdana"/>
      <family val="2"/>
    </font>
    <font>
      <sz val="8"/>
      <color indexed="8"/>
      <name val="Verdana"/>
      <family val="2"/>
    </font>
    <font>
      <sz val="8"/>
      <color rgb="FFFF0000"/>
      <name val="Verdana"/>
      <family val="2"/>
    </font>
    <font>
      <sz val="11"/>
      <color rgb="FF222222"/>
      <name val="Verdana"/>
      <family val="2"/>
    </font>
    <font>
      <sz val="8"/>
      <color theme="0"/>
      <name val="Verdana"/>
      <family val="2"/>
    </font>
    <font>
      <u/>
      <sz val="10"/>
      <color theme="10"/>
      <name val="Verdana"/>
      <family val="2"/>
    </font>
    <font>
      <sz val="10"/>
      <color theme="1"/>
      <name val="Verdana"/>
      <family val="2"/>
    </font>
    <font>
      <sz val="8"/>
      <color theme="0" tint="-0.14999847407452621"/>
      <name val="Verdana"/>
      <family val="2"/>
    </font>
    <font>
      <sz val="8"/>
      <color rgb="FF000000"/>
      <name val="Segoe UI"/>
      <family val="2"/>
    </font>
    <font>
      <sz val="8"/>
      <color indexed="55"/>
      <name val="Verdana"/>
      <family val="2"/>
    </font>
    <font>
      <sz val="8"/>
      <color rgb="FF9C0000"/>
      <name val="Verdana"/>
      <family val="2"/>
    </font>
    <font>
      <sz val="8"/>
      <color indexed="9"/>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rgb="FFD2E6C4"/>
        <bgColor indexed="64"/>
      </patternFill>
    </fill>
    <fill>
      <patternFill patternType="solid">
        <fgColor rgb="FFFFC7CE"/>
        <bgColor indexed="64"/>
      </patternFill>
    </fill>
    <fill>
      <patternFill patternType="solid">
        <fgColor indexed="50"/>
        <bgColor indexed="64"/>
      </patternFill>
    </fill>
    <fill>
      <patternFill patternType="lightGray"/>
    </fill>
  </fills>
  <borders count="23">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6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5" fillId="20" borderId="2" applyNumberFormat="0" applyAlignment="0" applyProtection="0"/>
    <xf numFmtId="0" fontId="16" fillId="7" borderId="2" applyNumberFormat="0" applyAlignment="0" applyProtection="0"/>
    <xf numFmtId="0" fontId="17" fillId="0" borderId="3" applyNumberFormat="0" applyFill="0" applyAlignment="0" applyProtection="0"/>
    <xf numFmtId="0" fontId="18" fillId="0" borderId="0" applyNumberForma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9" fillId="0" borderId="0" applyFont="0" applyFill="0" applyBorder="0" applyAlignment="0" applyProtection="0"/>
    <xf numFmtId="0" fontId="19" fillId="4" borderId="0" applyNumberFormat="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64" fontId="5" fillId="0" borderId="0" applyFont="0" applyFill="0" applyBorder="0" applyAlignment="0" applyProtection="0"/>
    <xf numFmtId="0" fontId="7" fillId="0" borderId="0" applyNumberFormat="0" applyFill="0" applyBorder="0" applyAlignment="0" applyProtection="0">
      <alignment vertical="top"/>
      <protection locked="0"/>
    </xf>
    <xf numFmtId="0" fontId="21" fillId="21" borderId="0" applyNumberFormat="0" applyBorder="0" applyAlignment="0" applyProtection="0"/>
    <xf numFmtId="0" fontId="5" fillId="22" borderId="4" applyNumberFormat="0" applyFont="0" applyAlignment="0" applyProtection="0"/>
    <xf numFmtId="0" fontId="22" fillId="3" borderId="0" applyNumberFormat="0" applyBorder="0" applyAlignment="0" applyProtection="0"/>
    <xf numFmtId="0" fontId="5" fillId="0" borderId="0"/>
    <xf numFmtId="0" fontId="2" fillId="0" borderId="0"/>
    <xf numFmtId="0" fontId="29" fillId="0" borderId="0"/>
    <xf numFmtId="0" fontId="5" fillId="0" borderId="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11" fillId="0" borderId="0" applyNumberFormat="0" applyFill="0" applyBorder="0" applyAlignment="0" applyProtection="0"/>
    <xf numFmtId="0" fontId="26" fillId="0" borderId="8" applyNumberFormat="0" applyFill="0" applyAlignment="0" applyProtection="0"/>
    <xf numFmtId="0" fontId="27" fillId="0" borderId="0" applyNumberFormat="0" applyFill="0" applyBorder="0" applyAlignment="0" applyProtection="0"/>
    <xf numFmtId="0" fontId="28" fillId="23" borderId="9" applyNumberFormat="0" applyAlignment="0" applyProtection="0"/>
    <xf numFmtId="0" fontId="1" fillId="0" borderId="0"/>
    <xf numFmtId="0" fontId="37" fillId="0" borderId="0" applyNumberFormat="0" applyFill="0" applyBorder="0" applyAlignment="0" applyProtection="0"/>
    <xf numFmtId="0" fontId="38" fillId="0" borderId="0"/>
    <xf numFmtId="0" fontId="1" fillId="0" borderId="0"/>
    <xf numFmtId="0" fontId="7" fillId="0" borderId="0" applyNumberFormat="0" applyFill="0" applyBorder="0" applyAlignment="0" applyProtection="0">
      <alignment vertical="top"/>
      <protection locked="0"/>
    </xf>
  </cellStyleXfs>
  <cellXfs count="141">
    <xf numFmtId="0" fontId="0" fillId="0" borderId="0" xfId="0"/>
    <xf numFmtId="0" fontId="4" fillId="24" borderId="10"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10" fillId="0" borderId="0" xfId="39" applyFont="1" applyAlignment="1" applyProtection="1">
      <alignment vertical="center"/>
    </xf>
    <xf numFmtId="0" fontId="4" fillId="0" borderId="0" xfId="0" applyFont="1"/>
    <xf numFmtId="2" fontId="8" fillId="26" borderId="11" xfId="0" applyNumberFormat="1" applyFont="1" applyFill="1" applyBorder="1" applyAlignment="1" applyProtection="1">
      <alignment horizontal="center" vertical="center"/>
      <protection locked="0"/>
    </xf>
    <xf numFmtId="166" fontId="4" fillId="26" borderId="11" xfId="0" applyNumberFormat="1" applyFont="1" applyFill="1" applyBorder="1" applyAlignment="1" applyProtection="1">
      <alignment horizontal="center" vertical="center"/>
      <protection locked="0"/>
    </xf>
    <xf numFmtId="2" fontId="6" fillId="26" borderId="13" xfId="0" applyNumberFormat="1" applyFont="1" applyFill="1" applyBorder="1" applyAlignment="1" applyProtection="1">
      <alignment vertical="center"/>
      <protection locked="0"/>
    </xf>
    <xf numFmtId="2" fontId="6" fillId="26" borderId="12" xfId="0" applyNumberFormat="1" applyFont="1" applyFill="1" applyBorder="1" applyAlignment="1" applyProtection="1">
      <alignment vertical="center"/>
      <protection locked="0"/>
    </xf>
    <xf numFmtId="2" fontId="6" fillId="26" borderId="0" xfId="0" applyNumberFormat="1" applyFont="1" applyFill="1" applyAlignment="1" applyProtection="1">
      <alignment vertical="center"/>
      <protection locked="0"/>
    </xf>
    <xf numFmtId="0" fontId="4" fillId="0" borderId="10" xfId="0" applyFont="1" applyBorder="1" applyAlignment="1">
      <alignment vertical="center" wrapText="1"/>
    </xf>
    <xf numFmtId="0" fontId="4" fillId="0" borderId="0" xfId="55" applyFont="1" applyAlignment="1">
      <alignment vertical="center"/>
    </xf>
    <xf numFmtId="0" fontId="4" fillId="0" borderId="0" xfId="55" applyFont="1"/>
    <xf numFmtId="49" fontId="4" fillId="26" borderId="10" xfId="0" applyNumberFormat="1" applyFont="1" applyFill="1" applyBorder="1" applyAlignment="1" applyProtection="1">
      <alignment horizontal="left" vertical="center"/>
      <protection locked="0"/>
    </xf>
    <xf numFmtId="0" fontId="4" fillId="0" borderId="0" xfId="0" applyFont="1" applyAlignment="1">
      <alignment horizontal="center" vertical="center"/>
    </xf>
    <xf numFmtId="0" fontId="4" fillId="0" borderId="0" xfId="0" applyFont="1" applyAlignment="1">
      <alignment vertical="center" wrapText="1"/>
    </xf>
    <xf numFmtId="0" fontId="30" fillId="0" borderId="0" xfId="0" applyFont="1" applyAlignment="1">
      <alignment vertical="center"/>
    </xf>
    <xf numFmtId="0" fontId="4" fillId="0" borderId="11" xfId="0" applyFont="1" applyBorder="1" applyAlignment="1">
      <alignment vertical="center"/>
    </xf>
    <xf numFmtId="0" fontId="4" fillId="0" borderId="11" xfId="0" applyFont="1" applyBorder="1" applyAlignment="1">
      <alignment horizontal="left" vertical="center"/>
    </xf>
    <xf numFmtId="0" fontId="6" fillId="0" borderId="0" xfId="55" applyFont="1" applyAlignment="1">
      <alignment vertical="center"/>
    </xf>
    <xf numFmtId="0" fontId="10" fillId="0" borderId="0" xfId="59" applyFont="1" applyAlignment="1" applyProtection="1">
      <alignment vertical="center"/>
    </xf>
    <xf numFmtId="0" fontId="4" fillId="0" borderId="0" xfId="55" applyFont="1" applyAlignment="1" applyProtection="1">
      <alignment vertical="center"/>
      <protection locked="0"/>
    </xf>
    <xf numFmtId="168" fontId="34" fillId="0" borderId="0" xfId="55" applyNumberFormat="1" applyFont="1" applyAlignment="1">
      <alignment horizontal="left" vertical="center"/>
    </xf>
    <xf numFmtId="0" fontId="2" fillId="0" borderId="0" xfId="55" applyFont="1" applyAlignment="1">
      <alignment vertical="center"/>
    </xf>
    <xf numFmtId="0" fontId="10" fillId="0" borderId="0" xfId="39" applyFont="1" applyAlignment="1" applyProtection="1">
      <alignment horizontal="left" vertical="center"/>
    </xf>
    <xf numFmtId="0" fontId="4" fillId="24" borderId="16" xfId="55" applyFont="1" applyFill="1" applyBorder="1" applyAlignment="1">
      <alignment horizontal="center" vertical="center" wrapText="1"/>
    </xf>
    <xf numFmtId="0" fontId="4" fillId="24" borderId="16" xfId="55" applyFont="1" applyFill="1" applyBorder="1" applyAlignment="1">
      <alignment horizontal="center" vertical="center"/>
    </xf>
    <xf numFmtId="0" fontId="4" fillId="24" borderId="19" xfId="55" applyFont="1" applyFill="1" applyBorder="1" applyAlignment="1">
      <alignment horizontal="center" vertical="center" wrapText="1"/>
    </xf>
    <xf numFmtId="4" fontId="10" fillId="0" borderId="10" xfId="39" applyNumberFormat="1" applyFont="1" applyBorder="1" applyAlignment="1" applyProtection="1">
      <alignment vertical="center" wrapText="1"/>
    </xf>
    <xf numFmtId="4" fontId="4" fillId="0" borderId="10" xfId="0" applyNumberFormat="1" applyFont="1" applyBorder="1" applyAlignment="1">
      <alignment vertical="center" wrapText="1"/>
    </xf>
    <xf numFmtId="0" fontId="4" fillId="0" borderId="0" xfId="0" applyFont="1" applyAlignment="1" applyProtection="1">
      <alignment vertical="center"/>
      <protection locked="0"/>
    </xf>
    <xf numFmtId="3" fontId="4" fillId="0" borderId="10" xfId="0" applyNumberFormat="1" applyFont="1" applyBorder="1" applyAlignment="1">
      <alignment horizontal="center" vertical="center" wrapText="1"/>
    </xf>
    <xf numFmtId="0" fontId="4" fillId="0" borderId="0" xfId="55" applyFont="1" applyAlignment="1">
      <alignment horizontal="left" vertical="center"/>
    </xf>
    <xf numFmtId="0" fontId="4" fillId="0" borderId="10" xfId="55" applyFont="1" applyBorder="1" applyAlignment="1">
      <alignment horizontal="center" vertical="center" wrapText="1"/>
    </xf>
    <xf numFmtId="0" fontId="4" fillId="0" borderId="10" xfId="55" applyFont="1" applyBorder="1" applyAlignment="1">
      <alignment vertical="center" wrapText="1"/>
    </xf>
    <xf numFmtId="4" fontId="4" fillId="0" borderId="10" xfId="55" applyNumberFormat="1" applyFont="1" applyBorder="1" applyAlignment="1">
      <alignment horizontal="center" vertical="center" wrapText="1"/>
    </xf>
    <xf numFmtId="4" fontId="4" fillId="0" borderId="10" xfId="55" applyNumberFormat="1" applyFont="1" applyBorder="1" applyAlignment="1">
      <alignment horizontal="right" vertical="center" wrapText="1"/>
    </xf>
    <xf numFmtId="0" fontId="4" fillId="0" borderId="0" xfId="0" applyFont="1" applyAlignment="1">
      <alignment horizontal="right" vertical="center" wrapText="1"/>
    </xf>
    <xf numFmtId="0" fontId="4" fillId="0" borderId="10" xfId="0" applyFont="1" applyBorder="1" applyAlignment="1">
      <alignment horizontal="center" vertical="center"/>
    </xf>
    <xf numFmtId="167" fontId="4" fillId="0" borderId="10" xfId="0" applyNumberFormat="1" applyFont="1" applyBorder="1" applyAlignment="1">
      <alignment horizontal="center" vertical="center"/>
    </xf>
    <xf numFmtId="0" fontId="34" fillId="0" borderId="0" xfId="0" applyFont="1" applyAlignment="1">
      <alignment horizontal="left" vertical="center"/>
    </xf>
    <xf numFmtId="0" fontId="4" fillId="0" borderId="0" xfId="44" applyFont="1" applyAlignment="1">
      <alignment horizontal="left" vertical="center" wrapText="1"/>
    </xf>
    <xf numFmtId="4" fontId="4" fillId="0" borderId="10" xfId="0" applyNumberFormat="1" applyFont="1" applyBorder="1" applyAlignment="1">
      <alignment horizontal="center" vertical="center" wrapText="1"/>
    </xf>
    <xf numFmtId="0" fontId="4" fillId="24" borderId="10" xfId="0" applyFont="1" applyFill="1" applyBorder="1" applyAlignment="1">
      <alignment horizontal="left" vertical="center"/>
    </xf>
    <xf numFmtId="14" fontId="4" fillId="0" borderId="10" xfId="0" applyNumberFormat="1" applyFont="1" applyBorder="1" applyAlignment="1">
      <alignment vertical="center"/>
    </xf>
    <xf numFmtId="0" fontId="39" fillId="0" borderId="0" xfId="0" applyFont="1" applyAlignment="1">
      <alignment vertical="center"/>
    </xf>
    <xf numFmtId="0" fontId="4" fillId="0" borderId="10" xfId="0" applyFont="1" applyBorder="1" applyAlignment="1">
      <alignment vertical="center"/>
    </xf>
    <xf numFmtId="0" fontId="4" fillId="0" borderId="10" xfId="44" applyFont="1" applyBorder="1" applyAlignment="1">
      <alignment vertical="center" wrapText="1"/>
    </xf>
    <xf numFmtId="2" fontId="34" fillId="0" borderId="0" xfId="0" applyNumberFormat="1" applyFont="1" applyAlignment="1">
      <alignment vertical="center"/>
    </xf>
    <xf numFmtId="2" fontId="4" fillId="0" borderId="0" xfId="0" applyNumberFormat="1" applyFont="1" applyAlignment="1">
      <alignment vertical="center"/>
    </xf>
    <xf numFmtId="2" fontId="8" fillId="0" borderId="0" xfId="0" applyNumberFormat="1" applyFont="1" applyAlignment="1">
      <alignment vertical="center"/>
    </xf>
    <xf numFmtId="166" fontId="8" fillId="0" borderId="11" xfId="0" applyNumberFormat="1" applyFont="1" applyBorder="1" applyAlignment="1">
      <alignment horizontal="center" vertical="center"/>
    </xf>
    <xf numFmtId="0" fontId="34" fillId="0" borderId="0" xfId="0" applyFont="1" applyAlignment="1">
      <alignment vertical="center"/>
    </xf>
    <xf numFmtId="2" fontId="4" fillId="0" borderId="0" xfId="0" applyNumberFormat="1" applyFont="1" applyAlignment="1">
      <alignment horizontal="center" vertical="center"/>
    </xf>
    <xf numFmtId="2" fontId="8" fillId="0" borderId="0" xfId="0" applyNumberFormat="1" applyFont="1" applyAlignment="1">
      <alignment horizontal="center" vertical="center"/>
    </xf>
    <xf numFmtId="0" fontId="35" fillId="0" borderId="0" xfId="0" applyFont="1" applyAlignment="1">
      <alignment vertical="center"/>
    </xf>
    <xf numFmtId="2" fontId="4" fillId="0" borderId="11" xfId="0" applyNumberFormat="1" applyFont="1" applyBorder="1" applyAlignment="1">
      <alignment horizontal="center" vertical="center"/>
    </xf>
    <xf numFmtId="166" fontId="8" fillId="0" borderId="12" xfId="0" applyNumberFormat="1" applyFont="1" applyBorder="1" applyAlignment="1">
      <alignment horizontal="center" vertical="center"/>
    </xf>
    <xf numFmtId="2" fontId="8" fillId="0" borderId="12" xfId="0" applyNumberFormat="1" applyFont="1" applyBorder="1" applyAlignment="1">
      <alignment horizontal="center" vertical="center"/>
    </xf>
    <xf numFmtId="166" fontId="4" fillId="0" borderId="11" xfId="0" applyNumberFormat="1" applyFont="1" applyBorder="1" applyAlignment="1">
      <alignment horizontal="center" vertical="center"/>
    </xf>
    <xf numFmtId="167" fontId="4" fillId="0" borderId="11" xfId="0" applyNumberFormat="1" applyFont="1" applyBorder="1" applyAlignment="1">
      <alignment horizontal="center" vertical="center"/>
    </xf>
    <xf numFmtId="167" fontId="4" fillId="0" borderId="0" xfId="0" applyNumberFormat="1" applyFont="1" applyAlignment="1">
      <alignment horizontal="center" vertical="center"/>
    </xf>
    <xf numFmtId="166" fontId="8" fillId="0" borderId="0" xfId="0" applyNumberFormat="1" applyFont="1" applyAlignment="1">
      <alignment horizontal="center" vertical="center"/>
    </xf>
    <xf numFmtId="2" fontId="6" fillId="0" borderId="0" xfId="0" applyNumberFormat="1" applyFont="1" applyAlignment="1">
      <alignment vertical="center"/>
    </xf>
    <xf numFmtId="0" fontId="36" fillId="0" borderId="0" xfId="0" applyFont="1" applyAlignment="1" applyProtection="1">
      <alignment vertical="center"/>
      <protection locked="0"/>
    </xf>
    <xf numFmtId="0" fontId="4" fillId="0" borderId="10" xfId="0" applyFont="1" applyBorder="1" applyAlignment="1">
      <alignment horizontal="center" vertical="center" wrapText="1"/>
    </xf>
    <xf numFmtId="0" fontId="32" fillId="24" borderId="20" xfId="0" applyFont="1" applyFill="1" applyBorder="1" applyAlignment="1">
      <alignment vertical="center"/>
    </xf>
    <xf numFmtId="0" fontId="8" fillId="24" borderId="11" xfId="0" applyFont="1" applyFill="1" applyBorder="1" applyAlignment="1">
      <alignment vertical="center"/>
    </xf>
    <xf numFmtId="0" fontId="8" fillId="24" borderId="21" xfId="0" applyFont="1" applyFill="1" applyBorder="1" applyAlignment="1">
      <alignment vertical="center"/>
    </xf>
    <xf numFmtId="4" fontId="4" fillId="26" borderId="10" xfId="0" applyNumberFormat="1" applyFont="1" applyFill="1" applyBorder="1" applyAlignment="1" applyProtection="1">
      <alignment vertical="center"/>
      <protection locked="0"/>
    </xf>
    <xf numFmtId="4" fontId="4" fillId="0" borderId="10" xfId="0" applyNumberFormat="1" applyFont="1" applyBorder="1" applyAlignment="1">
      <alignment vertical="center"/>
    </xf>
    <xf numFmtId="0" fontId="4" fillId="24" borderId="14" xfId="0" applyFont="1" applyFill="1" applyBorder="1" applyAlignment="1">
      <alignment horizontal="left" vertical="center" wrapText="1"/>
    </xf>
    <xf numFmtId="0" fontId="4" fillId="24" borderId="14" xfId="0" applyFont="1" applyFill="1" applyBorder="1" applyAlignment="1">
      <alignment vertical="center" wrapText="1"/>
    </xf>
    <xf numFmtId="0" fontId="42" fillId="28" borderId="0" xfId="0" applyFont="1" applyFill="1" applyAlignment="1">
      <alignment vertical="center"/>
    </xf>
    <xf numFmtId="0" fontId="4" fillId="29" borderId="0" xfId="0" applyFont="1" applyFill="1" applyAlignment="1">
      <alignment vertical="center"/>
    </xf>
    <xf numFmtId="168" fontId="34" fillId="0" borderId="0" xfId="0" applyNumberFormat="1" applyFont="1" applyAlignment="1">
      <alignment horizontal="left" vertical="center"/>
    </xf>
    <xf numFmtId="0" fontId="4" fillId="25" borderId="10" xfId="0" applyFont="1" applyFill="1" applyBorder="1" applyAlignment="1">
      <alignment vertical="center" wrapText="1"/>
    </xf>
    <xf numFmtId="4" fontId="4" fillId="25" borderId="10" xfId="0" applyNumberFormat="1" applyFont="1" applyFill="1" applyBorder="1" applyAlignment="1">
      <alignment vertical="center" wrapText="1"/>
    </xf>
    <xf numFmtId="4" fontId="43" fillId="0" borderId="10" xfId="0" applyNumberFormat="1" applyFont="1" applyBorder="1" applyAlignment="1">
      <alignment vertical="center" wrapText="1"/>
    </xf>
    <xf numFmtId="49" fontId="4" fillId="0" borderId="10" xfId="0" applyNumberFormat="1" applyFont="1" applyBorder="1" applyAlignment="1">
      <alignment horizontal="center" vertical="center" wrapText="1"/>
    </xf>
    <xf numFmtId="1" fontId="4" fillId="0" borderId="10" xfId="0" applyNumberFormat="1" applyFont="1" applyBorder="1" applyAlignment="1">
      <alignment horizontal="center" vertical="center" wrapText="1"/>
    </xf>
    <xf numFmtId="4" fontId="4" fillId="26" borderId="10" xfId="0" applyNumberFormat="1" applyFont="1" applyFill="1" applyBorder="1" applyAlignment="1" applyProtection="1">
      <alignment vertical="center" wrapText="1"/>
      <protection locked="0"/>
    </xf>
    <xf numFmtId="0" fontId="42" fillId="0" borderId="0" xfId="0" applyFont="1" applyAlignment="1">
      <alignment vertical="center"/>
    </xf>
    <xf numFmtId="0" fontId="4" fillId="24" borderId="10" xfId="0" applyFont="1" applyFill="1" applyBorder="1" applyAlignment="1">
      <alignment horizontal="center" vertical="center"/>
    </xf>
    <xf numFmtId="4" fontId="4" fillId="0" borderId="10" xfId="0" applyNumberFormat="1" applyFont="1" applyBorder="1" applyAlignment="1">
      <alignment horizontal="center" vertical="center"/>
    </xf>
    <xf numFmtId="0" fontId="4" fillId="0" borderId="10" xfId="0" applyFont="1" applyBorder="1"/>
    <xf numFmtId="4" fontId="33" fillId="0" borderId="10" xfId="0" applyNumberFormat="1" applyFont="1" applyBorder="1" applyAlignment="1">
      <alignment horizontal="center" vertical="center"/>
    </xf>
    <xf numFmtId="4" fontId="41" fillId="0" borderId="10" xfId="0" applyNumberFormat="1" applyFont="1" applyBorder="1" applyAlignment="1">
      <alignment horizontal="center" vertical="center"/>
    </xf>
    <xf numFmtId="4" fontId="41" fillId="30" borderId="10" xfId="0" applyNumberFormat="1" applyFont="1" applyFill="1" applyBorder="1" applyAlignment="1">
      <alignment horizontal="center" vertical="center"/>
    </xf>
    <xf numFmtId="4" fontId="41" fillId="27" borderId="10" xfId="0" applyNumberFormat="1" applyFont="1" applyFill="1" applyBorder="1" applyAlignment="1">
      <alignment horizontal="center" vertical="center"/>
    </xf>
    <xf numFmtId="4" fontId="4" fillId="27" borderId="10" xfId="0" applyNumberFormat="1" applyFont="1" applyFill="1" applyBorder="1" applyAlignment="1">
      <alignment horizontal="center" vertical="center"/>
    </xf>
    <xf numFmtId="4" fontId="4" fillId="30" borderId="10" xfId="0" applyNumberFormat="1" applyFont="1" applyFill="1" applyBorder="1" applyAlignment="1">
      <alignment horizontal="center" vertical="center"/>
    </xf>
    <xf numFmtId="4" fontId="4" fillId="26" borderId="10" xfId="55" applyNumberFormat="1" applyFont="1" applyFill="1" applyBorder="1" applyAlignment="1" applyProtection="1">
      <alignment horizontal="right" vertical="center" wrapText="1"/>
      <protection locked="0"/>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24" borderId="10" xfId="0" applyFont="1" applyFill="1" applyBorder="1" applyAlignment="1">
      <alignment horizontal="center" vertical="center" wrapText="1"/>
    </xf>
    <xf numFmtId="0" fontId="4" fillId="0" borderId="10" xfId="0" applyFont="1" applyBorder="1" applyAlignment="1">
      <alignment horizontal="right" vertical="center" wrapText="1"/>
    </xf>
    <xf numFmtId="3" fontId="4" fillId="0" borderId="10" xfId="0" applyNumberFormat="1" applyFont="1" applyBorder="1" applyAlignment="1">
      <alignment horizontal="center" vertical="center" wrapText="1"/>
    </xf>
    <xf numFmtId="4" fontId="4" fillId="0" borderId="10" xfId="0" applyNumberFormat="1" applyFont="1" applyBorder="1" applyAlignment="1">
      <alignment horizontal="right" vertical="center" wrapText="1"/>
    </xf>
    <xf numFmtId="0" fontId="4" fillId="0" borderId="0" xfId="0" applyFont="1" applyAlignment="1">
      <alignment horizontal="center" vertical="center" wrapText="1"/>
    </xf>
    <xf numFmtId="0" fontId="4" fillId="24" borderId="14" xfId="0" applyFont="1" applyFill="1" applyBorder="1" applyAlignment="1">
      <alignment horizontal="center" vertical="center" wrapText="1"/>
    </xf>
    <xf numFmtId="0" fontId="2" fillId="0" borderId="15" xfId="0" applyFont="1" applyBorder="1" applyAlignment="1">
      <alignment horizontal="center" vertical="center" wrapText="1"/>
    </xf>
    <xf numFmtId="0" fontId="4" fillId="0" borderId="10" xfId="0" applyFont="1" applyBorder="1" applyAlignment="1">
      <alignment horizontal="center" vertical="center"/>
    </xf>
    <xf numFmtId="167" fontId="4" fillId="0" borderId="10" xfId="0" applyNumberFormat="1" applyFont="1" applyBorder="1" applyAlignment="1">
      <alignment horizontal="center" vertical="center"/>
    </xf>
    <xf numFmtId="2" fontId="8" fillId="24" borderId="16" xfId="0" applyNumberFormat="1" applyFont="1" applyFill="1" applyBorder="1" applyAlignment="1">
      <alignment horizontal="center" vertical="center" wrapText="1"/>
    </xf>
    <xf numFmtId="2" fontId="8" fillId="24" borderId="18" xfId="0" applyNumberFormat="1" applyFont="1" applyFill="1" applyBorder="1" applyAlignment="1">
      <alignment horizontal="center" vertical="center" wrapText="1"/>
    </xf>
    <xf numFmtId="2" fontId="8" fillId="24" borderId="19" xfId="0" applyNumberFormat="1" applyFont="1" applyFill="1" applyBorder="1" applyAlignment="1">
      <alignment horizontal="center" vertical="center"/>
    </xf>
    <xf numFmtId="2" fontId="8" fillId="24" borderId="13" xfId="0" applyNumberFormat="1" applyFont="1" applyFill="1" applyBorder="1" applyAlignment="1">
      <alignment horizontal="center" vertical="center"/>
    </xf>
    <xf numFmtId="2" fontId="8" fillId="24" borderId="17" xfId="0" applyNumberFormat="1" applyFont="1" applyFill="1" applyBorder="1" applyAlignment="1">
      <alignment horizontal="center" vertical="center"/>
    </xf>
    <xf numFmtId="2" fontId="8" fillId="24" borderId="20" xfId="0" applyNumberFormat="1" applyFont="1" applyFill="1" applyBorder="1" applyAlignment="1">
      <alignment horizontal="center" vertical="center"/>
    </xf>
    <xf numFmtId="2" fontId="8" fillId="24" borderId="11" xfId="0" applyNumberFormat="1" applyFont="1" applyFill="1" applyBorder="1" applyAlignment="1">
      <alignment horizontal="center" vertical="center"/>
    </xf>
    <xf numFmtId="2" fontId="8" fillId="24" borderId="21" xfId="0" applyNumberFormat="1" applyFont="1" applyFill="1" applyBorder="1" applyAlignment="1">
      <alignment horizontal="center" vertical="center"/>
    </xf>
    <xf numFmtId="2" fontId="32" fillId="24" borderId="0" xfId="0" applyNumberFormat="1" applyFont="1" applyFill="1" applyAlignment="1">
      <alignment horizontal="left" vertical="center"/>
    </xf>
    <xf numFmtId="2" fontId="8" fillId="0" borderId="0" xfId="0" applyNumberFormat="1" applyFont="1" applyAlignment="1">
      <alignment horizontal="left" vertical="center"/>
    </xf>
    <xf numFmtId="2" fontId="8" fillId="0" borderId="0" xfId="0" applyNumberFormat="1" applyFont="1" applyAlignment="1">
      <alignment horizontal="left" vertical="center" wrapText="1"/>
    </xf>
    <xf numFmtId="0" fontId="4" fillId="24" borderId="22" xfId="0" applyFont="1" applyFill="1" applyBorder="1" applyAlignment="1">
      <alignment horizontal="left" vertical="center" wrapText="1"/>
    </xf>
    <xf numFmtId="0" fontId="4" fillId="24" borderId="20" xfId="0" applyFont="1" applyFill="1" applyBorder="1" applyAlignment="1">
      <alignment horizontal="left" vertical="center" wrapText="1"/>
    </xf>
    <xf numFmtId="0" fontId="4" fillId="24" borderId="19" xfId="0" applyFont="1" applyFill="1" applyBorder="1" applyAlignment="1">
      <alignment vertical="center" wrapText="1"/>
    </xf>
    <xf numFmtId="0" fontId="4" fillId="24" borderId="13" xfId="0" applyFont="1" applyFill="1" applyBorder="1" applyAlignment="1">
      <alignment vertical="center" wrapText="1"/>
    </xf>
    <xf numFmtId="0" fontId="4" fillId="24" borderId="17" xfId="0" applyFont="1" applyFill="1" applyBorder="1" applyAlignment="1">
      <alignment vertical="center" wrapText="1"/>
    </xf>
    <xf numFmtId="0" fontId="4" fillId="24" borderId="16" xfId="0" applyFont="1" applyFill="1" applyBorder="1" applyAlignment="1">
      <alignment horizontal="center" vertical="center" wrapText="1"/>
    </xf>
    <xf numFmtId="0" fontId="4" fillId="24" borderId="18" xfId="0" applyFont="1" applyFill="1" applyBorder="1" applyAlignment="1">
      <alignment horizontal="center" vertical="center" wrapText="1"/>
    </xf>
    <xf numFmtId="0" fontId="10" fillId="0" borderId="14" xfId="39" applyFont="1" applyBorder="1" applyAlignment="1" applyProtection="1">
      <alignment horizontal="left" vertical="center"/>
    </xf>
    <xf numFmtId="0" fontId="10" fillId="0" borderId="12" xfId="39" applyFont="1" applyBorder="1" applyAlignment="1" applyProtection="1">
      <alignment horizontal="left" vertical="center"/>
    </xf>
    <xf numFmtId="0" fontId="10" fillId="0" borderId="15" xfId="39" applyFont="1" applyBorder="1" applyAlignment="1" applyProtection="1">
      <alignment horizontal="left" vertical="center"/>
    </xf>
    <xf numFmtId="0" fontId="4" fillId="0" borderId="19" xfId="0" applyFont="1" applyBorder="1" applyAlignment="1">
      <alignment horizontal="left" vertical="center" wrapText="1"/>
    </xf>
    <xf numFmtId="0" fontId="4" fillId="0" borderId="13"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11" xfId="0" applyFont="1" applyBorder="1" applyAlignment="1">
      <alignment horizontal="left" vertical="center" wrapText="1"/>
    </xf>
    <xf numFmtId="0" fontId="4" fillId="0" borderId="21" xfId="0" applyFont="1" applyBorder="1" applyAlignment="1">
      <alignment horizontal="left" vertical="center" wrapText="1"/>
    </xf>
    <xf numFmtId="0" fontId="4" fillId="0" borderId="14" xfId="44"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8" fillId="0" borderId="14" xfId="44" applyFont="1" applyBorder="1" applyAlignment="1">
      <alignment horizontal="left" vertical="center"/>
    </xf>
    <xf numFmtId="0" fontId="4" fillId="0" borderId="14" xfId="0" applyFont="1" applyBorder="1" applyAlignment="1">
      <alignment horizontal="left" vertical="center"/>
    </xf>
    <xf numFmtId="49" fontId="4" fillId="0" borderId="14" xfId="44" applyNumberFormat="1" applyFont="1" applyBorder="1" applyAlignment="1">
      <alignment horizontal="left" vertical="center"/>
    </xf>
    <xf numFmtId="0" fontId="4" fillId="0" borderId="0" xfId="55" applyFont="1" applyAlignment="1">
      <alignment horizontal="left" vertical="center" wrapText="1"/>
    </xf>
    <xf numFmtId="0" fontId="4" fillId="0" borderId="11" xfId="55" applyFont="1" applyBorder="1" applyAlignment="1">
      <alignment horizontal="left" vertical="center" wrapText="1"/>
    </xf>
  </cellXfs>
  <cellStyles count="60">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60% - Akzent1 2" xfId="13" xr:uid="{00000000-0005-0000-0000-00000C000000}"/>
    <cellStyle name="60% - Akzent2 2" xfId="14" xr:uid="{00000000-0005-0000-0000-00000D000000}"/>
    <cellStyle name="60% - Akzent3 2" xfId="15" xr:uid="{00000000-0005-0000-0000-00000E000000}"/>
    <cellStyle name="60% - Akzent4 2" xfId="16" xr:uid="{00000000-0005-0000-0000-00000F000000}"/>
    <cellStyle name="60% - Akzent5 2" xfId="17" xr:uid="{00000000-0005-0000-0000-000010000000}"/>
    <cellStyle name="60%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Euro" xfId="30" xr:uid="{00000000-0005-0000-0000-00001D000000}"/>
    <cellStyle name="Euro 2" xfId="31" xr:uid="{00000000-0005-0000-0000-00001E000000}"/>
    <cellStyle name="Euro 3" xfId="32" xr:uid="{00000000-0005-0000-0000-00001F000000}"/>
    <cellStyle name="Gut 2" xfId="33" xr:uid="{00000000-0005-0000-0000-000020000000}"/>
    <cellStyle name="Hyperlink 2" xfId="34" xr:uid="{00000000-0005-0000-0000-000021000000}"/>
    <cellStyle name="Hyperlink 2 2" xfId="35" xr:uid="{00000000-0005-0000-0000-000022000000}"/>
    <cellStyle name="Hyperlink 2_Stundenverrechnungssatzkalkulation Unterhalts-Grund-Glasreinigung" xfId="36" xr:uid="{00000000-0005-0000-0000-000023000000}"/>
    <cellStyle name="Hyperlink_ERK Sicht- und Vollreinigungrf" xfId="37" xr:uid="{00000000-0005-0000-0000-000024000000}"/>
    <cellStyle name="Komma 2" xfId="38" xr:uid="{00000000-0005-0000-0000-000026000000}"/>
    <cellStyle name="Link" xfId="39" builtinId="8"/>
    <cellStyle name="Link 2" xfId="59" xr:uid="{89552312-80C8-41E8-8BC3-D0AE3C9A9E31}"/>
    <cellStyle name="Link 3" xfId="56" xr:uid="{57A2AD7F-9443-4742-9233-41E9E4ADE050}"/>
    <cellStyle name="Neutral 2" xfId="40" xr:uid="{00000000-0005-0000-0000-000028000000}"/>
    <cellStyle name="Notiz 2" xfId="41" xr:uid="{00000000-0005-0000-0000-000029000000}"/>
    <cellStyle name="Schlecht 2" xfId="42" xr:uid="{00000000-0005-0000-0000-00002A000000}"/>
    <cellStyle name="Standard" xfId="0" builtinId="0"/>
    <cellStyle name="Standard 2" xfId="43" xr:uid="{00000000-0005-0000-0000-00002C000000}"/>
    <cellStyle name="Standard 2 2" xfId="55" xr:uid="{9271D7D4-DD00-4BDA-AD8D-A2E81E1F1DC0}"/>
    <cellStyle name="Standard 3" xfId="44" xr:uid="{00000000-0005-0000-0000-00002D000000}"/>
    <cellStyle name="Standard 4" xfId="45" xr:uid="{00000000-0005-0000-0000-00002E000000}"/>
    <cellStyle name="Standard 5" xfId="46" xr:uid="{00000000-0005-0000-0000-00002F000000}"/>
    <cellStyle name="Standard 6" xfId="58" xr:uid="{4045BEC2-7581-41A7-A782-533FFF685E66}"/>
    <cellStyle name="Standard 7" xfId="57" xr:uid="{ADCBA415-3384-4DC5-B28D-34E9C91EE81E}"/>
    <cellStyle name="Überschrift 1 2" xfId="47" xr:uid="{00000000-0005-0000-0000-000031000000}"/>
    <cellStyle name="Überschrift 2 2" xfId="48" xr:uid="{00000000-0005-0000-0000-000032000000}"/>
    <cellStyle name="Überschrift 3 2" xfId="49" xr:uid="{00000000-0005-0000-0000-000033000000}"/>
    <cellStyle name="Überschrift 4 2" xfId="50" xr:uid="{00000000-0005-0000-0000-000034000000}"/>
    <cellStyle name="Überschrift 5" xfId="51" xr:uid="{00000000-0005-0000-0000-000035000000}"/>
    <cellStyle name="Verknüpfte Zelle 2" xfId="52" xr:uid="{00000000-0005-0000-0000-000036000000}"/>
    <cellStyle name="Warnender Text 2" xfId="53" xr:uid="{00000000-0005-0000-0000-000037000000}"/>
    <cellStyle name="Zelle überprüfen 2" xfId="54" xr:uid="{00000000-0005-0000-0000-000038000000}"/>
  </cellStyles>
  <dxfs count="31">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30"/>
      <tableStyleElement type="headerRow" dxfId="29"/>
    </tableStyle>
  </tableStyles>
  <colors>
    <mruColors>
      <color rgb="FFFF0000"/>
      <color rgb="FFABFFAB"/>
      <color rgb="FF99FF99"/>
      <color rgb="FF66FF66"/>
      <color rgb="FFC7E6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H3" lockText="1"/>
</file>

<file path=xl/ctrlProps/ctrlProp10.xml><?xml version="1.0" encoding="utf-8"?>
<formControlPr xmlns="http://schemas.microsoft.com/office/spreadsheetml/2009/9/main" objectType="CheckBox" fmlaLink="M3" lockText="1"/>
</file>

<file path=xl/ctrlProps/ctrlProp11.xml><?xml version="1.0" encoding="utf-8"?>
<formControlPr xmlns="http://schemas.microsoft.com/office/spreadsheetml/2009/9/main" objectType="CheckBox" fmlaLink="M4" lockText="1"/>
</file>

<file path=xl/ctrlProps/ctrlProp12.xml><?xml version="1.0" encoding="utf-8"?>
<formControlPr xmlns="http://schemas.microsoft.com/office/spreadsheetml/2009/9/main" objectType="CheckBox" fmlaLink="M5" lockText="1"/>
</file>

<file path=xl/ctrlProps/ctrlProp13.xml><?xml version="1.0" encoding="utf-8"?>
<formControlPr xmlns="http://schemas.microsoft.com/office/spreadsheetml/2009/9/main" objectType="CheckBox" fmlaLink="M2" lockText="1"/>
</file>

<file path=xl/ctrlProps/ctrlProp14.xml><?xml version="1.0" encoding="utf-8"?>
<formControlPr xmlns="http://schemas.microsoft.com/office/spreadsheetml/2009/9/main" objectType="CheckBox" fmlaLink="M3" lockText="1"/>
</file>

<file path=xl/ctrlProps/ctrlProp15.xml><?xml version="1.0" encoding="utf-8"?>
<formControlPr xmlns="http://schemas.microsoft.com/office/spreadsheetml/2009/9/main" objectType="CheckBox" fmlaLink="M4" lockText="1"/>
</file>

<file path=xl/ctrlProps/ctrlProp16.xml><?xml version="1.0" encoding="utf-8"?>
<formControlPr xmlns="http://schemas.microsoft.com/office/spreadsheetml/2009/9/main" objectType="CheckBox" fmlaLink="M5" lockText="1"/>
</file>

<file path=xl/ctrlProps/ctrlProp17.xml><?xml version="1.0" encoding="utf-8"?>
<formControlPr xmlns="http://schemas.microsoft.com/office/spreadsheetml/2009/9/main" objectType="CheckBox" fmlaLink="C2" lockText="1"/>
</file>

<file path=xl/ctrlProps/ctrlProp18.xml><?xml version="1.0" encoding="utf-8"?>
<formControlPr xmlns="http://schemas.microsoft.com/office/spreadsheetml/2009/9/main" objectType="CheckBox" fmlaLink="D1" lockText="1"/>
</file>

<file path=xl/ctrlProps/ctrlProp2.xml><?xml version="1.0" encoding="utf-8"?>
<formControlPr xmlns="http://schemas.microsoft.com/office/spreadsheetml/2009/9/main" objectType="CheckBox" fmlaLink="$H$4" lockText="1"/>
</file>

<file path=xl/ctrlProps/ctrlProp3.xml><?xml version="1.0" encoding="utf-8"?>
<formControlPr xmlns="http://schemas.microsoft.com/office/spreadsheetml/2009/9/main" objectType="CheckBox" fmlaLink="$H$5" lockText="1"/>
</file>

<file path=xl/ctrlProps/ctrlProp4.xml><?xml version="1.0" encoding="utf-8"?>
<formControlPr xmlns="http://schemas.microsoft.com/office/spreadsheetml/2009/9/main" objectType="CheckBox" fmlaLink="B2" lockText="1"/>
</file>

<file path=xl/ctrlProps/ctrlProp5.xml><?xml version="1.0" encoding="utf-8"?>
<formControlPr xmlns="http://schemas.microsoft.com/office/spreadsheetml/2009/9/main" objectType="CheckBox" fmlaLink="D1" lockText="1"/>
</file>

<file path=xl/ctrlProps/ctrlProp6.xml><?xml version="1.0" encoding="utf-8"?>
<formControlPr xmlns="http://schemas.microsoft.com/office/spreadsheetml/2009/9/main" objectType="CheckBox" fmlaLink="D2" lockText="1"/>
</file>

<file path=xl/ctrlProps/ctrlProp7.xml><?xml version="1.0" encoding="utf-8"?>
<formControlPr xmlns="http://schemas.microsoft.com/office/spreadsheetml/2009/9/main" objectType="CheckBox" fmlaLink="D1" lockText="1"/>
</file>

<file path=xl/ctrlProps/ctrlProp8.xml><?xml version="1.0" encoding="utf-8"?>
<formControlPr xmlns="http://schemas.microsoft.com/office/spreadsheetml/2009/9/main" objectType="CheckBox" fmlaLink="D2" lockText="1"/>
</file>

<file path=xl/ctrlProps/ctrlProp9.xml><?xml version="1.0" encoding="utf-8"?>
<formControlPr xmlns="http://schemas.microsoft.com/office/spreadsheetml/2009/9/main" objectType="CheckBox" fmlaLink="M2"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xdr:row>
          <xdr:rowOff>0</xdr:rowOff>
        </xdr:from>
        <xdr:to>
          <xdr:col>7</xdr:col>
          <xdr:colOff>790575</xdr:colOff>
          <xdr:row>3</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7</xdr:col>
          <xdr:colOff>790575</xdr:colOff>
          <xdr:row>4</xdr:row>
          <xdr:rowOff>28575</xdr:rowOff>
        </xdr:to>
        <xdr:sp macro="" textlink="">
          <xdr:nvSpPr>
            <xdr:cNvPr id="1026" name="Check Box 2" descr="Hinweis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19050</xdr:rowOff>
        </xdr:from>
        <xdr:to>
          <xdr:col>7</xdr:col>
          <xdr:colOff>790575</xdr:colOff>
          <xdr:row>5</xdr:row>
          <xdr:rowOff>57150</xdr:rowOff>
        </xdr:to>
        <xdr:sp macro="" textlink="">
          <xdr:nvSpPr>
            <xdr:cNvPr id="1027" name="Check Box 3" descr="Hinweis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xdr:row>
          <xdr:rowOff>28575</xdr:rowOff>
        </xdr:from>
        <xdr:to>
          <xdr:col>1</xdr:col>
          <xdr:colOff>933450</xdr:colOff>
          <xdr:row>1</xdr:row>
          <xdr:rowOff>285750</xdr:rowOff>
        </xdr:to>
        <xdr:sp macro="" textlink="">
          <xdr:nvSpPr>
            <xdr:cNvPr id="2050" name="Check Box 2" descr="Hinweis"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123825</xdr:rowOff>
        </xdr:from>
        <xdr:to>
          <xdr:col>3</xdr:col>
          <xdr:colOff>552450</xdr:colOff>
          <xdr:row>0</xdr:row>
          <xdr:rowOff>409575</xdr:rowOff>
        </xdr:to>
        <xdr:sp macro="" textlink="">
          <xdr:nvSpPr>
            <xdr:cNvPr id="26626" name="Check Box 2" descr="Hinweis" hidden="1">
              <a:extLst>
                <a:ext uri="{63B3BB69-23CF-44E3-9099-C40C66FF867C}">
                  <a14:compatExt spid="_x0000_s26626"/>
                </a:ext>
                <a:ext uri="{FF2B5EF4-FFF2-40B4-BE49-F238E27FC236}">
                  <a16:creationId xmlns:a16="http://schemas.microsoft.com/office/drawing/2014/main" id="{00000000-0008-0000-0200-0000026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428625</xdr:rowOff>
        </xdr:from>
        <xdr:to>
          <xdr:col>3</xdr:col>
          <xdr:colOff>552450</xdr:colOff>
          <xdr:row>1</xdr:row>
          <xdr:rowOff>276225</xdr:rowOff>
        </xdr:to>
        <xdr:sp macro="" textlink="">
          <xdr:nvSpPr>
            <xdr:cNvPr id="26628" name="Check Box 4" descr="Hinweis" hidden="1">
              <a:extLst>
                <a:ext uri="{63B3BB69-23CF-44E3-9099-C40C66FF867C}">
                  <a14:compatExt spid="_x0000_s26628"/>
                </a:ext>
                <a:ext uri="{FF2B5EF4-FFF2-40B4-BE49-F238E27FC236}">
                  <a16:creationId xmlns:a16="http://schemas.microsoft.com/office/drawing/2014/main" id="{00000000-0008-0000-0200-0000046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95250</xdr:rowOff>
        </xdr:from>
        <xdr:to>
          <xdr:col>3</xdr:col>
          <xdr:colOff>552450</xdr:colOff>
          <xdr:row>0</xdr:row>
          <xdr:rowOff>381000</xdr:rowOff>
        </xdr:to>
        <xdr:sp macro="" textlink="">
          <xdr:nvSpPr>
            <xdr:cNvPr id="27649" name="Check Box 1" descr="Hinweis" hidden="1">
              <a:extLst>
                <a:ext uri="{63B3BB69-23CF-44E3-9099-C40C66FF867C}">
                  <a14:compatExt spid="_x0000_s27649"/>
                </a:ext>
                <a:ext uri="{FF2B5EF4-FFF2-40B4-BE49-F238E27FC236}">
                  <a16:creationId xmlns:a16="http://schemas.microsoft.com/office/drawing/2014/main" id="{00000000-0008-0000-0300-0000016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400050</xdr:rowOff>
        </xdr:from>
        <xdr:to>
          <xdr:col>3</xdr:col>
          <xdr:colOff>552450</xdr:colOff>
          <xdr:row>1</xdr:row>
          <xdr:rowOff>257175</xdr:rowOff>
        </xdr:to>
        <xdr:sp macro="" textlink="">
          <xdr:nvSpPr>
            <xdr:cNvPr id="27650" name="Check Box 2" descr="Hinweis" hidden="1">
              <a:extLst>
                <a:ext uri="{63B3BB69-23CF-44E3-9099-C40C66FF867C}">
                  <a14:compatExt spid="_x0000_s27650"/>
                </a:ext>
                <a:ext uri="{FF2B5EF4-FFF2-40B4-BE49-F238E27FC236}">
                  <a16:creationId xmlns:a16="http://schemas.microsoft.com/office/drawing/2014/main" id="{00000000-0008-0000-0300-0000026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0400-000001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6498" name="Check Box 2" descr="Hinweis 2" hidden="1">
              <a:extLst>
                <a:ext uri="{63B3BB69-23CF-44E3-9099-C40C66FF867C}">
                  <a14:compatExt spid="_x0000_s106498"/>
                </a:ext>
                <a:ext uri="{FF2B5EF4-FFF2-40B4-BE49-F238E27FC236}">
                  <a16:creationId xmlns:a16="http://schemas.microsoft.com/office/drawing/2014/main" id="{00000000-0008-0000-0400-000002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6499" name="Check Box 3" descr="Hinweis 3" hidden="1">
              <a:extLst>
                <a:ext uri="{63B3BB69-23CF-44E3-9099-C40C66FF867C}">
                  <a14:compatExt spid="_x0000_s106499"/>
                </a:ext>
                <a:ext uri="{FF2B5EF4-FFF2-40B4-BE49-F238E27FC236}">
                  <a16:creationId xmlns:a16="http://schemas.microsoft.com/office/drawing/2014/main" id="{00000000-0008-0000-0400-000003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6500" name="Check Box 4" descr="Hinweis 3" hidden="1">
              <a:extLst>
                <a:ext uri="{63B3BB69-23CF-44E3-9099-C40C66FF867C}">
                  <a14:compatExt spid="_x0000_s106500"/>
                </a:ext>
                <a:ext uri="{FF2B5EF4-FFF2-40B4-BE49-F238E27FC236}">
                  <a16:creationId xmlns:a16="http://schemas.microsoft.com/office/drawing/2014/main" id="{00000000-0008-0000-0400-000004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07521" name="Check Box 1" hidden="1">
              <a:extLst>
                <a:ext uri="{63B3BB69-23CF-44E3-9099-C40C66FF867C}">
                  <a14:compatExt spid="_x0000_s107521"/>
                </a:ext>
                <a:ext uri="{FF2B5EF4-FFF2-40B4-BE49-F238E27FC236}">
                  <a16:creationId xmlns:a16="http://schemas.microsoft.com/office/drawing/2014/main" id="{00000000-0008-0000-0500-000001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07522" name="Check Box 2" descr="Hinweis 2" hidden="1">
              <a:extLst>
                <a:ext uri="{63B3BB69-23CF-44E3-9099-C40C66FF867C}">
                  <a14:compatExt spid="_x0000_s107522"/>
                </a:ext>
                <a:ext uri="{FF2B5EF4-FFF2-40B4-BE49-F238E27FC236}">
                  <a16:creationId xmlns:a16="http://schemas.microsoft.com/office/drawing/2014/main" id="{00000000-0008-0000-0500-000002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07523" name="Check Box 3" descr="Hinweis 3" hidden="1">
              <a:extLst>
                <a:ext uri="{63B3BB69-23CF-44E3-9099-C40C66FF867C}">
                  <a14:compatExt spid="_x0000_s107523"/>
                </a:ext>
                <a:ext uri="{FF2B5EF4-FFF2-40B4-BE49-F238E27FC236}">
                  <a16:creationId xmlns:a16="http://schemas.microsoft.com/office/drawing/2014/main" id="{00000000-0008-0000-0500-000003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07524" name="Check Box 4" descr="Hinweis 3" hidden="1">
              <a:extLst>
                <a:ext uri="{63B3BB69-23CF-44E3-9099-C40C66FF867C}">
                  <a14:compatExt spid="_x0000_s107524"/>
                </a:ext>
                <a:ext uri="{FF2B5EF4-FFF2-40B4-BE49-F238E27FC236}">
                  <a16:creationId xmlns:a16="http://schemas.microsoft.com/office/drawing/2014/main" id="{00000000-0008-0000-0500-000004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952500</xdr:colOff>
          <xdr:row>1</xdr:row>
          <xdr:rowOff>47625</xdr:rowOff>
        </xdr:from>
        <xdr:to>
          <xdr:col>2</xdr:col>
          <xdr:colOff>1733550</xdr:colOff>
          <xdr:row>2</xdr:row>
          <xdr:rowOff>38100</xdr:rowOff>
        </xdr:to>
        <xdr:sp macro="" textlink="">
          <xdr:nvSpPr>
            <xdr:cNvPr id="39940" name="Check Box 4" descr="Hinweis" hidden="1">
              <a:extLst>
                <a:ext uri="{63B3BB69-23CF-44E3-9099-C40C66FF867C}">
                  <a14:compatExt spid="_x0000_s39940"/>
                </a:ext>
                <a:ext uri="{FF2B5EF4-FFF2-40B4-BE49-F238E27FC236}">
                  <a16:creationId xmlns:a16="http://schemas.microsoft.com/office/drawing/2014/main" id="{00000000-0008-0000-0600-0000049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0</xdr:row>
          <xdr:rowOff>247650</xdr:rowOff>
        </xdr:from>
        <xdr:to>
          <xdr:col>3</xdr:col>
          <xdr:colOff>809625</xdr:colOff>
          <xdr:row>1</xdr:row>
          <xdr:rowOff>114300</xdr:rowOff>
        </xdr:to>
        <xdr:sp macro="" textlink="">
          <xdr:nvSpPr>
            <xdr:cNvPr id="41985" name="Check Box 1" descr="Hinweis" hidden="1">
              <a:extLst>
                <a:ext uri="{63B3BB69-23CF-44E3-9099-C40C66FF867C}">
                  <a14:compatExt spid="_x0000_s41985"/>
                </a:ext>
                <a:ext uri="{FF2B5EF4-FFF2-40B4-BE49-F238E27FC236}">
                  <a16:creationId xmlns:a16="http://schemas.microsoft.com/office/drawing/2014/main" id="{00000000-0008-0000-0700-000001A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12.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1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trlProp" Target="../ctrlProps/ctrlProp1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indexed="42"/>
  </sheetPr>
  <dimension ref="A1:L979"/>
  <sheetViews>
    <sheetView showGridLines="0" tabSelected="1" zoomScaleNormal="100" workbookViewId="0">
      <selection activeCell="C3" sqref="C3"/>
    </sheetView>
  </sheetViews>
  <sheetFormatPr baseColWidth="10" defaultColWidth="11.42578125" defaultRowHeight="10.5" x14ac:dyDescent="0.2"/>
  <cols>
    <col min="1" max="1" width="5.28515625" style="3" customWidth="1"/>
    <col min="2" max="2" width="15.5703125" style="4" customWidth="1"/>
    <col min="3" max="3" width="32.42578125" style="4" customWidth="1"/>
    <col min="4" max="4" width="12" style="3" bestFit="1" customWidth="1"/>
    <col min="5" max="5" width="15.28515625" style="16" customWidth="1"/>
    <col min="6" max="7" width="11.5703125" style="3" customWidth="1"/>
    <col min="8" max="8" width="12" style="3" customWidth="1"/>
    <col min="9" max="10" width="12.7109375" style="3" customWidth="1"/>
    <col min="11" max="13" width="11.42578125" style="3" customWidth="1"/>
    <col min="14" max="16384" width="11.42578125" style="3"/>
  </cols>
  <sheetData>
    <row r="1" spans="1:12" x14ac:dyDescent="0.2">
      <c r="A1" s="42"/>
    </row>
    <row r="2" spans="1:12" ht="32.450000000000003" customHeight="1" x14ac:dyDescent="0.2">
      <c r="B2" s="43" t="s">
        <v>91</v>
      </c>
      <c r="G2" s="96" t="s">
        <v>184</v>
      </c>
      <c r="H2" s="96"/>
      <c r="I2" s="95" t="str">
        <f>IF(H3=TRUE,"Tragen Sie in die gelb markierten Felder die Angaben zu Ihrem Unternehmen ein.",IF(H4=TRUE,"Am vorteilhaftesten ist es, wenn Sie die Tabellen in dieser Datei anhand der unteren Reiter systematisch durchklicken. Es sind in allen Tabellen nur die GELBEN Zellen auszufüllen.
Die anderen Zellen sind gesperrt. Sie berechnen sich automatisch. ",IF(H5=TRUE,"Die mit Unterstrichen markierten Bezeichnungen für Tabellen, Zahlen und Texte sind verlinkt. Klicken Sie auf die Links, wenn Sie weitere Informationen in der betreffenden Tabelle suchen. ","")))</f>
        <v/>
      </c>
      <c r="J2" s="95"/>
      <c r="K2" s="95"/>
      <c r="L2" s="95"/>
    </row>
    <row r="3" spans="1:12" ht="15" customHeight="1" x14ac:dyDescent="0.2">
      <c r="B3" s="45" t="s">
        <v>164</v>
      </c>
      <c r="C3" s="15"/>
      <c r="E3" s="45" t="s">
        <v>159</v>
      </c>
      <c r="F3" s="46">
        <v>46235</v>
      </c>
      <c r="G3" s="47"/>
      <c r="H3" s="32" t="b">
        <v>0</v>
      </c>
      <c r="I3" s="95"/>
      <c r="J3" s="95"/>
      <c r="K3" s="95"/>
      <c r="L3" s="95"/>
    </row>
    <row r="4" spans="1:12" ht="15" customHeight="1" x14ac:dyDescent="0.2">
      <c r="B4" s="45" t="s">
        <v>152</v>
      </c>
      <c r="C4" s="15"/>
      <c r="E4" s="45" t="s">
        <v>160</v>
      </c>
      <c r="F4" s="46">
        <v>47695</v>
      </c>
      <c r="G4" s="47"/>
      <c r="H4" s="32" t="b">
        <v>0</v>
      </c>
      <c r="I4" s="95"/>
      <c r="J4" s="95"/>
      <c r="K4" s="95"/>
      <c r="L4" s="95"/>
    </row>
    <row r="5" spans="1:12" ht="15" customHeight="1" x14ac:dyDescent="0.2">
      <c r="B5" s="45" t="s">
        <v>153</v>
      </c>
      <c r="C5" s="15"/>
      <c r="E5" s="45" t="s">
        <v>161</v>
      </c>
      <c r="F5" s="48">
        <v>2</v>
      </c>
      <c r="G5" s="47"/>
      <c r="H5" s="32" t="b">
        <v>0</v>
      </c>
      <c r="I5" s="95"/>
      <c r="J5" s="95"/>
      <c r="K5" s="95"/>
      <c r="L5" s="95"/>
    </row>
    <row r="6" spans="1:12" ht="15" customHeight="1" x14ac:dyDescent="0.2">
      <c r="B6" s="45" t="s">
        <v>154</v>
      </c>
      <c r="C6" s="15"/>
      <c r="E6" s="45" t="s">
        <v>162</v>
      </c>
      <c r="F6" s="46">
        <f>DATE(YEAR($F$4)+$F$5,MONTH($F$4),DAY($F$4))</f>
        <v>48426</v>
      </c>
      <c r="I6" s="95"/>
      <c r="J6" s="95"/>
      <c r="K6" s="95"/>
      <c r="L6" s="95"/>
    </row>
    <row r="7" spans="1:12" ht="15" customHeight="1" x14ac:dyDescent="0.2">
      <c r="B7" s="45" t="s">
        <v>165</v>
      </c>
      <c r="C7" s="15"/>
    </row>
    <row r="8" spans="1:12" ht="15" customHeight="1" x14ac:dyDescent="0.2">
      <c r="B8" s="45" t="s">
        <v>166</v>
      </c>
      <c r="C8" s="15"/>
    </row>
    <row r="9" spans="1:12" ht="15" customHeight="1" x14ac:dyDescent="0.2">
      <c r="B9" s="45" t="s">
        <v>167</v>
      </c>
      <c r="C9" s="15"/>
    </row>
    <row r="10" spans="1:12" ht="15" customHeight="1" x14ac:dyDescent="0.2">
      <c r="B10" s="45" t="s">
        <v>168</v>
      </c>
      <c r="C10" s="15"/>
    </row>
    <row r="11" spans="1:12" ht="15" customHeight="1" x14ac:dyDescent="0.2">
      <c r="B11" s="45" t="s">
        <v>169</v>
      </c>
      <c r="C11" s="15"/>
    </row>
    <row r="12" spans="1:12" ht="24.95" customHeight="1" x14ac:dyDescent="0.2"/>
    <row r="13" spans="1:12" ht="19.899999999999999" customHeight="1" x14ac:dyDescent="0.2">
      <c r="B13" s="4" t="s">
        <v>0</v>
      </c>
      <c r="C13" s="4" t="s">
        <v>190</v>
      </c>
      <c r="E13" s="3"/>
    </row>
    <row r="14" spans="1:12" ht="15" customHeight="1" x14ac:dyDescent="0.2">
      <c r="B14" s="26" t="s">
        <v>176</v>
      </c>
      <c r="E14" s="3"/>
    </row>
    <row r="15" spans="1:12" ht="15" customHeight="1" x14ac:dyDescent="0.2">
      <c r="B15" s="26" t="s">
        <v>247</v>
      </c>
      <c r="E15" s="3"/>
    </row>
    <row r="16" spans="1:12" ht="15" customHeight="1" x14ac:dyDescent="0.2">
      <c r="B16" s="26" t="s">
        <v>248</v>
      </c>
      <c r="E16" s="3"/>
    </row>
    <row r="17" spans="2:10" ht="15" customHeight="1" x14ac:dyDescent="0.2">
      <c r="B17" s="5" t="s">
        <v>147</v>
      </c>
      <c r="C17" s="3"/>
      <c r="E17" s="3"/>
    </row>
    <row r="18" spans="2:10" ht="15" customHeight="1" x14ac:dyDescent="0.2">
      <c r="B18" s="3"/>
      <c r="C18" s="3"/>
      <c r="E18" s="3"/>
    </row>
    <row r="19" spans="2:10" ht="90" customHeight="1" x14ac:dyDescent="0.2">
      <c r="B19" s="1" t="s">
        <v>170</v>
      </c>
      <c r="C19" s="1" t="s">
        <v>171</v>
      </c>
      <c r="D19" s="1" t="s">
        <v>172</v>
      </c>
      <c r="E19" s="1" t="s">
        <v>251</v>
      </c>
      <c r="F19" s="1" t="s">
        <v>239</v>
      </c>
      <c r="G19" s="1" t="s">
        <v>241</v>
      </c>
      <c r="H19" s="1" t="s">
        <v>242</v>
      </c>
      <c r="I19" s="1" t="s">
        <v>249</v>
      </c>
      <c r="J19" s="1" t="s">
        <v>250</v>
      </c>
    </row>
    <row r="20" spans="2:10" ht="15" customHeight="1" x14ac:dyDescent="0.2">
      <c r="B20" s="49" t="s">
        <v>189</v>
      </c>
      <c r="C20" s="49" t="s">
        <v>191</v>
      </c>
      <c r="D20" s="49" t="s">
        <v>185</v>
      </c>
      <c r="E20" s="44">
        <f>'Kal Unter GS Nord'!L21</f>
        <v>187.5</v>
      </c>
      <c r="F20" s="30">
        <f ca="1">'Kal Unter GS Nord'!Q21</f>
        <v>0</v>
      </c>
      <c r="G20" s="30">
        <f>'Kal Grund GS Nord'!Q21</f>
        <v>0</v>
      </c>
      <c r="H20" s="30">
        <f>SUMIF('Kal Verbrauch Gesamt'!$B$5:$B6,$B$20,'Kal Verbrauch Gesamt'!$G$5:$G6)</f>
        <v>0</v>
      </c>
      <c r="I20" s="31">
        <f ca="1">ROUND(SUM($F$20:$H$20),2)</f>
        <v>0</v>
      </c>
      <c r="J20" s="31">
        <f ca="1">ROUND($I$20* 1.19,2)</f>
        <v>0</v>
      </c>
    </row>
    <row r="21" spans="2:10" ht="15" customHeight="1" x14ac:dyDescent="0.2"/>
    <row r="22" spans="2:10" ht="15" customHeight="1" x14ac:dyDescent="0.2"/>
    <row r="23" spans="2:10" ht="15" customHeight="1" x14ac:dyDescent="0.2"/>
    <row r="24" spans="2:10" ht="15" customHeight="1" x14ac:dyDescent="0.2"/>
    <row r="25" spans="2:10" ht="15" customHeight="1" x14ac:dyDescent="0.2"/>
    <row r="26" spans="2:10" ht="15" customHeight="1" x14ac:dyDescent="0.2"/>
    <row r="27" spans="2:10" ht="15" customHeight="1" x14ac:dyDescent="0.2"/>
    <row r="28" spans="2:10" ht="15" customHeight="1" x14ac:dyDescent="0.2"/>
    <row r="29" spans="2:10" ht="15" customHeight="1" x14ac:dyDescent="0.2"/>
    <row r="30" spans="2:10" ht="15" customHeight="1" x14ac:dyDescent="0.2"/>
    <row r="31" spans="2:10" ht="15" customHeight="1" x14ac:dyDescent="0.2"/>
    <row r="32" spans="2:10"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sheetData>
  <sheetProtection algorithmName="SHA-512" hashValue="su5CJYLYU8bD9Hxj3mF0ZKcqp9jK+C3S2qpdxzBDiXfc++k2b1eL3PbjDaYu6TMUWeeadlPWukCdyp38fONgFA==" saltValue="4YX5DF9oJhqen88KaC1HiA==" spinCount="100000" sheet="1" objects="1" scenarios="1"/>
  <mergeCells count="2">
    <mergeCell ref="I2:L6"/>
    <mergeCell ref="G2:H2"/>
  </mergeCells>
  <phoneticPr fontId="3" type="noConversion"/>
  <hyperlinks>
    <hyperlink ref="B14" location="'Preisübersicht'!A1" display="Preisübersicht" xr:uid="{7829B2E2-2385-4AF7-A74A-705419A9EA93}"/>
    <hyperlink ref="B15" location="'SVS UnterhaltsRG'!A1" display="SVS UnterhaltsRG" xr:uid="{DD087849-15C7-4F0A-A36A-02E503803ABA}"/>
    <hyperlink ref="B16" location="'SVS GrundRG'!A1" display="SVS GrundRG" xr:uid="{A24DA643-7BE8-47BA-8BC4-2D672E376D4C}"/>
    <hyperlink ref="B17" location="'Reinigungstage'!A1" display="Reinigungstage" xr:uid="{636BE953-BFB4-464E-9B63-7845AD7D751C}"/>
    <hyperlink ref="F20" location="'Kal Unter GS Nord'!$Q$21" display="'Kal Unter GS Nord'!$Q$21" xr:uid="{50991377-4A98-4803-AEA3-B166D80DCAF7}"/>
    <hyperlink ref="G20" location="'Kal Grund GS Nord'!$Q$21" display="'Kal Grund GS Nord'!$Q$21" xr:uid="{CC087D89-D381-449E-A42F-1EB32F8E7DCF}"/>
    <hyperlink ref="H20" location="'Kal Verbrauch Gesamt'!G5:G6" display="'Kal Verbrauch Gesamt'!G5:G6" xr:uid="{A6186706-DFD8-407C-AD08-02DEE814199E}"/>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&amp;N&amp;RInhaltsverzeichnis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0</xdr:colOff>
                    <xdr:row>2</xdr:row>
                    <xdr:rowOff>0</xdr:rowOff>
                  </from>
                  <to>
                    <xdr:col>7</xdr:col>
                    <xdr:colOff>790575</xdr:colOff>
                    <xdr:row>3</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ltText="Hinweis 2">
                <anchor moveWithCells="1">
                  <from>
                    <xdr:col>7</xdr:col>
                    <xdr:colOff>0</xdr:colOff>
                    <xdr:row>3</xdr:row>
                    <xdr:rowOff>0</xdr:rowOff>
                  </from>
                  <to>
                    <xdr:col>7</xdr:col>
                    <xdr:colOff>790575</xdr:colOff>
                    <xdr:row>4</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ltText="Hinweis 3">
                <anchor moveWithCells="1">
                  <from>
                    <xdr:col>7</xdr:col>
                    <xdr:colOff>0</xdr:colOff>
                    <xdr:row>4</xdr:row>
                    <xdr:rowOff>19050</xdr:rowOff>
                  </from>
                  <to>
                    <xdr:col>7</xdr:col>
                    <xdr:colOff>790575</xdr:colOff>
                    <xdr:row>5</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indexed="58"/>
  </sheetPr>
  <dimension ref="A1:H7"/>
  <sheetViews>
    <sheetView showGridLines="0" zoomScaleNormal="100" workbookViewId="0"/>
  </sheetViews>
  <sheetFormatPr baseColWidth="10" defaultColWidth="11.42578125" defaultRowHeight="15" customHeight="1" x14ac:dyDescent="0.2"/>
  <cols>
    <col min="1" max="1" width="25.7109375" style="3" customWidth="1"/>
    <col min="2" max="2" width="15.7109375" style="3" customWidth="1"/>
    <col min="3" max="5" width="14.28515625" style="3" customWidth="1"/>
    <col min="6" max="8" width="16.7109375" style="3" customWidth="1"/>
    <col min="9" max="16384" width="11.42578125" style="3"/>
  </cols>
  <sheetData>
    <row r="1" spans="1:8" ht="29.1" customHeight="1" x14ac:dyDescent="0.2">
      <c r="A1" s="3" t="s">
        <v>178</v>
      </c>
      <c r="D1" s="17"/>
      <c r="G1" s="5" t="s">
        <v>100</v>
      </c>
    </row>
    <row r="2" spans="1:8" ht="24" customHeight="1" x14ac:dyDescent="0.2">
      <c r="B2" s="32" t="b">
        <v>0</v>
      </c>
      <c r="C2" s="101" t="str">
        <f>IF(B2=TRUE,"Hier muss nichts ausgefüllt werden. Füllen Sie zunächst in den folgenden Tabellen die gelben Zellen aus. Kehren Sie dann zu dieser Tabelle zurück.","")</f>
        <v/>
      </c>
      <c r="D2" s="101"/>
      <c r="E2" s="101"/>
      <c r="F2" s="101"/>
      <c r="G2" s="101"/>
    </row>
    <row r="3" spans="1:8" ht="24" customHeight="1" x14ac:dyDescent="0.2">
      <c r="A3" s="19" t="s">
        <v>103</v>
      </c>
      <c r="B3" s="20" t="str">
        <f>IF(Inhaltsverzeichnis!$C$3="", "",Inhaltsverzeichnis!$C$3)</f>
        <v/>
      </c>
      <c r="C3" s="4"/>
      <c r="D3" s="4"/>
    </row>
    <row r="4" spans="1:8" s="16" customFormat="1" ht="29.1" customHeight="1" x14ac:dyDescent="0.2">
      <c r="A4" s="102" t="s">
        <v>243</v>
      </c>
      <c r="B4" s="103"/>
      <c r="C4" s="1" t="s">
        <v>239</v>
      </c>
      <c r="D4" s="1" t="s">
        <v>241</v>
      </c>
      <c r="E4" s="1" t="s">
        <v>242</v>
      </c>
      <c r="F4" s="97" t="s">
        <v>244</v>
      </c>
      <c r="G4" s="97"/>
      <c r="H4" s="97"/>
    </row>
    <row r="5" spans="1:8" s="16" customFormat="1" ht="29.1" customHeight="1" x14ac:dyDescent="0.2">
      <c r="A5" s="1" t="s">
        <v>96</v>
      </c>
      <c r="B5" s="1" t="s">
        <v>173</v>
      </c>
      <c r="C5" s="1" t="s">
        <v>148</v>
      </c>
      <c r="D5" s="1" t="s">
        <v>148</v>
      </c>
      <c r="E5" s="1" t="s">
        <v>148</v>
      </c>
      <c r="F5" s="1" t="s">
        <v>148</v>
      </c>
      <c r="G5" s="1" t="s">
        <v>245</v>
      </c>
      <c r="H5" s="1" t="s">
        <v>149</v>
      </c>
    </row>
    <row r="6" spans="1:8" ht="15" customHeight="1" x14ac:dyDescent="0.2">
      <c r="A6" s="12" t="s">
        <v>189</v>
      </c>
      <c r="B6" s="33">
        <v>2</v>
      </c>
      <c r="C6" s="31">
        <f ca="1">'Kal Unter GS Nord'!Q21</f>
        <v>0</v>
      </c>
      <c r="D6" s="31">
        <f>'Kal Grund GS Nord'!Q21</f>
        <v>0</v>
      </c>
      <c r="E6" s="31">
        <f>SUMIF('Kal Verbrauch Gesamt'!$B$5:$B6,$A$6,'Kal Verbrauch Gesamt'!$G$5:$G6)</f>
        <v>0</v>
      </c>
      <c r="F6" s="31">
        <f ca="1">SUM(C6:E6)</f>
        <v>0</v>
      </c>
      <c r="G6" s="31">
        <f ca="1">H6-F6</f>
        <v>0</v>
      </c>
      <c r="H6" s="31">
        <f ca="1">ROUND(F6*1.19,2)</f>
        <v>0</v>
      </c>
    </row>
    <row r="7" spans="1:8" ht="15" customHeight="1" x14ac:dyDescent="0.2">
      <c r="A7" s="98" t="s">
        <v>246</v>
      </c>
      <c r="B7" s="99"/>
      <c r="C7" s="100"/>
      <c r="D7" s="100"/>
      <c r="E7" s="100"/>
      <c r="F7" s="31">
        <f ca="1">ROUND(SUM(F6:F6),2)</f>
        <v>0</v>
      </c>
      <c r="G7" s="31">
        <f ca="1">ROUND(SUM(G6:G6),2)</f>
        <v>0</v>
      </c>
      <c r="H7" s="31">
        <f ca="1">ROUND(SUM(H6:H6),2)</f>
        <v>0</v>
      </c>
    </row>
  </sheetData>
  <sheetProtection algorithmName="SHA-512" hashValue="rJo7qRqZPMbuwsfPa/g+w4rWfRVMZiVlQH3jz3IBqMBc1l3/xB3FKbQsIjY2T8wyvPHLjfv4Io2bX4pIk6nBdw==" saltValue="LnVWCqkC//BLfsYMC3gryg==" spinCount="100000" sheet="1" objects="1" scenarios="1"/>
  <mergeCells count="4">
    <mergeCell ref="F4:H4"/>
    <mergeCell ref="A7:E7"/>
    <mergeCell ref="C2:G2"/>
    <mergeCell ref="A4:B4"/>
  </mergeCells>
  <phoneticPr fontId="3" type="noConversion"/>
  <hyperlinks>
    <hyperlink ref="G1" location="Inhaltsverzeichnis!A1" display="Zurück zum Inhaltsverzeichnis" xr:uid="{E154F9A2-A397-4201-913D-DB85F173A9FB}"/>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&amp;N&amp;RPreisübersicht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ltText="Hinweis">
                <anchor moveWithCells="1">
                  <from>
                    <xdr:col>1</xdr:col>
                    <xdr:colOff>180975</xdr:colOff>
                    <xdr:row>1</xdr:row>
                    <xdr:rowOff>28575</xdr:rowOff>
                  </from>
                  <to>
                    <xdr:col>1</xdr:col>
                    <xdr:colOff>933450</xdr:colOff>
                    <xdr:row>1</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8">
    <tabColor indexed="13"/>
  </sheetPr>
  <dimension ref="A1:O79"/>
  <sheetViews>
    <sheetView showGridLines="0" zoomScaleNormal="100" zoomScaleSheetLayoutView="70" workbookViewId="0"/>
  </sheetViews>
  <sheetFormatPr baseColWidth="10" defaultColWidth="11.42578125" defaultRowHeight="10.5" x14ac:dyDescent="0.2"/>
  <cols>
    <col min="1" max="1" width="6.42578125" style="3" customWidth="1"/>
    <col min="2" max="2" width="2.7109375" style="3" customWidth="1"/>
    <col min="3" max="3" width="45.5703125" style="3" customWidth="1"/>
    <col min="4" max="4" width="8.5703125" style="3" customWidth="1"/>
    <col min="5" max="5" width="2.5703125" style="3" customWidth="1"/>
    <col min="6" max="6" width="11.42578125" style="3"/>
    <col min="7" max="7" width="2.85546875" style="3" customWidth="1"/>
    <col min="8" max="8" width="11.42578125" style="3"/>
    <col min="9" max="9" width="2.7109375" style="3" bestFit="1" customWidth="1"/>
    <col min="10" max="10" width="1.28515625" style="3" customWidth="1"/>
    <col min="11" max="11" width="18.28515625" style="3" bestFit="1" customWidth="1"/>
    <col min="12" max="16384" width="11.42578125" style="3"/>
  </cols>
  <sheetData>
    <row r="1" spans="1:11" ht="34.9" customHeight="1" x14ac:dyDescent="0.2">
      <c r="A1" s="50" t="str">
        <f ca="1">IF(H61&lt;&gt;"","","Bitte alle gelben Zellen ausfüllen.")</f>
        <v>Bitte alle gelben Zellen ausfüllen.</v>
      </c>
      <c r="D1" s="66" t="b">
        <v>0</v>
      </c>
      <c r="E1" s="95"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95"/>
      <c r="G1" s="95"/>
      <c r="H1" s="95"/>
      <c r="I1" s="95"/>
      <c r="K1" s="5" t="s">
        <v>100</v>
      </c>
    </row>
    <row r="2" spans="1:11" ht="33" customHeight="1" x14ac:dyDescent="0.2">
      <c r="A2" s="3" t="s">
        <v>103</v>
      </c>
      <c r="C2" s="3" t="str">
        <f>IF(Inhaltsverzeichnis!$C$3="", "",Inhaltsverzeichnis!$C$3)</f>
        <v/>
      </c>
      <c r="D2" s="32" t="b">
        <v>0</v>
      </c>
      <c r="E2" s="95"/>
      <c r="F2" s="95"/>
      <c r="G2" s="95"/>
      <c r="H2" s="95"/>
      <c r="I2" s="95"/>
    </row>
    <row r="3" spans="1:11" s="2" customFormat="1" ht="12.75" x14ac:dyDescent="0.2">
      <c r="A3" s="114" t="s">
        <v>102</v>
      </c>
      <c r="B3" s="114"/>
      <c r="C3" s="114"/>
      <c r="D3" s="114"/>
      <c r="E3" s="114"/>
      <c r="F3" s="114"/>
      <c r="G3" s="114"/>
      <c r="H3" s="114"/>
      <c r="I3" s="114"/>
    </row>
    <row r="4" spans="1:11" x14ac:dyDescent="0.2">
      <c r="A4" s="51"/>
      <c r="B4" s="51"/>
      <c r="C4" s="51"/>
      <c r="D4" s="51"/>
      <c r="E4" s="51"/>
      <c r="F4" s="51"/>
      <c r="G4" s="51"/>
      <c r="H4" s="51"/>
      <c r="I4" s="51"/>
    </row>
    <row r="5" spans="1:11" ht="15" customHeight="1" x14ac:dyDescent="0.2">
      <c r="A5" s="52" t="s">
        <v>1</v>
      </c>
      <c r="B5" s="52" t="s">
        <v>2</v>
      </c>
      <c r="C5" s="52"/>
      <c r="D5" s="52"/>
      <c r="E5" s="52"/>
      <c r="F5" s="53">
        <v>100</v>
      </c>
      <c r="G5" s="52" t="s">
        <v>3</v>
      </c>
      <c r="H5" s="7">
        <v>15</v>
      </c>
      <c r="I5" s="52" t="s">
        <v>4</v>
      </c>
      <c r="K5" s="54"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51"/>
      <c r="B6" s="51"/>
      <c r="C6" s="51"/>
      <c r="D6" s="51"/>
      <c r="E6" s="51"/>
      <c r="F6" s="55"/>
      <c r="G6" s="51"/>
      <c r="H6" s="55"/>
      <c r="I6" s="51"/>
    </row>
    <row r="7" spans="1:11" x14ac:dyDescent="0.2">
      <c r="A7" s="52" t="s">
        <v>5</v>
      </c>
      <c r="B7" s="52" t="s">
        <v>6</v>
      </c>
      <c r="C7" s="52"/>
      <c r="D7" s="52"/>
      <c r="E7" s="52"/>
      <c r="F7" s="56"/>
      <c r="G7" s="52"/>
      <c r="H7" s="56"/>
      <c r="I7" s="52"/>
    </row>
    <row r="8" spans="1:11" ht="14.25" x14ac:dyDescent="0.2">
      <c r="A8" s="51" t="s">
        <v>7</v>
      </c>
      <c r="B8" s="51" t="s">
        <v>8</v>
      </c>
      <c r="C8" s="51"/>
      <c r="D8" s="51"/>
      <c r="E8" s="51"/>
      <c r="F8" s="56"/>
      <c r="G8" s="56"/>
      <c r="H8" s="56"/>
      <c r="I8" s="56"/>
      <c r="K8" s="57"/>
    </row>
    <row r="9" spans="1:11" x14ac:dyDescent="0.2">
      <c r="A9" s="51" t="s">
        <v>9</v>
      </c>
      <c r="B9" s="51"/>
      <c r="C9" s="51" t="s">
        <v>10</v>
      </c>
      <c r="D9" s="51"/>
      <c r="E9" s="51"/>
      <c r="F9" s="8"/>
      <c r="G9" s="51" t="s">
        <v>3</v>
      </c>
      <c r="H9" s="58" t="str">
        <f>IF(F9="","",ROUND(F9/100*$H$5,2))</f>
        <v/>
      </c>
      <c r="I9" s="51" t="s">
        <v>4</v>
      </c>
      <c r="K9" s="54" t="str">
        <f>IF(F9="","Bitte ausfüllen!","")</f>
        <v>Bitte ausfüllen!</v>
      </c>
    </row>
    <row r="10" spans="1:11" x14ac:dyDescent="0.2">
      <c r="A10" s="51" t="s">
        <v>11</v>
      </c>
      <c r="B10" s="51"/>
      <c r="C10" s="51" t="s">
        <v>12</v>
      </c>
      <c r="D10" s="51"/>
      <c r="E10" s="51"/>
      <c r="F10" s="8"/>
      <c r="G10" s="51" t="s">
        <v>3</v>
      </c>
      <c r="H10" s="58" t="str">
        <f>IF(F10="","",ROUND(F10/100*$H$5,2))</f>
        <v/>
      </c>
      <c r="I10" s="51" t="s">
        <v>4</v>
      </c>
      <c r="K10" s="54" t="str">
        <f>IF(F10="","Bitte ausfüllen!","")</f>
        <v>Bitte ausfüllen!</v>
      </c>
    </row>
    <row r="11" spans="1:11" x14ac:dyDescent="0.2">
      <c r="A11" s="51" t="s">
        <v>13</v>
      </c>
      <c r="B11" s="51"/>
      <c r="C11" s="51" t="s">
        <v>14</v>
      </c>
      <c r="D11" s="51"/>
      <c r="E11" s="51"/>
      <c r="F11" s="8"/>
      <c r="G11" s="51" t="s">
        <v>3</v>
      </c>
      <c r="H11" s="58" t="str">
        <f>IF(F11="","",ROUND(F11/100*$H$5,2))</f>
        <v/>
      </c>
      <c r="I11" s="51" t="s">
        <v>4</v>
      </c>
      <c r="K11" s="54" t="str">
        <f>IF(F11="","Bitte ausfüllen!","")</f>
        <v>Bitte ausfüllen!</v>
      </c>
    </row>
    <row r="12" spans="1:11" x14ac:dyDescent="0.2">
      <c r="A12" s="51" t="s">
        <v>15</v>
      </c>
      <c r="B12" s="51"/>
      <c r="C12" s="51" t="s">
        <v>16</v>
      </c>
      <c r="D12" s="51"/>
      <c r="E12" s="51"/>
      <c r="F12" s="8"/>
      <c r="G12" s="51" t="s">
        <v>3</v>
      </c>
      <c r="H12" s="58" t="str">
        <f>IF(F12="","",ROUND(F12/100*$H$5,2))</f>
        <v/>
      </c>
      <c r="I12" s="51" t="s">
        <v>4</v>
      </c>
      <c r="K12" s="54" t="str">
        <f>IF(F12="","Bitte ausfüllen!","")</f>
        <v>Bitte ausfüllen!</v>
      </c>
    </row>
    <row r="13" spans="1:11" x14ac:dyDescent="0.2">
      <c r="A13" s="51" t="s">
        <v>17</v>
      </c>
      <c r="B13" s="51"/>
      <c r="C13" s="51" t="s">
        <v>18</v>
      </c>
      <c r="D13" s="51"/>
      <c r="E13" s="51"/>
      <c r="F13" s="8"/>
      <c r="G13" s="51" t="s">
        <v>3</v>
      </c>
      <c r="H13" s="58" t="str">
        <f>IF(F13="","",ROUND(F13/100*$H$5,2))</f>
        <v/>
      </c>
      <c r="I13" s="51" t="s">
        <v>4</v>
      </c>
      <c r="K13" s="54" t="str">
        <f>IF(F13="","Bitte ausfüllen!","")</f>
        <v>Bitte ausfüllen!</v>
      </c>
    </row>
    <row r="14" spans="1:11" x14ac:dyDescent="0.2">
      <c r="A14" s="52"/>
      <c r="B14" s="52" t="s">
        <v>19</v>
      </c>
      <c r="C14" s="52"/>
      <c r="D14" s="52"/>
      <c r="E14" s="52"/>
      <c r="F14" s="59">
        <f>IF(SUM(F9:F13)=0,0,SUM(F9:F13))</f>
        <v>0</v>
      </c>
      <c r="G14" s="52" t="s">
        <v>3</v>
      </c>
      <c r="H14" s="60" t="str">
        <f>IF(COUNTIF(F9:F13,"")&gt;0,"",SUM(H8:H13))</f>
        <v/>
      </c>
      <c r="I14" s="52" t="s">
        <v>4</v>
      </c>
      <c r="K14" s="54" t="str">
        <f>IF(H14="","Angaben offen!","")</f>
        <v>Angaben offen!</v>
      </c>
    </row>
    <row r="15" spans="1:11" x14ac:dyDescent="0.2">
      <c r="A15" s="51"/>
      <c r="B15" s="51"/>
      <c r="C15" s="51"/>
      <c r="D15" s="51"/>
      <c r="E15" s="51"/>
      <c r="F15" s="55"/>
      <c r="G15" s="51"/>
      <c r="H15" s="55"/>
      <c r="I15" s="51"/>
    </row>
    <row r="16" spans="1:11" x14ac:dyDescent="0.2">
      <c r="A16" s="52" t="s">
        <v>20</v>
      </c>
      <c r="B16" s="52" t="s">
        <v>21</v>
      </c>
      <c r="C16" s="52"/>
      <c r="D16" s="52"/>
      <c r="E16" s="52"/>
      <c r="F16" s="56"/>
      <c r="G16" s="52"/>
      <c r="H16" s="56"/>
      <c r="I16" s="52"/>
    </row>
    <row r="17" spans="1:11" ht="11.25" customHeight="1" x14ac:dyDescent="0.2">
      <c r="A17" s="51" t="s">
        <v>22</v>
      </c>
      <c r="B17" s="51" t="s">
        <v>120</v>
      </c>
      <c r="C17" s="51"/>
      <c r="D17" s="8">
        <f>D73+D77</f>
        <v>8.75</v>
      </c>
      <c r="E17" s="51" t="s">
        <v>3</v>
      </c>
      <c r="F17" s="55"/>
      <c r="G17" s="51"/>
      <c r="H17" s="55"/>
      <c r="I17" s="51"/>
      <c r="K17" s="54" t="str">
        <f ca="1">IF(D17&lt;(D73+D77),"Wert prüfen!",IF(H61="","Inhalt der gelben Zellen kann angepasst werden.",""))</f>
        <v>Inhalt der gelben Zellen kann angepasst werden.</v>
      </c>
    </row>
    <row r="18" spans="1:11" x14ac:dyDescent="0.2">
      <c r="A18" s="51"/>
      <c r="B18" s="51" t="s">
        <v>23</v>
      </c>
      <c r="C18" s="51"/>
      <c r="D18" s="61">
        <f>(D17/100)*$F$14</f>
        <v>0</v>
      </c>
      <c r="E18" s="51" t="s">
        <v>3</v>
      </c>
      <c r="F18" s="62">
        <f>IF(D18="","",D17+D18)</f>
        <v>8.75</v>
      </c>
      <c r="G18" s="51" t="s">
        <v>3</v>
      </c>
      <c r="H18" s="58">
        <f>IF(D18="","",ROUND(F18/100*$H$5,2))</f>
        <v>1.31</v>
      </c>
      <c r="I18" s="51" t="s">
        <v>4</v>
      </c>
      <c r="K18" s="54"/>
    </row>
    <row r="19" spans="1:11" ht="11.25" x14ac:dyDescent="0.2">
      <c r="A19" s="51" t="s">
        <v>24</v>
      </c>
      <c r="B19" s="51" t="s">
        <v>121</v>
      </c>
      <c r="C19" s="51"/>
      <c r="D19" s="8">
        <f>D74</f>
        <v>9.3000000000000007</v>
      </c>
      <c r="E19" s="51" t="s">
        <v>3</v>
      </c>
      <c r="F19" s="63"/>
      <c r="G19" s="51"/>
      <c r="H19" s="55"/>
      <c r="I19" s="51"/>
      <c r="K19" s="54" t="str">
        <f ca="1">IF(D19&lt;&gt;D74,"Wert prüfen!",IF(H61="","Inhalt der gelben Zellen kann angepasst werden.",""))</f>
        <v>Inhalt der gelben Zellen kann angepasst werden.</v>
      </c>
    </row>
    <row r="20" spans="1:11" ht="11.25" customHeight="1" x14ac:dyDescent="0.2">
      <c r="A20" s="51"/>
      <c r="B20" s="51" t="s">
        <v>25</v>
      </c>
      <c r="C20" s="51"/>
      <c r="D20" s="61">
        <f>(D19/100)*$F$14</f>
        <v>0</v>
      </c>
      <c r="E20" s="51" t="s">
        <v>3</v>
      </c>
      <c r="F20" s="62">
        <f>IF(D20="","",D19+D20)</f>
        <v>9.3000000000000007</v>
      </c>
      <c r="G20" s="51" t="s">
        <v>3</v>
      </c>
      <c r="H20" s="58">
        <f>IF(D20="","",ROUND(F20/100*$H$5,2))</f>
        <v>1.4</v>
      </c>
      <c r="I20" s="51" t="s">
        <v>4</v>
      </c>
      <c r="K20" s="54"/>
    </row>
    <row r="21" spans="1:11" ht="11.25" x14ac:dyDescent="0.2">
      <c r="A21" s="51" t="s">
        <v>26</v>
      </c>
      <c r="B21" s="51" t="s">
        <v>122</v>
      </c>
      <c r="C21" s="51"/>
      <c r="D21" s="8">
        <f>D75</f>
        <v>1.3</v>
      </c>
      <c r="E21" s="51" t="s">
        <v>3</v>
      </c>
      <c r="F21" s="63"/>
      <c r="G21" s="51"/>
      <c r="H21" s="55"/>
      <c r="I21" s="51"/>
      <c r="K21" s="54" t="str">
        <f ca="1">IF(D21&lt;&gt;D75,"Wert prüfen!",IF(H61="","Inhalt der gelben Zellen kann angepasst werden.",""))</f>
        <v>Inhalt der gelben Zellen kann angepasst werden.</v>
      </c>
    </row>
    <row r="22" spans="1:11" x14ac:dyDescent="0.2">
      <c r="A22" s="51"/>
      <c r="B22" s="51" t="s">
        <v>27</v>
      </c>
      <c r="C22" s="51"/>
      <c r="D22" s="61">
        <f>(D21/100)*$F$14</f>
        <v>0</v>
      </c>
      <c r="E22" s="51" t="s">
        <v>3</v>
      </c>
      <c r="F22" s="62">
        <f>IF(D22="","",D21+D22)</f>
        <v>1.3</v>
      </c>
      <c r="G22" s="51" t="s">
        <v>3</v>
      </c>
      <c r="H22" s="58">
        <f>IF(D22="","",ROUND(F22/100*$H$5,2))</f>
        <v>0.2</v>
      </c>
      <c r="I22" s="51" t="s">
        <v>4</v>
      </c>
      <c r="K22" s="54"/>
    </row>
    <row r="23" spans="1:11" ht="11.25" x14ac:dyDescent="0.2">
      <c r="A23" s="51" t="s">
        <v>28</v>
      </c>
      <c r="B23" s="51" t="s">
        <v>123</v>
      </c>
      <c r="C23" s="51"/>
      <c r="D23" s="8">
        <f>D76</f>
        <v>1.8</v>
      </c>
      <c r="E23" s="51" t="s">
        <v>3</v>
      </c>
      <c r="F23" s="63"/>
      <c r="G23" s="51"/>
      <c r="H23" s="55"/>
      <c r="I23" s="51"/>
      <c r="K23" s="54" t="str">
        <f ca="1">IF(D23&lt;&gt;D76,"Wert prüfen!",IF(H61="","Inhalt der gelben Zellen kann angepasst werden.",""))</f>
        <v>Inhalt der gelben Zellen kann angepasst werden.</v>
      </c>
    </row>
    <row r="24" spans="1:11" x14ac:dyDescent="0.2">
      <c r="A24" s="51"/>
      <c r="B24" s="51" t="s">
        <v>29</v>
      </c>
      <c r="C24" s="51"/>
      <c r="D24" s="61">
        <f>(D23/100)*$F$14</f>
        <v>0</v>
      </c>
      <c r="E24" s="51" t="s">
        <v>3</v>
      </c>
      <c r="F24" s="62">
        <f>IF(D24="","",D23+D24)</f>
        <v>1.8</v>
      </c>
      <c r="G24" s="51" t="s">
        <v>3</v>
      </c>
      <c r="H24" s="58">
        <f>IF(D24="","",ROUND(F24/100*$H$5,2))</f>
        <v>0.27</v>
      </c>
      <c r="I24" s="51" t="s">
        <v>4</v>
      </c>
      <c r="K24" s="54"/>
    </row>
    <row r="25" spans="1:11" ht="11.25" x14ac:dyDescent="0.2">
      <c r="A25" s="51" t="s">
        <v>30</v>
      </c>
      <c r="B25" s="51" t="s">
        <v>124</v>
      </c>
      <c r="C25" s="51"/>
      <c r="D25" s="8"/>
      <c r="E25" s="51" t="s">
        <v>3</v>
      </c>
      <c r="F25" s="63"/>
      <c r="G25" s="51"/>
      <c r="H25" s="55"/>
      <c r="I25" s="51"/>
      <c r="K25" s="54" t="str">
        <f>IF(D25="","Bitte ausfüllen!","")</f>
        <v>Bitte ausfüllen!</v>
      </c>
    </row>
    <row r="26" spans="1:11" x14ac:dyDescent="0.2">
      <c r="A26" s="51"/>
      <c r="B26" s="51" t="s">
        <v>31</v>
      </c>
      <c r="C26" s="51"/>
      <c r="D26" s="61">
        <f>(D25/100)*$F$14</f>
        <v>0</v>
      </c>
      <c r="E26" s="51" t="s">
        <v>3</v>
      </c>
      <c r="F26" s="62">
        <f>IF(D26="","",D25+D26)</f>
        <v>0</v>
      </c>
      <c r="G26" s="51" t="s">
        <v>3</v>
      </c>
      <c r="H26" s="58">
        <f>IF(D26="","",ROUND(F26/100*$H$5,2))</f>
        <v>0</v>
      </c>
      <c r="I26" s="51" t="s">
        <v>4</v>
      </c>
      <c r="K26" s="54"/>
    </row>
    <row r="27" spans="1:11" ht="11.25" x14ac:dyDescent="0.2">
      <c r="A27" s="51" t="s">
        <v>32</v>
      </c>
      <c r="B27" s="51" t="s">
        <v>125</v>
      </c>
      <c r="C27" s="51"/>
      <c r="D27" s="51"/>
      <c r="E27" s="51"/>
      <c r="F27" s="8"/>
      <c r="G27" s="51" t="s">
        <v>3</v>
      </c>
      <c r="H27" s="58" t="str">
        <f>IF(F27="","",ROUND(F27/100*$H$5,2))</f>
        <v/>
      </c>
      <c r="I27" s="51" t="s">
        <v>4</v>
      </c>
      <c r="K27" s="54" t="str">
        <f>IF(F27="","Bitte ausfüllen!","")</f>
        <v>Bitte ausfüllen!</v>
      </c>
    </row>
    <row r="28" spans="1:11" ht="11.25" x14ac:dyDescent="0.2">
      <c r="A28" s="51" t="s">
        <v>33</v>
      </c>
      <c r="B28" s="51" t="s">
        <v>126</v>
      </c>
      <c r="C28" s="51"/>
      <c r="D28" s="51"/>
      <c r="E28" s="51"/>
      <c r="F28" s="8">
        <f>D79</f>
        <v>0.15</v>
      </c>
      <c r="G28" s="51" t="s">
        <v>3</v>
      </c>
      <c r="H28" s="58">
        <f>IF(F28="","",ROUND(F28/100*$H$5,2))</f>
        <v>0.02</v>
      </c>
      <c r="I28" s="51" t="s">
        <v>4</v>
      </c>
      <c r="K28" s="54" t="str">
        <f ca="1">IF(F28&lt;&gt;D79,"Wert prüfen!",IF(H61="","Inhalt der gelben Zellen kann angepasst werden.",""))</f>
        <v>Inhalt der gelben Zellen kann angepasst werden.</v>
      </c>
    </row>
    <row r="29" spans="1:11" ht="23.45" customHeight="1" x14ac:dyDescent="0.2">
      <c r="A29" s="52"/>
      <c r="B29" s="116" t="s">
        <v>34</v>
      </c>
      <c r="C29" s="116"/>
      <c r="D29" s="52"/>
      <c r="E29" s="52"/>
      <c r="F29" s="59">
        <f>IF(SUM(F17:F28)=0,0,SUM(F17:F28)+F14)</f>
        <v>21.3</v>
      </c>
      <c r="G29" s="52" t="s">
        <v>3</v>
      </c>
      <c r="H29" s="60" t="str">
        <f>IF(OR(COUNTIF(D17:D26,"")&gt;0,COUNTIF(F27:F28,"")&gt;0),"",SUM(H17:H28)+H14)</f>
        <v/>
      </c>
      <c r="I29" s="52" t="s">
        <v>4</v>
      </c>
      <c r="K29" s="54" t="str">
        <f>IF(H29="","Angaben offen!","")</f>
        <v>Angaben offen!</v>
      </c>
    </row>
    <row r="30" spans="1:11" ht="5.45" customHeight="1" x14ac:dyDescent="0.2">
      <c r="A30" s="51"/>
      <c r="B30" s="51"/>
      <c r="C30" s="51"/>
      <c r="D30" s="51"/>
      <c r="E30" s="51"/>
      <c r="F30" s="55"/>
      <c r="G30" s="51"/>
      <c r="H30" s="55"/>
      <c r="I30" s="51"/>
    </row>
    <row r="31" spans="1:11" x14ac:dyDescent="0.2">
      <c r="A31" s="51"/>
      <c r="B31" s="52" t="s">
        <v>35</v>
      </c>
      <c r="C31" s="51"/>
      <c r="D31" s="51"/>
      <c r="E31" s="51"/>
      <c r="F31" s="55"/>
      <c r="G31" s="51"/>
      <c r="H31" s="55"/>
      <c r="I31" s="51"/>
    </row>
    <row r="32" spans="1:11" x14ac:dyDescent="0.2">
      <c r="A32" s="51" t="s">
        <v>36</v>
      </c>
      <c r="B32" s="51" t="s">
        <v>37</v>
      </c>
      <c r="C32" s="51"/>
      <c r="D32" s="51"/>
      <c r="E32" s="51"/>
      <c r="F32" s="8"/>
      <c r="G32" s="51" t="s">
        <v>3</v>
      </c>
      <c r="H32" s="58" t="str">
        <f>IF(F32="","",ROUND(F32/100*$H$5,2))</f>
        <v/>
      </c>
      <c r="I32" s="51" t="s">
        <v>4</v>
      </c>
      <c r="K32" s="54" t="str">
        <f>IF(F32="","Bitte ausfüllen!","")</f>
        <v>Bitte ausfüllen!</v>
      </c>
    </row>
    <row r="33" spans="1:11" x14ac:dyDescent="0.2">
      <c r="A33" s="51" t="s">
        <v>38</v>
      </c>
      <c r="B33" s="51" t="s">
        <v>39</v>
      </c>
      <c r="C33" s="51"/>
      <c r="D33" s="51"/>
      <c r="E33" s="51"/>
      <c r="F33" s="8"/>
      <c r="G33" s="51" t="s">
        <v>3</v>
      </c>
      <c r="H33" s="58" t="str">
        <f>IF(F33="","",ROUND(F33/100*$H$5,2))</f>
        <v/>
      </c>
      <c r="I33" s="51" t="s">
        <v>4</v>
      </c>
      <c r="K33" s="54" t="str">
        <f>IF(F33="","Bitte ausfüllen!","")</f>
        <v>Bitte ausfüllen!</v>
      </c>
    </row>
    <row r="34" spans="1:11" ht="22.15" customHeight="1" x14ac:dyDescent="0.2">
      <c r="A34" s="52"/>
      <c r="B34" s="116" t="s">
        <v>40</v>
      </c>
      <c r="C34" s="116"/>
      <c r="D34" s="52"/>
      <c r="E34" s="52"/>
      <c r="F34" s="59">
        <f>IF(SUM(F32:F33)=0,0,SUM(F32:F33)+F29)</f>
        <v>0</v>
      </c>
      <c r="G34" s="52" t="s">
        <v>3</v>
      </c>
      <c r="H34" s="60" t="str">
        <f>IF(COUNTIF(H32:H33,"")&gt;0,"",SUM(H32:H33)+H29)</f>
        <v/>
      </c>
      <c r="I34" s="52" t="s">
        <v>4</v>
      </c>
      <c r="K34" s="54" t="str">
        <f>IF(H34="","Angaben offen!","")</f>
        <v>Angaben offen!</v>
      </c>
    </row>
    <row r="35" spans="1:11" ht="5.45" customHeight="1" x14ac:dyDescent="0.2">
      <c r="A35" s="51"/>
      <c r="B35" s="51"/>
      <c r="C35" s="51"/>
      <c r="D35" s="51"/>
      <c r="E35" s="51"/>
      <c r="F35" s="55"/>
      <c r="G35" s="51"/>
      <c r="H35" s="55"/>
      <c r="I35" s="51"/>
    </row>
    <row r="36" spans="1:11" x14ac:dyDescent="0.2">
      <c r="A36" s="52" t="s">
        <v>41</v>
      </c>
      <c r="B36" s="52" t="s">
        <v>42</v>
      </c>
      <c r="C36" s="52"/>
      <c r="D36" s="52"/>
      <c r="E36" s="52"/>
      <c r="F36" s="56"/>
      <c r="G36" s="52"/>
      <c r="H36" s="56"/>
      <c r="I36" s="52"/>
    </row>
    <row r="37" spans="1:11" x14ac:dyDescent="0.2">
      <c r="A37" s="51" t="s">
        <v>43</v>
      </c>
      <c r="B37" s="51" t="s">
        <v>44</v>
      </c>
      <c r="C37" s="51"/>
      <c r="D37" s="51"/>
      <c r="E37" s="51"/>
      <c r="F37" s="55"/>
      <c r="G37" s="51"/>
      <c r="H37" s="55"/>
      <c r="I37" s="51"/>
    </row>
    <row r="38" spans="1:11" x14ac:dyDescent="0.2">
      <c r="A38" s="51"/>
      <c r="B38" s="51" t="s">
        <v>45</v>
      </c>
      <c r="C38" s="51"/>
      <c r="D38" s="51"/>
      <c r="E38" s="51"/>
      <c r="F38" s="8"/>
      <c r="G38" s="51" t="s">
        <v>3</v>
      </c>
      <c r="H38" s="58" t="str">
        <f>IF(F38="","",ROUND(F38/100*$H$5,2))</f>
        <v/>
      </c>
      <c r="I38" s="51" t="s">
        <v>4</v>
      </c>
      <c r="K38" s="54" t="str">
        <f>IF(F38="","Bitte ausfüllen!","")</f>
        <v>Bitte ausfüllen!</v>
      </c>
    </row>
    <row r="39" spans="1:11" x14ac:dyDescent="0.2">
      <c r="A39" s="51" t="s">
        <v>46</v>
      </c>
      <c r="B39" s="51" t="s">
        <v>47</v>
      </c>
      <c r="C39" s="51"/>
      <c r="D39" s="51"/>
      <c r="E39" s="51"/>
      <c r="F39" s="8"/>
      <c r="G39" s="51" t="s">
        <v>3</v>
      </c>
      <c r="H39" s="58" t="str">
        <f>IF(F39="","",ROUND(F39/100*$H$5,2))</f>
        <v/>
      </c>
      <c r="I39" s="51" t="s">
        <v>4</v>
      </c>
      <c r="K39" s="54" t="str">
        <f>IF(F39="","Bitte ausfüllen!","")</f>
        <v>Bitte ausfüllen!</v>
      </c>
    </row>
    <row r="40" spans="1:11" x14ac:dyDescent="0.2">
      <c r="A40" s="51" t="s">
        <v>48</v>
      </c>
      <c r="B40" s="51" t="s">
        <v>49</v>
      </c>
      <c r="C40" s="51"/>
      <c r="D40" s="51"/>
      <c r="E40" s="51"/>
      <c r="F40" s="8"/>
      <c r="G40" s="51" t="s">
        <v>3</v>
      </c>
      <c r="H40" s="58" t="str">
        <f>IF(F40="","",ROUND(F40/100*$H$5,2))</f>
        <v/>
      </c>
      <c r="I40" s="51" t="s">
        <v>4</v>
      </c>
      <c r="K40" s="54" t="str">
        <f>IF(F40="","Bitte ausfüllen!","")</f>
        <v>Bitte ausfüllen!</v>
      </c>
    </row>
    <row r="41" spans="1:11" x14ac:dyDescent="0.2">
      <c r="A41" s="51" t="s">
        <v>50</v>
      </c>
      <c r="B41" s="51" t="s">
        <v>51</v>
      </c>
      <c r="C41" s="51"/>
      <c r="D41" s="51"/>
      <c r="E41" s="51"/>
      <c r="F41" s="8"/>
      <c r="G41" s="51" t="s">
        <v>3</v>
      </c>
      <c r="H41" s="58" t="str">
        <f>IF(F41="","",ROUND(F41/100*$H$5,2))</f>
        <v/>
      </c>
      <c r="I41" s="51" t="s">
        <v>4</v>
      </c>
      <c r="K41" s="54" t="str">
        <f>IF(F41="","Bitte ausfüllen!","")</f>
        <v>Bitte ausfüllen!</v>
      </c>
    </row>
    <row r="42" spans="1:11" ht="23.45" customHeight="1" x14ac:dyDescent="0.2">
      <c r="A42" s="52"/>
      <c r="B42" s="116" t="s">
        <v>52</v>
      </c>
      <c r="C42" s="116"/>
      <c r="D42" s="52"/>
      <c r="E42" s="52"/>
      <c r="F42" s="59">
        <f>IF(SUM(F38:F41)=0,0,SUM(F38:F41))</f>
        <v>0</v>
      </c>
      <c r="G42" s="52" t="s">
        <v>3</v>
      </c>
      <c r="H42" s="60" t="str">
        <f>IF(COUNTIF(H38:H41,"")&gt;0,"",SUM(H38:H41))</f>
        <v/>
      </c>
      <c r="I42" s="52" t="s">
        <v>4</v>
      </c>
      <c r="K42" s="54" t="str">
        <f>IF(H42="","Angaben offen!","")</f>
        <v>Angaben offen!</v>
      </c>
    </row>
    <row r="43" spans="1:11" ht="5.45" customHeight="1" x14ac:dyDescent="0.2">
      <c r="A43" s="51"/>
      <c r="B43" s="51"/>
      <c r="C43" s="51"/>
      <c r="D43" s="51"/>
      <c r="E43" s="51"/>
      <c r="F43" s="55"/>
      <c r="G43" s="51"/>
      <c r="H43" s="55"/>
      <c r="I43" s="51"/>
    </row>
    <row r="44" spans="1:11" x14ac:dyDescent="0.2">
      <c r="A44" s="52" t="s">
        <v>53</v>
      </c>
      <c r="B44" s="52" t="s">
        <v>54</v>
      </c>
      <c r="C44" s="52"/>
      <c r="D44" s="52"/>
      <c r="E44" s="52"/>
      <c r="F44" s="52"/>
      <c r="G44" s="52"/>
      <c r="H44" s="52"/>
      <c r="I44" s="52"/>
    </row>
    <row r="45" spans="1:11" x14ac:dyDescent="0.2">
      <c r="A45" s="51" t="s">
        <v>55</v>
      </c>
      <c r="B45" s="51" t="s">
        <v>56</v>
      </c>
      <c r="C45" s="51"/>
      <c r="D45" s="51"/>
      <c r="E45" s="51"/>
      <c r="F45" s="51"/>
      <c r="G45" s="51"/>
      <c r="H45" s="51"/>
      <c r="I45" s="51"/>
    </row>
    <row r="46" spans="1:11" x14ac:dyDescent="0.2">
      <c r="A46" s="51" t="s">
        <v>57</v>
      </c>
      <c r="B46" s="51"/>
      <c r="C46" s="51" t="s">
        <v>58</v>
      </c>
      <c r="D46" s="51"/>
      <c r="E46" s="51"/>
      <c r="F46" s="8"/>
      <c r="G46" s="51" t="s">
        <v>3</v>
      </c>
      <c r="H46" s="58" t="str">
        <f>IF(F46="","",ROUND(F46/100*$H$5,2))</f>
        <v/>
      </c>
      <c r="I46" s="51" t="s">
        <v>4</v>
      </c>
      <c r="K46" s="54" t="str">
        <f>IF(F46="","Bitte ausfüllen!","")</f>
        <v>Bitte ausfüllen!</v>
      </c>
    </row>
    <row r="47" spans="1:11" x14ac:dyDescent="0.2">
      <c r="A47" s="51" t="s">
        <v>59</v>
      </c>
      <c r="B47" s="51"/>
      <c r="C47" s="51" t="s">
        <v>119</v>
      </c>
      <c r="D47" s="51"/>
      <c r="E47" s="51"/>
      <c r="F47" s="8"/>
      <c r="G47" s="51" t="s">
        <v>3</v>
      </c>
      <c r="H47" s="58" t="str">
        <f>IF(F47="","",ROUND(F47/100*$H$5,2))</f>
        <v/>
      </c>
      <c r="I47" s="51" t="s">
        <v>4</v>
      </c>
      <c r="K47" s="54" t="str">
        <f>IF(F47="","Bitte ausfüllen!","")</f>
        <v>Bitte ausfüllen!</v>
      </c>
    </row>
    <row r="48" spans="1:11" x14ac:dyDescent="0.2">
      <c r="A48" s="51" t="s">
        <v>60</v>
      </c>
      <c r="B48" s="51" t="s">
        <v>61</v>
      </c>
      <c r="C48" s="51"/>
      <c r="D48" s="51"/>
      <c r="E48" s="51"/>
      <c r="F48" s="8"/>
      <c r="G48" s="51" t="s">
        <v>3</v>
      </c>
      <c r="H48" s="58" t="str">
        <f>IF(F48="","",ROUND(F48/100*$H$5,2))</f>
        <v/>
      </c>
      <c r="I48" s="51" t="s">
        <v>4</v>
      </c>
      <c r="K48" s="54" t="str">
        <f>IF(F48="","Bitte ausfüllen!","")</f>
        <v>Bitte ausfüllen!</v>
      </c>
    </row>
    <row r="49" spans="1:11" x14ac:dyDescent="0.2">
      <c r="A49" s="51" t="s">
        <v>62</v>
      </c>
      <c r="B49" s="51" t="s">
        <v>63</v>
      </c>
      <c r="C49" s="51"/>
      <c r="D49" s="51"/>
      <c r="E49" s="51"/>
      <c r="F49" s="51"/>
      <c r="G49" s="51"/>
      <c r="H49" s="51"/>
      <c r="I49" s="51"/>
    </row>
    <row r="50" spans="1:11" x14ac:dyDescent="0.2">
      <c r="A50" s="51" t="s">
        <v>64</v>
      </c>
      <c r="B50" s="51"/>
      <c r="C50" s="51" t="s">
        <v>65</v>
      </c>
      <c r="D50" s="51"/>
      <c r="E50" s="51"/>
      <c r="F50" s="8"/>
      <c r="G50" s="51" t="s">
        <v>3</v>
      </c>
      <c r="H50" s="58" t="str">
        <f t="shared" ref="H50:H56" si="0">IF(F50="","",ROUND(F50/100*$H$5,2))</f>
        <v/>
      </c>
      <c r="I50" s="51" t="s">
        <v>4</v>
      </c>
      <c r="K50" s="54" t="str">
        <f t="shared" ref="K50:K56" si="1">IF(F50="","Bitte ausfüllen!","")</f>
        <v>Bitte ausfüllen!</v>
      </c>
    </row>
    <row r="51" spans="1:11" x14ac:dyDescent="0.2">
      <c r="A51" s="51" t="s">
        <v>66</v>
      </c>
      <c r="B51" s="51"/>
      <c r="C51" s="51" t="s">
        <v>67</v>
      </c>
      <c r="D51" s="51"/>
      <c r="E51" s="51"/>
      <c r="F51" s="8"/>
      <c r="G51" s="51" t="s">
        <v>3</v>
      </c>
      <c r="H51" s="58" t="str">
        <f t="shared" si="0"/>
        <v/>
      </c>
      <c r="I51" s="51" t="s">
        <v>4</v>
      </c>
      <c r="K51" s="54" t="str">
        <f t="shared" si="1"/>
        <v>Bitte ausfüllen!</v>
      </c>
    </row>
    <row r="52" spans="1:11" x14ac:dyDescent="0.2">
      <c r="A52" s="51" t="s">
        <v>68</v>
      </c>
      <c r="B52" s="51" t="s">
        <v>69</v>
      </c>
      <c r="C52" s="51"/>
      <c r="D52" s="51"/>
      <c r="E52" s="51"/>
      <c r="F52" s="8"/>
      <c r="G52" s="51" t="s">
        <v>3</v>
      </c>
      <c r="H52" s="58" t="str">
        <f t="shared" si="0"/>
        <v/>
      </c>
      <c r="I52" s="51" t="s">
        <v>4</v>
      </c>
      <c r="K52" s="54" t="str">
        <f t="shared" si="1"/>
        <v>Bitte ausfüllen!</v>
      </c>
    </row>
    <row r="53" spans="1:11" x14ac:dyDescent="0.2">
      <c r="A53" s="51" t="s">
        <v>70</v>
      </c>
      <c r="B53" s="51" t="s">
        <v>71</v>
      </c>
      <c r="C53" s="51"/>
      <c r="D53" s="51"/>
      <c r="E53" s="51"/>
      <c r="F53" s="8"/>
      <c r="G53" s="51" t="s">
        <v>3</v>
      </c>
      <c r="H53" s="58" t="str">
        <f t="shared" si="0"/>
        <v/>
      </c>
      <c r="I53" s="51" t="s">
        <v>4</v>
      </c>
      <c r="K53" s="54" t="str">
        <f t="shared" si="1"/>
        <v>Bitte ausfüllen!</v>
      </c>
    </row>
    <row r="54" spans="1:11" x14ac:dyDescent="0.2">
      <c r="A54" s="51" t="s">
        <v>72</v>
      </c>
      <c r="B54" s="51" t="s">
        <v>73</v>
      </c>
      <c r="C54" s="51"/>
      <c r="D54" s="51"/>
      <c r="E54" s="51"/>
      <c r="F54" s="8"/>
      <c r="G54" s="51" t="s">
        <v>3</v>
      </c>
      <c r="H54" s="58" t="str">
        <f t="shared" si="0"/>
        <v/>
      </c>
      <c r="I54" s="51" t="s">
        <v>4</v>
      </c>
      <c r="K54" s="54" t="str">
        <f t="shared" si="1"/>
        <v>Bitte ausfüllen!</v>
      </c>
    </row>
    <row r="55" spans="1:11" x14ac:dyDescent="0.2">
      <c r="A55" s="51" t="s">
        <v>74</v>
      </c>
      <c r="B55" s="51" t="s">
        <v>75</v>
      </c>
      <c r="C55" s="51"/>
      <c r="D55" s="51"/>
      <c r="E55" s="51"/>
      <c r="F55" s="8"/>
      <c r="G55" s="51" t="s">
        <v>3</v>
      </c>
      <c r="H55" s="58" t="str">
        <f t="shared" si="0"/>
        <v/>
      </c>
      <c r="I55" s="51" t="s">
        <v>4</v>
      </c>
      <c r="K55" s="54" t="str">
        <f t="shared" si="1"/>
        <v>Bitte ausfüllen!</v>
      </c>
    </row>
    <row r="56" spans="1:11" x14ac:dyDescent="0.2">
      <c r="A56" s="51" t="s">
        <v>76</v>
      </c>
      <c r="B56" s="51" t="s">
        <v>77</v>
      </c>
      <c r="C56" s="51"/>
      <c r="D56" s="51"/>
      <c r="E56" s="51"/>
      <c r="F56" s="8"/>
      <c r="G56" s="51" t="s">
        <v>3</v>
      </c>
      <c r="H56" s="58" t="str">
        <f t="shared" si="0"/>
        <v/>
      </c>
      <c r="I56" s="51" t="s">
        <v>4</v>
      </c>
      <c r="K56" s="54" t="str">
        <f t="shared" si="1"/>
        <v>Bitte ausfüllen!</v>
      </c>
    </row>
    <row r="57" spans="1:11" ht="23.45" customHeight="1" x14ac:dyDescent="0.2">
      <c r="A57" s="52"/>
      <c r="B57" s="116" t="s">
        <v>78</v>
      </c>
      <c r="C57" s="116"/>
      <c r="D57" s="52"/>
      <c r="E57" s="52"/>
      <c r="F57" s="59">
        <f>IF(SUM(F45:F56)=0,0,SUM(F45:F56))</f>
        <v>0</v>
      </c>
      <c r="G57" s="52" t="s">
        <v>3</v>
      </c>
      <c r="H57" s="60" t="str">
        <f>IF(COUNTIF(H46:H56,"")&gt;1,"",SUM(H46:H56))</f>
        <v/>
      </c>
      <c r="I57" s="52" t="s">
        <v>4</v>
      </c>
      <c r="K57" s="54" t="str">
        <f>IF(H57="","Angaben offen!","")</f>
        <v>Angaben offen!</v>
      </c>
    </row>
    <row r="58" spans="1:11" ht="6.6" customHeight="1" x14ac:dyDescent="0.2">
      <c r="A58" s="51"/>
      <c r="B58" s="51"/>
      <c r="C58" s="51"/>
      <c r="D58" s="51"/>
      <c r="E58" s="51"/>
      <c r="F58" s="55"/>
      <c r="G58" s="51"/>
      <c r="H58" s="55"/>
      <c r="I58" s="51"/>
    </row>
    <row r="59" spans="1:11" x14ac:dyDescent="0.2">
      <c r="A59" s="52" t="s">
        <v>79</v>
      </c>
      <c r="B59" s="115" t="s">
        <v>80</v>
      </c>
      <c r="C59" s="115"/>
      <c r="D59" s="52"/>
      <c r="E59" s="52"/>
      <c r="F59" s="64">
        <f>IF(AND(F34=""),0,F34+F42+F57+F5)</f>
        <v>100</v>
      </c>
      <c r="G59" s="52" t="s">
        <v>3</v>
      </c>
      <c r="H59" s="56" t="str">
        <f>IF(H57="","",H34+H42+H57+H5)</f>
        <v/>
      </c>
      <c r="I59" s="52" t="s">
        <v>4</v>
      </c>
    </row>
    <row r="60" spans="1:11" x14ac:dyDescent="0.2">
      <c r="A60" s="52" t="s">
        <v>81</v>
      </c>
      <c r="B60" s="52" t="s">
        <v>82</v>
      </c>
      <c r="C60" s="52"/>
      <c r="D60" s="52"/>
      <c r="E60" s="52"/>
      <c r="F60" s="8"/>
      <c r="G60" s="52" t="s">
        <v>3</v>
      </c>
      <c r="H60" s="60" t="str">
        <f>IF(F60="","",ROUND(F60/100*H59,2))</f>
        <v/>
      </c>
      <c r="I60" s="52" t="s">
        <v>4</v>
      </c>
      <c r="K60" s="54" t="str">
        <f>IF(F60="","Bitte ausfüllen!","")</f>
        <v>Bitte ausfüllen!</v>
      </c>
    </row>
    <row r="61" spans="1:11" x14ac:dyDescent="0.2">
      <c r="A61" s="52"/>
      <c r="B61" s="52" t="s">
        <v>83</v>
      </c>
      <c r="C61" s="52"/>
      <c r="D61" s="52"/>
      <c r="E61" s="52"/>
      <c r="F61" s="59">
        <f ca="1">IF(H61="",0,H61/H5*100)</f>
        <v>0</v>
      </c>
      <c r="G61" s="52" t="s">
        <v>3</v>
      </c>
      <c r="H61" s="60" t="str">
        <f ca="1">IF(SUM(COUNTIF(INDIRECT({"H5","F9:F13","D17:D26","F27:F28","F32:F33","F38:F41","F46:F48","F50:F56","F60","H65:H68"}),""))&gt;0,"",H59+H60)</f>
        <v/>
      </c>
      <c r="I61" s="52" t="s">
        <v>4</v>
      </c>
      <c r="K61" s="54" t="str">
        <f ca="1">IF(SUM(COUNTIF(INDIRECT({"H5","F9:F13","D17:D26","F27:F28","F32:F33","F38:F41","F46:F48","F50:F56","F60","H65:H68"}),""))&gt;0,SUM(COUNTIF(INDIRECT({"H5","F9:F13","D17:D26","F27:F28","F32:F33","F38:F41","F46:F48","F50:F56","F60","H65:H68"}),"")) &amp;" Zelle(n) ohne Wert!","")</f>
        <v>28 Zelle(n) ohne Wert!</v>
      </c>
    </row>
    <row r="62" spans="1:11" x14ac:dyDescent="0.2">
      <c r="A62" s="51"/>
      <c r="B62" s="51" t="s">
        <v>84</v>
      </c>
      <c r="C62" s="51"/>
      <c r="D62" s="51"/>
      <c r="E62" s="51"/>
      <c r="F62" s="59">
        <f ca="1">IF(F61=0,0,F61-F5)</f>
        <v>0</v>
      </c>
      <c r="G62" s="51" t="s">
        <v>3</v>
      </c>
      <c r="H62" s="51"/>
      <c r="I62" s="51"/>
      <c r="K62" s="54" t="str">
        <f ca="1">IF(F62&lt;70,"Bitte prüfen gemäß Aufforderung!","")</f>
        <v>Bitte prüfen gemäß Aufforderung!</v>
      </c>
    </row>
    <row r="63" spans="1:11" ht="5.45" customHeight="1" x14ac:dyDescent="0.2">
      <c r="A63" s="51"/>
      <c r="B63" s="52"/>
      <c r="C63" s="51"/>
      <c r="D63" s="51"/>
      <c r="E63" s="51"/>
      <c r="F63" s="64"/>
      <c r="G63" s="51"/>
      <c r="H63" s="56"/>
    </row>
    <row r="64" spans="1:11" x14ac:dyDescent="0.2">
      <c r="B64" s="52" t="s">
        <v>85</v>
      </c>
      <c r="D64" s="52"/>
      <c r="E64" s="52"/>
      <c r="G64" s="52"/>
      <c r="H64" s="56" t="s">
        <v>86</v>
      </c>
      <c r="I64" s="52"/>
    </row>
    <row r="65" spans="1:15" x14ac:dyDescent="0.2">
      <c r="B65" s="51" t="s">
        <v>87</v>
      </c>
      <c r="D65" s="51"/>
      <c r="E65" s="51"/>
      <c r="G65" s="65"/>
      <c r="H65" s="9"/>
      <c r="I65" s="65"/>
      <c r="K65" s="54" t="str">
        <f>IF(H65="","Bitte ausfüllen!","")</f>
        <v>Bitte ausfüllen!</v>
      </c>
    </row>
    <row r="66" spans="1:15" x14ac:dyDescent="0.2">
      <c r="B66" s="51" t="s">
        <v>88</v>
      </c>
      <c r="D66" s="51"/>
      <c r="E66" s="51"/>
      <c r="G66" s="65"/>
      <c r="H66" s="10"/>
      <c r="I66" s="65"/>
      <c r="K66" s="54" t="str">
        <f>IF(H66="","Bitte ausfüllen!","")</f>
        <v>Bitte ausfüllen!</v>
      </c>
    </row>
    <row r="67" spans="1:15" x14ac:dyDescent="0.2">
      <c r="B67" s="51" t="s">
        <v>89</v>
      </c>
      <c r="D67" s="51"/>
      <c r="E67" s="51"/>
      <c r="G67" s="65"/>
      <c r="H67" s="11"/>
      <c r="I67" s="65"/>
      <c r="K67" s="54" t="str">
        <f>IF(H67="","Bitte ausfüllen!","")</f>
        <v>Bitte ausfüllen!</v>
      </c>
    </row>
    <row r="68" spans="1:15" x14ac:dyDescent="0.2">
      <c r="B68" s="51" t="s">
        <v>90</v>
      </c>
      <c r="D68" s="51"/>
      <c r="E68" s="51"/>
      <c r="G68" s="65"/>
      <c r="H68" s="10"/>
      <c r="I68" s="65"/>
      <c r="K68" s="54" t="str">
        <f>IF(H68="","Bitte ausfüllen!","")</f>
        <v>Bitte ausfüllen!</v>
      </c>
    </row>
    <row r="69" spans="1:15" ht="5.45" customHeight="1" x14ac:dyDescent="0.2"/>
    <row r="70" spans="1:15" ht="5.45" customHeight="1" x14ac:dyDescent="0.2">
      <c r="C70" s="39"/>
      <c r="D70" s="4"/>
    </row>
    <row r="71" spans="1:15" ht="15.95" customHeight="1" x14ac:dyDescent="0.2">
      <c r="A71" s="106" t="s">
        <v>186</v>
      </c>
      <c r="B71" s="106"/>
      <c r="C71" s="106"/>
      <c r="D71" s="106" t="s">
        <v>187</v>
      </c>
      <c r="F71" s="108" t="s">
        <v>132</v>
      </c>
      <c r="G71" s="109"/>
      <c r="H71" s="110"/>
      <c r="L71" s="25"/>
      <c r="M71" s="25"/>
      <c r="N71" s="25"/>
      <c r="O71" s="25"/>
    </row>
    <row r="72" spans="1:15" ht="15.95" customHeight="1" x14ac:dyDescent="0.2">
      <c r="A72" s="107"/>
      <c r="B72" s="107"/>
      <c r="C72" s="107"/>
      <c r="D72" s="107"/>
      <c r="F72" s="111"/>
      <c r="G72" s="112"/>
      <c r="H72" s="113"/>
      <c r="I72" s="52"/>
      <c r="J72" s="52"/>
      <c r="K72" s="52"/>
      <c r="L72" s="25"/>
      <c r="M72" s="25"/>
      <c r="N72" s="25"/>
      <c r="O72" s="25"/>
    </row>
    <row r="73" spans="1:15" ht="19.899999999999999" customHeight="1" x14ac:dyDescent="0.2">
      <c r="A73" s="104">
        <v>1</v>
      </c>
      <c r="B73" s="104"/>
      <c r="C73" s="12" t="s">
        <v>127</v>
      </c>
      <c r="D73" s="41">
        <v>7.3</v>
      </c>
      <c r="F73" s="105" t="s">
        <v>252</v>
      </c>
      <c r="G73" s="105"/>
      <c r="H73" s="105"/>
    </row>
    <row r="74" spans="1:15" ht="19.899999999999999" customHeight="1" x14ac:dyDescent="0.2">
      <c r="A74" s="104">
        <v>2</v>
      </c>
      <c r="B74" s="104"/>
      <c r="C74" s="12" t="s">
        <v>128</v>
      </c>
      <c r="D74" s="41">
        <v>9.3000000000000007</v>
      </c>
    </row>
    <row r="75" spans="1:15" ht="25.5" customHeight="1" x14ac:dyDescent="0.2">
      <c r="A75" s="104">
        <v>3</v>
      </c>
      <c r="B75" s="104"/>
      <c r="C75" s="12" t="s">
        <v>129</v>
      </c>
      <c r="D75" s="41">
        <v>1.3</v>
      </c>
    </row>
    <row r="76" spans="1:15" ht="25.5" customHeight="1" x14ac:dyDescent="0.2">
      <c r="A76" s="104">
        <v>4</v>
      </c>
      <c r="B76" s="104"/>
      <c r="C76" s="12" t="s">
        <v>130</v>
      </c>
      <c r="D76" s="41">
        <f>IF( F73="Sachsen",1.3,1.8)</f>
        <v>1.8</v>
      </c>
    </row>
    <row r="77" spans="1:15" ht="31.5" x14ac:dyDescent="0.2">
      <c r="A77" s="104">
        <v>5</v>
      </c>
      <c r="B77" s="104"/>
      <c r="C77" s="12" t="s">
        <v>188</v>
      </c>
      <c r="D77" s="41">
        <v>1.45</v>
      </c>
    </row>
    <row r="78" spans="1:15" ht="25.5" customHeight="1" x14ac:dyDescent="0.2">
      <c r="A78" s="104">
        <v>6</v>
      </c>
      <c r="B78" s="104"/>
      <c r="C78" s="12" t="s">
        <v>117</v>
      </c>
      <c r="D78" s="41"/>
    </row>
    <row r="79" spans="1:15" ht="25.5" customHeight="1" x14ac:dyDescent="0.2">
      <c r="A79" s="104">
        <v>7</v>
      </c>
      <c r="B79" s="104"/>
      <c r="C79" s="12" t="s">
        <v>131</v>
      </c>
      <c r="D79" s="41">
        <v>0.15</v>
      </c>
    </row>
  </sheetData>
  <sheetProtection algorithmName="SHA-512" hashValue="yQ6fZm/Erw/8kdSr51taKEQpqCV2Kam7aN7nGenTjrDDAJA9Gxcz83JcpyMRDAVpATx/UT1P/tTtM0ICKK/xug==" saltValue="dOlqmkKdyUR4szvwjjsdCg==" spinCount="100000" sheet="1" objects="1" scenarios="1"/>
  <mergeCells count="18">
    <mergeCell ref="A71:C72"/>
    <mergeCell ref="D71:D72"/>
    <mergeCell ref="F71:H72"/>
    <mergeCell ref="E1:I2"/>
    <mergeCell ref="A3:I3"/>
    <mergeCell ref="B59:C59"/>
    <mergeCell ref="B29:C29"/>
    <mergeCell ref="B34:C34"/>
    <mergeCell ref="B42:C42"/>
    <mergeCell ref="B57:C57"/>
    <mergeCell ref="A78:B78"/>
    <mergeCell ref="A79:B79"/>
    <mergeCell ref="F73:H73"/>
    <mergeCell ref="A73:B73"/>
    <mergeCell ref="A74:B74"/>
    <mergeCell ref="A75:B75"/>
    <mergeCell ref="A76:B76"/>
    <mergeCell ref="A77:B77"/>
  </mergeCells>
  <phoneticPr fontId="3" type="noConversion"/>
  <dataValidations count="1">
    <dataValidation type="decimal" errorStyle="warning" allowBlank="1" showInputMessage="1" showErrorMessage="1" error="Bitte überprüfen Sie Ihre Eingaben." sqref="C25" xr:uid="{00000000-0002-0000-0300-000000000000}">
      <formula1>8.5</formula1>
      <formula2>84</formula2>
    </dataValidation>
  </dataValidations>
  <hyperlinks>
    <hyperlink ref="K1" location="Inhaltsverzeichnis!A1" display="Zurück zum Inhaltsverzeichnis" xr:uid="{00000000-0004-0000-0300-000000000000}"/>
  </hyperlinks>
  <printOptions horizontalCentered="1"/>
  <pageMargins left="0.78740157480314965" right="0.78740157480314965" top="0.98425196850393704" bottom="0.98425196850393704" header="0.51181102362204722" footer="0.51181102362204722"/>
  <pageSetup paperSize="9" scale="60" orientation="portrait" r:id="rId1"/>
  <headerFooter alignWithMargins="0">
    <oddHeader>&amp;L&amp;F</oddHeader>
    <oddFooter>&amp;LSalzstadt Staßfurt&amp;CSeite &amp;P von &amp;N&amp;RSVS UnterhaltsRG</oddFooter>
  </headerFooter>
  <ignoredErrors>
    <ignoredError sqref="A11:A13"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6" r:id="rId4" name="Check Box 2">
              <controlPr defaultSize="0" autoFill="0" autoLine="0" autoPict="0" altText="Hinweis">
                <anchor moveWithCells="1">
                  <from>
                    <xdr:col>2</xdr:col>
                    <xdr:colOff>2914650</xdr:colOff>
                    <xdr:row>0</xdr:row>
                    <xdr:rowOff>123825</xdr:rowOff>
                  </from>
                  <to>
                    <xdr:col>3</xdr:col>
                    <xdr:colOff>552450</xdr:colOff>
                    <xdr:row>0</xdr:row>
                    <xdr:rowOff>409575</xdr:rowOff>
                  </to>
                </anchor>
              </controlPr>
            </control>
          </mc:Choice>
        </mc:AlternateContent>
        <mc:AlternateContent xmlns:mc="http://schemas.openxmlformats.org/markup-compatibility/2006">
          <mc:Choice Requires="x14">
            <control shapeId="26628" r:id="rId5" name="Check Box 4">
              <controlPr defaultSize="0" autoFill="0" autoLine="0" autoPict="0" altText="Hinweis">
                <anchor moveWithCells="1">
                  <from>
                    <xdr:col>2</xdr:col>
                    <xdr:colOff>2914650</xdr:colOff>
                    <xdr:row>0</xdr:row>
                    <xdr:rowOff>428625</xdr:rowOff>
                  </from>
                  <to>
                    <xdr:col>3</xdr:col>
                    <xdr:colOff>552450</xdr:colOff>
                    <xdr:row>1</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indexed="13"/>
  </sheetPr>
  <dimension ref="A1:N79"/>
  <sheetViews>
    <sheetView showGridLines="0" zoomScaleNormal="100" zoomScaleSheetLayoutView="85" workbookViewId="0"/>
  </sheetViews>
  <sheetFormatPr baseColWidth="10" defaultColWidth="11.42578125" defaultRowHeight="10.5" x14ac:dyDescent="0.2"/>
  <cols>
    <col min="1" max="1" width="6.42578125" style="3" customWidth="1"/>
    <col min="2" max="2" width="2.7109375" style="3" customWidth="1"/>
    <col min="3" max="3" width="45.5703125" style="3" customWidth="1"/>
    <col min="4" max="4" width="9" style="3" customWidth="1"/>
    <col min="5" max="5" width="2.5703125" style="3" customWidth="1"/>
    <col min="6" max="6" width="11.42578125" style="3"/>
    <col min="7" max="7" width="2.85546875" style="3" customWidth="1"/>
    <col min="8" max="8" width="11.42578125" style="3"/>
    <col min="9" max="9" width="2.7109375" style="3" bestFit="1" customWidth="1"/>
    <col min="10" max="10" width="1.28515625" style="3" customWidth="1"/>
    <col min="11" max="11" width="18.28515625" style="3" bestFit="1" customWidth="1"/>
    <col min="12" max="16384" width="11.42578125" style="3"/>
  </cols>
  <sheetData>
    <row r="1" spans="1:11" ht="34.15" customHeight="1" x14ac:dyDescent="0.2">
      <c r="A1" s="50" t="str">
        <f ca="1">IF(H61&lt;&gt;"","","Bitte alle gelben Zellen ausfüllen.")</f>
        <v>Bitte alle gelben Zellen ausfüllen.</v>
      </c>
      <c r="D1" s="32" t="b">
        <v>0</v>
      </c>
      <c r="E1" s="95"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95"/>
      <c r="G1" s="95"/>
      <c r="H1" s="95"/>
      <c r="I1" s="95"/>
      <c r="K1" s="5" t="s">
        <v>100</v>
      </c>
    </row>
    <row r="2" spans="1:11" ht="34.5" customHeight="1" x14ac:dyDescent="0.2">
      <c r="A2" s="3" t="s">
        <v>103</v>
      </c>
      <c r="C2" s="4" t="str">
        <f>IF(Inhaltsverzeichnis!$C$3="", "",Inhaltsverzeichnis!$C$3)</f>
        <v/>
      </c>
      <c r="D2" s="32" t="b">
        <v>0</v>
      </c>
      <c r="E2" s="95"/>
      <c r="F2" s="95"/>
      <c r="G2" s="95"/>
      <c r="H2" s="95"/>
      <c r="I2" s="95"/>
    </row>
    <row r="3" spans="1:11" s="2" customFormat="1" ht="12.75" x14ac:dyDescent="0.2">
      <c r="A3" s="114" t="s">
        <v>101</v>
      </c>
      <c r="B3" s="114"/>
      <c r="C3" s="114"/>
      <c r="D3" s="114"/>
      <c r="E3" s="114"/>
      <c r="F3" s="114"/>
      <c r="G3" s="114"/>
      <c r="H3" s="114"/>
      <c r="I3" s="114"/>
    </row>
    <row r="4" spans="1:11" x14ac:dyDescent="0.2">
      <c r="A4" s="51"/>
      <c r="B4" s="51"/>
      <c r="C4" s="51"/>
      <c r="D4" s="51"/>
      <c r="E4" s="51"/>
      <c r="F4" s="51"/>
      <c r="G4" s="51"/>
      <c r="H4" s="51"/>
      <c r="I4" s="51"/>
    </row>
    <row r="5" spans="1:11" ht="15" customHeight="1" x14ac:dyDescent="0.2">
      <c r="A5" s="52" t="s">
        <v>1</v>
      </c>
      <c r="B5" s="52" t="s">
        <v>2</v>
      </c>
      <c r="C5" s="52"/>
      <c r="D5" s="52"/>
      <c r="E5" s="52"/>
      <c r="F5" s="53">
        <v>100</v>
      </c>
      <c r="G5" s="52" t="s">
        <v>3</v>
      </c>
      <c r="H5" s="7">
        <v>15</v>
      </c>
      <c r="I5" s="52" t="s">
        <v>4</v>
      </c>
      <c r="K5" s="54"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51"/>
      <c r="B6" s="51"/>
      <c r="C6" s="51"/>
      <c r="D6" s="51"/>
      <c r="E6" s="51"/>
      <c r="F6" s="55"/>
      <c r="G6" s="51"/>
      <c r="H6" s="55"/>
      <c r="I6" s="51"/>
    </row>
    <row r="7" spans="1:11" x14ac:dyDescent="0.2">
      <c r="A7" s="52" t="s">
        <v>5</v>
      </c>
      <c r="B7" s="52" t="s">
        <v>6</v>
      </c>
      <c r="C7" s="52"/>
      <c r="D7" s="52"/>
      <c r="E7" s="52"/>
      <c r="F7" s="56"/>
      <c r="G7" s="52"/>
      <c r="H7" s="56"/>
      <c r="I7" s="52"/>
    </row>
    <row r="8" spans="1:11" ht="14.25" x14ac:dyDescent="0.2">
      <c r="A8" s="51" t="s">
        <v>7</v>
      </c>
      <c r="B8" s="51" t="s">
        <v>8</v>
      </c>
      <c r="C8" s="51"/>
      <c r="D8" s="51"/>
      <c r="E8" s="51"/>
      <c r="F8" s="56"/>
      <c r="G8" s="56"/>
      <c r="H8" s="56"/>
      <c r="I8" s="56"/>
      <c r="K8" s="57"/>
    </row>
    <row r="9" spans="1:11" x14ac:dyDescent="0.2">
      <c r="A9" s="51" t="s">
        <v>9</v>
      </c>
      <c r="B9" s="51"/>
      <c r="C9" s="51" t="s">
        <v>10</v>
      </c>
      <c r="D9" s="51"/>
      <c r="E9" s="51"/>
      <c r="F9" s="8"/>
      <c r="G9" s="51" t="s">
        <v>3</v>
      </c>
      <c r="H9" s="58" t="str">
        <f>IF(F9="","",ROUND(F9/100*$H$5,2))</f>
        <v/>
      </c>
      <c r="I9" s="51" t="s">
        <v>4</v>
      </c>
      <c r="K9" s="54" t="str">
        <f>IF(F9="","Bitte ausfüllen!","")</f>
        <v>Bitte ausfüllen!</v>
      </c>
    </row>
    <row r="10" spans="1:11" x14ac:dyDescent="0.2">
      <c r="A10" s="51" t="s">
        <v>11</v>
      </c>
      <c r="B10" s="51"/>
      <c r="C10" s="51" t="s">
        <v>12</v>
      </c>
      <c r="D10" s="51"/>
      <c r="E10" s="51"/>
      <c r="F10" s="8"/>
      <c r="G10" s="51" t="s">
        <v>3</v>
      </c>
      <c r="H10" s="58" t="str">
        <f>IF(F10="","",ROUND(F10/100*$H$5,2))</f>
        <v/>
      </c>
      <c r="I10" s="51" t="s">
        <v>4</v>
      </c>
      <c r="K10" s="54" t="str">
        <f>IF(F10="","Bitte ausfüllen!","")</f>
        <v>Bitte ausfüllen!</v>
      </c>
    </row>
    <row r="11" spans="1:11" x14ac:dyDescent="0.2">
      <c r="A11" s="51" t="s">
        <v>13</v>
      </c>
      <c r="B11" s="51"/>
      <c r="C11" s="51" t="s">
        <v>14</v>
      </c>
      <c r="D11" s="51"/>
      <c r="E11" s="51"/>
      <c r="F11" s="8"/>
      <c r="G11" s="51" t="s">
        <v>3</v>
      </c>
      <c r="H11" s="58" t="str">
        <f>IF(F11="","",ROUND(F11/100*$H$5,2))</f>
        <v/>
      </c>
      <c r="I11" s="51" t="s">
        <v>4</v>
      </c>
      <c r="K11" s="54" t="str">
        <f>IF(F11="","Bitte ausfüllen!","")</f>
        <v>Bitte ausfüllen!</v>
      </c>
    </row>
    <row r="12" spans="1:11" x14ac:dyDescent="0.2">
      <c r="A12" s="51" t="s">
        <v>15</v>
      </c>
      <c r="B12" s="51"/>
      <c r="C12" s="51" t="s">
        <v>16</v>
      </c>
      <c r="D12" s="51"/>
      <c r="E12" s="51"/>
      <c r="F12" s="8"/>
      <c r="G12" s="51" t="s">
        <v>3</v>
      </c>
      <c r="H12" s="58" t="str">
        <f>IF(F12="","",ROUND(F12/100*$H$5,2))</f>
        <v/>
      </c>
      <c r="I12" s="51" t="s">
        <v>4</v>
      </c>
      <c r="K12" s="54" t="str">
        <f>IF(F12="","Bitte ausfüllen!","")</f>
        <v>Bitte ausfüllen!</v>
      </c>
    </row>
    <row r="13" spans="1:11" x14ac:dyDescent="0.2">
      <c r="A13" s="51" t="s">
        <v>17</v>
      </c>
      <c r="B13" s="51"/>
      <c r="C13" s="51" t="s">
        <v>18</v>
      </c>
      <c r="D13" s="51"/>
      <c r="E13" s="51"/>
      <c r="F13" s="8"/>
      <c r="G13" s="51" t="s">
        <v>3</v>
      </c>
      <c r="H13" s="58" t="str">
        <f>IF(F13="","",ROUND(F13/100*$H$5,2))</f>
        <v/>
      </c>
      <c r="I13" s="51" t="s">
        <v>4</v>
      </c>
      <c r="K13" s="54" t="str">
        <f>IF(F13="","Bitte ausfüllen!","")</f>
        <v>Bitte ausfüllen!</v>
      </c>
    </row>
    <row r="14" spans="1:11" x14ac:dyDescent="0.2">
      <c r="A14" s="52"/>
      <c r="B14" s="52" t="s">
        <v>19</v>
      </c>
      <c r="C14" s="52"/>
      <c r="D14" s="52"/>
      <c r="E14" s="52"/>
      <c r="F14" s="59">
        <f>IF(SUM(F9:F13)=0,0,SUM(F9:F13))</f>
        <v>0</v>
      </c>
      <c r="G14" s="52" t="s">
        <v>3</v>
      </c>
      <c r="H14" s="60" t="str">
        <f>IF(COUNTIF(F9:F13,"")&gt;0,"",SUM(H8:H13))</f>
        <v/>
      </c>
      <c r="I14" s="52" t="s">
        <v>4</v>
      </c>
      <c r="K14" s="54" t="str">
        <f>IF(H14="","Angaben offen!","")</f>
        <v>Angaben offen!</v>
      </c>
    </row>
    <row r="15" spans="1:11" x14ac:dyDescent="0.2">
      <c r="A15" s="51"/>
      <c r="B15" s="51"/>
      <c r="C15" s="51"/>
      <c r="D15" s="51"/>
      <c r="E15" s="51"/>
      <c r="F15" s="55"/>
      <c r="G15" s="51"/>
      <c r="H15" s="55"/>
      <c r="I15" s="51"/>
    </row>
    <row r="16" spans="1:11" x14ac:dyDescent="0.2">
      <c r="A16" s="52" t="s">
        <v>20</v>
      </c>
      <c r="B16" s="52" t="s">
        <v>21</v>
      </c>
      <c r="C16" s="52"/>
      <c r="D16" s="52"/>
      <c r="E16" s="52"/>
      <c r="F16" s="56"/>
      <c r="G16" s="52"/>
      <c r="H16" s="56"/>
      <c r="I16" s="52"/>
    </row>
    <row r="17" spans="1:14" ht="11.25" x14ac:dyDescent="0.2">
      <c r="A17" s="51" t="s">
        <v>22</v>
      </c>
      <c r="B17" s="51" t="s">
        <v>120</v>
      </c>
      <c r="C17" s="51"/>
      <c r="D17" s="8">
        <f>D73+D77</f>
        <v>8.75</v>
      </c>
      <c r="E17" s="51" t="s">
        <v>3</v>
      </c>
      <c r="F17" s="55"/>
      <c r="G17" s="51"/>
      <c r="H17" s="55"/>
      <c r="I17" s="51"/>
      <c r="K17" s="54" t="str">
        <f ca="1">IF(D17&lt;(D73+D77),"Wert prüfen!",IF(H61="","Inhalt der gelben Zellen kann angepasst werden.",""))</f>
        <v>Inhalt der gelben Zellen kann angepasst werden.</v>
      </c>
    </row>
    <row r="18" spans="1:14" x14ac:dyDescent="0.2">
      <c r="A18" s="51"/>
      <c r="B18" s="51" t="s">
        <v>23</v>
      </c>
      <c r="C18" s="51"/>
      <c r="D18" s="61">
        <f>(D17/100)*$F$14</f>
        <v>0</v>
      </c>
      <c r="E18" s="51" t="s">
        <v>3</v>
      </c>
      <c r="F18" s="62">
        <f>IF(D18="","",D17+D18)</f>
        <v>8.75</v>
      </c>
      <c r="G18" s="51" t="s">
        <v>3</v>
      </c>
      <c r="H18" s="58">
        <f>IF(D18="","",ROUND(F18/100*$H$5,2))</f>
        <v>1.31</v>
      </c>
      <c r="I18" s="51" t="s">
        <v>4</v>
      </c>
      <c r="K18" s="54"/>
    </row>
    <row r="19" spans="1:14" ht="11.25" x14ac:dyDescent="0.2">
      <c r="A19" s="51" t="s">
        <v>24</v>
      </c>
      <c r="B19" s="51" t="s">
        <v>121</v>
      </c>
      <c r="C19" s="51"/>
      <c r="D19" s="8">
        <f>D74</f>
        <v>9.3000000000000007</v>
      </c>
      <c r="E19" s="51" t="s">
        <v>3</v>
      </c>
      <c r="F19" s="63"/>
      <c r="G19" s="51"/>
      <c r="H19" s="55"/>
      <c r="I19" s="51"/>
      <c r="K19" s="54" t="str">
        <f ca="1">IF(D19&lt;&gt;D74,"Wert prüfen!",IF(H61="","Inhalt der gelben Zellen kann angepasst werden.",""))</f>
        <v>Inhalt der gelben Zellen kann angepasst werden.</v>
      </c>
    </row>
    <row r="20" spans="1:14" x14ac:dyDescent="0.2">
      <c r="A20" s="51"/>
      <c r="B20" s="51" t="s">
        <v>25</v>
      </c>
      <c r="C20" s="51"/>
      <c r="D20" s="61">
        <f>(D19/100)*$F$14</f>
        <v>0</v>
      </c>
      <c r="E20" s="51" t="s">
        <v>3</v>
      </c>
      <c r="F20" s="62">
        <f>IF(D20="","",D19+D20)</f>
        <v>9.3000000000000007</v>
      </c>
      <c r="G20" s="51" t="s">
        <v>3</v>
      </c>
      <c r="H20" s="58">
        <f>IF(D20="","",ROUND(F20/100*$H$5,2))</f>
        <v>1.4</v>
      </c>
      <c r="I20" s="51" t="s">
        <v>4</v>
      </c>
      <c r="K20" s="54"/>
    </row>
    <row r="21" spans="1:14" ht="11.25" x14ac:dyDescent="0.2">
      <c r="A21" s="51" t="s">
        <v>26</v>
      </c>
      <c r="B21" s="51" t="s">
        <v>122</v>
      </c>
      <c r="C21" s="51"/>
      <c r="D21" s="8">
        <f>D75</f>
        <v>1.3</v>
      </c>
      <c r="E21" s="51" t="s">
        <v>3</v>
      </c>
      <c r="F21" s="63"/>
      <c r="G21" s="51"/>
      <c r="H21" s="55"/>
      <c r="I21" s="51"/>
      <c r="K21" s="54" t="str">
        <f ca="1">IF(D21&lt;&gt;D75,"Wert prüfen!",IF(H61="","Inhalt der gelben Zellen kann angepasst werden.",""))</f>
        <v>Inhalt der gelben Zellen kann angepasst werden.</v>
      </c>
    </row>
    <row r="22" spans="1:14" x14ac:dyDescent="0.2">
      <c r="A22" s="51"/>
      <c r="B22" s="51" t="s">
        <v>27</v>
      </c>
      <c r="C22" s="51"/>
      <c r="D22" s="61">
        <f>(D21/100)*$F$14</f>
        <v>0</v>
      </c>
      <c r="E22" s="51" t="s">
        <v>3</v>
      </c>
      <c r="F22" s="62">
        <f>IF(D22="","",D21+D22)</f>
        <v>1.3</v>
      </c>
      <c r="G22" s="51" t="s">
        <v>3</v>
      </c>
      <c r="H22" s="58">
        <f>IF(D22="","",ROUND(F22/100*$H$5,2))</f>
        <v>0.2</v>
      </c>
      <c r="I22" s="51" t="s">
        <v>4</v>
      </c>
      <c r="K22" s="54"/>
    </row>
    <row r="23" spans="1:14" ht="11.25" x14ac:dyDescent="0.2">
      <c r="A23" s="51" t="s">
        <v>28</v>
      </c>
      <c r="B23" s="51" t="s">
        <v>123</v>
      </c>
      <c r="C23" s="51"/>
      <c r="D23" s="8">
        <f>D76</f>
        <v>1.8</v>
      </c>
      <c r="E23" s="51" t="s">
        <v>3</v>
      </c>
      <c r="F23" s="63"/>
      <c r="G23" s="51"/>
      <c r="H23" s="55"/>
      <c r="I23" s="51"/>
      <c r="K23" s="54" t="str">
        <f ca="1">IF(D23&lt;&gt;D76,"Wert prüfen!",IF(H61="","Inhalt der gelben Zellen kann angepasst werden.",""))</f>
        <v>Inhalt der gelben Zellen kann angepasst werden.</v>
      </c>
      <c r="L23" s="18"/>
      <c r="M23" s="18"/>
      <c r="N23" s="18"/>
    </row>
    <row r="24" spans="1:14" x14ac:dyDescent="0.2">
      <c r="A24" s="51"/>
      <c r="B24" s="51" t="s">
        <v>29</v>
      </c>
      <c r="C24" s="51"/>
      <c r="D24" s="61">
        <f>(D23/100)*$F$14</f>
        <v>0</v>
      </c>
      <c r="E24" s="51" t="s">
        <v>3</v>
      </c>
      <c r="F24" s="62">
        <f>IF(D24="","",D23+D24)</f>
        <v>1.8</v>
      </c>
      <c r="G24" s="51" t="s">
        <v>3</v>
      </c>
      <c r="H24" s="58">
        <f>IF(D24="","",ROUND(F24/100*$H$5,2))</f>
        <v>0.27</v>
      </c>
      <c r="I24" s="51" t="s">
        <v>4</v>
      </c>
      <c r="K24" s="54"/>
    </row>
    <row r="25" spans="1:14" ht="11.25" x14ac:dyDescent="0.2">
      <c r="A25" s="51" t="s">
        <v>30</v>
      </c>
      <c r="B25" s="51" t="s">
        <v>124</v>
      </c>
      <c r="C25" s="51"/>
      <c r="D25" s="8"/>
      <c r="E25" s="51" t="s">
        <v>3</v>
      </c>
      <c r="F25" s="63"/>
      <c r="G25" s="51"/>
      <c r="H25" s="55"/>
      <c r="I25" s="51"/>
      <c r="K25" s="54" t="str">
        <f>IF(D25="","Bitte ausfüllen!","")</f>
        <v>Bitte ausfüllen!</v>
      </c>
    </row>
    <row r="26" spans="1:14" x14ac:dyDescent="0.2">
      <c r="A26" s="51"/>
      <c r="B26" s="51" t="s">
        <v>31</v>
      </c>
      <c r="C26" s="51"/>
      <c r="D26" s="61">
        <f>(D25/100)*$F$14</f>
        <v>0</v>
      </c>
      <c r="E26" s="51" t="s">
        <v>3</v>
      </c>
      <c r="F26" s="62">
        <f>IF(D26="","",D25+D26)</f>
        <v>0</v>
      </c>
      <c r="G26" s="51" t="s">
        <v>3</v>
      </c>
      <c r="H26" s="58">
        <f>IF(D26="","",ROUND(F26/100*$H$5,2))</f>
        <v>0</v>
      </c>
      <c r="I26" s="51" t="s">
        <v>4</v>
      </c>
      <c r="K26" s="54"/>
    </row>
    <row r="27" spans="1:14" ht="11.25" x14ac:dyDescent="0.2">
      <c r="A27" s="51" t="s">
        <v>32</v>
      </c>
      <c r="B27" s="51" t="s">
        <v>125</v>
      </c>
      <c r="C27" s="51"/>
      <c r="D27" s="51"/>
      <c r="E27" s="51"/>
      <c r="F27" s="8"/>
      <c r="G27" s="51" t="s">
        <v>3</v>
      </c>
      <c r="H27" s="58" t="str">
        <f>IF(F27="","",ROUND(F27/100*$H$5,2))</f>
        <v/>
      </c>
      <c r="I27" s="51" t="s">
        <v>4</v>
      </c>
      <c r="K27" s="54" t="str">
        <f>IF(F27="","Bitte ausfüllen!","")</f>
        <v>Bitte ausfüllen!</v>
      </c>
    </row>
    <row r="28" spans="1:14" ht="11.25" x14ac:dyDescent="0.2">
      <c r="A28" s="51" t="s">
        <v>33</v>
      </c>
      <c r="B28" s="51" t="s">
        <v>126</v>
      </c>
      <c r="C28" s="51"/>
      <c r="D28" s="51"/>
      <c r="E28" s="51"/>
      <c r="F28" s="8">
        <f>D79</f>
        <v>0.15</v>
      </c>
      <c r="G28" s="51" t="s">
        <v>3</v>
      </c>
      <c r="H28" s="58">
        <f>IF(F28="","",ROUND(F28/100*$H$5,2))</f>
        <v>0.02</v>
      </c>
      <c r="I28" s="51" t="s">
        <v>4</v>
      </c>
      <c r="K28" s="54" t="str">
        <f ca="1">IF(F28&lt;&gt;D79,"Wert prüfen!",IF(H61="","Inhalt der gelben Zellen kann angepasst werden.",""))</f>
        <v>Inhalt der gelben Zellen kann angepasst werden.</v>
      </c>
    </row>
    <row r="29" spans="1:14" ht="25.5" customHeight="1" x14ac:dyDescent="0.2">
      <c r="A29" s="52"/>
      <c r="B29" s="116" t="s">
        <v>34</v>
      </c>
      <c r="C29" s="116"/>
      <c r="D29" s="52"/>
      <c r="E29" s="52"/>
      <c r="F29" s="59">
        <f>IF(SUM(F17:F28)=0,0,SUM(F17:F28)+F14)</f>
        <v>21.3</v>
      </c>
      <c r="G29" s="52" t="s">
        <v>3</v>
      </c>
      <c r="H29" s="60" t="str">
        <f>IF(OR(COUNTIF(D17:D26,"")&gt;0,COUNTIF(F27:F28,"")&gt;0),"",SUM(H17:H28)+H14)</f>
        <v/>
      </c>
      <c r="I29" s="52" t="s">
        <v>4</v>
      </c>
      <c r="K29" s="54" t="str">
        <f>IF(H29="","Angaben offen!","")</f>
        <v>Angaben offen!</v>
      </c>
    </row>
    <row r="30" spans="1:14" x14ac:dyDescent="0.2">
      <c r="A30" s="51"/>
      <c r="B30" s="51"/>
      <c r="C30" s="51"/>
      <c r="D30" s="51"/>
      <c r="E30" s="51"/>
      <c r="F30" s="55"/>
      <c r="G30" s="51"/>
      <c r="H30" s="55"/>
      <c r="I30" s="51"/>
    </row>
    <row r="31" spans="1:14" x14ac:dyDescent="0.2">
      <c r="A31" s="51"/>
      <c r="B31" s="52" t="s">
        <v>35</v>
      </c>
      <c r="C31" s="51"/>
      <c r="D31" s="51"/>
      <c r="E31" s="51"/>
      <c r="F31" s="55"/>
      <c r="G31" s="51"/>
      <c r="H31" s="55"/>
      <c r="I31" s="51"/>
    </row>
    <row r="32" spans="1:14" x14ac:dyDescent="0.2">
      <c r="A32" s="51" t="s">
        <v>36</v>
      </c>
      <c r="B32" s="51" t="s">
        <v>37</v>
      </c>
      <c r="C32" s="51"/>
      <c r="D32" s="51"/>
      <c r="E32" s="51"/>
      <c r="F32" s="8"/>
      <c r="G32" s="51" t="s">
        <v>3</v>
      </c>
      <c r="H32" s="58" t="str">
        <f>IF(F32="","",ROUND(F32/100*$H$5,2))</f>
        <v/>
      </c>
      <c r="I32" s="51" t="s">
        <v>4</v>
      </c>
      <c r="K32" s="54" t="str">
        <f>IF(F32="","Bitte ausfüllen!","")</f>
        <v>Bitte ausfüllen!</v>
      </c>
    </row>
    <row r="33" spans="1:11" x14ac:dyDescent="0.2">
      <c r="A33" s="51" t="s">
        <v>38</v>
      </c>
      <c r="B33" s="51" t="s">
        <v>39</v>
      </c>
      <c r="C33" s="51"/>
      <c r="D33" s="51"/>
      <c r="E33" s="51"/>
      <c r="F33" s="8"/>
      <c r="G33" s="51" t="s">
        <v>3</v>
      </c>
      <c r="H33" s="58" t="str">
        <f>IF(F33="","",ROUND(F33/100*$H$5,2))</f>
        <v/>
      </c>
      <c r="I33" s="51" t="s">
        <v>4</v>
      </c>
      <c r="K33" s="54" t="str">
        <f>IF(F33="","Bitte ausfüllen!","")</f>
        <v>Bitte ausfüllen!</v>
      </c>
    </row>
    <row r="34" spans="1:11" ht="25.5" customHeight="1" x14ac:dyDescent="0.2">
      <c r="A34" s="52"/>
      <c r="B34" s="116" t="s">
        <v>40</v>
      </c>
      <c r="C34" s="116"/>
      <c r="D34" s="52"/>
      <c r="E34" s="52"/>
      <c r="F34" s="59">
        <f>IF(SUM(F32:F33)=0,0,SUM(F32:F33)+F29)</f>
        <v>0</v>
      </c>
      <c r="G34" s="52" t="s">
        <v>3</v>
      </c>
      <c r="H34" s="60" t="str">
        <f>IF(COUNTIF(H32:H33,"")&gt;0,"",SUM(H32:H33)+H29)</f>
        <v/>
      </c>
      <c r="I34" s="52" t="s">
        <v>4</v>
      </c>
      <c r="K34" s="54" t="str">
        <f>IF(H34="","Angaben offen!","")</f>
        <v>Angaben offen!</v>
      </c>
    </row>
    <row r="35" spans="1:11" x14ac:dyDescent="0.2">
      <c r="A35" s="51"/>
      <c r="B35" s="51"/>
      <c r="C35" s="51"/>
      <c r="D35" s="51"/>
      <c r="E35" s="51"/>
      <c r="F35" s="55"/>
      <c r="G35" s="51"/>
      <c r="H35" s="55"/>
      <c r="I35" s="51"/>
    </row>
    <row r="36" spans="1:11" x14ac:dyDescent="0.2">
      <c r="A36" s="52" t="s">
        <v>41</v>
      </c>
      <c r="B36" s="52" t="s">
        <v>42</v>
      </c>
      <c r="C36" s="52"/>
      <c r="D36" s="52"/>
      <c r="E36" s="52"/>
      <c r="F36" s="56"/>
      <c r="G36" s="52"/>
      <c r="H36" s="56"/>
      <c r="I36" s="52"/>
    </row>
    <row r="37" spans="1:11" x14ac:dyDescent="0.2">
      <c r="A37" s="51" t="s">
        <v>43</v>
      </c>
      <c r="B37" s="51" t="s">
        <v>44</v>
      </c>
      <c r="C37" s="51"/>
      <c r="D37" s="51"/>
      <c r="E37" s="51"/>
      <c r="F37" s="55"/>
      <c r="G37" s="51"/>
      <c r="H37" s="55"/>
      <c r="I37" s="51"/>
    </row>
    <row r="38" spans="1:11" x14ac:dyDescent="0.2">
      <c r="A38" s="51"/>
      <c r="B38" s="51" t="s">
        <v>45</v>
      </c>
      <c r="C38" s="51"/>
      <c r="D38" s="51"/>
      <c r="E38" s="51"/>
      <c r="F38" s="8"/>
      <c r="G38" s="51" t="s">
        <v>3</v>
      </c>
      <c r="H38" s="58" t="str">
        <f>IF(F38="","",ROUND(F38/100*$H$5,2))</f>
        <v/>
      </c>
      <c r="I38" s="51" t="s">
        <v>4</v>
      </c>
      <c r="K38" s="54" t="str">
        <f>IF(F38="","Bitte ausfüllen!","")</f>
        <v>Bitte ausfüllen!</v>
      </c>
    </row>
    <row r="39" spans="1:11" x14ac:dyDescent="0.2">
      <c r="A39" s="51" t="s">
        <v>46</v>
      </c>
      <c r="B39" s="51" t="s">
        <v>47</v>
      </c>
      <c r="C39" s="51"/>
      <c r="D39" s="51"/>
      <c r="E39" s="51"/>
      <c r="F39" s="8"/>
      <c r="G39" s="51" t="s">
        <v>3</v>
      </c>
      <c r="H39" s="58" t="str">
        <f>IF(F39="","",ROUND(F39/100*$H$5,2))</f>
        <v/>
      </c>
      <c r="I39" s="51" t="s">
        <v>4</v>
      </c>
      <c r="K39" s="54" t="str">
        <f>IF(F39="","Bitte ausfüllen!","")</f>
        <v>Bitte ausfüllen!</v>
      </c>
    </row>
    <row r="40" spans="1:11" x14ac:dyDescent="0.2">
      <c r="A40" s="51" t="s">
        <v>48</v>
      </c>
      <c r="B40" s="51" t="s">
        <v>49</v>
      </c>
      <c r="C40" s="51"/>
      <c r="D40" s="51"/>
      <c r="E40" s="51"/>
      <c r="F40" s="8"/>
      <c r="G40" s="51" t="s">
        <v>3</v>
      </c>
      <c r="H40" s="58" t="str">
        <f>IF(F40="","",ROUND(F40/100*$H$5,2))</f>
        <v/>
      </c>
      <c r="I40" s="51" t="s">
        <v>4</v>
      </c>
      <c r="K40" s="54" t="str">
        <f>IF(F40="","Bitte ausfüllen!","")</f>
        <v>Bitte ausfüllen!</v>
      </c>
    </row>
    <row r="41" spans="1:11" x14ac:dyDescent="0.2">
      <c r="A41" s="51" t="s">
        <v>50</v>
      </c>
      <c r="B41" s="51" t="s">
        <v>51</v>
      </c>
      <c r="C41" s="51"/>
      <c r="D41" s="51"/>
      <c r="E41" s="51"/>
      <c r="F41" s="8"/>
      <c r="G41" s="51" t="s">
        <v>3</v>
      </c>
      <c r="H41" s="58" t="str">
        <f>IF(F41="","",ROUND(F41/100*$H$5,2))</f>
        <v/>
      </c>
      <c r="I41" s="51" t="s">
        <v>4</v>
      </c>
      <c r="K41" s="54" t="str">
        <f>IF(F41="","Bitte ausfüllen!","")</f>
        <v>Bitte ausfüllen!</v>
      </c>
    </row>
    <row r="42" spans="1:11" ht="25.5" customHeight="1" x14ac:dyDescent="0.2">
      <c r="A42" s="52"/>
      <c r="B42" s="116" t="s">
        <v>52</v>
      </c>
      <c r="C42" s="116"/>
      <c r="D42" s="52"/>
      <c r="E42" s="52"/>
      <c r="F42" s="59">
        <f>IF(SUM(F38:F41)=0,0,SUM(F38:F41))</f>
        <v>0</v>
      </c>
      <c r="G42" s="52" t="s">
        <v>3</v>
      </c>
      <c r="H42" s="60" t="str">
        <f>IF(COUNTIF(H38:H41,"")&gt;0,"",SUM(H38:H41))</f>
        <v/>
      </c>
      <c r="I42" s="52" t="s">
        <v>4</v>
      </c>
      <c r="K42" s="54" t="str">
        <f>IF(H42="","Angaben offen!","")</f>
        <v>Angaben offen!</v>
      </c>
    </row>
    <row r="43" spans="1:11" x14ac:dyDescent="0.2">
      <c r="A43" s="51"/>
      <c r="B43" s="51"/>
      <c r="C43" s="51"/>
      <c r="D43" s="51"/>
      <c r="E43" s="51"/>
      <c r="F43" s="55"/>
      <c r="G43" s="51"/>
      <c r="H43" s="55"/>
      <c r="I43" s="51"/>
    </row>
    <row r="44" spans="1:11" x14ac:dyDescent="0.2">
      <c r="A44" s="52" t="s">
        <v>53</v>
      </c>
      <c r="B44" s="52" t="s">
        <v>54</v>
      </c>
      <c r="C44" s="52"/>
      <c r="D44" s="52"/>
      <c r="E44" s="52"/>
      <c r="F44" s="52"/>
      <c r="G44" s="52"/>
      <c r="H44" s="52"/>
      <c r="I44" s="52"/>
    </row>
    <row r="45" spans="1:11" x14ac:dyDescent="0.2">
      <c r="A45" s="51" t="s">
        <v>55</v>
      </c>
      <c r="B45" s="51" t="s">
        <v>56</v>
      </c>
      <c r="C45" s="51"/>
      <c r="D45" s="51"/>
      <c r="E45" s="51"/>
      <c r="F45" s="51"/>
      <c r="G45" s="51"/>
      <c r="H45" s="51"/>
      <c r="I45" s="51"/>
    </row>
    <row r="46" spans="1:11" x14ac:dyDescent="0.2">
      <c r="A46" s="51" t="s">
        <v>57</v>
      </c>
      <c r="B46" s="51"/>
      <c r="C46" s="51" t="s">
        <v>58</v>
      </c>
      <c r="D46" s="51"/>
      <c r="E46" s="51"/>
      <c r="F46" s="8"/>
      <c r="G46" s="51" t="s">
        <v>3</v>
      </c>
      <c r="H46" s="58" t="str">
        <f>IF(F46="","",ROUND(F46/100*$H$5,2))</f>
        <v/>
      </c>
      <c r="I46" s="51" t="s">
        <v>4</v>
      </c>
      <c r="K46" s="54" t="str">
        <f>IF(F46="","Bitte ausfüllen!","")</f>
        <v>Bitte ausfüllen!</v>
      </c>
    </row>
    <row r="47" spans="1:11" x14ac:dyDescent="0.2">
      <c r="A47" s="51" t="s">
        <v>59</v>
      </c>
      <c r="B47" s="51"/>
      <c r="C47" s="51" t="s">
        <v>119</v>
      </c>
      <c r="D47" s="51"/>
      <c r="E47" s="51"/>
      <c r="F47" s="8"/>
      <c r="G47" s="51" t="s">
        <v>3</v>
      </c>
      <c r="H47" s="58" t="str">
        <f>IF(F47="","",ROUND(F47/100*$H$5,2))</f>
        <v/>
      </c>
      <c r="I47" s="51" t="s">
        <v>4</v>
      </c>
      <c r="K47" s="54" t="str">
        <f>IF(F47="","Bitte ausfüllen!","")</f>
        <v>Bitte ausfüllen!</v>
      </c>
    </row>
    <row r="48" spans="1:11" x14ac:dyDescent="0.2">
      <c r="A48" s="51" t="s">
        <v>60</v>
      </c>
      <c r="B48" s="51" t="s">
        <v>61</v>
      </c>
      <c r="C48" s="51"/>
      <c r="D48" s="51"/>
      <c r="E48" s="51"/>
      <c r="F48" s="8"/>
      <c r="G48" s="51" t="s">
        <v>3</v>
      </c>
      <c r="H48" s="58" t="str">
        <f>IF(F48="","",ROUND(F48/100*$H$5,2))</f>
        <v/>
      </c>
      <c r="I48" s="51" t="s">
        <v>4</v>
      </c>
      <c r="K48" s="54" t="str">
        <f>IF(F48="","Bitte ausfüllen!","")</f>
        <v>Bitte ausfüllen!</v>
      </c>
    </row>
    <row r="49" spans="1:11" x14ac:dyDescent="0.2">
      <c r="A49" s="51" t="s">
        <v>62</v>
      </c>
      <c r="B49" s="51" t="s">
        <v>63</v>
      </c>
      <c r="C49" s="51"/>
      <c r="D49" s="51"/>
      <c r="E49" s="51"/>
      <c r="F49" s="51"/>
      <c r="G49" s="51"/>
      <c r="H49" s="51"/>
      <c r="I49" s="51"/>
    </row>
    <row r="50" spans="1:11" x14ac:dyDescent="0.2">
      <c r="A50" s="51" t="s">
        <v>64</v>
      </c>
      <c r="B50" s="51"/>
      <c r="C50" s="51" t="s">
        <v>65</v>
      </c>
      <c r="D50" s="51"/>
      <c r="E50" s="51"/>
      <c r="F50" s="8"/>
      <c r="G50" s="51" t="s">
        <v>3</v>
      </c>
      <c r="H50" s="58" t="str">
        <f t="shared" ref="H50:H56" si="0">IF(F50="","",ROUND(F50/100*$H$5,2))</f>
        <v/>
      </c>
      <c r="I50" s="51" t="s">
        <v>4</v>
      </c>
      <c r="K50" s="54" t="str">
        <f t="shared" ref="K50:K56" si="1">IF(F50="","Bitte ausfüllen!","")</f>
        <v>Bitte ausfüllen!</v>
      </c>
    </row>
    <row r="51" spans="1:11" x14ac:dyDescent="0.2">
      <c r="A51" s="51" t="s">
        <v>66</v>
      </c>
      <c r="B51" s="51"/>
      <c r="C51" s="51" t="s">
        <v>67</v>
      </c>
      <c r="D51" s="51"/>
      <c r="E51" s="51"/>
      <c r="F51" s="8"/>
      <c r="G51" s="51" t="s">
        <v>3</v>
      </c>
      <c r="H51" s="58" t="str">
        <f t="shared" si="0"/>
        <v/>
      </c>
      <c r="I51" s="51" t="s">
        <v>4</v>
      </c>
      <c r="K51" s="54" t="str">
        <f t="shared" si="1"/>
        <v>Bitte ausfüllen!</v>
      </c>
    </row>
    <row r="52" spans="1:11" x14ac:dyDescent="0.2">
      <c r="A52" s="51" t="s">
        <v>68</v>
      </c>
      <c r="B52" s="51" t="s">
        <v>69</v>
      </c>
      <c r="C52" s="51"/>
      <c r="D52" s="51"/>
      <c r="E52" s="51"/>
      <c r="F52" s="8"/>
      <c r="G52" s="51" t="s">
        <v>3</v>
      </c>
      <c r="H52" s="58" t="str">
        <f t="shared" si="0"/>
        <v/>
      </c>
      <c r="I52" s="51" t="s">
        <v>4</v>
      </c>
      <c r="K52" s="54" t="str">
        <f t="shared" si="1"/>
        <v>Bitte ausfüllen!</v>
      </c>
    </row>
    <row r="53" spans="1:11" x14ac:dyDescent="0.2">
      <c r="A53" s="51" t="s">
        <v>70</v>
      </c>
      <c r="B53" s="51" t="s">
        <v>71</v>
      </c>
      <c r="C53" s="51"/>
      <c r="D53" s="51"/>
      <c r="E53" s="51"/>
      <c r="F53" s="8"/>
      <c r="G53" s="51" t="s">
        <v>3</v>
      </c>
      <c r="H53" s="58" t="str">
        <f t="shared" si="0"/>
        <v/>
      </c>
      <c r="I53" s="51" t="s">
        <v>4</v>
      </c>
      <c r="K53" s="54" t="str">
        <f t="shared" si="1"/>
        <v>Bitte ausfüllen!</v>
      </c>
    </row>
    <row r="54" spans="1:11" x14ac:dyDescent="0.2">
      <c r="A54" s="51" t="s">
        <v>72</v>
      </c>
      <c r="B54" s="51" t="s">
        <v>73</v>
      </c>
      <c r="C54" s="51"/>
      <c r="D54" s="51"/>
      <c r="E54" s="51"/>
      <c r="F54" s="8"/>
      <c r="G54" s="51" t="s">
        <v>3</v>
      </c>
      <c r="H54" s="58" t="str">
        <f t="shared" si="0"/>
        <v/>
      </c>
      <c r="I54" s="51" t="s">
        <v>4</v>
      </c>
      <c r="K54" s="54" t="str">
        <f t="shared" si="1"/>
        <v>Bitte ausfüllen!</v>
      </c>
    </row>
    <row r="55" spans="1:11" x14ac:dyDescent="0.2">
      <c r="A55" s="51" t="s">
        <v>74</v>
      </c>
      <c r="B55" s="51" t="s">
        <v>75</v>
      </c>
      <c r="C55" s="51"/>
      <c r="D55" s="51"/>
      <c r="E55" s="51"/>
      <c r="F55" s="8"/>
      <c r="G55" s="51" t="s">
        <v>3</v>
      </c>
      <c r="H55" s="58" t="str">
        <f t="shared" si="0"/>
        <v/>
      </c>
      <c r="I55" s="51" t="s">
        <v>4</v>
      </c>
      <c r="K55" s="54" t="str">
        <f t="shared" si="1"/>
        <v>Bitte ausfüllen!</v>
      </c>
    </row>
    <row r="56" spans="1:11" x14ac:dyDescent="0.2">
      <c r="A56" s="51" t="s">
        <v>76</v>
      </c>
      <c r="B56" s="51" t="s">
        <v>77</v>
      </c>
      <c r="C56" s="51"/>
      <c r="D56" s="51"/>
      <c r="E56" s="51"/>
      <c r="F56" s="8"/>
      <c r="G56" s="51" t="s">
        <v>3</v>
      </c>
      <c r="H56" s="58" t="str">
        <f t="shared" si="0"/>
        <v/>
      </c>
      <c r="I56" s="51" t="s">
        <v>4</v>
      </c>
      <c r="K56" s="54" t="str">
        <f t="shared" si="1"/>
        <v>Bitte ausfüllen!</v>
      </c>
    </row>
    <row r="57" spans="1:11" ht="25.5" customHeight="1" x14ac:dyDescent="0.2">
      <c r="A57" s="52"/>
      <c r="B57" s="116" t="s">
        <v>78</v>
      </c>
      <c r="C57" s="116"/>
      <c r="D57" s="52"/>
      <c r="E57" s="52"/>
      <c r="F57" s="59">
        <f>IF(SUM(F45:F56)=0,0,SUM(F45:F56))</f>
        <v>0</v>
      </c>
      <c r="G57" s="52" t="s">
        <v>3</v>
      </c>
      <c r="H57" s="60" t="str">
        <f>IF(COUNTIF(H46:H56,"")&gt;1,"",SUM(H46:H56))</f>
        <v/>
      </c>
      <c r="I57" s="52" t="s">
        <v>4</v>
      </c>
      <c r="K57" s="54" t="str">
        <f>IF(H57="","Angaben offen!","")</f>
        <v>Angaben offen!</v>
      </c>
    </row>
    <row r="58" spans="1:11" x14ac:dyDescent="0.2">
      <c r="A58" s="51"/>
      <c r="B58" s="51"/>
      <c r="C58" s="51"/>
      <c r="D58" s="51"/>
      <c r="E58" s="51"/>
      <c r="F58" s="55"/>
      <c r="G58" s="51"/>
      <c r="H58" s="55"/>
      <c r="I58" s="51"/>
    </row>
    <row r="59" spans="1:11" x14ac:dyDescent="0.2">
      <c r="A59" s="52" t="s">
        <v>79</v>
      </c>
      <c r="B59" s="115" t="s">
        <v>80</v>
      </c>
      <c r="C59" s="115"/>
      <c r="D59" s="52"/>
      <c r="E59" s="52"/>
      <c r="F59" s="64">
        <f>IF(AND(F34=""),0,F34+F42+F57+F5)</f>
        <v>100</v>
      </c>
      <c r="G59" s="52" t="s">
        <v>3</v>
      </c>
      <c r="H59" s="56" t="str">
        <f>IF(H57="","",H34+H42+H57+H5)</f>
        <v/>
      </c>
      <c r="I59" s="52" t="s">
        <v>4</v>
      </c>
    </row>
    <row r="60" spans="1:11" x14ac:dyDescent="0.2">
      <c r="A60" s="52" t="s">
        <v>81</v>
      </c>
      <c r="B60" s="52" t="s">
        <v>82</v>
      </c>
      <c r="C60" s="52"/>
      <c r="D60" s="52"/>
      <c r="E60" s="52"/>
      <c r="F60" s="8"/>
      <c r="G60" s="52" t="s">
        <v>3</v>
      </c>
      <c r="H60" s="60" t="str">
        <f>IF(F60="","",ROUND(F60/100*H59,2))</f>
        <v/>
      </c>
      <c r="I60" s="52" t="s">
        <v>4</v>
      </c>
      <c r="K60" s="54" t="str">
        <f>IF(F60="","Bitte ausfüllen!","")</f>
        <v>Bitte ausfüllen!</v>
      </c>
    </row>
    <row r="61" spans="1:11" x14ac:dyDescent="0.2">
      <c r="A61" s="52"/>
      <c r="B61" s="52" t="s">
        <v>83</v>
      </c>
      <c r="C61" s="52"/>
      <c r="D61" s="52"/>
      <c r="E61" s="52"/>
      <c r="F61" s="59">
        <f ca="1">IF(H61="",0,H61/H5*100)</f>
        <v>0</v>
      </c>
      <c r="G61" s="52" t="s">
        <v>3</v>
      </c>
      <c r="H61" s="60" t="str">
        <f ca="1">IF(SUM(COUNTIF(INDIRECT({"H5","F9:F13","D17:D26","F27:F28","F32:F33","F38:F41","F46:F48","F50:F56","F60","H65:H68"}),""))&gt;0,"",H59+H60)</f>
        <v/>
      </c>
      <c r="I61" s="52" t="s">
        <v>4</v>
      </c>
      <c r="K61" s="54" t="str">
        <f ca="1">IF(SUM(COUNTIF(INDIRECT({"H5","F9:F13","D17:D26","F27:F28","F32:F33","F38:F41","F46:F48","F50:F56","F60","H65:H68"}),""))&gt;0,SUM(COUNTIF(INDIRECT({"H5","F9:F13","D17:D26","F27:F28","F32:F33","F38:F41","F46:F48","F50:F56","F60","H65:H68"}),"")) &amp;" Zelle(n) ohne Wert!","")</f>
        <v>28 Zelle(n) ohne Wert!</v>
      </c>
    </row>
    <row r="62" spans="1:11" x14ac:dyDescent="0.2">
      <c r="A62" s="51"/>
      <c r="B62" s="51" t="s">
        <v>84</v>
      </c>
      <c r="C62" s="51"/>
      <c r="D62" s="51"/>
      <c r="E62" s="51"/>
      <c r="F62" s="59">
        <f ca="1">IF(F61=0,0,F61-F5)</f>
        <v>0</v>
      </c>
      <c r="G62" s="51" t="s">
        <v>3</v>
      </c>
      <c r="H62" s="51"/>
      <c r="I62" s="51"/>
      <c r="K62" s="54" t="str">
        <f ca="1">IF(F62&lt;70,"Bitte prüfen gemäß Aufforderung!","")</f>
        <v>Bitte prüfen gemäß Aufforderung!</v>
      </c>
    </row>
    <row r="63" spans="1:11" x14ac:dyDescent="0.2">
      <c r="A63" s="51"/>
      <c r="B63" s="51"/>
      <c r="C63" s="51"/>
      <c r="D63" s="51"/>
      <c r="E63" s="51"/>
      <c r="F63" s="51"/>
      <c r="G63" s="51"/>
      <c r="H63" s="51"/>
      <c r="I63" s="51"/>
    </row>
    <row r="64" spans="1:11" x14ac:dyDescent="0.2">
      <c r="B64" s="52" t="s">
        <v>85</v>
      </c>
      <c r="D64" s="52"/>
      <c r="E64" s="52"/>
      <c r="G64" s="52"/>
      <c r="H64" s="56" t="s">
        <v>86</v>
      </c>
    </row>
    <row r="65" spans="1:11" x14ac:dyDescent="0.2">
      <c r="B65" s="51" t="s">
        <v>87</v>
      </c>
      <c r="D65" s="51"/>
      <c r="E65" s="51"/>
      <c r="G65" s="65"/>
      <c r="H65" s="9"/>
      <c r="K65" s="54" t="str">
        <f>IF(H65="","Bitte ausfüllen!","")</f>
        <v>Bitte ausfüllen!</v>
      </c>
    </row>
    <row r="66" spans="1:11" x14ac:dyDescent="0.2">
      <c r="B66" s="51" t="s">
        <v>88</v>
      </c>
      <c r="D66" s="51"/>
      <c r="E66" s="51"/>
      <c r="G66" s="65"/>
      <c r="H66" s="10"/>
      <c r="K66" s="54" t="str">
        <f>IF(H66="","Bitte ausfüllen!","")</f>
        <v>Bitte ausfüllen!</v>
      </c>
    </row>
    <row r="67" spans="1:11" x14ac:dyDescent="0.2">
      <c r="B67" s="51" t="s">
        <v>89</v>
      </c>
      <c r="D67" s="51"/>
      <c r="E67" s="51"/>
      <c r="G67" s="65"/>
      <c r="H67" s="11"/>
      <c r="K67" s="54" t="str">
        <f>IF(H67="","Bitte ausfüllen!","")</f>
        <v>Bitte ausfüllen!</v>
      </c>
    </row>
    <row r="68" spans="1:11" x14ac:dyDescent="0.2">
      <c r="B68" s="51" t="s">
        <v>90</v>
      </c>
      <c r="D68" s="51"/>
      <c r="E68" s="51"/>
      <c r="G68" s="65"/>
      <c r="H68" s="10"/>
      <c r="K68" s="54" t="str">
        <f>IF(H68="","Bitte ausfüllen!","")</f>
        <v>Bitte ausfüllen!</v>
      </c>
    </row>
    <row r="70" spans="1:11" x14ac:dyDescent="0.2">
      <c r="C70" s="39"/>
      <c r="D70" s="4"/>
    </row>
    <row r="71" spans="1:11" ht="15.95" customHeight="1" x14ac:dyDescent="0.2">
      <c r="A71" s="106" t="s">
        <v>186</v>
      </c>
      <c r="B71" s="106"/>
      <c r="C71" s="106"/>
      <c r="D71" s="106" t="s">
        <v>187</v>
      </c>
      <c r="F71" s="108" t="s">
        <v>132</v>
      </c>
      <c r="G71" s="109"/>
      <c r="H71" s="110"/>
    </row>
    <row r="72" spans="1:11" ht="15.95" customHeight="1" x14ac:dyDescent="0.2">
      <c r="A72" s="107"/>
      <c r="B72" s="107"/>
      <c r="C72" s="107"/>
      <c r="D72" s="107"/>
      <c r="F72" s="111"/>
      <c r="G72" s="112"/>
      <c r="H72" s="113"/>
      <c r="I72" s="52"/>
      <c r="J72" s="52"/>
      <c r="K72" s="52"/>
    </row>
    <row r="73" spans="1:11" ht="19.899999999999999" customHeight="1" x14ac:dyDescent="0.2">
      <c r="A73" s="104">
        <v>1</v>
      </c>
      <c r="B73" s="104"/>
      <c r="C73" s="12" t="s">
        <v>127</v>
      </c>
      <c r="D73" s="41">
        <v>7.3</v>
      </c>
      <c r="F73" s="105" t="s">
        <v>252</v>
      </c>
      <c r="G73" s="105"/>
      <c r="H73" s="105"/>
    </row>
    <row r="74" spans="1:11" ht="19.899999999999999" customHeight="1" x14ac:dyDescent="0.2">
      <c r="A74" s="104">
        <v>2</v>
      </c>
      <c r="B74" s="104"/>
      <c r="C74" s="12" t="s">
        <v>128</v>
      </c>
      <c r="D74" s="41">
        <v>9.3000000000000007</v>
      </c>
    </row>
    <row r="75" spans="1:11" ht="24" customHeight="1" x14ac:dyDescent="0.2">
      <c r="A75" s="104">
        <v>3</v>
      </c>
      <c r="B75" s="104"/>
      <c r="C75" s="12" t="s">
        <v>129</v>
      </c>
      <c r="D75" s="41">
        <v>1.3</v>
      </c>
    </row>
    <row r="76" spans="1:11" ht="24" customHeight="1" x14ac:dyDescent="0.2">
      <c r="A76" s="104">
        <v>4</v>
      </c>
      <c r="B76" s="104"/>
      <c r="C76" s="12" t="s">
        <v>130</v>
      </c>
      <c r="D76" s="41">
        <f>IF( F73="Sachsen",1.3,1.8)</f>
        <v>1.8</v>
      </c>
    </row>
    <row r="77" spans="1:11" ht="31.5" x14ac:dyDescent="0.2">
      <c r="A77" s="104">
        <v>5</v>
      </c>
      <c r="B77" s="104"/>
      <c r="C77" s="12" t="s">
        <v>188</v>
      </c>
      <c r="D77" s="41">
        <v>1.45</v>
      </c>
    </row>
    <row r="78" spans="1:11" ht="24" customHeight="1" x14ac:dyDescent="0.2">
      <c r="A78" s="104">
        <v>6</v>
      </c>
      <c r="B78" s="104"/>
      <c r="C78" s="12" t="s">
        <v>117</v>
      </c>
      <c r="D78" s="41"/>
    </row>
    <row r="79" spans="1:11" ht="24" customHeight="1" x14ac:dyDescent="0.2">
      <c r="A79" s="104">
        <v>7</v>
      </c>
      <c r="B79" s="104"/>
      <c r="C79" s="12" t="s">
        <v>131</v>
      </c>
      <c r="D79" s="41">
        <v>0.15</v>
      </c>
    </row>
  </sheetData>
  <sheetProtection algorithmName="SHA-512" hashValue="j4bwGrQc5/kzSOVTgbNDJLyUhjyB/itJn/FiDAou/GFxOx0kqUIx8BAgO4PLZZt2am+5cgNuGGrmLS/jXwpSXA==" saltValue="BIgsWIn/F3SqQVOVW+k0Xg==" spinCount="100000" sheet="1" objects="1" scenarios="1"/>
  <mergeCells count="18">
    <mergeCell ref="A71:C72"/>
    <mergeCell ref="D71:D72"/>
    <mergeCell ref="F71:H72"/>
    <mergeCell ref="E1:I2"/>
    <mergeCell ref="A3:I3"/>
    <mergeCell ref="B59:C59"/>
    <mergeCell ref="B29:C29"/>
    <mergeCell ref="B34:C34"/>
    <mergeCell ref="B42:C42"/>
    <mergeCell ref="B57:C57"/>
    <mergeCell ref="A78:B78"/>
    <mergeCell ref="A79:B79"/>
    <mergeCell ref="F73:H73"/>
    <mergeCell ref="A73:B73"/>
    <mergeCell ref="A74:B74"/>
    <mergeCell ref="A75:B75"/>
    <mergeCell ref="A76:B76"/>
    <mergeCell ref="A77:B77"/>
  </mergeCells>
  <phoneticPr fontId="3" type="noConversion"/>
  <dataValidations count="1">
    <dataValidation type="decimal" errorStyle="warning" allowBlank="1" showInputMessage="1" showErrorMessage="1" error="Bitte überprüfen Sie Ihre Eingaben." sqref="C25" xr:uid="{00000000-0002-0000-0400-000000000000}">
      <formula1>8.5</formula1>
      <formula2>84</formula2>
    </dataValidation>
  </dataValidations>
  <hyperlinks>
    <hyperlink ref="K1" location="Inhaltsverzeichnis!A1" display="Zurück zum Inhaltsverzeichnis" xr:uid="{00000000-0004-0000-0400-000000000000}"/>
  </hyperlinks>
  <printOptions horizontalCentered="1"/>
  <pageMargins left="0.78740157480314965" right="0.78740157480314965" top="0.98425196850393704" bottom="0.98425196850393704" header="0.51181102362204722" footer="0.51181102362204722"/>
  <pageSetup paperSize="9" scale="60" orientation="portrait" r:id="rId1"/>
  <headerFooter alignWithMargins="0">
    <oddHeader>&amp;L&amp;F</oddHeader>
    <oddFooter>&amp;LSalzstadt Staßfurt&amp;CSeite &amp;P von &amp;N&amp;RSVS GrundRG</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ltText="Hinweis">
                <anchor moveWithCells="1">
                  <from>
                    <xdr:col>2</xdr:col>
                    <xdr:colOff>2914650</xdr:colOff>
                    <xdr:row>0</xdr:row>
                    <xdr:rowOff>95250</xdr:rowOff>
                  </from>
                  <to>
                    <xdr:col>3</xdr:col>
                    <xdr:colOff>552450</xdr:colOff>
                    <xdr:row>0</xdr:row>
                    <xdr:rowOff>381000</xdr:rowOff>
                  </to>
                </anchor>
              </controlPr>
            </control>
          </mc:Choice>
        </mc:AlternateContent>
        <mc:AlternateContent xmlns:mc="http://schemas.openxmlformats.org/markup-compatibility/2006">
          <mc:Choice Requires="x14">
            <control shapeId="27650" r:id="rId5" name="Check Box 2">
              <controlPr defaultSize="0" autoFill="0" autoLine="0" autoPict="0" altText="Hinweis">
                <anchor moveWithCells="1">
                  <from>
                    <xdr:col>2</xdr:col>
                    <xdr:colOff>2914650</xdr:colOff>
                    <xdr:row>0</xdr:row>
                    <xdr:rowOff>400050</xdr:rowOff>
                  </from>
                  <to>
                    <xdr:col>3</xdr:col>
                    <xdr:colOff>552450</xdr:colOff>
                    <xdr:row>1</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9AB24-184E-4067-A3EB-FB16644CC545}">
  <sheetPr codeName="Tabelle20">
    <tabColor indexed="40"/>
  </sheetPr>
  <dimension ref="A1:V51"/>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0" style="3" hidden="1" customWidth="1"/>
    <col min="22" max="16384" width="11.42578125" style="3" hidden="1"/>
  </cols>
  <sheetData>
    <row r="1" spans="1:22" ht="15" customHeight="1" x14ac:dyDescent="0.2">
      <c r="M1" s="5" t="s">
        <v>100</v>
      </c>
    </row>
    <row r="2" spans="1:22" ht="21" customHeight="1" x14ac:dyDescent="0.2">
      <c r="A2" s="119" t="s">
        <v>150</v>
      </c>
      <c r="B2" s="120"/>
      <c r="C2" s="120"/>
      <c r="D2" s="120" t="b">
        <v>0</v>
      </c>
      <c r="E2" s="121"/>
      <c r="G2" s="122" t="s">
        <v>163</v>
      </c>
      <c r="H2" s="122" t="s">
        <v>155</v>
      </c>
      <c r="I2" s="122" t="s">
        <v>156</v>
      </c>
      <c r="J2" s="122" t="s">
        <v>175</v>
      </c>
      <c r="M2" s="32" t="b">
        <v>0</v>
      </c>
      <c r="N2" s="95"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95"/>
      <c r="P2" s="95"/>
      <c r="Q2" s="95"/>
    </row>
    <row r="3" spans="1:22" ht="21" customHeight="1" x14ac:dyDescent="0.2">
      <c r="A3" s="68" t="s">
        <v>151</v>
      </c>
      <c r="B3" s="69"/>
      <c r="C3" s="69"/>
      <c r="D3" s="69"/>
      <c r="E3" s="70"/>
      <c r="G3" s="123"/>
      <c r="H3" s="123" t="b">
        <v>0</v>
      </c>
      <c r="I3" s="123"/>
      <c r="J3" s="123"/>
      <c r="M3" s="32" t="b">
        <v>0</v>
      </c>
      <c r="N3" s="95"/>
      <c r="O3" s="95"/>
      <c r="P3" s="95"/>
      <c r="Q3" s="95"/>
    </row>
    <row r="4" spans="1:22" ht="15" customHeight="1" x14ac:dyDescent="0.2">
      <c r="A4" s="117" t="s">
        <v>91</v>
      </c>
      <c r="B4" s="127" t="str">
        <f>IF(Inhaltsverzeichnis!C3="","",Inhaltsverzeichnis!C3)</f>
        <v/>
      </c>
      <c r="C4" s="128"/>
      <c r="D4" s="128"/>
      <c r="E4" s="129"/>
      <c r="G4" s="67" t="s">
        <v>229</v>
      </c>
      <c r="H4" s="71"/>
      <c r="I4" s="72">
        <f ca="1">SUMIF('Kal Unter GS Nord'!J22:M51,$G$4,'Kal Unter GS Nord'!M22:M51)</f>
        <v>4227.3899999999994</v>
      </c>
      <c r="J4" s="48">
        <f>COUNTIFS('Kal Unter GS Nord'!J22:M51,$G$4)</f>
        <v>3</v>
      </c>
      <c r="M4" s="32" t="b">
        <v>0</v>
      </c>
      <c r="N4" s="95"/>
      <c r="O4" s="95"/>
      <c r="P4" s="95"/>
      <c r="Q4" s="95"/>
      <c r="U4" s="67" t="s">
        <v>229</v>
      </c>
      <c r="V4" s="3">
        <v>168.75</v>
      </c>
    </row>
    <row r="5" spans="1:22" ht="15" customHeight="1" x14ac:dyDescent="0.2">
      <c r="A5" s="118"/>
      <c r="B5" s="130"/>
      <c r="C5" s="131"/>
      <c r="D5" s="131"/>
      <c r="E5" s="132"/>
      <c r="G5" s="67" t="s">
        <v>228</v>
      </c>
      <c r="H5" s="71"/>
      <c r="I5" s="72">
        <f ca="1">SUMIF('Kal Unter GS Nord'!J22:M51,$G$5,'Kal Unter GS Nord'!M22:M51)</f>
        <v>21215.22</v>
      </c>
      <c r="J5" s="48">
        <f>COUNTIFS('Kal Unter GS Nord'!J22:M51,$G$5)</f>
        <v>2</v>
      </c>
      <c r="M5" s="32" t="b">
        <v>0</v>
      </c>
      <c r="N5" s="95"/>
      <c r="O5" s="95"/>
      <c r="P5" s="95"/>
      <c r="Q5" s="95"/>
      <c r="U5" s="67" t="s">
        <v>228</v>
      </c>
      <c r="V5" s="3">
        <v>166.25</v>
      </c>
    </row>
    <row r="6" spans="1:22" ht="15" customHeight="1" x14ac:dyDescent="0.2">
      <c r="A6" s="73" t="s">
        <v>173</v>
      </c>
      <c r="B6" s="133" t="s">
        <v>190</v>
      </c>
      <c r="C6" s="134"/>
      <c r="D6" s="134"/>
      <c r="E6" s="135"/>
      <c r="G6" s="67" t="s">
        <v>230</v>
      </c>
      <c r="H6" s="71"/>
      <c r="I6" s="72">
        <f ca="1">SUMIF('Kal Unter GS Nord'!J22:M51,$G$6,'Kal Unter GS Nord'!M22:M51)</f>
        <v>9069.39</v>
      </c>
      <c r="J6" s="48">
        <f>COUNTIFS('Kal Unter GS Nord'!J22:M51,$G$6)</f>
        <v>8</v>
      </c>
      <c r="U6" s="67" t="s">
        <v>230</v>
      </c>
      <c r="V6" s="3">
        <v>63.75</v>
      </c>
    </row>
    <row r="7" spans="1:22" ht="15" customHeight="1" x14ac:dyDescent="0.2">
      <c r="A7" s="74" t="s">
        <v>171</v>
      </c>
      <c r="B7" s="136" t="s">
        <v>191</v>
      </c>
      <c r="C7" s="134"/>
      <c r="D7" s="134"/>
      <c r="E7" s="135"/>
      <c r="G7" s="67" t="s">
        <v>231</v>
      </c>
      <c r="H7" s="71"/>
      <c r="I7" s="72">
        <f ca="1">SUMIF('Kal Unter GS Nord'!J22:M51,$G$7,'Kal Unter GS Nord'!M22:M51)</f>
        <v>196.97</v>
      </c>
      <c r="J7" s="48">
        <f>COUNTIFS('Kal Unter GS Nord'!J22:M51,$G$7)</f>
        <v>4</v>
      </c>
      <c r="U7" s="67" t="s">
        <v>231</v>
      </c>
      <c r="V7" s="3">
        <v>262.5</v>
      </c>
    </row>
    <row r="8" spans="1:22" ht="15" customHeight="1" x14ac:dyDescent="0.2">
      <c r="A8" s="74" t="s">
        <v>172</v>
      </c>
      <c r="B8" s="133"/>
      <c r="C8" s="134"/>
      <c r="D8" s="134"/>
      <c r="E8" s="135"/>
      <c r="G8" s="67" t="s">
        <v>227</v>
      </c>
      <c r="H8" s="71"/>
      <c r="I8" s="72">
        <f ca="1">SUMIF('Kal Unter GS Nord'!J22:M51,$G$8,'Kal Unter GS Nord'!M22:M51)</f>
        <v>73275.009999999995</v>
      </c>
      <c r="J8" s="48">
        <f>COUNTIFS('Kal Unter GS Nord'!J22:M51,$G$8)</f>
        <v>8</v>
      </c>
      <c r="U8" s="67" t="s">
        <v>227</v>
      </c>
      <c r="V8" s="3">
        <v>195</v>
      </c>
    </row>
    <row r="9" spans="1:22" ht="15" customHeight="1" x14ac:dyDescent="0.2">
      <c r="A9" s="73" t="s">
        <v>170</v>
      </c>
      <c r="B9" s="137" t="s">
        <v>189</v>
      </c>
      <c r="C9" s="134"/>
      <c r="D9" s="134"/>
      <c r="E9" s="135"/>
      <c r="G9" s="67" t="s">
        <v>233</v>
      </c>
      <c r="H9" s="71"/>
      <c r="I9" s="72">
        <f ca="1">SUMIF('Kal Unter GS Nord'!J22:M51,$G$9,'Kal Unter GS Nord'!M22:M51)</f>
        <v>23846.26</v>
      </c>
      <c r="J9" s="48">
        <f>COUNTIFS('Kal Unter GS Nord'!J22:M51,$G$9)</f>
        <v>4</v>
      </c>
      <c r="U9" s="67" t="s">
        <v>233</v>
      </c>
      <c r="V9" s="3">
        <v>300</v>
      </c>
    </row>
    <row r="10" spans="1:22" ht="15" customHeight="1" x14ac:dyDescent="0.2">
      <c r="A10" s="74" t="s">
        <v>152</v>
      </c>
      <c r="B10" s="133" t="s">
        <v>192</v>
      </c>
      <c r="C10" s="134"/>
      <c r="D10" s="134"/>
      <c r="E10" s="135"/>
      <c r="G10" s="67" t="s">
        <v>232</v>
      </c>
      <c r="H10" s="71"/>
      <c r="I10" s="72">
        <f ca="1">SUMIF('Kal Unter GS Nord'!J22:M51,$G$10,'Kal Unter GS Nord'!M22:M51)</f>
        <v>2776.88</v>
      </c>
      <c r="J10" s="48">
        <f>COUNTIFS('Kal Unter GS Nord'!J22:M51,$G$10)</f>
        <v>1</v>
      </c>
      <c r="U10" s="67" t="s">
        <v>232</v>
      </c>
      <c r="V10" s="3">
        <v>88.75</v>
      </c>
    </row>
    <row r="11" spans="1:22" ht="15" customHeight="1" x14ac:dyDescent="0.2">
      <c r="A11" s="74" t="s">
        <v>153</v>
      </c>
      <c r="B11" s="138" t="s">
        <v>193</v>
      </c>
      <c r="C11" s="134"/>
      <c r="D11" s="134"/>
      <c r="E11" s="135"/>
      <c r="M11" s="3" t="str">
        <f>IF(N13&gt;0,"Bitte die Leistungswerte im Leistungsverzeichnis/ Tabellenblatt Leistungsrichtwerte","")</f>
        <v/>
      </c>
    </row>
    <row r="12" spans="1:22" ht="15" customHeight="1" x14ac:dyDescent="0.2">
      <c r="A12" s="74" t="s">
        <v>154</v>
      </c>
      <c r="B12" s="133" t="s">
        <v>194</v>
      </c>
      <c r="C12" s="134"/>
      <c r="D12" s="134"/>
      <c r="E12" s="135"/>
      <c r="M12" s="3" t="str">
        <f>IF(N13&gt;0,"für die Objektart prüfen.","")</f>
        <v/>
      </c>
    </row>
    <row r="13" spans="1:22" ht="15" customHeight="1" x14ac:dyDescent="0.2">
      <c r="A13" s="74" t="s">
        <v>157</v>
      </c>
      <c r="B13" s="124" t="str">
        <f>HYPERLINK("http://maps.google.de/maps?hl=de&amp;bav=on.2,or.r_qf.&amp;bvm=bv.44770516,d.Yms&amp;biw=1395&amp;bih=916&amp;um=1&amp;ie=UTF-8&amp;q="&amp;B7&amp;"+"&amp;B8&amp;"+"&amp;B10&amp;"+"&amp;B11&amp;"+"&amp;B12&amp;"","In Google-Maps anzeigen (wenn Internet verfügbar)")</f>
        <v>In Google-Maps anzeigen (wenn Internet verfügbar)</v>
      </c>
      <c r="C13" s="125"/>
      <c r="D13" s="125"/>
      <c r="E13" s="126"/>
      <c r="N13" s="75">
        <f>COUNTIF(V22:V$51,1)</f>
        <v>0</v>
      </c>
      <c r="O13" s="3" t="str">
        <f>IF(N13&gt;0,"Wert(e) überschritten, bitte mit dem Angebot plausibel darlegen.","")</f>
        <v/>
      </c>
    </row>
    <row r="14" spans="1:22" ht="15" customHeight="1" x14ac:dyDescent="0.2">
      <c r="N14" s="76">
        <f>COUNTIF(V22:V$51,0)</f>
        <v>30</v>
      </c>
      <c r="O14" s="3" t="str">
        <f>IF(N14&gt;0,"Wert(e) korrekt","")</f>
        <v>Wert(e) korrekt</v>
      </c>
      <c r="T14" s="77">
        <f>IF(COUNTA($T$22:$T$51)-COUNTBLANK($T$22:$T$51)=0,"",COUNTA($T$22:$T$51)-COUNTBLANK($T$22:$T$51))</f>
        <v>30</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114</v>
      </c>
      <c r="H20" s="1" t="s">
        <v>106</v>
      </c>
      <c r="I20" s="1" t="s">
        <v>107</v>
      </c>
      <c r="J20" s="1" t="s">
        <v>99</v>
      </c>
      <c r="K20" s="1" t="s">
        <v>104</v>
      </c>
      <c r="L20" s="1" t="s">
        <v>134</v>
      </c>
      <c r="M20" s="1" t="s">
        <v>109</v>
      </c>
      <c r="N20" s="1" t="s">
        <v>105</v>
      </c>
      <c r="O20" s="1" t="s">
        <v>110</v>
      </c>
      <c r="P20" s="1" t="s">
        <v>111</v>
      </c>
      <c r="Q20" s="1" t="s">
        <v>112</v>
      </c>
      <c r="R20" s="1" t="s">
        <v>174</v>
      </c>
      <c r="S20" s="1" t="s">
        <v>133</v>
      </c>
    </row>
    <row r="21" spans="1:22" ht="29.1" customHeight="1" x14ac:dyDescent="0.2">
      <c r="A21" s="78" t="s">
        <v>118</v>
      </c>
      <c r="B21" s="12"/>
      <c r="C21" s="12"/>
      <c r="D21" s="12"/>
      <c r="E21" s="12"/>
      <c r="F21" s="12"/>
      <c r="G21" s="79">
        <f>SUM($G$22:$G$51)</f>
        <v>794.11</v>
      </c>
      <c r="H21" s="79">
        <f>SUM($H$22:$H$51)</f>
        <v>0</v>
      </c>
      <c r="I21" s="79">
        <f>SUM($I$22:$I$51)</f>
        <v>0</v>
      </c>
      <c r="J21" s="31"/>
      <c r="K21" s="31"/>
      <c r="L21" s="80">
        <f>MAX(L22:L51)</f>
        <v>187.5</v>
      </c>
      <c r="M21" s="79">
        <f>SUM($M$22:$M$51)</f>
        <v>134607.12000000002</v>
      </c>
      <c r="N21" s="31"/>
      <c r="O21" s="31"/>
      <c r="P21" s="79">
        <f>SUM($P$22:$P$51)</f>
        <v>0</v>
      </c>
      <c r="Q21" s="79">
        <f ca="1">SUM($Q$22:$Q$51)</f>
        <v>0</v>
      </c>
      <c r="R21" s="79">
        <f>ROUND(IF(L21=0,0,P21/L21),2)</f>
        <v>0</v>
      </c>
      <c r="S21" s="79">
        <f ca="1">ROUND(IF(L21=0,0,Q21/L21),2)</f>
        <v>0</v>
      </c>
    </row>
    <row r="22" spans="1:22" ht="15" customHeight="1" x14ac:dyDescent="0.2">
      <c r="A22" s="67">
        <v>1</v>
      </c>
      <c r="B22" s="81"/>
      <c r="C22" s="82" t="s">
        <v>196</v>
      </c>
      <c r="D22" s="82"/>
      <c r="E22" s="82" t="s">
        <v>197</v>
      </c>
      <c r="F22" s="82" t="s">
        <v>198</v>
      </c>
      <c r="G22" s="44">
        <v>51.62</v>
      </c>
      <c r="H22" s="44"/>
      <c r="I22" s="44"/>
      <c r="J22" s="67" t="s">
        <v>227</v>
      </c>
      <c r="K22" s="44">
        <v>5</v>
      </c>
      <c r="L22" s="31">
        <f>VLOOKUP(K22,Reinigungstage!A10:B31,2,FALSE)</f>
        <v>187.5</v>
      </c>
      <c r="M22" s="31">
        <f t="shared" ref="M22:M51" si="0">ROUND(IF(L22=0,0,L22*G22),2)</f>
        <v>9678.75</v>
      </c>
      <c r="N22" s="83">
        <f t="shared" ref="N22:N51" si="1">VLOOKUP(J22,$G$4:$H$10,2,FALSE)</f>
        <v>0</v>
      </c>
      <c r="O22" s="31">
        <f ca="1">IF('SVS UnterhaltsRG'!H61="",0,'SVS UnterhaltsRG'!H61)</f>
        <v>0</v>
      </c>
      <c r="P22" s="31">
        <f t="shared" ref="P22:P51" si="2">ROUND(IF(N22=0,0,M22/N22),2)</f>
        <v>0</v>
      </c>
      <c r="Q22" s="31">
        <f t="shared" ref="Q22:Q51" ca="1" si="3">IF(M22=0,0,IF(O22="",0,ROUND(P22*O22,2)))</f>
        <v>0</v>
      </c>
      <c r="R22" s="31">
        <f t="shared" ref="R22:R51" si="4">ROUND(IF(P22=0,0,P22/L22),2)</f>
        <v>0</v>
      </c>
      <c r="S22" s="31">
        <f t="shared" ref="S22:S51" ca="1" si="5">ROUND(IF(Q22=0,0,Q22/L22),2)</f>
        <v>0</v>
      </c>
      <c r="T22" s="3" t="str">
        <f t="shared" ref="T22:T51" si="6">IF(M22=0,"",IF(N22=0,"Leistungswert eintragen",IF(O22=0,"SVS prüfen","")))</f>
        <v>Leistungswert eintragen</v>
      </c>
      <c r="U22" s="3">
        <f t="shared" ref="U22:U51" si="7">VLOOKUP(J22,$U$4:$V$10,2,FALSE)</f>
        <v>195</v>
      </c>
      <c r="V22" s="3">
        <f t="shared" ref="V22:V51" si="8">IF(M22=0,0,IF(U22&lt;N22,1,IF(U22&gt;=N22,0,"")))</f>
        <v>0</v>
      </c>
    </row>
    <row r="23" spans="1:22" ht="15" customHeight="1" x14ac:dyDescent="0.2">
      <c r="A23" s="67">
        <v>2</v>
      </c>
      <c r="B23" s="81"/>
      <c r="C23" s="82" t="s">
        <v>196</v>
      </c>
      <c r="D23" s="82"/>
      <c r="E23" s="82" t="s">
        <v>199</v>
      </c>
      <c r="F23" s="82" t="s">
        <v>198</v>
      </c>
      <c r="G23" s="44">
        <v>51.77</v>
      </c>
      <c r="H23" s="44"/>
      <c r="I23" s="44"/>
      <c r="J23" s="67" t="s">
        <v>227</v>
      </c>
      <c r="K23" s="44">
        <v>5</v>
      </c>
      <c r="L23" s="31">
        <f>VLOOKUP(K23,Reinigungstage!A10:B31,2,FALSE)</f>
        <v>187.5</v>
      </c>
      <c r="M23" s="31">
        <f t="shared" si="0"/>
        <v>9706.8799999999992</v>
      </c>
      <c r="N23" s="83">
        <f t="shared" si="1"/>
        <v>0</v>
      </c>
      <c r="O23" s="31">
        <f ca="1">IF('SVS UnterhaltsRG'!H61="",0,'SVS UnterhaltsRG'!H61)</f>
        <v>0</v>
      </c>
      <c r="P23" s="31">
        <f t="shared" si="2"/>
        <v>0</v>
      </c>
      <c r="Q23" s="31">
        <f t="shared" ca="1" si="3"/>
        <v>0</v>
      </c>
      <c r="R23" s="31">
        <f t="shared" si="4"/>
        <v>0</v>
      </c>
      <c r="S23" s="31">
        <f t="shared" ca="1" si="5"/>
        <v>0</v>
      </c>
      <c r="T23" s="3" t="str">
        <f t="shared" si="6"/>
        <v>Leistungswert eintragen</v>
      </c>
      <c r="U23" s="3">
        <f t="shared" si="7"/>
        <v>195</v>
      </c>
      <c r="V23" s="3">
        <f t="shared" si="8"/>
        <v>0</v>
      </c>
    </row>
    <row r="24" spans="1:22" ht="15" customHeight="1" x14ac:dyDescent="0.2">
      <c r="A24" s="67">
        <v>3</v>
      </c>
      <c r="B24" s="81"/>
      <c r="C24" s="82" t="s">
        <v>196</v>
      </c>
      <c r="D24" s="82"/>
      <c r="E24" s="82" t="s">
        <v>200</v>
      </c>
      <c r="F24" s="82" t="s">
        <v>198</v>
      </c>
      <c r="G24" s="44">
        <v>51.78</v>
      </c>
      <c r="H24" s="44"/>
      <c r="I24" s="44"/>
      <c r="J24" s="67" t="s">
        <v>227</v>
      </c>
      <c r="K24" s="44">
        <v>5</v>
      </c>
      <c r="L24" s="31">
        <f>VLOOKUP(K24,Reinigungstage!A10:B31,2,FALSE)</f>
        <v>187.5</v>
      </c>
      <c r="M24" s="31">
        <f t="shared" si="0"/>
        <v>9708.75</v>
      </c>
      <c r="N24" s="83">
        <f t="shared" si="1"/>
        <v>0</v>
      </c>
      <c r="O24" s="31">
        <f ca="1">IF('SVS UnterhaltsRG'!H61="",0,'SVS UnterhaltsRG'!H61)</f>
        <v>0</v>
      </c>
      <c r="P24" s="31">
        <f t="shared" si="2"/>
        <v>0</v>
      </c>
      <c r="Q24" s="31">
        <f t="shared" ca="1" si="3"/>
        <v>0</v>
      </c>
      <c r="R24" s="31">
        <f t="shared" si="4"/>
        <v>0</v>
      </c>
      <c r="S24" s="31">
        <f t="shared" ca="1" si="5"/>
        <v>0</v>
      </c>
      <c r="T24" s="3" t="str">
        <f t="shared" si="6"/>
        <v>Leistungswert eintragen</v>
      </c>
      <c r="U24" s="3">
        <f t="shared" si="7"/>
        <v>195</v>
      </c>
      <c r="V24" s="3">
        <f t="shared" si="8"/>
        <v>0</v>
      </c>
    </row>
    <row r="25" spans="1:22" ht="15" customHeight="1" x14ac:dyDescent="0.2">
      <c r="A25" s="67">
        <v>4</v>
      </c>
      <c r="B25" s="81"/>
      <c r="C25" s="82" t="s">
        <v>196</v>
      </c>
      <c r="D25" s="82"/>
      <c r="E25" s="82" t="s">
        <v>201</v>
      </c>
      <c r="F25" s="82" t="s">
        <v>198</v>
      </c>
      <c r="G25" s="44">
        <v>51.56</v>
      </c>
      <c r="H25" s="44"/>
      <c r="I25" s="44"/>
      <c r="J25" s="67" t="s">
        <v>227</v>
      </c>
      <c r="K25" s="44">
        <v>5</v>
      </c>
      <c r="L25" s="31">
        <f>VLOOKUP(K25,Reinigungstage!A10:B31,2,FALSE)</f>
        <v>187.5</v>
      </c>
      <c r="M25" s="31">
        <f t="shared" si="0"/>
        <v>9667.5</v>
      </c>
      <c r="N25" s="83">
        <f t="shared" si="1"/>
        <v>0</v>
      </c>
      <c r="O25" s="31">
        <f ca="1">IF('SVS UnterhaltsRG'!H61="",0,'SVS UnterhaltsRG'!H61)</f>
        <v>0</v>
      </c>
      <c r="P25" s="31">
        <f t="shared" si="2"/>
        <v>0</v>
      </c>
      <c r="Q25" s="31">
        <f t="shared" ca="1" si="3"/>
        <v>0</v>
      </c>
      <c r="R25" s="31">
        <f t="shared" si="4"/>
        <v>0</v>
      </c>
      <c r="S25" s="31">
        <f t="shared" ca="1" si="5"/>
        <v>0</v>
      </c>
      <c r="T25" s="3" t="str">
        <f t="shared" si="6"/>
        <v>Leistungswert eintragen</v>
      </c>
      <c r="U25" s="3">
        <f t="shared" si="7"/>
        <v>195</v>
      </c>
      <c r="V25" s="3">
        <f t="shared" si="8"/>
        <v>0</v>
      </c>
    </row>
    <row r="26" spans="1:22" ht="15" customHeight="1" x14ac:dyDescent="0.2">
      <c r="A26" s="67">
        <v>5</v>
      </c>
      <c r="B26" s="81"/>
      <c r="C26" s="82" t="s">
        <v>196</v>
      </c>
      <c r="D26" s="82"/>
      <c r="E26" s="82" t="s">
        <v>202</v>
      </c>
      <c r="F26" s="82" t="s">
        <v>198</v>
      </c>
      <c r="G26" s="44">
        <v>51.56</v>
      </c>
      <c r="H26" s="44"/>
      <c r="I26" s="44"/>
      <c r="J26" s="67" t="s">
        <v>227</v>
      </c>
      <c r="K26" s="44">
        <v>5</v>
      </c>
      <c r="L26" s="31">
        <f>VLOOKUP(K26,Reinigungstage!A10:B31,2,FALSE)</f>
        <v>187.5</v>
      </c>
      <c r="M26" s="31">
        <f t="shared" si="0"/>
        <v>9667.5</v>
      </c>
      <c r="N26" s="83">
        <f t="shared" si="1"/>
        <v>0</v>
      </c>
      <c r="O26" s="31">
        <f ca="1">IF('SVS UnterhaltsRG'!H61="",0,'SVS UnterhaltsRG'!H61)</f>
        <v>0</v>
      </c>
      <c r="P26" s="31">
        <f t="shared" si="2"/>
        <v>0</v>
      </c>
      <c r="Q26" s="31">
        <f t="shared" ca="1" si="3"/>
        <v>0</v>
      </c>
      <c r="R26" s="31">
        <f t="shared" si="4"/>
        <v>0</v>
      </c>
      <c r="S26" s="31">
        <f t="shared" ca="1" si="5"/>
        <v>0</v>
      </c>
      <c r="T26" s="3" t="str">
        <f t="shared" si="6"/>
        <v>Leistungswert eintragen</v>
      </c>
      <c r="U26" s="3">
        <f t="shared" si="7"/>
        <v>195</v>
      </c>
      <c r="V26" s="3">
        <f t="shared" si="8"/>
        <v>0</v>
      </c>
    </row>
    <row r="27" spans="1:22" ht="15" customHeight="1" x14ac:dyDescent="0.2">
      <c r="A27" s="67">
        <v>6</v>
      </c>
      <c r="B27" s="81"/>
      <c r="C27" s="82" t="s">
        <v>196</v>
      </c>
      <c r="D27" s="82"/>
      <c r="E27" s="82" t="s">
        <v>203</v>
      </c>
      <c r="F27" s="82" t="s">
        <v>198</v>
      </c>
      <c r="G27" s="44">
        <v>51.56</v>
      </c>
      <c r="H27" s="44"/>
      <c r="I27" s="44"/>
      <c r="J27" s="67" t="s">
        <v>227</v>
      </c>
      <c r="K27" s="44">
        <v>5</v>
      </c>
      <c r="L27" s="31">
        <f>VLOOKUP(K27,Reinigungstage!A10:B31,2,FALSE)</f>
        <v>187.5</v>
      </c>
      <c r="M27" s="31">
        <f t="shared" si="0"/>
        <v>9667.5</v>
      </c>
      <c r="N27" s="83">
        <f t="shared" si="1"/>
        <v>0</v>
      </c>
      <c r="O27" s="31">
        <f ca="1">IF('SVS UnterhaltsRG'!H61="",0,'SVS UnterhaltsRG'!H61)</f>
        <v>0</v>
      </c>
      <c r="P27" s="31">
        <f t="shared" si="2"/>
        <v>0</v>
      </c>
      <c r="Q27" s="31">
        <f t="shared" ca="1" si="3"/>
        <v>0</v>
      </c>
      <c r="R27" s="31">
        <f t="shared" si="4"/>
        <v>0</v>
      </c>
      <c r="S27" s="31">
        <f t="shared" ca="1" si="5"/>
        <v>0</v>
      </c>
      <c r="T27" s="3" t="str">
        <f t="shared" si="6"/>
        <v>Leistungswert eintragen</v>
      </c>
      <c r="U27" s="3">
        <f t="shared" si="7"/>
        <v>195</v>
      </c>
      <c r="V27" s="3">
        <f t="shared" si="8"/>
        <v>0</v>
      </c>
    </row>
    <row r="28" spans="1:22" ht="15" customHeight="1" x14ac:dyDescent="0.2">
      <c r="A28" s="67">
        <v>7</v>
      </c>
      <c r="B28" s="81"/>
      <c r="C28" s="82" t="s">
        <v>196</v>
      </c>
      <c r="D28" s="82"/>
      <c r="E28" s="82" t="s">
        <v>204</v>
      </c>
      <c r="F28" s="82" t="s">
        <v>198</v>
      </c>
      <c r="G28" s="44">
        <v>22.6</v>
      </c>
      <c r="H28" s="44"/>
      <c r="I28" s="44"/>
      <c r="J28" s="67" t="s">
        <v>227</v>
      </c>
      <c r="K28" s="44">
        <v>3</v>
      </c>
      <c r="L28" s="31">
        <f>VLOOKUP(K28,Reinigungstage!A10:B31,2,FALSE)</f>
        <v>112.5</v>
      </c>
      <c r="M28" s="31">
        <f t="shared" si="0"/>
        <v>2542.5</v>
      </c>
      <c r="N28" s="83">
        <f t="shared" si="1"/>
        <v>0</v>
      </c>
      <c r="O28" s="31">
        <f ca="1">IF('SVS UnterhaltsRG'!H61="",0,'SVS UnterhaltsRG'!H61)</f>
        <v>0</v>
      </c>
      <c r="P28" s="31">
        <f t="shared" si="2"/>
        <v>0</v>
      </c>
      <c r="Q28" s="31">
        <f t="shared" ca="1" si="3"/>
        <v>0</v>
      </c>
      <c r="R28" s="31">
        <f t="shared" si="4"/>
        <v>0</v>
      </c>
      <c r="S28" s="31">
        <f t="shared" ca="1" si="5"/>
        <v>0</v>
      </c>
      <c r="T28" s="3" t="str">
        <f t="shared" si="6"/>
        <v>Leistungswert eintragen</v>
      </c>
      <c r="U28" s="3">
        <f t="shared" si="7"/>
        <v>195</v>
      </c>
      <c r="V28" s="3">
        <f t="shared" si="8"/>
        <v>0</v>
      </c>
    </row>
    <row r="29" spans="1:22" ht="15" customHeight="1" x14ac:dyDescent="0.2">
      <c r="A29" s="67">
        <v>8</v>
      </c>
      <c r="B29" s="81"/>
      <c r="C29" s="82" t="s">
        <v>196</v>
      </c>
      <c r="D29" s="82"/>
      <c r="E29" s="82" t="s">
        <v>205</v>
      </c>
      <c r="F29" s="82" t="s">
        <v>198</v>
      </c>
      <c r="G29" s="44">
        <v>7.74</v>
      </c>
      <c r="H29" s="44"/>
      <c r="I29" s="44"/>
      <c r="J29" s="67" t="s">
        <v>228</v>
      </c>
      <c r="K29" s="44">
        <v>1</v>
      </c>
      <c r="L29" s="31">
        <f>VLOOKUP(K29,Reinigungstage!A10:B31,2,FALSE)</f>
        <v>38.950000000000003</v>
      </c>
      <c r="M29" s="31">
        <f t="shared" si="0"/>
        <v>301.47000000000003</v>
      </c>
      <c r="N29" s="83">
        <f t="shared" si="1"/>
        <v>0</v>
      </c>
      <c r="O29" s="31">
        <f ca="1">IF('SVS UnterhaltsRG'!H61="",0,'SVS UnterhaltsRG'!H61)</f>
        <v>0</v>
      </c>
      <c r="P29" s="31">
        <f t="shared" si="2"/>
        <v>0</v>
      </c>
      <c r="Q29" s="31">
        <f t="shared" ca="1" si="3"/>
        <v>0</v>
      </c>
      <c r="R29" s="31">
        <f t="shared" si="4"/>
        <v>0</v>
      </c>
      <c r="S29" s="31">
        <f t="shared" ca="1" si="5"/>
        <v>0</v>
      </c>
      <c r="T29" s="3" t="str">
        <f t="shared" si="6"/>
        <v>Leistungswert eintragen</v>
      </c>
      <c r="U29" s="3">
        <f t="shared" si="7"/>
        <v>166.25</v>
      </c>
      <c r="V29" s="3">
        <f t="shared" si="8"/>
        <v>0</v>
      </c>
    </row>
    <row r="30" spans="1:22" ht="15" customHeight="1" x14ac:dyDescent="0.2">
      <c r="A30" s="67">
        <v>9</v>
      </c>
      <c r="B30" s="81"/>
      <c r="C30" s="82" t="s">
        <v>196</v>
      </c>
      <c r="D30" s="82"/>
      <c r="E30" s="82" t="s">
        <v>206</v>
      </c>
      <c r="F30" s="82" t="s">
        <v>198</v>
      </c>
      <c r="G30" s="44">
        <v>15.56</v>
      </c>
      <c r="H30" s="44"/>
      <c r="I30" s="44"/>
      <c r="J30" s="67" t="s">
        <v>229</v>
      </c>
      <c r="K30" s="44">
        <v>2</v>
      </c>
      <c r="L30" s="31">
        <f>VLOOKUP(K30,Reinigungstage!A10:B31,2,FALSE)</f>
        <v>77.91</v>
      </c>
      <c r="M30" s="31">
        <f t="shared" si="0"/>
        <v>1212.28</v>
      </c>
      <c r="N30" s="83">
        <f t="shared" si="1"/>
        <v>0</v>
      </c>
      <c r="O30" s="31">
        <f ca="1">IF('SVS UnterhaltsRG'!H61="",0,'SVS UnterhaltsRG'!H61)</f>
        <v>0</v>
      </c>
      <c r="P30" s="31">
        <f t="shared" si="2"/>
        <v>0</v>
      </c>
      <c r="Q30" s="31">
        <f t="shared" ca="1" si="3"/>
        <v>0</v>
      </c>
      <c r="R30" s="31">
        <f t="shared" si="4"/>
        <v>0</v>
      </c>
      <c r="S30" s="31">
        <f t="shared" ca="1" si="5"/>
        <v>0</v>
      </c>
      <c r="T30" s="3" t="str">
        <f t="shared" si="6"/>
        <v>Leistungswert eintragen</v>
      </c>
      <c r="U30" s="3">
        <f t="shared" si="7"/>
        <v>168.75</v>
      </c>
      <c r="V30" s="3">
        <f t="shared" si="8"/>
        <v>0</v>
      </c>
    </row>
    <row r="31" spans="1:22" ht="15" customHeight="1" x14ac:dyDescent="0.2">
      <c r="A31" s="67">
        <v>10</v>
      </c>
      <c r="B31" s="81"/>
      <c r="C31" s="82" t="s">
        <v>196</v>
      </c>
      <c r="D31" s="82"/>
      <c r="E31" s="82" t="s">
        <v>207</v>
      </c>
      <c r="F31" s="82" t="s">
        <v>198</v>
      </c>
      <c r="G31" s="44">
        <v>14.62</v>
      </c>
      <c r="H31" s="44"/>
      <c r="I31" s="44"/>
      <c r="J31" s="67" t="s">
        <v>229</v>
      </c>
      <c r="K31" s="44">
        <v>2</v>
      </c>
      <c r="L31" s="31">
        <f>VLOOKUP(K31,Reinigungstage!A10:B31,2,FALSE)</f>
        <v>77.91</v>
      </c>
      <c r="M31" s="31">
        <f t="shared" si="0"/>
        <v>1139.04</v>
      </c>
      <c r="N31" s="83">
        <f t="shared" si="1"/>
        <v>0</v>
      </c>
      <c r="O31" s="31">
        <f ca="1">IF('SVS UnterhaltsRG'!H61="",0,'SVS UnterhaltsRG'!H61)</f>
        <v>0</v>
      </c>
      <c r="P31" s="31">
        <f t="shared" si="2"/>
        <v>0</v>
      </c>
      <c r="Q31" s="31">
        <f t="shared" ca="1" si="3"/>
        <v>0</v>
      </c>
      <c r="R31" s="31">
        <f t="shared" si="4"/>
        <v>0</v>
      </c>
      <c r="S31" s="31">
        <f t="shared" ca="1" si="5"/>
        <v>0</v>
      </c>
      <c r="T31" s="3" t="str">
        <f t="shared" si="6"/>
        <v>Leistungswert eintragen</v>
      </c>
      <c r="U31" s="3">
        <f t="shared" si="7"/>
        <v>168.75</v>
      </c>
      <c r="V31" s="3">
        <f t="shared" si="8"/>
        <v>0</v>
      </c>
    </row>
    <row r="32" spans="1:22" ht="15" customHeight="1" x14ac:dyDescent="0.2">
      <c r="A32" s="67">
        <v>11</v>
      </c>
      <c r="B32" s="81"/>
      <c r="C32" s="82" t="s">
        <v>196</v>
      </c>
      <c r="D32" s="82"/>
      <c r="E32" s="82" t="s">
        <v>208</v>
      </c>
      <c r="F32" s="82" t="s">
        <v>198</v>
      </c>
      <c r="G32" s="44">
        <v>24.08</v>
      </c>
      <c r="H32" s="44"/>
      <c r="I32" s="44"/>
      <c r="J32" s="67" t="s">
        <v>229</v>
      </c>
      <c r="K32" s="44">
        <v>2</v>
      </c>
      <c r="L32" s="31">
        <f>VLOOKUP(K32,Reinigungstage!A10:B31,2,FALSE)</f>
        <v>77.91</v>
      </c>
      <c r="M32" s="31">
        <f t="shared" si="0"/>
        <v>1876.07</v>
      </c>
      <c r="N32" s="83">
        <f t="shared" si="1"/>
        <v>0</v>
      </c>
      <c r="O32" s="31">
        <f ca="1">IF('SVS UnterhaltsRG'!H61="",0,'SVS UnterhaltsRG'!H61)</f>
        <v>0</v>
      </c>
      <c r="P32" s="31">
        <f t="shared" si="2"/>
        <v>0</v>
      </c>
      <c r="Q32" s="31">
        <f t="shared" ca="1" si="3"/>
        <v>0</v>
      </c>
      <c r="R32" s="31">
        <f t="shared" si="4"/>
        <v>0</v>
      </c>
      <c r="S32" s="31">
        <f t="shared" ca="1" si="5"/>
        <v>0</v>
      </c>
      <c r="T32" s="3" t="str">
        <f t="shared" si="6"/>
        <v>Leistungswert eintragen</v>
      </c>
      <c r="U32" s="3">
        <f t="shared" si="7"/>
        <v>168.75</v>
      </c>
      <c r="V32" s="3">
        <f t="shared" si="8"/>
        <v>0</v>
      </c>
    </row>
    <row r="33" spans="1:22" ht="15" customHeight="1" x14ac:dyDescent="0.2">
      <c r="A33" s="67">
        <v>12</v>
      </c>
      <c r="B33" s="81"/>
      <c r="C33" s="82" t="s">
        <v>196</v>
      </c>
      <c r="D33" s="82"/>
      <c r="E33" s="82" t="s">
        <v>209</v>
      </c>
      <c r="F33" s="82" t="s">
        <v>210</v>
      </c>
      <c r="G33" s="44">
        <v>9.93</v>
      </c>
      <c r="H33" s="44"/>
      <c r="I33" s="44"/>
      <c r="J33" s="67" t="s">
        <v>230</v>
      </c>
      <c r="K33" s="44">
        <v>5</v>
      </c>
      <c r="L33" s="31">
        <f>VLOOKUP(K33,Reinigungstage!A10:B31,2,FALSE)</f>
        <v>187.5</v>
      </c>
      <c r="M33" s="31">
        <f t="shared" si="0"/>
        <v>1861.88</v>
      </c>
      <c r="N33" s="83">
        <f t="shared" si="1"/>
        <v>0</v>
      </c>
      <c r="O33" s="31">
        <f ca="1">IF('SVS UnterhaltsRG'!H61="",0,'SVS UnterhaltsRG'!H61)</f>
        <v>0</v>
      </c>
      <c r="P33" s="31">
        <f t="shared" si="2"/>
        <v>0</v>
      </c>
      <c r="Q33" s="31">
        <f t="shared" ca="1" si="3"/>
        <v>0</v>
      </c>
      <c r="R33" s="31">
        <f t="shared" si="4"/>
        <v>0</v>
      </c>
      <c r="S33" s="31">
        <f t="shared" ca="1" si="5"/>
        <v>0</v>
      </c>
      <c r="T33" s="3" t="str">
        <f t="shared" si="6"/>
        <v>Leistungswert eintragen</v>
      </c>
      <c r="U33" s="3">
        <f t="shared" si="7"/>
        <v>63.75</v>
      </c>
      <c r="V33" s="3">
        <f t="shared" si="8"/>
        <v>0</v>
      </c>
    </row>
    <row r="34" spans="1:22" ht="15" customHeight="1" x14ac:dyDescent="0.2">
      <c r="A34" s="67">
        <v>13</v>
      </c>
      <c r="B34" s="81"/>
      <c r="C34" s="82" t="s">
        <v>196</v>
      </c>
      <c r="D34" s="82"/>
      <c r="E34" s="82" t="s">
        <v>211</v>
      </c>
      <c r="F34" s="82" t="s">
        <v>210</v>
      </c>
      <c r="G34" s="44">
        <v>4.3</v>
      </c>
      <c r="H34" s="44"/>
      <c r="I34" s="44"/>
      <c r="J34" s="67" t="s">
        <v>230</v>
      </c>
      <c r="K34" s="44">
        <v>5</v>
      </c>
      <c r="L34" s="31">
        <f>VLOOKUP(K34,Reinigungstage!A10:B31,2,FALSE)</f>
        <v>187.5</v>
      </c>
      <c r="M34" s="31">
        <f t="shared" si="0"/>
        <v>806.25</v>
      </c>
      <c r="N34" s="83">
        <f t="shared" si="1"/>
        <v>0</v>
      </c>
      <c r="O34" s="31">
        <f ca="1">IF('SVS UnterhaltsRG'!H61="",0,'SVS UnterhaltsRG'!H61)</f>
        <v>0</v>
      </c>
      <c r="P34" s="31">
        <f t="shared" si="2"/>
        <v>0</v>
      </c>
      <c r="Q34" s="31">
        <f t="shared" ca="1" si="3"/>
        <v>0</v>
      </c>
      <c r="R34" s="31">
        <f t="shared" si="4"/>
        <v>0</v>
      </c>
      <c r="S34" s="31">
        <f t="shared" ca="1" si="5"/>
        <v>0</v>
      </c>
      <c r="T34" s="3" t="str">
        <f t="shared" si="6"/>
        <v>Leistungswert eintragen</v>
      </c>
      <c r="U34" s="3">
        <f t="shared" si="7"/>
        <v>63.75</v>
      </c>
      <c r="V34" s="3">
        <f t="shared" si="8"/>
        <v>0</v>
      </c>
    </row>
    <row r="35" spans="1:22" ht="15" customHeight="1" x14ac:dyDescent="0.2">
      <c r="A35" s="67">
        <v>14</v>
      </c>
      <c r="B35" s="81"/>
      <c r="C35" s="82" t="s">
        <v>196</v>
      </c>
      <c r="D35" s="82"/>
      <c r="E35" s="82" t="s">
        <v>212</v>
      </c>
      <c r="F35" s="82" t="s">
        <v>210</v>
      </c>
      <c r="G35" s="44">
        <v>10.91</v>
      </c>
      <c r="H35" s="44"/>
      <c r="I35" s="44"/>
      <c r="J35" s="67" t="s">
        <v>230</v>
      </c>
      <c r="K35" s="44">
        <v>5</v>
      </c>
      <c r="L35" s="31">
        <f>VLOOKUP(K35,Reinigungstage!A10:B31,2,FALSE)</f>
        <v>187.5</v>
      </c>
      <c r="M35" s="31">
        <f t="shared" si="0"/>
        <v>2045.63</v>
      </c>
      <c r="N35" s="83">
        <f t="shared" si="1"/>
        <v>0</v>
      </c>
      <c r="O35" s="31">
        <f ca="1">IF('SVS UnterhaltsRG'!H61="",0,'SVS UnterhaltsRG'!H61)</f>
        <v>0</v>
      </c>
      <c r="P35" s="31">
        <f t="shared" si="2"/>
        <v>0</v>
      </c>
      <c r="Q35" s="31">
        <f t="shared" ca="1" si="3"/>
        <v>0</v>
      </c>
      <c r="R35" s="31">
        <f t="shared" si="4"/>
        <v>0</v>
      </c>
      <c r="S35" s="31">
        <f t="shared" ca="1" si="5"/>
        <v>0</v>
      </c>
      <c r="T35" s="3" t="str">
        <f t="shared" si="6"/>
        <v>Leistungswert eintragen</v>
      </c>
      <c r="U35" s="3">
        <f t="shared" si="7"/>
        <v>63.75</v>
      </c>
      <c r="V35" s="3">
        <f t="shared" si="8"/>
        <v>0</v>
      </c>
    </row>
    <row r="36" spans="1:22" ht="15" customHeight="1" x14ac:dyDescent="0.2">
      <c r="A36" s="67">
        <v>15</v>
      </c>
      <c r="B36" s="81"/>
      <c r="C36" s="82" t="s">
        <v>196</v>
      </c>
      <c r="D36" s="82"/>
      <c r="E36" s="82" t="s">
        <v>211</v>
      </c>
      <c r="F36" s="82" t="s">
        <v>210</v>
      </c>
      <c r="G36" s="44">
        <v>3.84</v>
      </c>
      <c r="H36" s="44"/>
      <c r="I36" s="44"/>
      <c r="J36" s="67" t="s">
        <v>230</v>
      </c>
      <c r="K36" s="44">
        <v>5</v>
      </c>
      <c r="L36" s="31">
        <f>VLOOKUP(K36,Reinigungstage!A10:B31,2,FALSE)</f>
        <v>187.5</v>
      </c>
      <c r="M36" s="31">
        <f t="shared" si="0"/>
        <v>720</v>
      </c>
      <c r="N36" s="83">
        <f t="shared" si="1"/>
        <v>0</v>
      </c>
      <c r="O36" s="31">
        <f ca="1">IF('SVS UnterhaltsRG'!H61="",0,'SVS UnterhaltsRG'!H61)</f>
        <v>0</v>
      </c>
      <c r="P36" s="31">
        <f t="shared" si="2"/>
        <v>0</v>
      </c>
      <c r="Q36" s="31">
        <f t="shared" ca="1" si="3"/>
        <v>0</v>
      </c>
      <c r="R36" s="31">
        <f t="shared" si="4"/>
        <v>0</v>
      </c>
      <c r="S36" s="31">
        <f t="shared" ca="1" si="5"/>
        <v>0</v>
      </c>
      <c r="T36" s="3" t="str">
        <f t="shared" si="6"/>
        <v>Leistungswert eintragen</v>
      </c>
      <c r="U36" s="3">
        <f t="shared" si="7"/>
        <v>63.75</v>
      </c>
      <c r="V36" s="3">
        <f t="shared" si="8"/>
        <v>0</v>
      </c>
    </row>
    <row r="37" spans="1:22" ht="15" customHeight="1" x14ac:dyDescent="0.2">
      <c r="A37" s="67">
        <v>16</v>
      </c>
      <c r="B37" s="81"/>
      <c r="C37" s="82" t="s">
        <v>196</v>
      </c>
      <c r="D37" s="82"/>
      <c r="E37" s="82" t="s">
        <v>213</v>
      </c>
      <c r="F37" s="82" t="s">
        <v>210</v>
      </c>
      <c r="G37" s="44">
        <v>3.9</v>
      </c>
      <c r="H37" s="44"/>
      <c r="I37" s="44"/>
      <c r="J37" s="67" t="s">
        <v>230</v>
      </c>
      <c r="K37" s="44">
        <v>5</v>
      </c>
      <c r="L37" s="31">
        <f>VLOOKUP(K37,Reinigungstage!A10:B31,2,FALSE)</f>
        <v>187.5</v>
      </c>
      <c r="M37" s="31">
        <f t="shared" si="0"/>
        <v>731.25</v>
      </c>
      <c r="N37" s="83">
        <f t="shared" si="1"/>
        <v>0</v>
      </c>
      <c r="O37" s="31">
        <f ca="1">IF('SVS UnterhaltsRG'!H61="",0,'SVS UnterhaltsRG'!H61)</f>
        <v>0</v>
      </c>
      <c r="P37" s="31">
        <f t="shared" si="2"/>
        <v>0</v>
      </c>
      <c r="Q37" s="31">
        <f t="shared" ca="1" si="3"/>
        <v>0</v>
      </c>
      <c r="R37" s="31">
        <f t="shared" si="4"/>
        <v>0</v>
      </c>
      <c r="S37" s="31">
        <f t="shared" ca="1" si="5"/>
        <v>0</v>
      </c>
      <c r="T37" s="3" t="str">
        <f t="shared" si="6"/>
        <v>Leistungswert eintragen</v>
      </c>
      <c r="U37" s="3">
        <f t="shared" si="7"/>
        <v>63.75</v>
      </c>
      <c r="V37" s="3">
        <f t="shared" si="8"/>
        <v>0</v>
      </c>
    </row>
    <row r="38" spans="1:22" ht="15" customHeight="1" x14ac:dyDescent="0.2">
      <c r="A38" s="67">
        <v>17</v>
      </c>
      <c r="B38" s="81"/>
      <c r="C38" s="82" t="s">
        <v>196</v>
      </c>
      <c r="D38" s="82"/>
      <c r="E38" s="82" t="s">
        <v>214</v>
      </c>
      <c r="F38" s="82" t="s">
        <v>198</v>
      </c>
      <c r="G38" s="44">
        <v>4.5999999999999996</v>
      </c>
      <c r="H38" s="44"/>
      <c r="I38" s="44"/>
      <c r="J38" s="67" t="s">
        <v>231</v>
      </c>
      <c r="K38" s="67" t="s">
        <v>136</v>
      </c>
      <c r="L38" s="31">
        <f>VLOOKUP(K38,Reinigungstage!A10:B31,2,FALSE)</f>
        <v>11</v>
      </c>
      <c r="M38" s="31">
        <f t="shared" si="0"/>
        <v>50.6</v>
      </c>
      <c r="N38" s="83">
        <f t="shared" si="1"/>
        <v>0</v>
      </c>
      <c r="O38" s="31">
        <f ca="1">IF('SVS UnterhaltsRG'!H61="",0,'SVS UnterhaltsRG'!H61)</f>
        <v>0</v>
      </c>
      <c r="P38" s="31">
        <f t="shared" si="2"/>
        <v>0</v>
      </c>
      <c r="Q38" s="31">
        <f t="shared" ca="1" si="3"/>
        <v>0</v>
      </c>
      <c r="R38" s="31">
        <f t="shared" si="4"/>
        <v>0</v>
      </c>
      <c r="S38" s="31">
        <f t="shared" ca="1" si="5"/>
        <v>0</v>
      </c>
      <c r="T38" s="3" t="str">
        <f t="shared" si="6"/>
        <v>Leistungswert eintragen</v>
      </c>
      <c r="U38" s="3">
        <f t="shared" si="7"/>
        <v>262.5</v>
      </c>
      <c r="V38" s="3">
        <f t="shared" si="8"/>
        <v>0</v>
      </c>
    </row>
    <row r="39" spans="1:22" ht="15" customHeight="1" x14ac:dyDescent="0.2">
      <c r="A39" s="67">
        <v>18</v>
      </c>
      <c r="B39" s="81"/>
      <c r="C39" s="82" t="s">
        <v>196</v>
      </c>
      <c r="D39" s="82"/>
      <c r="E39" s="82" t="s">
        <v>215</v>
      </c>
      <c r="F39" s="82" t="s">
        <v>210</v>
      </c>
      <c r="G39" s="44">
        <v>14.81</v>
      </c>
      <c r="H39" s="44"/>
      <c r="I39" s="44"/>
      <c r="J39" s="67" t="s">
        <v>232</v>
      </c>
      <c r="K39" s="44">
        <v>5</v>
      </c>
      <c r="L39" s="31">
        <f>VLOOKUP(K39,Reinigungstage!A10:B31,2,FALSE)</f>
        <v>187.5</v>
      </c>
      <c r="M39" s="31">
        <f t="shared" si="0"/>
        <v>2776.88</v>
      </c>
      <c r="N39" s="83">
        <f t="shared" si="1"/>
        <v>0</v>
      </c>
      <c r="O39" s="31">
        <f ca="1">IF('SVS UnterhaltsRG'!H61="",0,'SVS UnterhaltsRG'!H61)</f>
        <v>0</v>
      </c>
      <c r="P39" s="31">
        <f t="shared" si="2"/>
        <v>0</v>
      </c>
      <c r="Q39" s="31">
        <f t="shared" ca="1" si="3"/>
        <v>0</v>
      </c>
      <c r="R39" s="31">
        <f t="shared" si="4"/>
        <v>0</v>
      </c>
      <c r="S39" s="31">
        <f t="shared" ca="1" si="5"/>
        <v>0</v>
      </c>
      <c r="T39" s="3" t="str">
        <f t="shared" si="6"/>
        <v>Leistungswert eintragen</v>
      </c>
      <c r="U39" s="3">
        <f t="shared" si="7"/>
        <v>88.75</v>
      </c>
      <c r="V39" s="3">
        <f t="shared" si="8"/>
        <v>0</v>
      </c>
    </row>
    <row r="40" spans="1:22" ht="15" customHeight="1" x14ac:dyDescent="0.2">
      <c r="A40" s="67">
        <v>19</v>
      </c>
      <c r="B40" s="81"/>
      <c r="C40" s="82" t="s">
        <v>196</v>
      </c>
      <c r="D40" s="82"/>
      <c r="E40" s="82" t="s">
        <v>216</v>
      </c>
      <c r="F40" s="82" t="s">
        <v>198</v>
      </c>
      <c r="G40" s="44">
        <v>111.54</v>
      </c>
      <c r="H40" s="44"/>
      <c r="I40" s="44"/>
      <c r="J40" s="67" t="s">
        <v>228</v>
      </c>
      <c r="K40" s="44">
        <v>5</v>
      </c>
      <c r="L40" s="31">
        <f>VLOOKUP(K40,Reinigungstage!A10:B31,2,FALSE)</f>
        <v>187.5</v>
      </c>
      <c r="M40" s="31">
        <f t="shared" si="0"/>
        <v>20913.75</v>
      </c>
      <c r="N40" s="83">
        <f t="shared" si="1"/>
        <v>0</v>
      </c>
      <c r="O40" s="31">
        <f ca="1">IF('SVS UnterhaltsRG'!H61="",0,'SVS UnterhaltsRG'!H61)</f>
        <v>0</v>
      </c>
      <c r="P40" s="31">
        <f t="shared" si="2"/>
        <v>0</v>
      </c>
      <c r="Q40" s="31">
        <f t="shared" ca="1" si="3"/>
        <v>0</v>
      </c>
      <c r="R40" s="31">
        <f t="shared" si="4"/>
        <v>0</v>
      </c>
      <c r="S40" s="31">
        <f t="shared" ca="1" si="5"/>
        <v>0</v>
      </c>
      <c r="T40" s="3" t="str">
        <f t="shared" si="6"/>
        <v>Leistungswert eintragen</v>
      </c>
      <c r="U40" s="3">
        <f t="shared" si="7"/>
        <v>166.25</v>
      </c>
      <c r="V40" s="3">
        <f t="shared" si="8"/>
        <v>0</v>
      </c>
    </row>
    <row r="41" spans="1:22" ht="15" customHeight="1" x14ac:dyDescent="0.2">
      <c r="A41" s="67">
        <v>20</v>
      </c>
      <c r="B41" s="81"/>
      <c r="C41" s="82" t="s">
        <v>196</v>
      </c>
      <c r="D41" s="82"/>
      <c r="E41" s="82" t="s">
        <v>217</v>
      </c>
      <c r="F41" s="82" t="s">
        <v>198</v>
      </c>
      <c r="G41" s="44">
        <v>13.71</v>
      </c>
      <c r="H41" s="44"/>
      <c r="I41" s="44"/>
      <c r="J41" s="67" t="s">
        <v>231</v>
      </c>
      <c r="K41" s="67" t="s">
        <v>142</v>
      </c>
      <c r="L41" s="31">
        <f>VLOOKUP(K41,Reinigungstage!A10:B31,2,FALSE)</f>
        <v>1</v>
      </c>
      <c r="M41" s="31">
        <f t="shared" si="0"/>
        <v>13.71</v>
      </c>
      <c r="N41" s="83">
        <f t="shared" si="1"/>
        <v>0</v>
      </c>
      <c r="O41" s="31">
        <f ca="1">IF('SVS UnterhaltsRG'!H61="",0,'SVS UnterhaltsRG'!H61)</f>
        <v>0</v>
      </c>
      <c r="P41" s="31">
        <f t="shared" si="2"/>
        <v>0</v>
      </c>
      <c r="Q41" s="31">
        <f t="shared" ca="1" si="3"/>
        <v>0</v>
      </c>
      <c r="R41" s="31">
        <f t="shared" si="4"/>
        <v>0</v>
      </c>
      <c r="S41" s="31">
        <f t="shared" ca="1" si="5"/>
        <v>0</v>
      </c>
      <c r="T41" s="3" t="str">
        <f t="shared" si="6"/>
        <v>Leistungswert eintragen</v>
      </c>
      <c r="U41" s="3">
        <f t="shared" si="7"/>
        <v>262.5</v>
      </c>
      <c r="V41" s="3">
        <f t="shared" si="8"/>
        <v>0</v>
      </c>
    </row>
    <row r="42" spans="1:22" ht="15" customHeight="1" x14ac:dyDescent="0.2">
      <c r="A42" s="67">
        <v>21</v>
      </c>
      <c r="B42" s="81"/>
      <c r="C42" s="82" t="s">
        <v>196</v>
      </c>
      <c r="D42" s="82"/>
      <c r="E42" s="82" t="s">
        <v>218</v>
      </c>
      <c r="F42" s="82" t="s">
        <v>210</v>
      </c>
      <c r="G42" s="44">
        <v>5.52</v>
      </c>
      <c r="H42" s="44"/>
      <c r="I42" s="44"/>
      <c r="J42" s="67" t="s">
        <v>230</v>
      </c>
      <c r="K42" s="44">
        <v>5</v>
      </c>
      <c r="L42" s="31">
        <f>VLOOKUP(K42,Reinigungstage!A10:B31,2,FALSE)</f>
        <v>187.5</v>
      </c>
      <c r="M42" s="31">
        <f t="shared" si="0"/>
        <v>1035</v>
      </c>
      <c r="N42" s="83">
        <f t="shared" si="1"/>
        <v>0</v>
      </c>
      <c r="O42" s="31">
        <f ca="1">IF('SVS UnterhaltsRG'!H61="",0,'SVS UnterhaltsRG'!H61)</f>
        <v>0</v>
      </c>
      <c r="P42" s="31">
        <f t="shared" si="2"/>
        <v>0</v>
      </c>
      <c r="Q42" s="31">
        <f t="shared" ca="1" si="3"/>
        <v>0</v>
      </c>
      <c r="R42" s="31">
        <f t="shared" si="4"/>
        <v>0</v>
      </c>
      <c r="S42" s="31">
        <f t="shared" ca="1" si="5"/>
        <v>0</v>
      </c>
      <c r="T42" s="3" t="str">
        <f t="shared" si="6"/>
        <v>Leistungswert eintragen</v>
      </c>
      <c r="U42" s="3">
        <f t="shared" si="7"/>
        <v>63.75</v>
      </c>
      <c r="V42" s="3">
        <f t="shared" si="8"/>
        <v>0</v>
      </c>
    </row>
    <row r="43" spans="1:22" ht="15" customHeight="1" x14ac:dyDescent="0.2">
      <c r="A43" s="67">
        <v>22</v>
      </c>
      <c r="B43" s="81"/>
      <c r="C43" s="82" t="s">
        <v>196</v>
      </c>
      <c r="D43" s="82"/>
      <c r="E43" s="82" t="s">
        <v>219</v>
      </c>
      <c r="F43" s="82" t="s">
        <v>210</v>
      </c>
      <c r="G43" s="44">
        <v>6.39</v>
      </c>
      <c r="H43" s="44"/>
      <c r="I43" s="44"/>
      <c r="J43" s="67" t="s">
        <v>230</v>
      </c>
      <c r="K43" s="44">
        <v>5</v>
      </c>
      <c r="L43" s="31">
        <f>VLOOKUP(K43,Reinigungstage!A10:B31,2,FALSE)</f>
        <v>187.5</v>
      </c>
      <c r="M43" s="31">
        <f t="shared" si="0"/>
        <v>1198.1300000000001</v>
      </c>
      <c r="N43" s="83">
        <f t="shared" si="1"/>
        <v>0</v>
      </c>
      <c r="O43" s="31">
        <f ca="1">IF('SVS UnterhaltsRG'!H61="",0,'SVS UnterhaltsRG'!H61)</f>
        <v>0</v>
      </c>
      <c r="P43" s="31">
        <f t="shared" si="2"/>
        <v>0</v>
      </c>
      <c r="Q43" s="31">
        <f t="shared" ca="1" si="3"/>
        <v>0</v>
      </c>
      <c r="R43" s="31">
        <f t="shared" si="4"/>
        <v>0</v>
      </c>
      <c r="S43" s="31">
        <f t="shared" ca="1" si="5"/>
        <v>0</v>
      </c>
      <c r="T43" s="3" t="str">
        <f t="shared" si="6"/>
        <v>Leistungswert eintragen</v>
      </c>
      <c r="U43" s="3">
        <f t="shared" si="7"/>
        <v>63.75</v>
      </c>
      <c r="V43" s="3">
        <f t="shared" si="8"/>
        <v>0</v>
      </c>
    </row>
    <row r="44" spans="1:22" ht="15" customHeight="1" x14ac:dyDescent="0.2">
      <c r="A44" s="67">
        <v>23</v>
      </c>
      <c r="B44" s="81"/>
      <c r="C44" s="82" t="s">
        <v>196</v>
      </c>
      <c r="D44" s="82"/>
      <c r="E44" s="82" t="s">
        <v>220</v>
      </c>
      <c r="F44" s="82" t="s">
        <v>210</v>
      </c>
      <c r="G44" s="44">
        <v>3.58</v>
      </c>
      <c r="H44" s="44"/>
      <c r="I44" s="44"/>
      <c r="J44" s="67" t="s">
        <v>230</v>
      </c>
      <c r="K44" s="44">
        <v>5</v>
      </c>
      <c r="L44" s="31">
        <f>VLOOKUP(K44,Reinigungstage!A10:B31,2,FALSE)</f>
        <v>187.5</v>
      </c>
      <c r="M44" s="31">
        <f t="shared" si="0"/>
        <v>671.25</v>
      </c>
      <c r="N44" s="83">
        <f t="shared" si="1"/>
        <v>0</v>
      </c>
      <c r="O44" s="31">
        <f ca="1">IF('SVS UnterhaltsRG'!H61="",0,'SVS UnterhaltsRG'!H61)</f>
        <v>0</v>
      </c>
      <c r="P44" s="31">
        <f t="shared" si="2"/>
        <v>0</v>
      </c>
      <c r="Q44" s="31">
        <f t="shared" ca="1" si="3"/>
        <v>0</v>
      </c>
      <c r="R44" s="31">
        <f t="shared" si="4"/>
        <v>0</v>
      </c>
      <c r="S44" s="31">
        <f t="shared" ca="1" si="5"/>
        <v>0</v>
      </c>
      <c r="T44" s="3" t="str">
        <f t="shared" si="6"/>
        <v>Leistungswert eintragen</v>
      </c>
      <c r="U44" s="3">
        <f t="shared" si="7"/>
        <v>63.75</v>
      </c>
      <c r="V44" s="3">
        <f t="shared" si="8"/>
        <v>0</v>
      </c>
    </row>
    <row r="45" spans="1:22" ht="15" customHeight="1" x14ac:dyDescent="0.2">
      <c r="A45" s="67">
        <v>24</v>
      </c>
      <c r="B45" s="81"/>
      <c r="C45" s="82" t="s">
        <v>196</v>
      </c>
      <c r="D45" s="82"/>
      <c r="E45" s="82" t="s">
        <v>221</v>
      </c>
      <c r="F45" s="82" t="s">
        <v>210</v>
      </c>
      <c r="G45" s="44">
        <v>3.45</v>
      </c>
      <c r="H45" s="44"/>
      <c r="I45" s="44"/>
      <c r="J45" s="67" t="s">
        <v>231</v>
      </c>
      <c r="K45" s="67" t="s">
        <v>136</v>
      </c>
      <c r="L45" s="31">
        <f>VLOOKUP(K45,Reinigungstage!A10:B31,2,FALSE)</f>
        <v>11</v>
      </c>
      <c r="M45" s="31">
        <f t="shared" si="0"/>
        <v>37.950000000000003</v>
      </c>
      <c r="N45" s="83">
        <f t="shared" si="1"/>
        <v>0</v>
      </c>
      <c r="O45" s="31">
        <f ca="1">IF('SVS UnterhaltsRG'!H61="",0,'SVS UnterhaltsRG'!H61)</f>
        <v>0</v>
      </c>
      <c r="P45" s="31">
        <f t="shared" si="2"/>
        <v>0</v>
      </c>
      <c r="Q45" s="31">
        <f t="shared" ca="1" si="3"/>
        <v>0</v>
      </c>
      <c r="R45" s="31">
        <f t="shared" si="4"/>
        <v>0</v>
      </c>
      <c r="S45" s="31">
        <f t="shared" ca="1" si="5"/>
        <v>0</v>
      </c>
      <c r="T45" s="3" t="str">
        <f t="shared" si="6"/>
        <v>Leistungswert eintragen</v>
      </c>
      <c r="U45" s="3">
        <f t="shared" si="7"/>
        <v>262.5</v>
      </c>
      <c r="V45" s="3">
        <f t="shared" si="8"/>
        <v>0</v>
      </c>
    </row>
    <row r="46" spans="1:22" ht="15" customHeight="1" x14ac:dyDescent="0.2">
      <c r="A46" s="67">
        <v>25</v>
      </c>
      <c r="B46" s="81"/>
      <c r="C46" s="82" t="s">
        <v>196</v>
      </c>
      <c r="D46" s="82"/>
      <c r="E46" s="82" t="s">
        <v>222</v>
      </c>
      <c r="F46" s="82" t="s">
        <v>198</v>
      </c>
      <c r="G46" s="44">
        <v>8.61</v>
      </c>
      <c r="H46" s="44"/>
      <c r="I46" s="44"/>
      <c r="J46" s="67" t="s">
        <v>231</v>
      </c>
      <c r="K46" s="67" t="s">
        <v>136</v>
      </c>
      <c r="L46" s="31">
        <f>VLOOKUP(K46,Reinigungstage!A10:B31,2,FALSE)</f>
        <v>11</v>
      </c>
      <c r="M46" s="31">
        <f t="shared" si="0"/>
        <v>94.71</v>
      </c>
      <c r="N46" s="83">
        <f t="shared" si="1"/>
        <v>0</v>
      </c>
      <c r="O46" s="31">
        <f ca="1">IF('SVS UnterhaltsRG'!H61="",0,'SVS UnterhaltsRG'!H61)</f>
        <v>0</v>
      </c>
      <c r="P46" s="31">
        <f t="shared" si="2"/>
        <v>0</v>
      </c>
      <c r="Q46" s="31">
        <f t="shared" ca="1" si="3"/>
        <v>0</v>
      </c>
      <c r="R46" s="31">
        <f t="shared" si="4"/>
        <v>0</v>
      </c>
      <c r="S46" s="31">
        <f t="shared" ca="1" si="5"/>
        <v>0</v>
      </c>
      <c r="T46" s="3" t="str">
        <f t="shared" si="6"/>
        <v>Leistungswert eintragen</v>
      </c>
      <c r="U46" s="3">
        <f t="shared" si="7"/>
        <v>262.5</v>
      </c>
      <c r="V46" s="3">
        <f t="shared" si="8"/>
        <v>0</v>
      </c>
    </row>
    <row r="47" spans="1:22" ht="15" customHeight="1" x14ac:dyDescent="0.2">
      <c r="A47" s="67">
        <v>26</v>
      </c>
      <c r="B47" s="81"/>
      <c r="C47" s="82" t="s">
        <v>196</v>
      </c>
      <c r="D47" s="82"/>
      <c r="E47" s="82" t="s">
        <v>223</v>
      </c>
      <c r="F47" s="82" t="s">
        <v>198</v>
      </c>
      <c r="G47" s="44">
        <v>67.39</v>
      </c>
      <c r="H47" s="44"/>
      <c r="I47" s="44"/>
      <c r="J47" s="67" t="s">
        <v>227</v>
      </c>
      <c r="K47" s="44">
        <v>5</v>
      </c>
      <c r="L47" s="31">
        <f>VLOOKUP(K47,Reinigungstage!A10:B31,2,FALSE)</f>
        <v>187.5</v>
      </c>
      <c r="M47" s="31">
        <f t="shared" si="0"/>
        <v>12635.63</v>
      </c>
      <c r="N47" s="83">
        <f t="shared" si="1"/>
        <v>0</v>
      </c>
      <c r="O47" s="31">
        <f ca="1">IF('SVS UnterhaltsRG'!H61="",0,'SVS UnterhaltsRG'!H61)</f>
        <v>0</v>
      </c>
      <c r="P47" s="31">
        <f t="shared" si="2"/>
        <v>0</v>
      </c>
      <c r="Q47" s="31">
        <f t="shared" ca="1" si="3"/>
        <v>0</v>
      </c>
      <c r="R47" s="31">
        <f t="shared" si="4"/>
        <v>0</v>
      </c>
      <c r="S47" s="31">
        <f t="shared" ca="1" si="5"/>
        <v>0</v>
      </c>
      <c r="T47" s="3" t="str">
        <f t="shared" si="6"/>
        <v>Leistungswert eintragen</v>
      </c>
      <c r="U47" s="3">
        <f t="shared" si="7"/>
        <v>195</v>
      </c>
      <c r="V47" s="3">
        <f t="shared" si="8"/>
        <v>0</v>
      </c>
    </row>
    <row r="48" spans="1:22" ht="15" customHeight="1" x14ac:dyDescent="0.2">
      <c r="A48" s="67">
        <v>27</v>
      </c>
      <c r="B48" s="81"/>
      <c r="C48" s="82" t="s">
        <v>196</v>
      </c>
      <c r="D48" s="82"/>
      <c r="E48" s="82" t="s">
        <v>224</v>
      </c>
      <c r="F48" s="82" t="s">
        <v>210</v>
      </c>
      <c r="G48" s="44">
        <v>33.64</v>
      </c>
      <c r="H48" s="44"/>
      <c r="I48" s="44"/>
      <c r="J48" s="67" t="s">
        <v>233</v>
      </c>
      <c r="K48" s="44">
        <v>5</v>
      </c>
      <c r="L48" s="31">
        <f>VLOOKUP(K48,Reinigungstage!A10:B31,2,FALSE)</f>
        <v>187.5</v>
      </c>
      <c r="M48" s="31">
        <f t="shared" si="0"/>
        <v>6307.5</v>
      </c>
      <c r="N48" s="83">
        <f t="shared" si="1"/>
        <v>0</v>
      </c>
      <c r="O48" s="31">
        <f ca="1">IF('SVS UnterhaltsRG'!H61="",0,'SVS UnterhaltsRG'!H61)</f>
        <v>0</v>
      </c>
      <c r="P48" s="31">
        <f t="shared" si="2"/>
        <v>0</v>
      </c>
      <c r="Q48" s="31">
        <f t="shared" ca="1" si="3"/>
        <v>0</v>
      </c>
      <c r="R48" s="31">
        <f t="shared" si="4"/>
        <v>0</v>
      </c>
      <c r="S48" s="31">
        <f t="shared" ca="1" si="5"/>
        <v>0</v>
      </c>
      <c r="T48" s="3" t="str">
        <f t="shared" si="6"/>
        <v>Leistungswert eintragen</v>
      </c>
      <c r="U48" s="3">
        <f t="shared" si="7"/>
        <v>300</v>
      </c>
      <c r="V48" s="3">
        <f t="shared" si="8"/>
        <v>0</v>
      </c>
    </row>
    <row r="49" spans="1:22" ht="15" customHeight="1" x14ac:dyDescent="0.2">
      <c r="A49" s="67">
        <v>28</v>
      </c>
      <c r="B49" s="81"/>
      <c r="C49" s="82" t="s">
        <v>196</v>
      </c>
      <c r="D49" s="82"/>
      <c r="E49" s="82" t="s">
        <v>225</v>
      </c>
      <c r="F49" s="82" t="s">
        <v>210</v>
      </c>
      <c r="G49" s="44">
        <v>6.42</v>
      </c>
      <c r="H49" s="44"/>
      <c r="I49" s="44"/>
      <c r="J49" s="67" t="s">
        <v>233</v>
      </c>
      <c r="K49" s="44">
        <v>5</v>
      </c>
      <c r="L49" s="31">
        <f>VLOOKUP(K49,Reinigungstage!A10:B31,2,FALSE)</f>
        <v>187.5</v>
      </c>
      <c r="M49" s="31">
        <f t="shared" si="0"/>
        <v>1203.75</v>
      </c>
      <c r="N49" s="83">
        <f t="shared" si="1"/>
        <v>0</v>
      </c>
      <c r="O49" s="31">
        <f ca="1">IF('SVS UnterhaltsRG'!H61="",0,'SVS UnterhaltsRG'!H61)</f>
        <v>0</v>
      </c>
      <c r="P49" s="31">
        <f t="shared" si="2"/>
        <v>0</v>
      </c>
      <c r="Q49" s="31">
        <f t="shared" ca="1" si="3"/>
        <v>0</v>
      </c>
      <c r="R49" s="31">
        <f t="shared" si="4"/>
        <v>0</v>
      </c>
      <c r="S49" s="31">
        <f t="shared" ca="1" si="5"/>
        <v>0</v>
      </c>
      <c r="T49" s="3" t="str">
        <f t="shared" si="6"/>
        <v>Leistungswert eintragen</v>
      </c>
      <c r="U49" s="3">
        <f t="shared" si="7"/>
        <v>300</v>
      </c>
      <c r="V49" s="3">
        <f t="shared" si="8"/>
        <v>0</v>
      </c>
    </row>
    <row r="50" spans="1:22" ht="15" customHeight="1" x14ac:dyDescent="0.2">
      <c r="A50" s="67">
        <v>29</v>
      </c>
      <c r="B50" s="81"/>
      <c r="C50" s="82" t="s">
        <v>196</v>
      </c>
      <c r="D50" s="82"/>
      <c r="E50" s="82" t="s">
        <v>226</v>
      </c>
      <c r="F50" s="82" t="s">
        <v>210</v>
      </c>
      <c r="G50" s="44">
        <v>53.19</v>
      </c>
      <c r="H50" s="44"/>
      <c r="I50" s="44"/>
      <c r="J50" s="67" t="s">
        <v>233</v>
      </c>
      <c r="K50" s="44">
        <v>5</v>
      </c>
      <c r="L50" s="31">
        <f>VLOOKUP(K50,Reinigungstage!A10:B31,2,FALSE)</f>
        <v>187.5</v>
      </c>
      <c r="M50" s="31">
        <f t="shared" si="0"/>
        <v>9973.1299999999992</v>
      </c>
      <c r="N50" s="83">
        <f t="shared" si="1"/>
        <v>0</v>
      </c>
      <c r="O50" s="31">
        <f ca="1">IF('SVS UnterhaltsRG'!H61="",0,'SVS UnterhaltsRG'!H61)</f>
        <v>0</v>
      </c>
      <c r="P50" s="31">
        <f t="shared" si="2"/>
        <v>0</v>
      </c>
      <c r="Q50" s="31">
        <f t="shared" ca="1" si="3"/>
        <v>0</v>
      </c>
      <c r="R50" s="31">
        <f t="shared" si="4"/>
        <v>0</v>
      </c>
      <c r="S50" s="31">
        <f t="shared" ca="1" si="5"/>
        <v>0</v>
      </c>
      <c r="T50" s="3" t="str">
        <f t="shared" si="6"/>
        <v>Leistungswert eintragen</v>
      </c>
      <c r="U50" s="3">
        <f t="shared" si="7"/>
        <v>300</v>
      </c>
      <c r="V50" s="3">
        <f t="shared" si="8"/>
        <v>0</v>
      </c>
    </row>
    <row r="51" spans="1:22" ht="15" customHeight="1" x14ac:dyDescent="0.2">
      <c r="A51" s="67">
        <v>30</v>
      </c>
      <c r="B51" s="81"/>
      <c r="C51" s="82" t="s">
        <v>196</v>
      </c>
      <c r="D51" s="82"/>
      <c r="E51" s="82" t="s">
        <v>226</v>
      </c>
      <c r="F51" s="82" t="s">
        <v>210</v>
      </c>
      <c r="G51" s="44">
        <v>33.93</v>
      </c>
      <c r="H51" s="44"/>
      <c r="I51" s="44"/>
      <c r="J51" s="67" t="s">
        <v>233</v>
      </c>
      <c r="K51" s="44">
        <v>5</v>
      </c>
      <c r="L51" s="31">
        <f>VLOOKUP(K51,Reinigungstage!A10:B31,2,FALSE)</f>
        <v>187.5</v>
      </c>
      <c r="M51" s="31">
        <f t="shared" si="0"/>
        <v>6361.88</v>
      </c>
      <c r="N51" s="83">
        <f t="shared" si="1"/>
        <v>0</v>
      </c>
      <c r="O51" s="31">
        <f ca="1">IF('SVS UnterhaltsRG'!H61="",0,'SVS UnterhaltsRG'!H61)</f>
        <v>0</v>
      </c>
      <c r="P51" s="31">
        <f t="shared" si="2"/>
        <v>0</v>
      </c>
      <c r="Q51" s="31">
        <f t="shared" ca="1" si="3"/>
        <v>0</v>
      </c>
      <c r="R51" s="31">
        <f t="shared" si="4"/>
        <v>0</v>
      </c>
      <c r="S51" s="31">
        <f t="shared" ca="1" si="5"/>
        <v>0</v>
      </c>
      <c r="T51" s="3" t="str">
        <f t="shared" si="6"/>
        <v>Leistungswert eintragen</v>
      </c>
      <c r="U51" s="3">
        <f t="shared" si="7"/>
        <v>300</v>
      </c>
      <c r="V51" s="3">
        <f t="shared" si="8"/>
        <v>0</v>
      </c>
    </row>
  </sheetData>
  <sheetProtection algorithmName="SHA-512" hashValue="hKBTmkICbmWEKLBti3tsjfQ0abstsAmJaZCYpJwtAC/Bmq574FDjsWC4RxUtukV60OPHme+DKxveaNWFcH3kKg==" saltValue="rw1qZTOUNKZ/aN1F6PMT2w==" spinCount="100000" sheet="1" objects="1" scenarios="1"/>
  <sortState xmlns:xlrd2="http://schemas.microsoft.com/office/spreadsheetml/2017/richdata2" ref="U4:U10">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28"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27" priority="5" operator="containsText" text="Bitte prüfen Sie diese.">
      <formula>NOT(ISERROR(SEARCH("Bitte prüfen Sie diese.",L9)))</formula>
    </cfRule>
  </conditionalFormatting>
  <conditionalFormatting sqref="L10">
    <cfRule type="containsText" dxfId="26"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25" priority="3" operator="containsText" text="lediglich Fehleingaben vermeiden wollen.">
      <formula>NOT(ISERROR(SEARCH("lediglich Fehleingaben vermeiden wollen.",L11)))</formula>
    </cfRule>
  </conditionalFormatting>
  <conditionalFormatting sqref="M11">
    <cfRule type="containsText" dxfId="24"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23" priority="7" operator="containsText" text="für die Objektart prüfen.">
      <formula>NOT(ISERROR(SEARCH("für die Objektart prüfen.",M12)))</formula>
    </cfRule>
  </conditionalFormatting>
  <conditionalFormatting sqref="N13">
    <cfRule type="expression" dxfId="22" priority="2" stopIfTrue="1">
      <formula>N13=0</formula>
    </cfRule>
  </conditionalFormatting>
  <conditionalFormatting sqref="N14">
    <cfRule type="expression" dxfId="21" priority="1">
      <formula>N14=0</formula>
    </cfRule>
  </conditionalFormatting>
  <conditionalFormatting sqref="N22:N51">
    <cfRule type="expression" dxfId="20" priority="11">
      <formula>V22=0</formula>
    </cfRule>
    <cfRule type="expression" dxfId="19" priority="12" stopIfTrue="1">
      <formula>V22=1</formula>
    </cfRule>
  </conditionalFormatting>
  <conditionalFormatting sqref="O13">
    <cfRule type="containsText" dxfId="18"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17" priority="9" operator="containsText" text="Wert(e) prüfen.">
      <formula>NOT(ISERROR(SEARCH("Wert(e) prüfen.",O14)))</formula>
    </cfRule>
  </conditionalFormatting>
  <conditionalFormatting sqref="T22:T51">
    <cfRule type="containsText" dxfId="16" priority="13" stopIfTrue="1" operator="containsText" text="SVS prüfen">
      <formula>NOT(ISERROR(SEARCH("SVS prüfen",T22)))</formula>
    </cfRule>
    <cfRule type="containsText" dxfId="15" priority="14" stopIfTrue="1" operator="containsText" text="Leistungswert eintragen">
      <formula>NOT(ISERROR(SEARCH("Leistungswert eintragen",T22)))</formula>
    </cfRule>
  </conditionalFormatting>
  <hyperlinks>
    <hyperlink ref="M1" location="Inhaltsverzeichnis!A1" display="Zurück zum Inhaltsverzeichnis" xr:uid="{C5293CDD-8A1F-47CF-A5A2-4F3173D443D6}"/>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Unter GS Nord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6498"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6499"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6500"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DEA14-6C6C-4989-BB87-4F05B85D7535}">
  <sheetPr codeName="Tabelle23">
    <tabColor indexed="40"/>
  </sheetPr>
  <dimension ref="A1:X47"/>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19" t="s">
        <v>150</v>
      </c>
      <c r="B2" s="120"/>
      <c r="C2" s="120"/>
      <c r="D2" s="120"/>
      <c r="E2" s="121"/>
      <c r="G2" s="122" t="s">
        <v>163</v>
      </c>
      <c r="H2" s="122" t="s">
        <v>155</v>
      </c>
      <c r="I2" s="122" t="s">
        <v>156</v>
      </c>
      <c r="J2" s="122" t="s">
        <v>175</v>
      </c>
      <c r="M2" s="66" t="b">
        <v>0</v>
      </c>
      <c r="N2" s="95"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95"/>
      <c r="P2" s="95"/>
      <c r="Q2" s="95"/>
    </row>
    <row r="3" spans="1:22" ht="24" customHeight="1" x14ac:dyDescent="0.2">
      <c r="A3" s="68" t="s">
        <v>158</v>
      </c>
      <c r="B3" s="69"/>
      <c r="C3" s="69"/>
      <c r="D3" s="69"/>
      <c r="E3" s="70"/>
      <c r="G3" s="123"/>
      <c r="H3" s="123"/>
      <c r="I3" s="123"/>
      <c r="J3" s="123"/>
      <c r="M3" s="66" t="b">
        <v>0</v>
      </c>
      <c r="N3" s="95"/>
      <c r="O3" s="95"/>
      <c r="P3" s="95"/>
      <c r="Q3" s="95"/>
    </row>
    <row r="4" spans="1:22" ht="18.600000000000001" customHeight="1" x14ac:dyDescent="0.2">
      <c r="A4" s="117" t="s">
        <v>91</v>
      </c>
      <c r="B4" s="127" t="str">
        <f>IF(Inhaltsverzeichnis!C3="","",Inhaltsverzeichnis!C3)</f>
        <v/>
      </c>
      <c r="C4" s="128"/>
      <c r="D4" s="128"/>
      <c r="E4" s="129"/>
      <c r="G4" s="67" t="s">
        <v>229</v>
      </c>
      <c r="H4" s="71"/>
      <c r="I4" s="72">
        <f ca="1">SUMIF('Kal Grund GS Nord'!J22:M47,$G$4,'Kal Grund GS Nord'!M22:M47)</f>
        <v>54.26</v>
      </c>
      <c r="J4" s="48">
        <f>COUNTIFS('Kal Grund GS Nord'!J22:M47,$G$4)</f>
        <v>3</v>
      </c>
      <c r="M4" s="66" t="b">
        <v>0</v>
      </c>
      <c r="N4" s="95"/>
      <c r="O4" s="95"/>
      <c r="P4" s="95"/>
      <c r="Q4" s="95"/>
      <c r="U4" s="67" t="s">
        <v>229</v>
      </c>
      <c r="V4" s="3">
        <v>11.5</v>
      </c>
    </row>
    <row r="5" spans="1:22" ht="15" customHeight="1" x14ac:dyDescent="0.2">
      <c r="A5" s="118"/>
      <c r="B5" s="130"/>
      <c r="C5" s="131"/>
      <c r="D5" s="131"/>
      <c r="E5" s="132"/>
      <c r="G5" s="67" t="s">
        <v>228</v>
      </c>
      <c r="H5" s="71"/>
      <c r="I5" s="72">
        <f ca="1">SUMIF('Kal Grund GS Nord'!J22:M47,$G$5,'Kal Grund GS Nord'!M22:M47)</f>
        <v>119.28</v>
      </c>
      <c r="J5" s="48">
        <f>COUNTIFS('Kal Grund GS Nord'!J22:M47,$G$5)</f>
        <v>2</v>
      </c>
      <c r="M5" s="66" t="b">
        <v>0</v>
      </c>
      <c r="N5" s="95"/>
      <c r="O5" s="95"/>
      <c r="P5" s="95"/>
      <c r="Q5" s="95"/>
      <c r="U5" s="67" t="s">
        <v>228</v>
      </c>
      <c r="V5" s="3">
        <v>12.75</v>
      </c>
    </row>
    <row r="6" spans="1:22" ht="15" customHeight="1" x14ac:dyDescent="0.2">
      <c r="A6" s="73" t="s">
        <v>173</v>
      </c>
      <c r="B6" s="133" t="s">
        <v>190</v>
      </c>
      <c r="C6" s="134"/>
      <c r="D6" s="134"/>
      <c r="E6" s="135"/>
      <c r="G6" s="67" t="s">
        <v>230</v>
      </c>
      <c r="H6" s="71"/>
      <c r="I6" s="72">
        <f ca="1">SUMIF('Kal Grund GS Nord'!J22:M47,$G$6,'Kal Grund GS Nord'!M22:M47)</f>
        <v>48.370000000000005</v>
      </c>
      <c r="J6" s="48">
        <f>COUNTIFS('Kal Grund GS Nord'!J22:M47,$G$6)</f>
        <v>8</v>
      </c>
      <c r="U6" s="67" t="s">
        <v>230</v>
      </c>
      <c r="V6" s="3">
        <v>6.25</v>
      </c>
    </row>
    <row r="7" spans="1:22" ht="15" customHeight="1" x14ac:dyDescent="0.2">
      <c r="A7" s="74" t="s">
        <v>171</v>
      </c>
      <c r="B7" s="136" t="s">
        <v>191</v>
      </c>
      <c r="C7" s="134"/>
      <c r="D7" s="134"/>
      <c r="E7" s="135"/>
      <c r="G7" s="67" t="s">
        <v>227</v>
      </c>
      <c r="H7" s="71"/>
      <c r="I7" s="72">
        <f ca="1">SUMIF('Kal Grund GS Nord'!J22:M47,$G$7,'Kal Grund GS Nord'!M22:M47)</f>
        <v>399.84000000000003</v>
      </c>
      <c r="J7" s="48">
        <f>COUNTIFS('Kal Grund GS Nord'!J22:M47,$G$7)</f>
        <v>8</v>
      </c>
      <c r="U7" s="67" t="s">
        <v>231</v>
      </c>
      <c r="V7" s="3">
        <v>18.5</v>
      </c>
    </row>
    <row r="8" spans="1:22" ht="15" customHeight="1" x14ac:dyDescent="0.2">
      <c r="A8" s="74" t="s">
        <v>172</v>
      </c>
      <c r="B8" s="133"/>
      <c r="C8" s="134"/>
      <c r="D8" s="134"/>
      <c r="E8" s="135"/>
      <c r="G8" s="67" t="s">
        <v>233</v>
      </c>
      <c r="H8" s="71"/>
      <c r="I8" s="72">
        <f ca="1">SUMIF('Kal Grund GS Nord'!J22:M47,$G$8,'Kal Grund GS Nord'!M22:M47)</f>
        <v>127.18</v>
      </c>
      <c r="J8" s="48">
        <f>COUNTIFS('Kal Grund GS Nord'!J22:M47,$G$8)</f>
        <v>4</v>
      </c>
      <c r="L8" s="84" t="str">
        <f>IF(N14&gt;0,"Ihre Eintragungen der Leistungswerte liegen weit über den Erfahrungswerten aus der Preisschätzung.","")</f>
        <v/>
      </c>
      <c r="U8" s="67" t="s">
        <v>227</v>
      </c>
      <c r="V8" s="3">
        <v>13.25</v>
      </c>
    </row>
    <row r="9" spans="1:22" ht="15" customHeight="1" x14ac:dyDescent="0.2">
      <c r="A9" s="73" t="s">
        <v>170</v>
      </c>
      <c r="B9" s="137" t="s">
        <v>189</v>
      </c>
      <c r="C9" s="134"/>
      <c r="D9" s="134"/>
      <c r="E9" s="135"/>
      <c r="G9" s="67" t="s">
        <v>232</v>
      </c>
      <c r="H9" s="71"/>
      <c r="I9" s="72">
        <f ca="1">SUMIF('Kal Grund GS Nord'!J22:M47,$G$9,'Kal Grund GS Nord'!M22:M47)</f>
        <v>14.81</v>
      </c>
      <c r="J9" s="48">
        <f>COUNTIFS('Kal Grund GS Nord'!J22:M47,$G$9)</f>
        <v>1</v>
      </c>
      <c r="L9" s="84" t="str">
        <f>IF(N14&gt;0,"Bitte prüfen Sie diese.","")</f>
        <v/>
      </c>
      <c r="U9" s="67" t="s">
        <v>233</v>
      </c>
      <c r="V9" s="3">
        <v>21</v>
      </c>
    </row>
    <row r="10" spans="1:22" ht="15" customHeight="1" x14ac:dyDescent="0.2">
      <c r="A10" s="74" t="s">
        <v>152</v>
      </c>
      <c r="B10" s="133" t="s">
        <v>192</v>
      </c>
      <c r="C10" s="134"/>
      <c r="D10" s="134"/>
      <c r="E10" s="135"/>
      <c r="L10" s="84" t="str">
        <f>IF(N14&gt;0,"Beachten Sie, dass Sie frei in der Kalkulation dieser Leistungswerte sind und wir durch den Hinweis","")</f>
        <v/>
      </c>
      <c r="U10" s="67" t="s">
        <v>232</v>
      </c>
      <c r="V10" s="3">
        <v>15.375</v>
      </c>
    </row>
    <row r="11" spans="1:22" ht="15" customHeight="1" x14ac:dyDescent="0.2">
      <c r="A11" s="74" t="s">
        <v>153</v>
      </c>
      <c r="B11" s="138" t="s">
        <v>193</v>
      </c>
      <c r="C11" s="134"/>
      <c r="D11" s="134"/>
      <c r="E11" s="135"/>
      <c r="L11" s="84" t="str">
        <f>IF(N14&gt;0,"lediglich Fehleingaben vermeiden wollen.","")</f>
        <v/>
      </c>
    </row>
    <row r="12" spans="1:22" ht="15" customHeight="1" x14ac:dyDescent="0.2">
      <c r="A12" s="74" t="s">
        <v>154</v>
      </c>
      <c r="B12" s="133" t="s">
        <v>194</v>
      </c>
      <c r="C12" s="134"/>
      <c r="D12" s="134"/>
      <c r="E12" s="135"/>
    </row>
    <row r="13" spans="1:22" ht="15" customHeight="1" x14ac:dyDescent="0.2">
      <c r="A13" s="74" t="s">
        <v>157</v>
      </c>
      <c r="B13" s="124" t="str">
        <f>HYPERLINK("http://maps.google.de/maps?hl=de&amp;bav=on.2,or.r_qf.&amp;bvm=bv.44770516,d.Yms&amp;biw=1395&amp;bih=916&amp;um=1&amp;ie=UTF-8&amp;q="&amp;B7&amp;"+"&amp;B8&amp;"+"&amp;B10&amp;"+"&amp;B11&amp;"+"&amp;B12&amp;"","In Google-Maps anzeigen (wenn Internet verfügbar)")</f>
        <v>In Google-Maps anzeigen (wenn Internet verfügbar)</v>
      </c>
      <c r="C13" s="125"/>
      <c r="D13" s="125"/>
      <c r="E13" s="126"/>
    </row>
    <row r="14" spans="1:22" ht="15" customHeight="1" x14ac:dyDescent="0.2">
      <c r="N14" s="75">
        <f>COUNTIF(X22:X$47,1)</f>
        <v>0</v>
      </c>
      <c r="O14" s="3" t="str">
        <f>IF(N14&gt;0,"Wert(e) prüfen.","")</f>
        <v/>
      </c>
      <c r="S14" s="77">
        <f>IF(COUNTA($S$22:$S$47)-COUNTBLANK($S$22:$S$47)=0,"",COUNTA($S$22:$S$47)-COUNTBLANK($S$22:$S$47))</f>
        <v>26</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114</v>
      </c>
      <c r="H20" s="1" t="s">
        <v>106</v>
      </c>
      <c r="I20" s="1" t="s">
        <v>107</v>
      </c>
      <c r="J20" s="1" t="s">
        <v>99</v>
      </c>
      <c r="K20" s="1" t="s">
        <v>104</v>
      </c>
      <c r="L20" s="1" t="s">
        <v>108</v>
      </c>
      <c r="M20" s="1" t="s">
        <v>109</v>
      </c>
      <c r="N20" s="1" t="s">
        <v>105</v>
      </c>
      <c r="O20" s="1" t="s">
        <v>110</v>
      </c>
      <c r="P20" s="1" t="s">
        <v>111</v>
      </c>
      <c r="Q20" s="1" t="s">
        <v>112</v>
      </c>
      <c r="R20" s="1" t="s">
        <v>133</v>
      </c>
    </row>
    <row r="21" spans="1:24" ht="29.1" customHeight="1" x14ac:dyDescent="0.2">
      <c r="A21" s="78" t="s">
        <v>118</v>
      </c>
      <c r="B21" s="12"/>
      <c r="C21" s="12"/>
      <c r="D21" s="12"/>
      <c r="E21" s="12"/>
      <c r="F21" s="12"/>
      <c r="G21" s="79">
        <f>SUM($G$22:$G$47)</f>
        <v>763.7399999999999</v>
      </c>
      <c r="H21" s="79">
        <f>SUM($H$22:$H$47)</f>
        <v>0</v>
      </c>
      <c r="I21" s="79">
        <f>SUM($I$22:$I$47)</f>
        <v>0</v>
      </c>
      <c r="J21" s="31"/>
      <c r="K21" s="31"/>
      <c r="L21" s="80">
        <f>MAX(L22:L47)</f>
        <v>1</v>
      </c>
      <c r="M21" s="79">
        <f>SUM($M$22:$M$47)</f>
        <v>763.7399999999999</v>
      </c>
      <c r="N21" s="31"/>
      <c r="O21" s="31"/>
      <c r="P21" s="79">
        <f>SUM($P$22:$P$47)</f>
        <v>0</v>
      </c>
      <c r="Q21" s="79">
        <f>SUM($Q$22:$Q$47)</f>
        <v>0</v>
      </c>
      <c r="R21" s="79">
        <f>ROUND(IF(Q21=0,0,Q21/L21),2)</f>
        <v>0</v>
      </c>
    </row>
    <row r="22" spans="1:24" ht="15" customHeight="1" x14ac:dyDescent="0.2">
      <c r="A22" s="67">
        <v>1</v>
      </c>
      <c r="B22" s="81"/>
      <c r="C22" s="82" t="s">
        <v>196</v>
      </c>
      <c r="D22" s="82"/>
      <c r="E22" s="82" t="s">
        <v>197</v>
      </c>
      <c r="F22" s="82" t="s">
        <v>198</v>
      </c>
      <c r="G22" s="44">
        <v>51.62</v>
      </c>
      <c r="H22" s="44"/>
      <c r="I22" s="44"/>
      <c r="J22" s="67" t="s">
        <v>227</v>
      </c>
      <c r="K22" s="67" t="s">
        <v>142</v>
      </c>
      <c r="L22" s="31">
        <f>VLOOKUP(K22,Reinigungstage!A10:C31,3,FALSE)</f>
        <v>1</v>
      </c>
      <c r="M22" s="31">
        <f t="shared" ref="M22:M47" si="0">ROUND(IF(L22=0,0,L22*G22),2)</f>
        <v>51.62</v>
      </c>
      <c r="N22" s="83">
        <f t="shared" ref="N22:N47" si="1">VLOOKUP(J22,$G$4:$H$9,2,FALSE)</f>
        <v>0</v>
      </c>
      <c r="O22" s="31">
        <f ca="1">IF('SVS GrundRG'!H61="",0,'SVS GrundRG'!H61)</f>
        <v>0</v>
      </c>
      <c r="P22" s="31">
        <f t="shared" ref="P22:P47" si="2">ROUND(IF(N22=0,0,M22/N22),2)</f>
        <v>0</v>
      </c>
      <c r="Q22" s="31">
        <f t="shared" ref="Q22:Q47" si="3">ROUND(IF(P22=0,0,P22*O22),2)</f>
        <v>0</v>
      </c>
      <c r="R22" s="31">
        <f t="shared" ref="R22:R47" si="4">ROUND(IF(P22=0,0,Q22/L22),2)</f>
        <v>0</v>
      </c>
      <c r="S22" s="3" t="str">
        <f t="shared" ref="S22:S47" si="5">IF(M22=0,"",IF(N22=0,"Leistungswert eintragen",IF(O22=0,"SVS prüfen","")))</f>
        <v>Leistungswert eintragen</v>
      </c>
      <c r="U22" s="3">
        <f t="shared" ref="U22:U47" si="6">VLOOKUP(J22,$U$4:$V$10,2,FALSE)</f>
        <v>13.25</v>
      </c>
      <c r="V22" s="3">
        <f t="shared" ref="V22:V47" si="7">U22*30%</f>
        <v>3.9749999999999996</v>
      </c>
      <c r="W22" s="3">
        <f t="shared" ref="W22:W47" si="8">SUM(U22:V22)</f>
        <v>17.225000000000001</v>
      </c>
      <c r="X22" s="3" t="str">
        <f t="shared" ref="X22:X47" si="9">IF(N22=0,"",IF(W22&lt;N22,1,IF(W22&gt;=N22,0,"")))</f>
        <v/>
      </c>
    </row>
    <row r="23" spans="1:24" ht="15" customHeight="1" x14ac:dyDescent="0.2">
      <c r="A23" s="67">
        <v>2</v>
      </c>
      <c r="B23" s="81"/>
      <c r="C23" s="82" t="s">
        <v>196</v>
      </c>
      <c r="D23" s="82"/>
      <c r="E23" s="82" t="s">
        <v>199</v>
      </c>
      <c r="F23" s="82" t="s">
        <v>198</v>
      </c>
      <c r="G23" s="44">
        <v>51.77</v>
      </c>
      <c r="H23" s="44"/>
      <c r="I23" s="44"/>
      <c r="J23" s="67" t="s">
        <v>227</v>
      </c>
      <c r="K23" s="67" t="s">
        <v>142</v>
      </c>
      <c r="L23" s="31">
        <f>VLOOKUP(K23,Reinigungstage!A10:C31,3,FALSE)</f>
        <v>1</v>
      </c>
      <c r="M23" s="31">
        <f t="shared" si="0"/>
        <v>51.77</v>
      </c>
      <c r="N23" s="83">
        <f t="shared" si="1"/>
        <v>0</v>
      </c>
      <c r="O23" s="31">
        <f ca="1">IF('SVS GrundRG'!H61="",0,'SVS GrundRG'!H61)</f>
        <v>0</v>
      </c>
      <c r="P23" s="31">
        <f t="shared" si="2"/>
        <v>0</v>
      </c>
      <c r="Q23" s="31">
        <f t="shared" si="3"/>
        <v>0</v>
      </c>
      <c r="R23" s="31">
        <f t="shared" si="4"/>
        <v>0</v>
      </c>
      <c r="S23" s="3" t="str">
        <f t="shared" si="5"/>
        <v>Leistungswert eintragen</v>
      </c>
      <c r="U23" s="3">
        <f t="shared" si="6"/>
        <v>13.25</v>
      </c>
      <c r="V23" s="3">
        <f t="shared" si="7"/>
        <v>3.9749999999999996</v>
      </c>
      <c r="W23" s="3">
        <f t="shared" si="8"/>
        <v>17.225000000000001</v>
      </c>
      <c r="X23" s="3" t="str">
        <f t="shared" si="9"/>
        <v/>
      </c>
    </row>
    <row r="24" spans="1:24" ht="15" customHeight="1" x14ac:dyDescent="0.2">
      <c r="A24" s="67">
        <v>3</v>
      </c>
      <c r="B24" s="81"/>
      <c r="C24" s="82" t="s">
        <v>196</v>
      </c>
      <c r="D24" s="82"/>
      <c r="E24" s="82" t="s">
        <v>200</v>
      </c>
      <c r="F24" s="82" t="s">
        <v>198</v>
      </c>
      <c r="G24" s="44">
        <v>51.78</v>
      </c>
      <c r="H24" s="44"/>
      <c r="I24" s="44"/>
      <c r="J24" s="67" t="s">
        <v>227</v>
      </c>
      <c r="K24" s="67" t="s">
        <v>142</v>
      </c>
      <c r="L24" s="31">
        <f>VLOOKUP(K24,Reinigungstage!A10:C31,3,FALSE)</f>
        <v>1</v>
      </c>
      <c r="M24" s="31">
        <f t="shared" si="0"/>
        <v>51.78</v>
      </c>
      <c r="N24" s="83">
        <f t="shared" si="1"/>
        <v>0</v>
      </c>
      <c r="O24" s="31">
        <f ca="1">IF('SVS GrundRG'!H61="",0,'SVS GrundRG'!H61)</f>
        <v>0</v>
      </c>
      <c r="P24" s="31">
        <f t="shared" si="2"/>
        <v>0</v>
      </c>
      <c r="Q24" s="31">
        <f t="shared" si="3"/>
        <v>0</v>
      </c>
      <c r="R24" s="31">
        <f t="shared" si="4"/>
        <v>0</v>
      </c>
      <c r="S24" s="3" t="str">
        <f t="shared" si="5"/>
        <v>Leistungswert eintragen</v>
      </c>
      <c r="U24" s="3">
        <f t="shared" si="6"/>
        <v>13.25</v>
      </c>
      <c r="V24" s="3">
        <f t="shared" si="7"/>
        <v>3.9749999999999996</v>
      </c>
      <c r="W24" s="3">
        <f t="shared" si="8"/>
        <v>17.225000000000001</v>
      </c>
      <c r="X24" s="3" t="str">
        <f t="shared" si="9"/>
        <v/>
      </c>
    </row>
    <row r="25" spans="1:24" ht="15" customHeight="1" x14ac:dyDescent="0.2">
      <c r="A25" s="67">
        <v>4</v>
      </c>
      <c r="B25" s="81"/>
      <c r="C25" s="82" t="s">
        <v>196</v>
      </c>
      <c r="D25" s="82"/>
      <c r="E25" s="82" t="s">
        <v>201</v>
      </c>
      <c r="F25" s="82" t="s">
        <v>198</v>
      </c>
      <c r="G25" s="44">
        <v>51.56</v>
      </c>
      <c r="H25" s="44"/>
      <c r="I25" s="44"/>
      <c r="J25" s="67" t="s">
        <v>227</v>
      </c>
      <c r="K25" s="67" t="s">
        <v>142</v>
      </c>
      <c r="L25" s="31">
        <f>VLOOKUP(K25,Reinigungstage!A10:C31,3,FALSE)</f>
        <v>1</v>
      </c>
      <c r="M25" s="31">
        <f t="shared" si="0"/>
        <v>51.56</v>
      </c>
      <c r="N25" s="83">
        <f t="shared" si="1"/>
        <v>0</v>
      </c>
      <c r="O25" s="31">
        <f ca="1">IF('SVS GrundRG'!H61="",0,'SVS GrundRG'!H61)</f>
        <v>0</v>
      </c>
      <c r="P25" s="31">
        <f t="shared" si="2"/>
        <v>0</v>
      </c>
      <c r="Q25" s="31">
        <f t="shared" si="3"/>
        <v>0</v>
      </c>
      <c r="R25" s="31">
        <f t="shared" si="4"/>
        <v>0</v>
      </c>
      <c r="S25" s="3" t="str">
        <f t="shared" si="5"/>
        <v>Leistungswert eintragen</v>
      </c>
      <c r="U25" s="3">
        <f t="shared" si="6"/>
        <v>13.25</v>
      </c>
      <c r="V25" s="3">
        <f t="shared" si="7"/>
        <v>3.9749999999999996</v>
      </c>
      <c r="W25" s="3">
        <f t="shared" si="8"/>
        <v>17.225000000000001</v>
      </c>
      <c r="X25" s="3" t="str">
        <f t="shared" si="9"/>
        <v/>
      </c>
    </row>
    <row r="26" spans="1:24" ht="15" customHeight="1" x14ac:dyDescent="0.2">
      <c r="A26" s="67">
        <v>5</v>
      </c>
      <c r="B26" s="81"/>
      <c r="C26" s="82" t="s">
        <v>196</v>
      </c>
      <c r="D26" s="82"/>
      <c r="E26" s="82" t="s">
        <v>202</v>
      </c>
      <c r="F26" s="82" t="s">
        <v>198</v>
      </c>
      <c r="G26" s="44">
        <v>51.56</v>
      </c>
      <c r="H26" s="44"/>
      <c r="I26" s="44"/>
      <c r="J26" s="67" t="s">
        <v>227</v>
      </c>
      <c r="K26" s="67" t="s">
        <v>142</v>
      </c>
      <c r="L26" s="31">
        <f>VLOOKUP(K26,Reinigungstage!A10:C31,3,FALSE)</f>
        <v>1</v>
      </c>
      <c r="M26" s="31">
        <f t="shared" si="0"/>
        <v>51.56</v>
      </c>
      <c r="N26" s="83">
        <f t="shared" si="1"/>
        <v>0</v>
      </c>
      <c r="O26" s="31">
        <f ca="1">IF('SVS GrundRG'!H61="",0,'SVS GrundRG'!H61)</f>
        <v>0</v>
      </c>
      <c r="P26" s="31">
        <f t="shared" si="2"/>
        <v>0</v>
      </c>
      <c r="Q26" s="31">
        <f t="shared" si="3"/>
        <v>0</v>
      </c>
      <c r="R26" s="31">
        <f t="shared" si="4"/>
        <v>0</v>
      </c>
      <c r="S26" s="3" t="str">
        <f t="shared" si="5"/>
        <v>Leistungswert eintragen</v>
      </c>
      <c r="U26" s="3">
        <f t="shared" si="6"/>
        <v>13.25</v>
      </c>
      <c r="V26" s="3">
        <f t="shared" si="7"/>
        <v>3.9749999999999996</v>
      </c>
      <c r="W26" s="3">
        <f t="shared" si="8"/>
        <v>17.225000000000001</v>
      </c>
      <c r="X26" s="3" t="str">
        <f t="shared" si="9"/>
        <v/>
      </c>
    </row>
    <row r="27" spans="1:24" ht="15" customHeight="1" x14ac:dyDescent="0.2">
      <c r="A27" s="67">
        <v>6</v>
      </c>
      <c r="B27" s="81"/>
      <c r="C27" s="82" t="s">
        <v>196</v>
      </c>
      <c r="D27" s="82"/>
      <c r="E27" s="82" t="s">
        <v>203</v>
      </c>
      <c r="F27" s="82" t="s">
        <v>198</v>
      </c>
      <c r="G27" s="44">
        <v>51.56</v>
      </c>
      <c r="H27" s="44"/>
      <c r="I27" s="44"/>
      <c r="J27" s="67" t="s">
        <v>227</v>
      </c>
      <c r="K27" s="67" t="s">
        <v>142</v>
      </c>
      <c r="L27" s="31">
        <f>VLOOKUP(K27,Reinigungstage!A10:C31,3,FALSE)</f>
        <v>1</v>
      </c>
      <c r="M27" s="31">
        <f t="shared" si="0"/>
        <v>51.56</v>
      </c>
      <c r="N27" s="83">
        <f t="shared" si="1"/>
        <v>0</v>
      </c>
      <c r="O27" s="31">
        <f ca="1">IF('SVS GrundRG'!H61="",0,'SVS GrundRG'!H61)</f>
        <v>0</v>
      </c>
      <c r="P27" s="31">
        <f t="shared" si="2"/>
        <v>0</v>
      </c>
      <c r="Q27" s="31">
        <f t="shared" si="3"/>
        <v>0</v>
      </c>
      <c r="R27" s="31">
        <f t="shared" si="4"/>
        <v>0</v>
      </c>
      <c r="S27" s="3" t="str">
        <f t="shared" si="5"/>
        <v>Leistungswert eintragen</v>
      </c>
      <c r="U27" s="3">
        <f t="shared" si="6"/>
        <v>13.25</v>
      </c>
      <c r="V27" s="3">
        <f t="shared" si="7"/>
        <v>3.9749999999999996</v>
      </c>
      <c r="W27" s="3">
        <f t="shared" si="8"/>
        <v>17.225000000000001</v>
      </c>
      <c r="X27" s="3" t="str">
        <f t="shared" si="9"/>
        <v/>
      </c>
    </row>
    <row r="28" spans="1:24" ht="15" customHeight="1" x14ac:dyDescent="0.2">
      <c r="A28" s="67">
        <v>7</v>
      </c>
      <c r="B28" s="81"/>
      <c r="C28" s="82" t="s">
        <v>196</v>
      </c>
      <c r="D28" s="82"/>
      <c r="E28" s="82" t="s">
        <v>204</v>
      </c>
      <c r="F28" s="82" t="s">
        <v>198</v>
      </c>
      <c r="G28" s="44">
        <v>22.6</v>
      </c>
      <c r="H28" s="44"/>
      <c r="I28" s="44"/>
      <c r="J28" s="67" t="s">
        <v>227</v>
      </c>
      <c r="K28" s="67" t="s">
        <v>142</v>
      </c>
      <c r="L28" s="31">
        <f>VLOOKUP(K28,Reinigungstage!A10:C31,3,FALSE)</f>
        <v>1</v>
      </c>
      <c r="M28" s="31">
        <f t="shared" si="0"/>
        <v>22.6</v>
      </c>
      <c r="N28" s="83">
        <f t="shared" si="1"/>
        <v>0</v>
      </c>
      <c r="O28" s="31">
        <f ca="1">IF('SVS GrundRG'!H61="",0,'SVS GrundRG'!H61)</f>
        <v>0</v>
      </c>
      <c r="P28" s="31">
        <f t="shared" si="2"/>
        <v>0</v>
      </c>
      <c r="Q28" s="31">
        <f t="shared" si="3"/>
        <v>0</v>
      </c>
      <c r="R28" s="31">
        <f t="shared" si="4"/>
        <v>0</v>
      </c>
      <c r="S28" s="3" t="str">
        <f t="shared" si="5"/>
        <v>Leistungswert eintragen</v>
      </c>
      <c r="U28" s="3">
        <f t="shared" si="6"/>
        <v>13.25</v>
      </c>
      <c r="V28" s="3">
        <f t="shared" si="7"/>
        <v>3.9749999999999996</v>
      </c>
      <c r="W28" s="3">
        <f t="shared" si="8"/>
        <v>17.225000000000001</v>
      </c>
      <c r="X28" s="3" t="str">
        <f t="shared" si="9"/>
        <v/>
      </c>
    </row>
    <row r="29" spans="1:24" ht="15" customHeight="1" x14ac:dyDescent="0.2">
      <c r="A29" s="67">
        <v>8</v>
      </c>
      <c r="B29" s="81"/>
      <c r="C29" s="82" t="s">
        <v>196</v>
      </c>
      <c r="D29" s="82"/>
      <c r="E29" s="82" t="s">
        <v>205</v>
      </c>
      <c r="F29" s="82" t="s">
        <v>198</v>
      </c>
      <c r="G29" s="44">
        <v>7.74</v>
      </c>
      <c r="H29" s="44"/>
      <c r="I29" s="44"/>
      <c r="J29" s="67" t="s">
        <v>228</v>
      </c>
      <c r="K29" s="67" t="s">
        <v>142</v>
      </c>
      <c r="L29" s="31">
        <f>VLOOKUP(K29,Reinigungstage!A10:C31,3,FALSE)</f>
        <v>1</v>
      </c>
      <c r="M29" s="31">
        <f t="shared" si="0"/>
        <v>7.74</v>
      </c>
      <c r="N29" s="83">
        <f t="shared" si="1"/>
        <v>0</v>
      </c>
      <c r="O29" s="31">
        <f ca="1">IF('SVS GrundRG'!H61="",0,'SVS GrundRG'!H61)</f>
        <v>0</v>
      </c>
      <c r="P29" s="31">
        <f t="shared" si="2"/>
        <v>0</v>
      </c>
      <c r="Q29" s="31">
        <f t="shared" si="3"/>
        <v>0</v>
      </c>
      <c r="R29" s="31">
        <f t="shared" si="4"/>
        <v>0</v>
      </c>
      <c r="S29" s="3" t="str">
        <f t="shared" si="5"/>
        <v>Leistungswert eintragen</v>
      </c>
      <c r="U29" s="3">
        <f t="shared" si="6"/>
        <v>12.75</v>
      </c>
      <c r="V29" s="3">
        <f t="shared" si="7"/>
        <v>3.8249999999999997</v>
      </c>
      <c r="W29" s="3">
        <f t="shared" si="8"/>
        <v>16.574999999999999</v>
      </c>
      <c r="X29" s="3" t="str">
        <f t="shared" si="9"/>
        <v/>
      </c>
    </row>
    <row r="30" spans="1:24" ht="15" customHeight="1" x14ac:dyDescent="0.2">
      <c r="A30" s="67">
        <v>9</v>
      </c>
      <c r="B30" s="81"/>
      <c r="C30" s="82" t="s">
        <v>196</v>
      </c>
      <c r="D30" s="82"/>
      <c r="E30" s="82" t="s">
        <v>206</v>
      </c>
      <c r="F30" s="82" t="s">
        <v>198</v>
      </c>
      <c r="G30" s="44">
        <v>15.56</v>
      </c>
      <c r="H30" s="44"/>
      <c r="I30" s="44"/>
      <c r="J30" s="67" t="s">
        <v>229</v>
      </c>
      <c r="K30" s="67" t="s">
        <v>142</v>
      </c>
      <c r="L30" s="31">
        <f>VLOOKUP(K30,Reinigungstage!A10:C31,3,FALSE)</f>
        <v>1</v>
      </c>
      <c r="M30" s="31">
        <f t="shared" si="0"/>
        <v>15.56</v>
      </c>
      <c r="N30" s="83">
        <f t="shared" si="1"/>
        <v>0</v>
      </c>
      <c r="O30" s="31">
        <f ca="1">IF('SVS GrundRG'!H61="",0,'SVS GrundRG'!H61)</f>
        <v>0</v>
      </c>
      <c r="P30" s="31">
        <f t="shared" si="2"/>
        <v>0</v>
      </c>
      <c r="Q30" s="31">
        <f t="shared" si="3"/>
        <v>0</v>
      </c>
      <c r="R30" s="31">
        <f t="shared" si="4"/>
        <v>0</v>
      </c>
      <c r="S30" s="3" t="str">
        <f t="shared" si="5"/>
        <v>Leistungswert eintragen</v>
      </c>
      <c r="U30" s="3">
        <f t="shared" si="6"/>
        <v>11.5</v>
      </c>
      <c r="V30" s="3">
        <f t="shared" si="7"/>
        <v>3.4499999999999997</v>
      </c>
      <c r="W30" s="3">
        <f t="shared" si="8"/>
        <v>14.95</v>
      </c>
      <c r="X30" s="3" t="str">
        <f t="shared" si="9"/>
        <v/>
      </c>
    </row>
    <row r="31" spans="1:24" ht="15" customHeight="1" x14ac:dyDescent="0.2">
      <c r="A31" s="67">
        <v>10</v>
      </c>
      <c r="B31" s="81"/>
      <c r="C31" s="82" t="s">
        <v>196</v>
      </c>
      <c r="D31" s="82"/>
      <c r="E31" s="82" t="s">
        <v>207</v>
      </c>
      <c r="F31" s="82" t="s">
        <v>198</v>
      </c>
      <c r="G31" s="44">
        <v>14.62</v>
      </c>
      <c r="H31" s="44"/>
      <c r="I31" s="44"/>
      <c r="J31" s="67" t="s">
        <v>229</v>
      </c>
      <c r="K31" s="67" t="s">
        <v>142</v>
      </c>
      <c r="L31" s="31">
        <f>VLOOKUP(K31,Reinigungstage!A10:C31,3,FALSE)</f>
        <v>1</v>
      </c>
      <c r="M31" s="31">
        <f t="shared" si="0"/>
        <v>14.62</v>
      </c>
      <c r="N31" s="83">
        <f t="shared" si="1"/>
        <v>0</v>
      </c>
      <c r="O31" s="31">
        <f ca="1">IF('SVS GrundRG'!H61="",0,'SVS GrundRG'!H61)</f>
        <v>0</v>
      </c>
      <c r="P31" s="31">
        <f t="shared" si="2"/>
        <v>0</v>
      </c>
      <c r="Q31" s="31">
        <f t="shared" si="3"/>
        <v>0</v>
      </c>
      <c r="R31" s="31">
        <f t="shared" si="4"/>
        <v>0</v>
      </c>
      <c r="S31" s="3" t="str">
        <f t="shared" si="5"/>
        <v>Leistungswert eintragen</v>
      </c>
      <c r="U31" s="3">
        <f t="shared" si="6"/>
        <v>11.5</v>
      </c>
      <c r="V31" s="3">
        <f t="shared" si="7"/>
        <v>3.4499999999999997</v>
      </c>
      <c r="W31" s="3">
        <f t="shared" si="8"/>
        <v>14.95</v>
      </c>
      <c r="X31" s="3" t="str">
        <f t="shared" si="9"/>
        <v/>
      </c>
    </row>
    <row r="32" spans="1:24" ht="15" customHeight="1" x14ac:dyDescent="0.2">
      <c r="A32" s="67">
        <v>11</v>
      </c>
      <c r="B32" s="81"/>
      <c r="C32" s="82" t="s">
        <v>196</v>
      </c>
      <c r="D32" s="82"/>
      <c r="E32" s="82" t="s">
        <v>208</v>
      </c>
      <c r="F32" s="82" t="s">
        <v>198</v>
      </c>
      <c r="G32" s="44">
        <v>24.08</v>
      </c>
      <c r="H32" s="44"/>
      <c r="I32" s="44"/>
      <c r="J32" s="67" t="s">
        <v>229</v>
      </c>
      <c r="K32" s="67" t="s">
        <v>142</v>
      </c>
      <c r="L32" s="31">
        <f>VLOOKUP(K32,Reinigungstage!A10:C31,3,FALSE)</f>
        <v>1</v>
      </c>
      <c r="M32" s="31">
        <f t="shared" si="0"/>
        <v>24.08</v>
      </c>
      <c r="N32" s="83">
        <f t="shared" si="1"/>
        <v>0</v>
      </c>
      <c r="O32" s="31">
        <f ca="1">IF('SVS GrundRG'!H61="",0,'SVS GrundRG'!H61)</f>
        <v>0</v>
      </c>
      <c r="P32" s="31">
        <f t="shared" si="2"/>
        <v>0</v>
      </c>
      <c r="Q32" s="31">
        <f t="shared" si="3"/>
        <v>0</v>
      </c>
      <c r="R32" s="31">
        <f t="shared" si="4"/>
        <v>0</v>
      </c>
      <c r="S32" s="3" t="str">
        <f t="shared" si="5"/>
        <v>Leistungswert eintragen</v>
      </c>
      <c r="U32" s="3">
        <f t="shared" si="6"/>
        <v>11.5</v>
      </c>
      <c r="V32" s="3">
        <f t="shared" si="7"/>
        <v>3.4499999999999997</v>
      </c>
      <c r="W32" s="3">
        <f t="shared" si="8"/>
        <v>14.95</v>
      </c>
      <c r="X32" s="3" t="str">
        <f t="shared" si="9"/>
        <v/>
      </c>
    </row>
    <row r="33" spans="1:24" ht="15" customHeight="1" x14ac:dyDescent="0.2">
      <c r="A33" s="67">
        <v>12</v>
      </c>
      <c r="B33" s="81"/>
      <c r="C33" s="82" t="s">
        <v>196</v>
      </c>
      <c r="D33" s="82"/>
      <c r="E33" s="82" t="s">
        <v>209</v>
      </c>
      <c r="F33" s="82" t="s">
        <v>210</v>
      </c>
      <c r="G33" s="44">
        <v>9.93</v>
      </c>
      <c r="H33" s="44"/>
      <c r="I33" s="44"/>
      <c r="J33" s="67" t="s">
        <v>230</v>
      </c>
      <c r="K33" s="67" t="s">
        <v>142</v>
      </c>
      <c r="L33" s="31">
        <f>VLOOKUP(K33,Reinigungstage!A10:C31,3,FALSE)</f>
        <v>1</v>
      </c>
      <c r="M33" s="31">
        <f t="shared" si="0"/>
        <v>9.93</v>
      </c>
      <c r="N33" s="83">
        <f t="shared" si="1"/>
        <v>0</v>
      </c>
      <c r="O33" s="31">
        <f ca="1">IF('SVS GrundRG'!H61="",0,'SVS GrundRG'!H61)</f>
        <v>0</v>
      </c>
      <c r="P33" s="31">
        <f t="shared" si="2"/>
        <v>0</v>
      </c>
      <c r="Q33" s="31">
        <f t="shared" si="3"/>
        <v>0</v>
      </c>
      <c r="R33" s="31">
        <f t="shared" si="4"/>
        <v>0</v>
      </c>
      <c r="S33" s="3" t="str">
        <f t="shared" si="5"/>
        <v>Leistungswert eintragen</v>
      </c>
      <c r="U33" s="3">
        <f t="shared" si="6"/>
        <v>6.25</v>
      </c>
      <c r="V33" s="3">
        <f t="shared" si="7"/>
        <v>1.875</v>
      </c>
      <c r="W33" s="3">
        <f t="shared" si="8"/>
        <v>8.125</v>
      </c>
      <c r="X33" s="3" t="str">
        <f t="shared" si="9"/>
        <v/>
      </c>
    </row>
    <row r="34" spans="1:24" ht="15" customHeight="1" x14ac:dyDescent="0.2">
      <c r="A34" s="67">
        <v>13</v>
      </c>
      <c r="B34" s="81"/>
      <c r="C34" s="82" t="s">
        <v>196</v>
      </c>
      <c r="D34" s="82"/>
      <c r="E34" s="82" t="s">
        <v>211</v>
      </c>
      <c r="F34" s="82" t="s">
        <v>210</v>
      </c>
      <c r="G34" s="44">
        <v>4.3</v>
      </c>
      <c r="H34" s="44"/>
      <c r="I34" s="44"/>
      <c r="J34" s="67" t="s">
        <v>230</v>
      </c>
      <c r="K34" s="67" t="s">
        <v>142</v>
      </c>
      <c r="L34" s="31">
        <f>VLOOKUP(K34,Reinigungstage!A10:C31,3,FALSE)</f>
        <v>1</v>
      </c>
      <c r="M34" s="31">
        <f t="shared" si="0"/>
        <v>4.3</v>
      </c>
      <c r="N34" s="83">
        <f t="shared" si="1"/>
        <v>0</v>
      </c>
      <c r="O34" s="31">
        <f ca="1">IF('SVS GrundRG'!H61="",0,'SVS GrundRG'!H61)</f>
        <v>0</v>
      </c>
      <c r="P34" s="31">
        <f t="shared" si="2"/>
        <v>0</v>
      </c>
      <c r="Q34" s="31">
        <f t="shared" si="3"/>
        <v>0</v>
      </c>
      <c r="R34" s="31">
        <f t="shared" si="4"/>
        <v>0</v>
      </c>
      <c r="S34" s="3" t="str">
        <f t="shared" si="5"/>
        <v>Leistungswert eintragen</v>
      </c>
      <c r="U34" s="3">
        <f t="shared" si="6"/>
        <v>6.25</v>
      </c>
      <c r="V34" s="3">
        <f t="shared" si="7"/>
        <v>1.875</v>
      </c>
      <c r="W34" s="3">
        <f t="shared" si="8"/>
        <v>8.125</v>
      </c>
      <c r="X34" s="3" t="str">
        <f t="shared" si="9"/>
        <v/>
      </c>
    </row>
    <row r="35" spans="1:24" ht="15" customHeight="1" x14ac:dyDescent="0.2">
      <c r="A35" s="67">
        <v>14</v>
      </c>
      <c r="B35" s="81"/>
      <c r="C35" s="82" t="s">
        <v>196</v>
      </c>
      <c r="D35" s="82"/>
      <c r="E35" s="82" t="s">
        <v>212</v>
      </c>
      <c r="F35" s="82" t="s">
        <v>210</v>
      </c>
      <c r="G35" s="44">
        <v>10.91</v>
      </c>
      <c r="H35" s="44"/>
      <c r="I35" s="44"/>
      <c r="J35" s="67" t="s">
        <v>230</v>
      </c>
      <c r="K35" s="67" t="s">
        <v>142</v>
      </c>
      <c r="L35" s="31">
        <f>VLOOKUP(K35,Reinigungstage!A10:C31,3,FALSE)</f>
        <v>1</v>
      </c>
      <c r="M35" s="31">
        <f t="shared" si="0"/>
        <v>10.91</v>
      </c>
      <c r="N35" s="83">
        <f t="shared" si="1"/>
        <v>0</v>
      </c>
      <c r="O35" s="31">
        <f ca="1">IF('SVS GrundRG'!H61="",0,'SVS GrundRG'!H61)</f>
        <v>0</v>
      </c>
      <c r="P35" s="31">
        <f t="shared" si="2"/>
        <v>0</v>
      </c>
      <c r="Q35" s="31">
        <f t="shared" si="3"/>
        <v>0</v>
      </c>
      <c r="R35" s="31">
        <f t="shared" si="4"/>
        <v>0</v>
      </c>
      <c r="S35" s="3" t="str">
        <f t="shared" si="5"/>
        <v>Leistungswert eintragen</v>
      </c>
      <c r="U35" s="3">
        <f t="shared" si="6"/>
        <v>6.25</v>
      </c>
      <c r="V35" s="3">
        <f t="shared" si="7"/>
        <v>1.875</v>
      </c>
      <c r="W35" s="3">
        <f t="shared" si="8"/>
        <v>8.125</v>
      </c>
      <c r="X35" s="3" t="str">
        <f t="shared" si="9"/>
        <v/>
      </c>
    </row>
    <row r="36" spans="1:24" ht="15" customHeight="1" x14ac:dyDescent="0.2">
      <c r="A36" s="67">
        <v>15</v>
      </c>
      <c r="B36" s="81"/>
      <c r="C36" s="82" t="s">
        <v>196</v>
      </c>
      <c r="D36" s="82"/>
      <c r="E36" s="82" t="s">
        <v>211</v>
      </c>
      <c r="F36" s="82" t="s">
        <v>210</v>
      </c>
      <c r="G36" s="44">
        <v>3.84</v>
      </c>
      <c r="H36" s="44"/>
      <c r="I36" s="44"/>
      <c r="J36" s="67" t="s">
        <v>230</v>
      </c>
      <c r="K36" s="67" t="s">
        <v>142</v>
      </c>
      <c r="L36" s="31">
        <f>VLOOKUP(K36,Reinigungstage!A10:C31,3,FALSE)</f>
        <v>1</v>
      </c>
      <c r="M36" s="31">
        <f t="shared" si="0"/>
        <v>3.84</v>
      </c>
      <c r="N36" s="83">
        <f t="shared" si="1"/>
        <v>0</v>
      </c>
      <c r="O36" s="31">
        <f ca="1">IF('SVS GrundRG'!H61="",0,'SVS GrundRG'!H61)</f>
        <v>0</v>
      </c>
      <c r="P36" s="31">
        <f t="shared" si="2"/>
        <v>0</v>
      </c>
      <c r="Q36" s="31">
        <f t="shared" si="3"/>
        <v>0</v>
      </c>
      <c r="R36" s="31">
        <f t="shared" si="4"/>
        <v>0</v>
      </c>
      <c r="S36" s="3" t="str">
        <f t="shared" si="5"/>
        <v>Leistungswert eintragen</v>
      </c>
      <c r="U36" s="3">
        <f t="shared" si="6"/>
        <v>6.25</v>
      </c>
      <c r="V36" s="3">
        <f t="shared" si="7"/>
        <v>1.875</v>
      </c>
      <c r="W36" s="3">
        <f t="shared" si="8"/>
        <v>8.125</v>
      </c>
      <c r="X36" s="3" t="str">
        <f t="shared" si="9"/>
        <v/>
      </c>
    </row>
    <row r="37" spans="1:24" ht="15" customHeight="1" x14ac:dyDescent="0.2">
      <c r="A37" s="67">
        <v>16</v>
      </c>
      <c r="B37" s="81"/>
      <c r="C37" s="82" t="s">
        <v>196</v>
      </c>
      <c r="D37" s="82"/>
      <c r="E37" s="82" t="s">
        <v>213</v>
      </c>
      <c r="F37" s="82" t="s">
        <v>210</v>
      </c>
      <c r="G37" s="44">
        <v>3.9</v>
      </c>
      <c r="H37" s="44"/>
      <c r="I37" s="44"/>
      <c r="J37" s="67" t="s">
        <v>230</v>
      </c>
      <c r="K37" s="67" t="s">
        <v>142</v>
      </c>
      <c r="L37" s="31">
        <f>VLOOKUP(K37,Reinigungstage!A10:C31,3,FALSE)</f>
        <v>1</v>
      </c>
      <c r="M37" s="31">
        <f t="shared" si="0"/>
        <v>3.9</v>
      </c>
      <c r="N37" s="83">
        <f t="shared" si="1"/>
        <v>0</v>
      </c>
      <c r="O37" s="31">
        <f ca="1">IF('SVS GrundRG'!H61="",0,'SVS GrundRG'!H61)</f>
        <v>0</v>
      </c>
      <c r="P37" s="31">
        <f t="shared" si="2"/>
        <v>0</v>
      </c>
      <c r="Q37" s="31">
        <f t="shared" si="3"/>
        <v>0</v>
      </c>
      <c r="R37" s="31">
        <f t="shared" si="4"/>
        <v>0</v>
      </c>
      <c r="S37" s="3" t="str">
        <f t="shared" si="5"/>
        <v>Leistungswert eintragen</v>
      </c>
      <c r="U37" s="3">
        <f t="shared" si="6"/>
        <v>6.25</v>
      </c>
      <c r="V37" s="3">
        <f t="shared" si="7"/>
        <v>1.875</v>
      </c>
      <c r="W37" s="3">
        <f t="shared" si="8"/>
        <v>8.125</v>
      </c>
      <c r="X37" s="3" t="str">
        <f t="shared" si="9"/>
        <v/>
      </c>
    </row>
    <row r="38" spans="1:24" ht="15" customHeight="1" x14ac:dyDescent="0.2">
      <c r="A38" s="67">
        <v>17</v>
      </c>
      <c r="B38" s="81"/>
      <c r="C38" s="82" t="s">
        <v>196</v>
      </c>
      <c r="D38" s="82"/>
      <c r="E38" s="82" t="s">
        <v>215</v>
      </c>
      <c r="F38" s="82" t="s">
        <v>210</v>
      </c>
      <c r="G38" s="44">
        <v>14.81</v>
      </c>
      <c r="H38" s="44"/>
      <c r="I38" s="44"/>
      <c r="J38" s="67" t="s">
        <v>232</v>
      </c>
      <c r="K38" s="67" t="s">
        <v>142</v>
      </c>
      <c r="L38" s="31">
        <f>VLOOKUP(K38,Reinigungstage!A10:C31,3,FALSE)</f>
        <v>1</v>
      </c>
      <c r="M38" s="31">
        <f t="shared" si="0"/>
        <v>14.81</v>
      </c>
      <c r="N38" s="83">
        <f t="shared" si="1"/>
        <v>0</v>
      </c>
      <c r="O38" s="31">
        <f ca="1">IF('SVS GrundRG'!H61="",0,'SVS GrundRG'!H61)</f>
        <v>0</v>
      </c>
      <c r="P38" s="31">
        <f t="shared" si="2"/>
        <v>0</v>
      </c>
      <c r="Q38" s="31">
        <f t="shared" si="3"/>
        <v>0</v>
      </c>
      <c r="R38" s="31">
        <f t="shared" si="4"/>
        <v>0</v>
      </c>
      <c r="S38" s="3" t="str">
        <f t="shared" si="5"/>
        <v>Leistungswert eintragen</v>
      </c>
      <c r="U38" s="3">
        <f t="shared" si="6"/>
        <v>15.375</v>
      </c>
      <c r="V38" s="3">
        <f t="shared" si="7"/>
        <v>4.6124999999999998</v>
      </c>
      <c r="W38" s="3">
        <f t="shared" si="8"/>
        <v>19.987500000000001</v>
      </c>
      <c r="X38" s="3" t="str">
        <f t="shared" si="9"/>
        <v/>
      </c>
    </row>
    <row r="39" spans="1:24" ht="15" customHeight="1" x14ac:dyDescent="0.2">
      <c r="A39" s="67">
        <v>18</v>
      </c>
      <c r="B39" s="81"/>
      <c r="C39" s="82" t="s">
        <v>196</v>
      </c>
      <c r="D39" s="82"/>
      <c r="E39" s="82" t="s">
        <v>216</v>
      </c>
      <c r="F39" s="82" t="s">
        <v>198</v>
      </c>
      <c r="G39" s="44">
        <v>111.54</v>
      </c>
      <c r="H39" s="44"/>
      <c r="I39" s="44"/>
      <c r="J39" s="67" t="s">
        <v>228</v>
      </c>
      <c r="K39" s="67" t="s">
        <v>142</v>
      </c>
      <c r="L39" s="31">
        <f>VLOOKUP(K39,Reinigungstage!A10:C31,3,FALSE)</f>
        <v>1</v>
      </c>
      <c r="M39" s="31">
        <f t="shared" si="0"/>
        <v>111.54</v>
      </c>
      <c r="N39" s="83">
        <f t="shared" si="1"/>
        <v>0</v>
      </c>
      <c r="O39" s="31">
        <f ca="1">IF('SVS GrundRG'!H61="",0,'SVS GrundRG'!H61)</f>
        <v>0</v>
      </c>
      <c r="P39" s="31">
        <f t="shared" si="2"/>
        <v>0</v>
      </c>
      <c r="Q39" s="31">
        <f t="shared" si="3"/>
        <v>0</v>
      </c>
      <c r="R39" s="31">
        <f t="shared" si="4"/>
        <v>0</v>
      </c>
      <c r="S39" s="3" t="str">
        <f t="shared" si="5"/>
        <v>Leistungswert eintragen</v>
      </c>
      <c r="U39" s="3">
        <f t="shared" si="6"/>
        <v>12.75</v>
      </c>
      <c r="V39" s="3">
        <f t="shared" si="7"/>
        <v>3.8249999999999997</v>
      </c>
      <c r="W39" s="3">
        <f t="shared" si="8"/>
        <v>16.574999999999999</v>
      </c>
      <c r="X39" s="3" t="str">
        <f t="shared" si="9"/>
        <v/>
      </c>
    </row>
    <row r="40" spans="1:24" ht="15" customHeight="1" x14ac:dyDescent="0.2">
      <c r="A40" s="67">
        <v>19</v>
      </c>
      <c r="B40" s="81"/>
      <c r="C40" s="82" t="s">
        <v>196</v>
      </c>
      <c r="D40" s="82"/>
      <c r="E40" s="82" t="s">
        <v>218</v>
      </c>
      <c r="F40" s="82" t="s">
        <v>210</v>
      </c>
      <c r="G40" s="44">
        <v>5.52</v>
      </c>
      <c r="H40" s="44"/>
      <c r="I40" s="44"/>
      <c r="J40" s="67" t="s">
        <v>230</v>
      </c>
      <c r="K40" s="67" t="s">
        <v>142</v>
      </c>
      <c r="L40" s="31">
        <f>VLOOKUP(K40,Reinigungstage!A10:C31,3,FALSE)</f>
        <v>1</v>
      </c>
      <c r="M40" s="31">
        <f t="shared" si="0"/>
        <v>5.52</v>
      </c>
      <c r="N40" s="83">
        <f t="shared" si="1"/>
        <v>0</v>
      </c>
      <c r="O40" s="31">
        <f ca="1">IF('SVS GrundRG'!H61="",0,'SVS GrundRG'!H61)</f>
        <v>0</v>
      </c>
      <c r="P40" s="31">
        <f t="shared" si="2"/>
        <v>0</v>
      </c>
      <c r="Q40" s="31">
        <f t="shared" si="3"/>
        <v>0</v>
      </c>
      <c r="R40" s="31">
        <f t="shared" si="4"/>
        <v>0</v>
      </c>
      <c r="S40" s="3" t="str">
        <f t="shared" si="5"/>
        <v>Leistungswert eintragen</v>
      </c>
      <c r="U40" s="3">
        <f t="shared" si="6"/>
        <v>6.25</v>
      </c>
      <c r="V40" s="3">
        <f t="shared" si="7"/>
        <v>1.875</v>
      </c>
      <c r="W40" s="3">
        <f t="shared" si="8"/>
        <v>8.125</v>
      </c>
      <c r="X40" s="3" t="str">
        <f t="shared" si="9"/>
        <v/>
      </c>
    </row>
    <row r="41" spans="1:24" ht="15" customHeight="1" x14ac:dyDescent="0.2">
      <c r="A41" s="67">
        <v>20</v>
      </c>
      <c r="B41" s="81"/>
      <c r="C41" s="82" t="s">
        <v>196</v>
      </c>
      <c r="D41" s="82"/>
      <c r="E41" s="82" t="s">
        <v>219</v>
      </c>
      <c r="F41" s="82" t="s">
        <v>210</v>
      </c>
      <c r="G41" s="44">
        <v>6.39</v>
      </c>
      <c r="H41" s="44"/>
      <c r="I41" s="44"/>
      <c r="J41" s="67" t="s">
        <v>230</v>
      </c>
      <c r="K41" s="67" t="s">
        <v>142</v>
      </c>
      <c r="L41" s="31">
        <f>VLOOKUP(K41,Reinigungstage!A10:C31,3,FALSE)</f>
        <v>1</v>
      </c>
      <c r="M41" s="31">
        <f t="shared" si="0"/>
        <v>6.39</v>
      </c>
      <c r="N41" s="83">
        <f t="shared" si="1"/>
        <v>0</v>
      </c>
      <c r="O41" s="31">
        <f ca="1">IF('SVS GrundRG'!H61="",0,'SVS GrundRG'!H61)</f>
        <v>0</v>
      </c>
      <c r="P41" s="31">
        <f t="shared" si="2"/>
        <v>0</v>
      </c>
      <c r="Q41" s="31">
        <f t="shared" si="3"/>
        <v>0</v>
      </c>
      <c r="R41" s="31">
        <f t="shared" si="4"/>
        <v>0</v>
      </c>
      <c r="S41" s="3" t="str">
        <f t="shared" si="5"/>
        <v>Leistungswert eintragen</v>
      </c>
      <c r="U41" s="3">
        <f t="shared" si="6"/>
        <v>6.25</v>
      </c>
      <c r="V41" s="3">
        <f t="shared" si="7"/>
        <v>1.875</v>
      </c>
      <c r="W41" s="3">
        <f t="shared" si="8"/>
        <v>8.125</v>
      </c>
      <c r="X41" s="3" t="str">
        <f t="shared" si="9"/>
        <v/>
      </c>
    </row>
    <row r="42" spans="1:24" ht="15" customHeight="1" x14ac:dyDescent="0.2">
      <c r="A42" s="67">
        <v>21</v>
      </c>
      <c r="B42" s="81"/>
      <c r="C42" s="82" t="s">
        <v>196</v>
      </c>
      <c r="D42" s="82"/>
      <c r="E42" s="82" t="s">
        <v>220</v>
      </c>
      <c r="F42" s="82" t="s">
        <v>210</v>
      </c>
      <c r="G42" s="44">
        <v>3.58</v>
      </c>
      <c r="H42" s="44"/>
      <c r="I42" s="44"/>
      <c r="J42" s="67" t="s">
        <v>230</v>
      </c>
      <c r="K42" s="67" t="s">
        <v>142</v>
      </c>
      <c r="L42" s="31">
        <f>VLOOKUP(K42,Reinigungstage!A10:C31,3,FALSE)</f>
        <v>1</v>
      </c>
      <c r="M42" s="31">
        <f t="shared" si="0"/>
        <v>3.58</v>
      </c>
      <c r="N42" s="83">
        <f t="shared" si="1"/>
        <v>0</v>
      </c>
      <c r="O42" s="31">
        <f ca="1">IF('SVS GrundRG'!H61="",0,'SVS GrundRG'!H61)</f>
        <v>0</v>
      </c>
      <c r="P42" s="31">
        <f t="shared" si="2"/>
        <v>0</v>
      </c>
      <c r="Q42" s="31">
        <f t="shared" si="3"/>
        <v>0</v>
      </c>
      <c r="R42" s="31">
        <f t="shared" si="4"/>
        <v>0</v>
      </c>
      <c r="S42" s="3" t="str">
        <f t="shared" si="5"/>
        <v>Leistungswert eintragen</v>
      </c>
      <c r="U42" s="3">
        <f t="shared" si="6"/>
        <v>6.25</v>
      </c>
      <c r="V42" s="3">
        <f t="shared" si="7"/>
        <v>1.875</v>
      </c>
      <c r="W42" s="3">
        <f t="shared" si="8"/>
        <v>8.125</v>
      </c>
      <c r="X42" s="3" t="str">
        <f t="shared" si="9"/>
        <v/>
      </c>
    </row>
    <row r="43" spans="1:24" ht="15" customHeight="1" x14ac:dyDescent="0.2">
      <c r="A43" s="67">
        <v>22</v>
      </c>
      <c r="B43" s="81"/>
      <c r="C43" s="82" t="s">
        <v>196</v>
      </c>
      <c r="D43" s="82"/>
      <c r="E43" s="82" t="s">
        <v>223</v>
      </c>
      <c r="F43" s="82" t="s">
        <v>198</v>
      </c>
      <c r="G43" s="44">
        <v>67.39</v>
      </c>
      <c r="H43" s="44"/>
      <c r="I43" s="44"/>
      <c r="J43" s="67" t="s">
        <v>227</v>
      </c>
      <c r="K43" s="67" t="s">
        <v>142</v>
      </c>
      <c r="L43" s="31">
        <f>VLOOKUP(K43,Reinigungstage!A10:C31,3,FALSE)</f>
        <v>1</v>
      </c>
      <c r="M43" s="31">
        <f t="shared" si="0"/>
        <v>67.39</v>
      </c>
      <c r="N43" s="83">
        <f t="shared" si="1"/>
        <v>0</v>
      </c>
      <c r="O43" s="31">
        <f ca="1">IF('SVS GrundRG'!H61="",0,'SVS GrundRG'!H61)</f>
        <v>0</v>
      </c>
      <c r="P43" s="31">
        <f t="shared" si="2"/>
        <v>0</v>
      </c>
      <c r="Q43" s="31">
        <f t="shared" si="3"/>
        <v>0</v>
      </c>
      <c r="R43" s="31">
        <f t="shared" si="4"/>
        <v>0</v>
      </c>
      <c r="S43" s="3" t="str">
        <f t="shared" si="5"/>
        <v>Leistungswert eintragen</v>
      </c>
      <c r="U43" s="3">
        <f t="shared" si="6"/>
        <v>13.25</v>
      </c>
      <c r="V43" s="3">
        <f t="shared" si="7"/>
        <v>3.9749999999999996</v>
      </c>
      <c r="W43" s="3">
        <f t="shared" si="8"/>
        <v>17.225000000000001</v>
      </c>
      <c r="X43" s="3" t="str">
        <f t="shared" si="9"/>
        <v/>
      </c>
    </row>
    <row r="44" spans="1:24" ht="15" customHeight="1" x14ac:dyDescent="0.2">
      <c r="A44" s="67">
        <v>23</v>
      </c>
      <c r="B44" s="81"/>
      <c r="C44" s="82" t="s">
        <v>196</v>
      </c>
      <c r="D44" s="82"/>
      <c r="E44" s="82" t="s">
        <v>224</v>
      </c>
      <c r="F44" s="82" t="s">
        <v>210</v>
      </c>
      <c r="G44" s="44">
        <v>33.64</v>
      </c>
      <c r="H44" s="44"/>
      <c r="I44" s="44"/>
      <c r="J44" s="67" t="s">
        <v>233</v>
      </c>
      <c r="K44" s="67" t="s">
        <v>142</v>
      </c>
      <c r="L44" s="31">
        <f>VLOOKUP(K44,Reinigungstage!A10:C31,3,FALSE)</f>
        <v>1</v>
      </c>
      <c r="M44" s="31">
        <f t="shared" si="0"/>
        <v>33.64</v>
      </c>
      <c r="N44" s="83">
        <f t="shared" si="1"/>
        <v>0</v>
      </c>
      <c r="O44" s="31">
        <f ca="1">IF('SVS GrundRG'!H61="",0,'SVS GrundRG'!H61)</f>
        <v>0</v>
      </c>
      <c r="P44" s="31">
        <f t="shared" si="2"/>
        <v>0</v>
      </c>
      <c r="Q44" s="31">
        <f t="shared" si="3"/>
        <v>0</v>
      </c>
      <c r="R44" s="31">
        <f t="shared" si="4"/>
        <v>0</v>
      </c>
      <c r="S44" s="3" t="str">
        <f t="shared" si="5"/>
        <v>Leistungswert eintragen</v>
      </c>
      <c r="U44" s="3">
        <f t="shared" si="6"/>
        <v>21</v>
      </c>
      <c r="V44" s="3">
        <f t="shared" si="7"/>
        <v>6.3</v>
      </c>
      <c r="W44" s="3">
        <f t="shared" si="8"/>
        <v>27.3</v>
      </c>
      <c r="X44" s="3" t="str">
        <f t="shared" si="9"/>
        <v/>
      </c>
    </row>
    <row r="45" spans="1:24" ht="15" customHeight="1" x14ac:dyDescent="0.2">
      <c r="A45" s="67">
        <v>24</v>
      </c>
      <c r="B45" s="81"/>
      <c r="C45" s="82" t="s">
        <v>196</v>
      </c>
      <c r="D45" s="82"/>
      <c r="E45" s="82" t="s">
        <v>225</v>
      </c>
      <c r="F45" s="82" t="s">
        <v>210</v>
      </c>
      <c r="G45" s="44">
        <v>6.42</v>
      </c>
      <c r="H45" s="44"/>
      <c r="I45" s="44"/>
      <c r="J45" s="67" t="s">
        <v>233</v>
      </c>
      <c r="K45" s="67" t="s">
        <v>142</v>
      </c>
      <c r="L45" s="31">
        <f>VLOOKUP(K45,Reinigungstage!A10:C31,3,FALSE)</f>
        <v>1</v>
      </c>
      <c r="M45" s="31">
        <f t="shared" si="0"/>
        <v>6.42</v>
      </c>
      <c r="N45" s="83">
        <f t="shared" si="1"/>
        <v>0</v>
      </c>
      <c r="O45" s="31">
        <f ca="1">IF('SVS GrundRG'!H61="",0,'SVS GrundRG'!H61)</f>
        <v>0</v>
      </c>
      <c r="P45" s="31">
        <f t="shared" si="2"/>
        <v>0</v>
      </c>
      <c r="Q45" s="31">
        <f t="shared" si="3"/>
        <v>0</v>
      </c>
      <c r="R45" s="31">
        <f t="shared" si="4"/>
        <v>0</v>
      </c>
      <c r="S45" s="3" t="str">
        <f t="shared" si="5"/>
        <v>Leistungswert eintragen</v>
      </c>
      <c r="U45" s="3">
        <f t="shared" si="6"/>
        <v>21</v>
      </c>
      <c r="V45" s="3">
        <f t="shared" si="7"/>
        <v>6.3</v>
      </c>
      <c r="W45" s="3">
        <f t="shared" si="8"/>
        <v>27.3</v>
      </c>
      <c r="X45" s="3" t="str">
        <f t="shared" si="9"/>
        <v/>
      </c>
    </row>
    <row r="46" spans="1:24" ht="15" customHeight="1" x14ac:dyDescent="0.2">
      <c r="A46" s="67">
        <v>25</v>
      </c>
      <c r="B46" s="81"/>
      <c r="C46" s="82" t="s">
        <v>196</v>
      </c>
      <c r="D46" s="82"/>
      <c r="E46" s="82" t="s">
        <v>226</v>
      </c>
      <c r="F46" s="82" t="s">
        <v>210</v>
      </c>
      <c r="G46" s="44">
        <v>53.19</v>
      </c>
      <c r="H46" s="44"/>
      <c r="I46" s="44"/>
      <c r="J46" s="67" t="s">
        <v>233</v>
      </c>
      <c r="K46" s="67" t="s">
        <v>142</v>
      </c>
      <c r="L46" s="31">
        <f>VLOOKUP(K46,Reinigungstage!A10:C31,3,FALSE)</f>
        <v>1</v>
      </c>
      <c r="M46" s="31">
        <f t="shared" si="0"/>
        <v>53.19</v>
      </c>
      <c r="N46" s="83">
        <f t="shared" si="1"/>
        <v>0</v>
      </c>
      <c r="O46" s="31">
        <f ca="1">IF('SVS GrundRG'!H61="",0,'SVS GrundRG'!H61)</f>
        <v>0</v>
      </c>
      <c r="P46" s="31">
        <f t="shared" si="2"/>
        <v>0</v>
      </c>
      <c r="Q46" s="31">
        <f t="shared" si="3"/>
        <v>0</v>
      </c>
      <c r="R46" s="31">
        <f t="shared" si="4"/>
        <v>0</v>
      </c>
      <c r="S46" s="3" t="str">
        <f t="shared" si="5"/>
        <v>Leistungswert eintragen</v>
      </c>
      <c r="U46" s="3">
        <f t="shared" si="6"/>
        <v>21</v>
      </c>
      <c r="V46" s="3">
        <f t="shared" si="7"/>
        <v>6.3</v>
      </c>
      <c r="W46" s="3">
        <f t="shared" si="8"/>
        <v>27.3</v>
      </c>
      <c r="X46" s="3" t="str">
        <f t="shared" si="9"/>
        <v/>
      </c>
    </row>
    <row r="47" spans="1:24" ht="15" customHeight="1" x14ac:dyDescent="0.2">
      <c r="A47" s="67">
        <v>26</v>
      </c>
      <c r="B47" s="81"/>
      <c r="C47" s="82" t="s">
        <v>196</v>
      </c>
      <c r="D47" s="82"/>
      <c r="E47" s="82" t="s">
        <v>226</v>
      </c>
      <c r="F47" s="82" t="s">
        <v>210</v>
      </c>
      <c r="G47" s="44">
        <v>33.93</v>
      </c>
      <c r="H47" s="44"/>
      <c r="I47" s="44"/>
      <c r="J47" s="67" t="s">
        <v>233</v>
      </c>
      <c r="K47" s="67" t="s">
        <v>142</v>
      </c>
      <c r="L47" s="31">
        <f>VLOOKUP(K47,Reinigungstage!A10:C31,3,FALSE)</f>
        <v>1</v>
      </c>
      <c r="M47" s="31">
        <f t="shared" si="0"/>
        <v>33.93</v>
      </c>
      <c r="N47" s="83">
        <f t="shared" si="1"/>
        <v>0</v>
      </c>
      <c r="O47" s="31">
        <f ca="1">IF('SVS GrundRG'!H61="",0,'SVS GrundRG'!H61)</f>
        <v>0</v>
      </c>
      <c r="P47" s="31">
        <f t="shared" si="2"/>
        <v>0</v>
      </c>
      <c r="Q47" s="31">
        <f t="shared" si="3"/>
        <v>0</v>
      </c>
      <c r="R47" s="31">
        <f t="shared" si="4"/>
        <v>0</v>
      </c>
      <c r="S47" s="3" t="str">
        <f t="shared" si="5"/>
        <v>Leistungswert eintragen</v>
      </c>
      <c r="U47" s="3">
        <f t="shared" si="6"/>
        <v>21</v>
      </c>
      <c r="V47" s="3">
        <f t="shared" si="7"/>
        <v>6.3</v>
      </c>
      <c r="W47" s="3">
        <f t="shared" si="8"/>
        <v>27.3</v>
      </c>
      <c r="X47" s="3" t="str">
        <f t="shared" si="9"/>
        <v/>
      </c>
    </row>
  </sheetData>
  <sheetProtection algorithmName="SHA-512" hashValue="3TWe3fEA1P1nVJBgT4z5T0KKY+kZpxDkk21SQ35TTXv+uBEdErtO9D2I+lP9MYZLnFH9Gd7bKk4lRcuU4TFSZQ==" saltValue="KlDKhX7q21nYKLSSmYr3ww==" spinCount="100000" sheet="1" objects="1" scenarios="1"/>
  <sortState xmlns:xlrd2="http://schemas.microsoft.com/office/spreadsheetml/2017/richdata2" ref="U4:U10">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14"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13" priority="5" operator="containsText" text="Bitte prüfen Sie diese.">
      <formula>NOT(ISERROR(SEARCH("Bitte prüfen Sie diese.",L9)))</formula>
    </cfRule>
  </conditionalFormatting>
  <conditionalFormatting sqref="L10">
    <cfRule type="containsText" dxfId="12"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11" priority="3" operator="containsText" text="lediglich Fehleingaben vermeiden wollen.">
      <formula>NOT(ISERROR(SEARCH("lediglich Fehleingaben vermeiden wollen.",L11)))</formula>
    </cfRule>
  </conditionalFormatting>
  <conditionalFormatting sqref="M11">
    <cfRule type="containsText" dxfId="10"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9" priority="7" operator="containsText" text="für die Objektart prüfen.">
      <formula>NOT(ISERROR(SEARCH("für die Objektart prüfen.",M12)))</formula>
    </cfRule>
  </conditionalFormatting>
  <conditionalFormatting sqref="N13">
    <cfRule type="expression" dxfId="8" priority="2" stopIfTrue="1">
      <formula>N13=0</formula>
    </cfRule>
  </conditionalFormatting>
  <conditionalFormatting sqref="N14">
    <cfRule type="expression" dxfId="7" priority="1">
      <formula>N14=0</formula>
    </cfRule>
  </conditionalFormatting>
  <conditionalFormatting sqref="N22:N47">
    <cfRule type="expression" dxfId="6" priority="11">
      <formula>X22=0</formula>
    </cfRule>
    <cfRule type="expression" dxfId="5" priority="12" stopIfTrue="1">
      <formula>X22=1</formula>
    </cfRule>
  </conditionalFormatting>
  <conditionalFormatting sqref="O13">
    <cfRule type="containsText" dxfId="4"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3" priority="9" operator="containsText" text="Wert(e) prüfen.">
      <formula>NOT(ISERROR(SEARCH("Wert(e) prüfen.",O14)))</formula>
    </cfRule>
  </conditionalFormatting>
  <conditionalFormatting sqref="S22:S47">
    <cfRule type="containsText" dxfId="2" priority="13" stopIfTrue="1" operator="containsText" text="SVS prüfen">
      <formula>NOT(ISERROR(SEARCH("SVS prüfen",S22)))</formula>
    </cfRule>
    <cfRule type="containsText" dxfId="1" priority="14" stopIfTrue="1" operator="containsText" text="Leistungswert eintragen">
      <formula>NOT(ISERROR(SEARCH("Leistungswert eintragen",S22)))</formula>
    </cfRule>
  </conditionalFormatting>
  <hyperlinks>
    <hyperlink ref="M1" location="Inhaltsverzeichnis!A1" display="Zurück zum Inhaltsverzeichnis" xr:uid="{20A15F52-D554-43D9-B77A-A9F77127537D}"/>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Grund GS Nord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07522"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07523"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07524"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7">
    <tabColor indexed="16"/>
  </sheetPr>
  <dimension ref="A1:O43"/>
  <sheetViews>
    <sheetView showGridLines="0" zoomScaleNormal="100" workbookViewId="0"/>
  </sheetViews>
  <sheetFormatPr baseColWidth="10" defaultColWidth="0" defaultRowHeight="15" customHeight="1" x14ac:dyDescent="0.15"/>
  <cols>
    <col min="1" max="1" width="7.7109375" style="14" customWidth="1"/>
    <col min="2" max="2" width="28.7109375" style="14" customWidth="1"/>
    <col min="3" max="3" width="35.7109375" style="14" customWidth="1"/>
    <col min="4" max="4" width="20.7109375" style="14" customWidth="1"/>
    <col min="5" max="5" width="11.7109375" style="14" customWidth="1"/>
    <col min="6" max="6" width="16.28515625" style="14" customWidth="1"/>
    <col min="7" max="7" width="17.28515625" style="14" customWidth="1"/>
    <col min="8" max="8" width="22.28515625" style="14" customWidth="1"/>
    <col min="9" max="9" width="11.7109375" style="14" hidden="1" customWidth="1"/>
    <col min="10" max="10" width="5.7109375" style="14" hidden="1" customWidth="1"/>
    <col min="11" max="11" width="12.7109375" style="14" hidden="1" customWidth="1"/>
    <col min="12" max="12" width="13.28515625" style="14" hidden="1" customWidth="1"/>
    <col min="13" max="13" width="10" style="14" hidden="1" customWidth="1"/>
    <col min="14" max="14" width="11.42578125" style="14" hidden="1" customWidth="1"/>
    <col min="15" max="15" width="10.5703125" style="14" hidden="1" customWidth="1"/>
    <col min="16" max="16384" width="0" style="14" hidden="1"/>
  </cols>
  <sheetData>
    <row r="1" spans="1:8" s="13" customFormat="1" ht="36" customHeight="1" x14ac:dyDescent="0.2">
      <c r="A1" s="13" t="s">
        <v>195</v>
      </c>
      <c r="D1" s="21"/>
      <c r="F1" s="22" t="s">
        <v>100</v>
      </c>
    </row>
    <row r="2" spans="1:8" s="13" customFormat="1" ht="25.9" customHeight="1" x14ac:dyDescent="0.2">
      <c r="A2" s="13" t="s">
        <v>103</v>
      </c>
      <c r="B2" s="34" t="str">
        <f>IF(Inhaltsverzeichnis!$C$3="", "",Inhaltsverzeichnis!$C$3)</f>
        <v/>
      </c>
      <c r="C2" s="23" t="b">
        <v>0</v>
      </c>
      <c r="D2" s="139" t="str">
        <f>IF(C2=TRUE,"Hier ist lediglich der Preis pro Einheit (€) auszufüllen.
Die rot markierten Informationen verschwinden, wenn die gelben Zellen ausgefüllt sind.  Wenn keine rote Schrift mehr angezeigt wird, ist alles ausgefüllt.","")</f>
        <v/>
      </c>
      <c r="E2" s="139"/>
      <c r="F2" s="139"/>
      <c r="G2" s="139"/>
    </row>
    <row r="3" spans="1:8" s="13" customFormat="1" ht="15" customHeight="1" x14ac:dyDescent="0.2">
      <c r="D3" s="140"/>
      <c r="E3" s="140"/>
      <c r="F3" s="140"/>
      <c r="G3" s="140"/>
      <c r="H3" s="24">
        <f>IF(COUNTA($H$5:$H$6)-COUNTBLANK($H$5:$H$6)=0,"",COUNTA($H$5:$H$6)-COUNTBLANK($H$5:$H$6))</f>
        <v>2</v>
      </c>
    </row>
    <row r="4" spans="1:8" ht="45" customHeight="1" x14ac:dyDescent="0.15">
      <c r="A4" s="28" t="s">
        <v>92</v>
      </c>
      <c r="B4" s="28" t="s">
        <v>113</v>
      </c>
      <c r="C4" s="29" t="s">
        <v>116</v>
      </c>
      <c r="D4" s="27" t="s">
        <v>146</v>
      </c>
      <c r="E4" s="27" t="s">
        <v>179</v>
      </c>
      <c r="F4" s="27" t="s">
        <v>180</v>
      </c>
      <c r="G4" s="27" t="s">
        <v>181</v>
      </c>
    </row>
    <row r="5" spans="1:8" ht="54.95" customHeight="1" x14ac:dyDescent="0.15">
      <c r="A5" s="35">
        <v>1</v>
      </c>
      <c r="B5" s="36" t="s">
        <v>189</v>
      </c>
      <c r="C5" s="36" t="s">
        <v>234</v>
      </c>
      <c r="D5" s="37" t="s">
        <v>235</v>
      </c>
      <c r="E5" s="37">
        <v>15</v>
      </c>
      <c r="F5" s="94"/>
      <c r="G5" s="38">
        <f>ROUND(IF(F5=0,0,F5*E5),2)</f>
        <v>0</v>
      </c>
      <c r="H5" s="13" t="str">
        <f>IF(F5=0,"Preis eintragen","")</f>
        <v>Preis eintragen</v>
      </c>
    </row>
    <row r="6" spans="1:8" ht="65.099999999999994" customHeight="1" x14ac:dyDescent="0.15">
      <c r="A6" s="35">
        <v>2</v>
      </c>
      <c r="B6" s="36" t="s">
        <v>189</v>
      </c>
      <c r="C6" s="36" t="s">
        <v>236</v>
      </c>
      <c r="D6" s="37" t="s">
        <v>237</v>
      </c>
      <c r="E6" s="37">
        <v>5</v>
      </c>
      <c r="F6" s="94"/>
      <c r="G6" s="38">
        <f>ROUND(IF(F6=0,0,F6*E6),2)</f>
        <v>0</v>
      </c>
      <c r="H6" s="13" t="str">
        <f>IF(F6=0,"Preis eintragen","")</f>
        <v>Preis eintragen</v>
      </c>
    </row>
    <row r="7" spans="1:8" ht="10.5" x14ac:dyDescent="0.15">
      <c r="A7" s="13"/>
      <c r="B7" s="13"/>
      <c r="C7" s="13"/>
      <c r="D7" s="13"/>
      <c r="E7" s="13"/>
      <c r="F7" s="13"/>
      <c r="G7" s="13"/>
      <c r="H7" s="13"/>
    </row>
    <row r="8" spans="1:8" ht="15" customHeight="1" x14ac:dyDescent="0.15">
      <c r="A8" s="13"/>
      <c r="B8" s="13" t="s">
        <v>253</v>
      </c>
      <c r="C8" s="13"/>
      <c r="D8" s="13"/>
      <c r="E8" s="13"/>
      <c r="F8" s="13"/>
      <c r="G8" s="13"/>
      <c r="H8" s="13"/>
    </row>
    <row r="9" spans="1:8" ht="15" customHeight="1" x14ac:dyDescent="0.15">
      <c r="A9" s="13"/>
      <c r="B9" s="13" t="s">
        <v>254</v>
      </c>
      <c r="C9" s="13"/>
      <c r="D9" s="13"/>
      <c r="E9" s="13"/>
      <c r="F9" s="13"/>
      <c r="G9" s="13"/>
      <c r="H9" s="13"/>
    </row>
    <row r="10" spans="1:8" ht="15" customHeight="1" x14ac:dyDescent="0.15">
      <c r="A10" s="13"/>
      <c r="B10" s="13" t="s">
        <v>255</v>
      </c>
      <c r="C10" s="13"/>
      <c r="D10" s="13"/>
      <c r="E10" s="13"/>
      <c r="F10" s="13"/>
      <c r="G10" s="13"/>
      <c r="H10" s="13"/>
    </row>
    <row r="11" spans="1:8" ht="10.5" x14ac:dyDescent="0.15">
      <c r="A11" s="13"/>
      <c r="B11" s="13"/>
      <c r="C11" s="13"/>
      <c r="D11" s="13"/>
      <c r="E11" s="13"/>
      <c r="F11" s="13"/>
      <c r="G11" s="13"/>
      <c r="H11" s="13"/>
    </row>
    <row r="12" spans="1:8" ht="15" customHeight="1" x14ac:dyDescent="0.15">
      <c r="A12" s="13"/>
      <c r="B12" s="13" t="s">
        <v>256</v>
      </c>
      <c r="C12" s="13"/>
      <c r="D12" s="13"/>
      <c r="E12" s="13"/>
      <c r="F12" s="13"/>
      <c r="G12" s="13"/>
      <c r="H12" s="13"/>
    </row>
    <row r="13" spans="1:8" ht="15" customHeight="1" x14ac:dyDescent="0.15">
      <c r="A13" s="13"/>
      <c r="B13" s="13" t="s">
        <v>257</v>
      </c>
      <c r="C13" s="13"/>
      <c r="D13" s="13"/>
      <c r="E13" s="13"/>
      <c r="F13" s="13"/>
      <c r="G13" s="13"/>
      <c r="H13" s="13"/>
    </row>
    <row r="14" spans="1:8" ht="15" customHeight="1" x14ac:dyDescent="0.15">
      <c r="A14" s="13"/>
      <c r="B14" s="13" t="s">
        <v>258</v>
      </c>
      <c r="C14" s="13"/>
      <c r="D14" s="13"/>
      <c r="E14" s="13"/>
      <c r="F14" s="13"/>
      <c r="G14" s="13"/>
      <c r="H14" s="13"/>
    </row>
    <row r="15" spans="1:8" ht="10.5" x14ac:dyDescent="0.15">
      <c r="A15" s="13"/>
      <c r="C15" s="13"/>
      <c r="D15" s="13"/>
      <c r="E15" s="13"/>
      <c r="F15" s="13"/>
      <c r="G15" s="13"/>
      <c r="H15" s="13"/>
    </row>
    <row r="16" spans="1:8" ht="15" customHeight="1" x14ac:dyDescent="0.15">
      <c r="A16" s="13"/>
      <c r="B16" s="13" t="s">
        <v>259</v>
      </c>
      <c r="C16" s="13"/>
      <c r="D16" s="13"/>
      <c r="E16" s="13"/>
      <c r="F16" s="13"/>
      <c r="G16" s="13"/>
      <c r="H16" s="13"/>
    </row>
    <row r="17" spans="1:8" ht="10.5" x14ac:dyDescent="0.15">
      <c r="A17" s="13"/>
      <c r="B17" s="13"/>
      <c r="C17" s="13"/>
      <c r="D17" s="13"/>
      <c r="E17" s="13"/>
      <c r="F17" s="13"/>
      <c r="G17" s="13"/>
      <c r="H17" s="13"/>
    </row>
    <row r="18" spans="1:8" ht="10.5" x14ac:dyDescent="0.15">
      <c r="A18" s="13"/>
      <c r="B18" s="13"/>
      <c r="C18" s="13"/>
      <c r="D18" s="13"/>
      <c r="E18" s="13"/>
      <c r="F18" s="13"/>
      <c r="G18" s="13"/>
      <c r="H18" s="13"/>
    </row>
    <row r="19" spans="1:8" ht="10.5" x14ac:dyDescent="0.15">
      <c r="A19" s="13"/>
      <c r="B19" s="13"/>
      <c r="C19" s="13"/>
      <c r="D19" s="13"/>
      <c r="E19" s="13"/>
      <c r="F19" s="13"/>
      <c r="G19" s="13"/>
      <c r="H19" s="13"/>
    </row>
    <row r="20" spans="1:8" ht="10.5" x14ac:dyDescent="0.15">
      <c r="A20" s="13"/>
      <c r="B20" s="13"/>
      <c r="C20" s="13"/>
      <c r="D20" s="13"/>
      <c r="E20" s="13"/>
      <c r="F20" s="13"/>
      <c r="G20" s="13"/>
      <c r="H20" s="13"/>
    </row>
    <row r="21" spans="1:8" ht="10.5" x14ac:dyDescent="0.15">
      <c r="A21" s="13"/>
      <c r="B21" s="13"/>
      <c r="C21" s="13"/>
      <c r="D21" s="13"/>
      <c r="E21" s="13"/>
      <c r="F21" s="13"/>
      <c r="G21" s="13"/>
      <c r="H21" s="13"/>
    </row>
    <row r="22" spans="1:8" ht="10.5" x14ac:dyDescent="0.15">
      <c r="A22" s="13"/>
      <c r="B22" s="13"/>
      <c r="C22" s="13"/>
      <c r="D22" s="13"/>
      <c r="E22" s="13"/>
      <c r="F22" s="13"/>
      <c r="G22" s="13"/>
      <c r="H22" s="13"/>
    </row>
    <row r="23" spans="1:8" ht="10.5" x14ac:dyDescent="0.15">
      <c r="A23" s="13"/>
      <c r="B23" s="13"/>
      <c r="C23" s="13"/>
      <c r="D23" s="13"/>
      <c r="E23" s="13"/>
      <c r="F23" s="13"/>
      <c r="G23" s="13"/>
      <c r="H23" s="13"/>
    </row>
    <row r="24" spans="1:8" ht="10.5" x14ac:dyDescent="0.15">
      <c r="A24" s="13"/>
      <c r="B24" s="13"/>
      <c r="C24" s="13"/>
      <c r="D24" s="13"/>
      <c r="E24" s="13"/>
      <c r="F24" s="13"/>
      <c r="G24" s="13"/>
      <c r="H24" s="13"/>
    </row>
    <row r="25" spans="1:8" ht="10.5" x14ac:dyDescent="0.15">
      <c r="A25" s="13"/>
      <c r="B25" s="13"/>
      <c r="C25" s="13"/>
      <c r="D25" s="13"/>
      <c r="E25" s="13"/>
      <c r="F25" s="13"/>
      <c r="G25" s="13"/>
      <c r="H25" s="13"/>
    </row>
    <row r="26" spans="1:8" ht="10.5" x14ac:dyDescent="0.15">
      <c r="A26" s="13"/>
      <c r="B26" s="13"/>
      <c r="C26" s="13"/>
      <c r="D26" s="13"/>
      <c r="E26" s="13"/>
      <c r="F26" s="13"/>
      <c r="G26" s="13"/>
      <c r="H26" s="13"/>
    </row>
    <row r="27" spans="1:8" ht="10.5" x14ac:dyDescent="0.15">
      <c r="A27" s="13"/>
      <c r="B27" s="13"/>
      <c r="C27" s="13"/>
      <c r="D27" s="13"/>
      <c r="E27" s="13"/>
      <c r="F27" s="13"/>
      <c r="G27" s="13"/>
      <c r="H27" s="13"/>
    </row>
    <row r="28" spans="1:8" ht="10.5" x14ac:dyDescent="0.15">
      <c r="A28" s="13"/>
      <c r="B28" s="13"/>
      <c r="C28" s="13"/>
      <c r="D28" s="13"/>
      <c r="E28" s="13"/>
      <c r="F28" s="13"/>
      <c r="G28" s="13"/>
      <c r="H28" s="13"/>
    </row>
    <row r="29" spans="1:8" ht="10.5" x14ac:dyDescent="0.15">
      <c r="A29" s="13"/>
      <c r="B29" s="13"/>
      <c r="C29" s="13"/>
      <c r="D29" s="13"/>
      <c r="E29" s="13"/>
      <c r="F29" s="13"/>
      <c r="G29" s="13"/>
      <c r="H29" s="13"/>
    </row>
    <row r="30" spans="1:8" ht="10.5" x14ac:dyDescent="0.15">
      <c r="A30" s="13"/>
      <c r="B30" s="13"/>
      <c r="C30" s="13"/>
      <c r="D30" s="13"/>
      <c r="E30" s="13"/>
      <c r="F30" s="13"/>
      <c r="G30" s="13"/>
      <c r="H30" s="13"/>
    </row>
    <row r="31" spans="1:8" ht="10.5" x14ac:dyDescent="0.15">
      <c r="A31" s="13"/>
      <c r="B31" s="13"/>
      <c r="C31" s="13"/>
      <c r="D31" s="13"/>
      <c r="E31" s="13"/>
      <c r="F31" s="13"/>
      <c r="G31" s="13"/>
      <c r="H31" s="13"/>
    </row>
    <row r="32" spans="1:8" ht="10.5" x14ac:dyDescent="0.15">
      <c r="A32" s="13"/>
      <c r="B32" s="13"/>
      <c r="C32" s="13"/>
      <c r="D32" s="13"/>
      <c r="E32" s="13"/>
      <c r="F32" s="13"/>
      <c r="G32" s="13"/>
      <c r="H32" s="13"/>
    </row>
    <row r="33" spans="1:8" ht="10.5" x14ac:dyDescent="0.15">
      <c r="A33" s="13"/>
      <c r="B33" s="13"/>
      <c r="C33" s="13"/>
      <c r="D33" s="13"/>
      <c r="E33" s="13"/>
      <c r="F33" s="13"/>
      <c r="G33" s="13"/>
      <c r="H33" s="13"/>
    </row>
    <row r="34" spans="1:8" ht="10.5" x14ac:dyDescent="0.15">
      <c r="A34" s="13"/>
      <c r="B34" s="13"/>
      <c r="C34" s="13"/>
      <c r="D34" s="13"/>
      <c r="E34" s="13"/>
      <c r="F34" s="13"/>
      <c r="G34" s="13"/>
      <c r="H34" s="13"/>
    </row>
    <row r="35" spans="1:8" ht="10.5" x14ac:dyDescent="0.15">
      <c r="A35" s="13"/>
      <c r="B35" s="13"/>
      <c r="C35" s="13"/>
      <c r="D35" s="13"/>
      <c r="E35" s="13"/>
      <c r="F35" s="13"/>
      <c r="G35" s="13"/>
      <c r="H35" s="13"/>
    </row>
    <row r="36" spans="1:8" ht="10.5" x14ac:dyDescent="0.15">
      <c r="A36" s="13"/>
      <c r="B36" s="13"/>
      <c r="C36" s="13"/>
      <c r="D36" s="13"/>
      <c r="E36" s="13"/>
      <c r="F36" s="13"/>
      <c r="G36" s="13"/>
      <c r="H36" s="13"/>
    </row>
    <row r="37" spans="1:8" ht="10.5" x14ac:dyDescent="0.15">
      <c r="A37" s="13"/>
      <c r="B37" s="13"/>
      <c r="C37" s="13"/>
      <c r="D37" s="13"/>
      <c r="E37" s="13"/>
      <c r="F37" s="13"/>
      <c r="G37" s="13"/>
      <c r="H37" s="13"/>
    </row>
    <row r="38" spans="1:8" ht="10.5" x14ac:dyDescent="0.15">
      <c r="A38" s="13"/>
      <c r="B38" s="13"/>
      <c r="C38" s="13"/>
      <c r="D38" s="13"/>
      <c r="E38" s="13"/>
      <c r="F38" s="13"/>
      <c r="G38" s="13"/>
      <c r="H38" s="13"/>
    </row>
    <row r="39" spans="1:8" ht="10.5" x14ac:dyDescent="0.15">
      <c r="A39" s="13"/>
      <c r="B39" s="13"/>
      <c r="C39" s="13"/>
      <c r="D39" s="13"/>
      <c r="E39" s="13"/>
      <c r="F39" s="13"/>
      <c r="G39" s="13"/>
      <c r="H39" s="13"/>
    </row>
    <row r="40" spans="1:8" ht="10.5" x14ac:dyDescent="0.15">
      <c r="A40" s="13"/>
      <c r="B40" s="13"/>
      <c r="C40" s="13"/>
      <c r="D40" s="13"/>
      <c r="E40" s="13"/>
      <c r="F40" s="13"/>
      <c r="G40" s="13"/>
      <c r="H40" s="13"/>
    </row>
    <row r="41" spans="1:8" ht="10.5" x14ac:dyDescent="0.15">
      <c r="A41" s="13"/>
      <c r="B41" s="13"/>
      <c r="C41" s="13"/>
      <c r="D41" s="13"/>
      <c r="E41" s="13"/>
      <c r="F41" s="13"/>
      <c r="G41" s="13"/>
      <c r="H41" s="13"/>
    </row>
    <row r="42" spans="1:8" ht="10.5" x14ac:dyDescent="0.15">
      <c r="A42" s="13"/>
      <c r="B42" s="13"/>
      <c r="C42" s="13"/>
      <c r="D42" s="13"/>
      <c r="E42" s="13"/>
      <c r="F42" s="13"/>
      <c r="G42" s="13"/>
      <c r="H42" s="13"/>
    </row>
    <row r="43" spans="1:8" ht="10.5" x14ac:dyDescent="0.15">
      <c r="A43" s="13"/>
      <c r="B43" s="13"/>
      <c r="C43" s="13"/>
      <c r="D43" s="13"/>
      <c r="E43" s="13"/>
      <c r="F43" s="13"/>
      <c r="G43" s="13"/>
      <c r="H43" s="13"/>
    </row>
  </sheetData>
  <sheetProtection algorithmName="SHA-512" hashValue="9GJsLDDzRg9skWIQHuqicBnpy5LXG9qvol+RGchGZgl/cxSJX2vvDgbM3RUqHd233dG/2YhFzmCEtPtIH9sImQ==" saltValue="hOXFwX+AgHX++bA7F6RieQ==" spinCount="100000" sheet="1" objects="1" scenarios="1"/>
  <mergeCells count="1">
    <mergeCell ref="D2:G3"/>
  </mergeCells>
  <phoneticPr fontId="3" type="noConversion"/>
  <conditionalFormatting sqref="H5:H6">
    <cfRule type="containsText" dxfId="0" priority="1" stopIfTrue="1" operator="containsText" text="Preis eintragen">
      <formula>NOT(ISERROR(SEARCH("Preis eintragen",H5)))</formula>
    </cfRule>
  </conditionalFormatting>
  <hyperlinks>
    <hyperlink ref="F1" location="Inhaltsverzeichnis!A1" display="Zurück zum Inhaltsverzeichnis" xr:uid="{FDA93515-262E-44C8-9AFC-646FBC3EFA0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Verbrauch Gesamt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40" r:id="rId4" name="Check Box 4">
              <controlPr defaultSize="0" autoFill="0" autoLine="0" autoPict="0" altText="Hinweis">
                <anchor moveWithCells="1">
                  <from>
                    <xdr:col>2</xdr:col>
                    <xdr:colOff>952500</xdr:colOff>
                    <xdr:row>1</xdr:row>
                    <xdr:rowOff>47625</xdr:rowOff>
                  </from>
                  <to>
                    <xdr:col>2</xdr:col>
                    <xdr:colOff>1733550</xdr:colOff>
                    <xdr:row>2</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9">
    <tabColor indexed="16"/>
  </sheetPr>
  <dimension ref="A1:I31"/>
  <sheetViews>
    <sheetView showGridLines="0" zoomScaleNormal="100" workbookViewId="0"/>
  </sheetViews>
  <sheetFormatPr baseColWidth="10" defaultColWidth="6.42578125" defaultRowHeight="10.5" x14ac:dyDescent="0.15"/>
  <cols>
    <col min="1" max="1" width="22.42578125" style="6" customWidth="1"/>
    <col min="2" max="3" width="13.7109375" style="16" customWidth="1"/>
    <col min="4" max="52" width="13.7109375" style="6" customWidth="1"/>
    <col min="53" max="16384" width="6.42578125" style="6"/>
  </cols>
  <sheetData>
    <row r="1" spans="1:9" s="3" customFormat="1" ht="35.450000000000003" customHeight="1" x14ac:dyDescent="0.2">
      <c r="A1" s="3" t="s">
        <v>177</v>
      </c>
      <c r="B1" s="16"/>
      <c r="C1" s="16"/>
      <c r="D1" s="66" t="b">
        <v>0</v>
      </c>
      <c r="E1" s="95" t="str">
        <f>IF(D1=TRUE,"Hier muss nichts ausgefüllt werden. Sie sehen hier die Reinigungsarten mit den maximalen Reinigungstagen. Mehrere Tabellen greifen hierauf zu.","")</f>
        <v/>
      </c>
      <c r="F1" s="95"/>
      <c r="G1" s="95"/>
      <c r="H1" s="95"/>
      <c r="I1" s="26" t="s">
        <v>100</v>
      </c>
    </row>
    <row r="2" spans="1:9" s="3" customFormat="1" ht="26.45" customHeight="1" x14ac:dyDescent="0.2">
      <c r="A2" s="3" t="s">
        <v>103</v>
      </c>
      <c r="B2" s="4" t="str">
        <f>IF(Inhaltsverzeichnis!$C$3="","",Inhaltsverzeichnis!$C$3)</f>
        <v/>
      </c>
      <c r="C2" s="16"/>
      <c r="E2" s="95"/>
      <c r="F2" s="95"/>
      <c r="G2" s="95"/>
      <c r="H2" s="95"/>
    </row>
    <row r="3" spans="1:9" s="3" customFormat="1" ht="15" customHeight="1" x14ac:dyDescent="0.2">
      <c r="B3" s="16"/>
      <c r="C3" s="16"/>
      <c r="E3" s="17"/>
      <c r="F3" s="17"/>
    </row>
    <row r="4" spans="1:9" ht="25.5" customHeight="1" x14ac:dyDescent="0.15">
      <c r="A4" s="85" t="s">
        <v>113</v>
      </c>
      <c r="B4" s="85" t="s">
        <v>189</v>
      </c>
      <c r="C4" s="85" t="s">
        <v>189</v>
      </c>
    </row>
    <row r="5" spans="1:9" ht="25.5" customHeight="1" x14ac:dyDescent="0.15">
      <c r="A5" s="85" t="s">
        <v>144</v>
      </c>
      <c r="B5" s="85" t="s">
        <v>238</v>
      </c>
      <c r="C5" s="85" t="s">
        <v>238</v>
      </c>
    </row>
    <row r="6" spans="1:9" ht="25.5" customHeight="1" x14ac:dyDescent="0.15">
      <c r="A6" s="85" t="s">
        <v>115</v>
      </c>
      <c r="B6" s="1" t="s">
        <v>239</v>
      </c>
      <c r="C6" s="1" t="s">
        <v>241</v>
      </c>
    </row>
    <row r="7" spans="1:9" ht="35.1" customHeight="1" x14ac:dyDescent="0.15">
      <c r="A7" s="1" t="s">
        <v>182</v>
      </c>
      <c r="B7" s="86">
        <v>187.5</v>
      </c>
      <c r="C7" s="86">
        <v>1</v>
      </c>
    </row>
    <row r="8" spans="1:9" ht="6" customHeight="1" x14ac:dyDescent="0.15">
      <c r="A8" s="87"/>
      <c r="B8" s="40"/>
      <c r="C8" s="40"/>
    </row>
    <row r="9" spans="1:9" ht="25.5" customHeight="1" x14ac:dyDescent="0.15">
      <c r="A9" s="85" t="s">
        <v>183</v>
      </c>
      <c r="B9" s="1" t="s">
        <v>240</v>
      </c>
      <c r="C9" s="1" t="s">
        <v>240</v>
      </c>
    </row>
    <row r="10" spans="1:9" ht="15" customHeight="1" x14ac:dyDescent="0.15">
      <c r="A10" s="88">
        <v>12</v>
      </c>
      <c r="B10" s="89">
        <f t="shared" ref="B10:B17" si="0">ROUND($B$7/5*A10,2)</f>
        <v>450</v>
      </c>
      <c r="C10" s="90"/>
    </row>
    <row r="11" spans="1:9" ht="15" customHeight="1" x14ac:dyDescent="0.15">
      <c r="A11" s="88">
        <v>10</v>
      </c>
      <c r="B11" s="89">
        <f t="shared" si="0"/>
        <v>375</v>
      </c>
      <c r="C11" s="90"/>
    </row>
    <row r="12" spans="1:9" ht="15" customHeight="1" x14ac:dyDescent="0.15">
      <c r="A12" s="88">
        <v>7</v>
      </c>
      <c r="B12" s="89">
        <f t="shared" si="0"/>
        <v>262.5</v>
      </c>
      <c r="C12" s="90"/>
    </row>
    <row r="13" spans="1:9" ht="15" customHeight="1" x14ac:dyDescent="0.15">
      <c r="A13" s="88">
        <v>6</v>
      </c>
      <c r="B13" s="89">
        <f t="shared" si="0"/>
        <v>225</v>
      </c>
      <c r="C13" s="90"/>
    </row>
    <row r="14" spans="1:9" ht="15" customHeight="1" x14ac:dyDescent="0.15">
      <c r="A14" s="88">
        <v>5</v>
      </c>
      <c r="B14" s="86">
        <f t="shared" si="0"/>
        <v>187.5</v>
      </c>
      <c r="C14" s="90"/>
    </row>
    <row r="15" spans="1:9" ht="15" customHeight="1" x14ac:dyDescent="0.15">
      <c r="A15" s="88">
        <v>4</v>
      </c>
      <c r="B15" s="89">
        <f t="shared" si="0"/>
        <v>150</v>
      </c>
      <c r="C15" s="90"/>
    </row>
    <row r="16" spans="1:9" ht="15" customHeight="1" x14ac:dyDescent="0.15">
      <c r="A16" s="88">
        <v>3</v>
      </c>
      <c r="B16" s="86">
        <f t="shared" si="0"/>
        <v>112.5</v>
      </c>
      <c r="C16" s="90"/>
    </row>
    <row r="17" spans="1:3" ht="15" customHeight="1" x14ac:dyDescent="0.15">
      <c r="A17" s="88">
        <v>2.5</v>
      </c>
      <c r="B17" s="89">
        <f t="shared" si="0"/>
        <v>93.75</v>
      </c>
      <c r="C17" s="90"/>
    </row>
    <row r="18" spans="1:3" ht="15" customHeight="1" x14ac:dyDescent="0.15">
      <c r="A18" s="88">
        <v>2</v>
      </c>
      <c r="B18" s="86">
        <f>ROUND(B7*104.29/251,2)</f>
        <v>77.91</v>
      </c>
      <c r="C18" s="90"/>
    </row>
    <row r="19" spans="1:3" ht="15" customHeight="1" x14ac:dyDescent="0.15">
      <c r="A19" s="88">
        <v>1</v>
      </c>
      <c r="B19" s="86">
        <f>ROUND(B7*52.14/251,2)</f>
        <v>38.950000000000003</v>
      </c>
      <c r="C19" s="90"/>
    </row>
    <row r="20" spans="1:3" ht="15" customHeight="1" x14ac:dyDescent="0.15">
      <c r="A20" s="88">
        <v>0.5</v>
      </c>
      <c r="B20" s="89">
        <f>ROUND(B7*26.07/251,2)</f>
        <v>19.47</v>
      </c>
      <c r="C20" s="90"/>
    </row>
    <row r="21" spans="1:3" ht="15" customHeight="1" x14ac:dyDescent="0.15">
      <c r="A21" s="88" t="s">
        <v>135</v>
      </c>
      <c r="B21" s="91">
        <f>ROUND(11*2,2)</f>
        <v>22</v>
      </c>
      <c r="C21" s="91">
        <f>ROUND(11*2,2)</f>
        <v>22</v>
      </c>
    </row>
    <row r="22" spans="1:3" ht="15" customHeight="1" x14ac:dyDescent="0.15">
      <c r="A22" s="88" t="s">
        <v>136</v>
      </c>
      <c r="B22" s="92">
        <f>ROUND(11*1,2)</f>
        <v>11</v>
      </c>
      <c r="C22" s="91">
        <f>ROUND(11*1,2)</f>
        <v>11</v>
      </c>
    </row>
    <row r="23" spans="1:3" ht="15" customHeight="1" x14ac:dyDescent="0.15">
      <c r="A23" s="88" t="s">
        <v>137</v>
      </c>
      <c r="B23" s="89">
        <v>6</v>
      </c>
      <c r="C23" s="89">
        <v>6</v>
      </c>
    </row>
    <row r="24" spans="1:3" ht="15" customHeight="1" x14ac:dyDescent="0.15">
      <c r="A24" s="88" t="s">
        <v>138</v>
      </c>
      <c r="B24" s="89">
        <v>5</v>
      </c>
      <c r="C24" s="89">
        <v>5</v>
      </c>
    </row>
    <row r="25" spans="1:3" ht="15" customHeight="1" x14ac:dyDescent="0.15">
      <c r="A25" s="88" t="s">
        <v>139</v>
      </c>
      <c r="B25" s="89">
        <v>4</v>
      </c>
      <c r="C25" s="89">
        <v>4</v>
      </c>
    </row>
    <row r="26" spans="1:3" ht="15" customHeight="1" x14ac:dyDescent="0.15">
      <c r="A26" s="88" t="s">
        <v>140</v>
      </c>
      <c r="B26" s="89">
        <v>3</v>
      </c>
      <c r="C26" s="89">
        <v>3</v>
      </c>
    </row>
    <row r="27" spans="1:3" ht="15" customHeight="1" x14ac:dyDescent="0.15">
      <c r="A27" s="88" t="s">
        <v>141</v>
      </c>
      <c r="B27" s="89">
        <v>2</v>
      </c>
      <c r="C27" s="89">
        <v>2</v>
      </c>
    </row>
    <row r="28" spans="1:3" ht="15" customHeight="1" x14ac:dyDescent="0.15">
      <c r="A28" s="88" t="s">
        <v>142</v>
      </c>
      <c r="B28" s="86">
        <v>1</v>
      </c>
      <c r="C28" s="86">
        <v>1</v>
      </c>
    </row>
    <row r="29" spans="1:3" ht="15" customHeight="1" x14ac:dyDescent="0.15">
      <c r="A29" s="86" t="s">
        <v>143</v>
      </c>
      <c r="B29" s="89">
        <v>0.5</v>
      </c>
      <c r="C29" s="89">
        <v>0.5</v>
      </c>
    </row>
    <row r="30" spans="1:3" ht="15" customHeight="1" x14ac:dyDescent="0.15">
      <c r="A30" s="86">
        <v>0</v>
      </c>
      <c r="B30" s="89">
        <v>0</v>
      </c>
      <c r="C30" s="93"/>
    </row>
    <row r="31" spans="1:3" ht="15" customHeight="1" x14ac:dyDescent="0.15">
      <c r="A31" s="86" t="s">
        <v>145</v>
      </c>
      <c r="B31" s="90"/>
      <c r="C31" s="90"/>
    </row>
  </sheetData>
  <sheetProtection algorithmName="SHA-512" hashValue="EAtKdk3SiHjQ8h+zsfCUCW5TWrXPCB5ffuAqowF1svgHJSd0oCON1PAFh/HbfIg9N9HMuIjkfXRnrcdmrstbhQ==" saltValue="CaJS/FJ7YPGKeOlPxAgrVQ==" spinCount="100000" sheet="1" objects="1" scenarios="1"/>
  <mergeCells count="1">
    <mergeCell ref="E1:H2"/>
  </mergeCells>
  <dataValidations count="2">
    <dataValidation type="textLength" operator="equal" allowBlank="1" showInputMessage="1" showErrorMessage="1" prompt="Reinigung erfolgt 1 Mal monatlich." sqref="A22" xr:uid="{00000000-0002-0000-1700-000000000000}">
      <formula1>2</formula1>
    </dataValidation>
    <dataValidation type="textLength" operator="equal" allowBlank="1" showInputMessage="1" showErrorMessage="1" prompt="Reinigung erfolgt 2 Mal monatlich." sqref="A21" xr:uid="{00000000-0002-0000-1700-000001000000}">
      <formula1>2</formula1>
    </dataValidation>
  </dataValidations>
  <hyperlinks>
    <hyperlink ref="I1" location="Inhaltsverzeichnis!A1" display="Zurück zum Inhaltsverzeichnis" xr:uid="{00000000-0004-0000-1700-00000000000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&amp;N&amp;RReinigungstage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ltText="Hinweis">
                <anchor moveWithCells="1">
                  <from>
                    <xdr:col>3</xdr:col>
                    <xdr:colOff>85725</xdr:colOff>
                    <xdr:row>0</xdr:row>
                    <xdr:rowOff>247650</xdr:rowOff>
                  </from>
                  <to>
                    <xdr:col>3</xdr:col>
                    <xdr:colOff>809625</xdr:colOff>
                    <xdr:row>1</xdr:row>
                    <xdr:rowOff>114300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V i s u a l i z a t i o n   x m l n s : x s i = " h t t p : / / w w w . w 3 . o r g / 2 0 0 1 / X M L S c h e m a - i n s t a n c e "   x m l n s : x s d = " h t t p : / / w w w . w 3 . o r g / 2 0 0 1 / X M L S c h e m a "   x m l n s = " h t t p : / / m i c r o s o f t . d a t a . v i s u a l i z a t i o n . C l i e n t . E x c e l / 1 . 0 " > < T o u r s > < T o u r   N a m e = " T o u r   1 "   I d = " { D 6 7 B 3 E 5 6 - A 9 A A - 4 4 3 A - B F 6 5 - 1 7 3 A B 6 B E 0 C 4 D } "   T o u r I d = " 3 8 0 7 f 0 2 a - c f b e - 4 4 5 c - 9 8 e 5 - c 6 d 0 1 5 4 b 0 6 0 6 "   X m l V e r = " 6 "   M i n X m l V e r = " 3 " > < D e s c r i p t i o n > H i e r   s t e h t   e i n e   B e s c h r e i b u n g   f � r   d i e   T o u r . < / D e s c r i p t i o n > < 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T o u r > < / T o u r s > < / V i s u a l i z a t i o n > 
</file>

<file path=customXml/item2.xml>��< ? x m l   v e r s i o n = " 1 . 0 "   e n c o d i n g = " u t f - 1 6 " ? > < T o u r   x m l n s : x s i = " h t t p : / / w w w . w 3 . o r g / 2 0 0 1 / X M L S c h e m a - i n s t a n c e "   x m l n s : x s d = " h t t p : / / w w w . w 3 . o r g / 2 0 0 1 / X M L S c h e m a "   N a m e = " T o u r   1 "   D e s c r i p t i o n = " H i e r   s t e h t   e i n e   B e s c h r e i b u n g   f � r   d i e   T o u r . "   x m l n s = " h t t p : / / m i c r o s o f t . d a t a . v i s u a l i z a t i o n . e n g i n e . t o u r s / 1 . 0 " > < S c e n e s > < S c e n e   C u s t o m M a p G u i d = " 0 0 0 0 0 0 0 0 - 0 0 0 0 - 0 0 0 0 - 0 0 0 0 - 0 0 0 0 0 0 0 0 0 0 0 0 "   C u s t o m M a p I d = " 0 0 0 0 0 0 0 0 - 0 0 0 0 - 0 0 0 0 - 0 0 0 0 - 0 0 0 0 0 0 0 0 0 0 0 0 "   S c e n e I d = " 5 6 1 7 9 6 2 d - 9 5 7 7 - 4 7 e 2 - 8 7 2 e - f f 1 2 2 5 8 2 9 4 e f " > < T r a n s i t i o n > M o v e T o < / T r a n s i t i o n > < E f f e c t > S t a t i o n < / E f f e c t > < T h e m e > B i n g R o a d < / T h e m e > < T h e m e W i t h L a b e l > t r u e < / T h e m e W i t h L a b e l > < F l a t M o d e E n a b l e d > t r u e < / F l a t M o d e E n a b l e d > < D u r a t i o n > 1 0 0 0 0 0 0 0 0 < / D u r a t i o n > < T r a n s i t i o n D u r a t i o n > 3 0 0 0 0 0 0 0 < / T r a n s i t i o n D u r a t i o n > < S p e e d > 0 . 5 < / S p e e d > < F r a m e > < C a m e r a > < L a t i t u d e > 5 0 . 5 4 2 6 8 1 3 9 4 7 6 3 0 4 4 < / L a t i t u d e > < L o n g i t u d e > 1 1 . 8 1 2 8 7 3 8 1 9 8 9 2 1 < / L o n g i t u d e > < R o t a t i o n > 0 < / R o t a t i o n > < P i v o t A n g l e > - 0 . 0 3 3 4 8 7 4 8 6 5 1 0 7 8 8 2 2 1 < / P i v o t A n g l e > < D i s t a n c e > 0 . 1 9 3 2 7 3 5 2 8 3 1 9 9 9 9 9 4 < / D i s t a n c e > < / C a m e r a > < 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 N a m e = " S c h i c h t   1 "   G u i d = " a a c a f 2 d 8 - 6 2 d 7 - 4 7 1 a - 9 b 9 6 - f 8 7 7 3 9 3 7 f 0 7 7 "   R e v = " 1 "   R e v G u i d = " e 6 8 8 e 3 0 3 - 4 5 d 1 - 4 3 9 8 - 9 7 b b - c c 2 c 7 1 7 1 3 7 0 7 " 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76F40F56-8083-4478-9D8F-A04379D50268}">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D67B3E56-A9AA-443A-BF65-173AB6BE0C4D}">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11</vt:i4>
      </vt:variant>
    </vt:vector>
  </HeadingPairs>
  <TitlesOfParts>
    <vt:vector size="19" baseType="lpstr">
      <vt:lpstr>Inhaltsverzeichnis</vt:lpstr>
      <vt:lpstr>Preisübersicht</vt:lpstr>
      <vt:lpstr>SVS UnterhaltsRG</vt:lpstr>
      <vt:lpstr>SVS GrundRG</vt:lpstr>
      <vt:lpstr>Kal Unter GS Nord</vt:lpstr>
      <vt:lpstr>Kal Grund GS Nord</vt:lpstr>
      <vt:lpstr>Kal Verbrauch Gesamt</vt:lpstr>
      <vt:lpstr>Reinigungstage</vt:lpstr>
      <vt:lpstr>Inhaltsverzeichnis!Druckbereich</vt:lpstr>
      <vt:lpstr>'Kal Grund GS Nord'!Druckbereich</vt:lpstr>
      <vt:lpstr>'Kal Unter GS Nord'!Druckbereich</vt:lpstr>
      <vt:lpstr>'Kal Verbrauch Gesamt'!Druckbereich</vt:lpstr>
      <vt:lpstr>Preisübersicht!Druckbereich</vt:lpstr>
      <vt:lpstr>Reinigungstage!Druckbereich</vt:lpstr>
      <vt:lpstr>'SVS GrundRG'!Druckbereich</vt:lpstr>
      <vt:lpstr>'SVS UnterhaltsRG'!Druckbereich</vt:lpstr>
      <vt:lpstr>'Kal Grund GS Nord'!Drucktitel</vt:lpstr>
      <vt:lpstr>'Kal Unter GS Nord'!Drucktitel</vt:lpstr>
      <vt:lpstr>Preisübersicht!Drucktitel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Zander</dc:creator>
  <cp:lastModifiedBy>Torsten Günther</cp:lastModifiedBy>
  <cp:lastPrinted>2026-03-13T09:36:04Z</cp:lastPrinted>
  <dcterms:created xsi:type="dcterms:W3CDTF">2012-06-08T19:50:39Z</dcterms:created>
  <dcterms:modified xsi:type="dcterms:W3CDTF">2026-03-24T10:33:17Z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ad21cca4-380d-4149-a11d-405a40d038e6</vt:lpwstr>
  </property>
</Properties>
</file>