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9.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10.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11.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1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1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1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5.xml" ContentType="application/vnd.openxmlformats-officedocument.drawing+xml"/>
  <Override PartName="/xl/ctrlProps/ctrlProp43.xml" ContentType="application/vnd.ms-excel.controlproperties+xml"/>
  <Override PartName="/xl/drawings/drawing16.xml" ContentType="application/vnd.openxmlformats-officedocument.drawing+xml"/>
  <Override PartName="/xl/ctrlProps/ctrlProp4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2E13C6D6-C3CE-41A7-BFAC-236917C7F243}" xr6:coauthVersionLast="47" xr6:coauthVersionMax="47" xr10:uidLastSave="{00000000-0000-0000-0000-000000000000}"/>
  <workbookProtection workbookAlgorithmName="SHA-512" workbookHashValue="TF20wrY3l8Ww7Ugn3rkR45ozBv5duh7OjmUTcJKeNkOWvOPw7EwftHhve+vXVCHtPcE4bzB5WuyAq9z/CWTjYQ==" workbookSaltValue="7oP1wS96wklcHDrbPHBDvg=="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Preisübersicht (nach Bedarf)" sheetId="23" r:id="rId3"/>
    <sheet name="SVS UnterhaltsRG" sheetId="38" r:id="rId4"/>
    <sheet name="SVS GrundRG" sheetId="29" r:id="rId5"/>
    <sheet name="Kal Unter Albertinsee Gesamt" sheetId="71" r:id="rId6"/>
    <sheet name="Kal Grund Albertinsee" sheetId="66" r:id="rId7"/>
    <sheet name="Kal Unter ehem Rath Förd" sheetId="63" r:id="rId8"/>
    <sheet name="Kal Grund ehem Rath Förd" sheetId="67" r:id="rId9"/>
    <sheet name="Kal Unter Bed ehem Rath Förd" sheetId="70" r:id="rId10"/>
    <sheet name="Kal Unter JK Förderstedt" sheetId="64" r:id="rId11"/>
    <sheet name="Kal Grund JK Förderstedt" sheetId="68" r:id="rId12"/>
    <sheet name="Kal Unter Sport Förderst" sheetId="65" r:id="rId13"/>
    <sheet name="Kal Grund Sport Förderst" sheetId="69" r:id="rId14"/>
    <sheet name="Kal Verbrauch Gesamt" sheetId="26" r:id="rId15"/>
    <sheet name="Reinigungstage" sheetId="46" r:id="rId16"/>
  </sheets>
  <definedNames>
    <definedName name="berAuftragskosten" localSheetId="6">SVS #REF!</definedName>
    <definedName name="berAuftragskosten" localSheetId="8">SVS #REF!</definedName>
    <definedName name="berAuftragskosten" localSheetId="11">SVS #REF!</definedName>
    <definedName name="berAuftragskosten" localSheetId="13">SVS #REF!</definedName>
    <definedName name="berAuftragskosten" localSheetId="5">SVS #REF!</definedName>
    <definedName name="berAuftragskosten" localSheetId="9">SVS #REF!</definedName>
    <definedName name="berAuftragskosten" localSheetId="7">SVS #REF!</definedName>
    <definedName name="berAuftragskosten" localSheetId="10">SVS #REF!</definedName>
    <definedName name="berAuftragskosten" localSheetId="12">SVS #REF!</definedName>
    <definedName name="berAuftragskosten">SVS #REF!</definedName>
    <definedName name="BereichSVSGrundWC">#REF!</definedName>
    <definedName name="berRGTageObjekt">#REF!</definedName>
    <definedName name="_xlnm.Print_Area" localSheetId="0">Inhaltsverzeichnis!$A$1:$K$24</definedName>
    <definedName name="_xlnm.Print_Area" localSheetId="6">'Kal Grund Albertinsee'!$A$1:$R$27</definedName>
    <definedName name="_xlnm.Print_Area" localSheetId="8">'Kal Grund ehem Rath Förd'!$A$1:$R$42</definedName>
    <definedName name="_xlnm.Print_Area" localSheetId="11">'Kal Grund JK Förderstedt'!$A$1:$R$28</definedName>
    <definedName name="_xlnm.Print_Area" localSheetId="13">'Kal Grund Sport Förderst'!$A$1:$R$28</definedName>
    <definedName name="_xlnm.Print_Area" localSheetId="5">'Kal Unter Albertinsee Gesamt'!$A$1:$K$38</definedName>
    <definedName name="_xlnm.Print_Area" localSheetId="9">'Kal Unter Bed ehem Rath Förd'!$A$1:$S$22</definedName>
    <definedName name="_xlnm.Print_Area" localSheetId="7">'Kal Unter ehem Rath Förd'!$A$1:$S$48</definedName>
    <definedName name="_xlnm.Print_Area" localSheetId="10">'Kal Unter JK Förderstedt'!$A$1:$S$28</definedName>
    <definedName name="_xlnm.Print_Area" localSheetId="12">'Kal Unter Sport Förderst'!$A$1:$S$32</definedName>
    <definedName name="_xlnm.Print_Area" localSheetId="14">'Kal Verbrauch Gesamt'!$A$1:$G$17</definedName>
    <definedName name="_xlnm.Print_Area" localSheetId="1">Preisübersicht!$A$1:$H$10</definedName>
    <definedName name="_xlnm.Print_Area" localSheetId="2">'Preisübersicht (nach Bedarf)'!$A$1:$E$6</definedName>
    <definedName name="_xlnm.Print_Area" localSheetId="4">'SVS GrundRG'!$A$1:$I$79</definedName>
    <definedName name="_xlnm.Print_Area" localSheetId="3">'SVS UnterhaltsRG'!$A$1:$I$79</definedName>
    <definedName name="_xlnm.Print_Titles" localSheetId="6">'Kal Grund Albertinsee'!$20:$21</definedName>
    <definedName name="_xlnm.Print_Titles" localSheetId="8">'Kal Grund ehem Rath Förd'!$20:$21</definedName>
    <definedName name="_xlnm.Print_Titles" localSheetId="11">'Kal Grund JK Förderstedt'!$20:$21</definedName>
    <definedName name="_xlnm.Print_Titles" localSheetId="13">'Kal Grund Sport Förderst'!$20:$21</definedName>
    <definedName name="_xlnm.Print_Titles" localSheetId="5">'Kal Unter Albertinsee Gesamt'!$20:$21</definedName>
    <definedName name="_xlnm.Print_Titles" localSheetId="9">'Kal Unter Bed ehem Rath Förd'!$20:$21</definedName>
    <definedName name="_xlnm.Print_Titles" localSheetId="7">'Kal Unter ehem Rath Förd'!$20:$21</definedName>
    <definedName name="_xlnm.Print_Titles" localSheetId="10">'Kal Unter JK Förderstedt'!$20:$21</definedName>
    <definedName name="_xlnm.Print_Titles" localSheetId="12">'Kal Unter Sport Förderst'!$20:$21</definedName>
    <definedName name="_xlnm.Print_Titles" localSheetId="1">Preisübersicht!$1:$5</definedName>
    <definedName name="_xlnm.Print_Titles" localSheetId="2">'Preisübersicht (nach Bedarf)'!$1:$5</definedName>
    <definedName name="Ferien">#REF!</definedName>
    <definedName name="sAuftragskosten" localSheetId="6">SVS #REF!</definedName>
    <definedName name="sAuftragskosten" localSheetId="8">SVS #REF!</definedName>
    <definedName name="sAuftragskosten" localSheetId="11">SVS #REF!</definedName>
    <definedName name="sAuftragskosten" localSheetId="13">SVS #REF!</definedName>
    <definedName name="sAuftragskosten" localSheetId="5">SVS #REF!</definedName>
    <definedName name="sAuftragskosten" localSheetId="9">SVS #REF!</definedName>
    <definedName name="sAuftragskosten" localSheetId="7">SVS #REF!</definedName>
    <definedName name="sAuftragskosten" localSheetId="10">SVS #REF!</definedName>
    <definedName name="sAuftragskosten" localSheetId="12">SVS #REF!</definedName>
    <definedName name="sAuftragskosten">SVS #REF!</definedName>
    <definedName name="SVListe" localSheetId="5">#REF!</definedName>
    <definedName name="SVListe">#REF!</definedName>
    <definedName name="TTListe" localSheetId="5">#REF!</definedName>
    <definedName name="TTListe">#REF!</definedName>
    <definedName name="Turnus" localSheetId="5">#REF!</definedName>
    <definedName name="Turnus">#REF!</definedName>
    <definedName name="TurnusKita" localSheetId="5">#REF!</definedName>
    <definedName name="TurnusKita">#REF!</definedName>
    <definedName name="TurnusSchule" localSheetId="5">#REF!</definedName>
    <definedName name="TurnusSchule">#REF!</definedName>
    <definedName name="TurnusVerwaltung" localSheetId="5">#REF!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69" l="1"/>
  <c r="L21" i="65"/>
  <c r="L21" i="68"/>
  <c r="L21" i="64"/>
  <c r="L21" i="70"/>
  <c r="L21" i="67"/>
  <c r="L21" i="63"/>
  <c r="L21" i="66"/>
  <c r="L26" i="69"/>
  <c r="M26" i="69"/>
  <c r="N26" i="69"/>
  <c r="U26" i="69"/>
  <c r="L32" i="65"/>
  <c r="L31" i="65"/>
  <c r="L30" i="65"/>
  <c r="L29" i="65"/>
  <c r="L25" i="65"/>
  <c r="M25" i="65" s="1"/>
  <c r="L24" i="65"/>
  <c r="M24" i="65" s="1"/>
  <c r="L23" i="65"/>
  <c r="L22" i="65"/>
  <c r="L26" i="65"/>
  <c r="L27" i="65"/>
  <c r="L28" i="65"/>
  <c r="K11" i="46"/>
  <c r="K12" i="46"/>
  <c r="K13" i="46"/>
  <c r="K14" i="46"/>
  <c r="K15" i="46"/>
  <c r="K16" i="46"/>
  <c r="K17" i="46"/>
  <c r="K10" i="46"/>
  <c r="K20" i="46"/>
  <c r="K19" i="46"/>
  <c r="K18" i="46"/>
  <c r="L11" i="46"/>
  <c r="L12" i="46"/>
  <c r="L13" i="46"/>
  <c r="L14" i="46"/>
  <c r="L15" i="46"/>
  <c r="L16" i="46"/>
  <c r="L17" i="46"/>
  <c r="L10" i="46"/>
  <c r="L20" i="46"/>
  <c r="L19" i="46"/>
  <c r="L18" i="46"/>
  <c r="B3" i="3"/>
  <c r="B3" i="23"/>
  <c r="B2" i="71"/>
  <c r="L32" i="71"/>
  <c r="K32" i="71"/>
  <c r="L31" i="71"/>
  <c r="K31" i="71"/>
  <c r="L30" i="71"/>
  <c r="K30" i="71"/>
  <c r="L29" i="71"/>
  <c r="K29" i="71"/>
  <c r="L28" i="71"/>
  <c r="K28" i="71"/>
  <c r="L27" i="71"/>
  <c r="K27" i="71"/>
  <c r="L26" i="71"/>
  <c r="K26" i="71"/>
  <c r="L25" i="71"/>
  <c r="K25" i="71"/>
  <c r="L24" i="71"/>
  <c r="K24" i="71"/>
  <c r="L23" i="71"/>
  <c r="K23" i="71"/>
  <c r="L22" i="71"/>
  <c r="K22" i="71"/>
  <c r="L21" i="71"/>
  <c r="K21" i="71"/>
  <c r="L20" i="71"/>
  <c r="K20" i="71"/>
  <c r="L19" i="71"/>
  <c r="K19" i="71"/>
  <c r="L18" i="71"/>
  <c r="K18" i="71"/>
  <c r="L17" i="71"/>
  <c r="K17" i="71"/>
  <c r="L16" i="71"/>
  <c r="K16" i="71"/>
  <c r="L15" i="71"/>
  <c r="K15" i="71"/>
  <c r="L14" i="71"/>
  <c r="K14" i="71"/>
  <c r="I14" i="71"/>
  <c r="H14" i="71"/>
  <c r="F14" i="71"/>
  <c r="E14" i="71"/>
  <c r="L13" i="71"/>
  <c r="L12" i="71"/>
  <c r="L11" i="71"/>
  <c r="L10" i="71"/>
  <c r="L9" i="71"/>
  <c r="L8" i="71"/>
  <c r="F8" i="71"/>
  <c r="F7" i="71" s="1"/>
  <c r="E7" i="71"/>
  <c r="D7" i="71"/>
  <c r="C7" i="71"/>
  <c r="B7" i="71"/>
  <c r="A7" i="71"/>
  <c r="C3" i="71"/>
  <c r="H22" i="1"/>
  <c r="F6" i="1"/>
  <c r="H7" i="26"/>
  <c r="G7" i="26"/>
  <c r="H6" i="26"/>
  <c r="G6" i="26"/>
  <c r="H5" i="26"/>
  <c r="H3" i="26" s="1"/>
  <c r="G5" i="26"/>
  <c r="E7" i="3" s="1"/>
  <c r="U22" i="70"/>
  <c r="N22" i="70"/>
  <c r="P22" i="70" s="1"/>
  <c r="R22" i="70" s="1"/>
  <c r="I21" i="70"/>
  <c r="H21" i="70"/>
  <c r="G21" i="70"/>
  <c r="U28" i="69"/>
  <c r="V28" i="69" s="1"/>
  <c r="W28" i="69" s="1"/>
  <c r="U27" i="69"/>
  <c r="V27" i="69" s="1"/>
  <c r="W27" i="69" s="1"/>
  <c r="U25" i="69"/>
  <c r="V25" i="69" s="1"/>
  <c r="W25" i="69" s="1"/>
  <c r="U24" i="69"/>
  <c r="V24" i="69" s="1"/>
  <c r="W24" i="69" s="1"/>
  <c r="U23" i="69"/>
  <c r="V23" i="69" s="1"/>
  <c r="W23" i="69" s="1"/>
  <c r="U22" i="69"/>
  <c r="V22" i="69" s="1"/>
  <c r="W22" i="69" s="1"/>
  <c r="N28" i="69"/>
  <c r="N27" i="69"/>
  <c r="P27" i="69" s="1"/>
  <c r="N25" i="69"/>
  <c r="N24" i="69"/>
  <c r="N23" i="69"/>
  <c r="N22" i="69"/>
  <c r="I21" i="69"/>
  <c r="H21" i="69"/>
  <c r="G21" i="69"/>
  <c r="X28" i="69"/>
  <c r="P28" i="69"/>
  <c r="X27" i="69"/>
  <c r="X25" i="69"/>
  <c r="P25" i="69"/>
  <c r="X23" i="69"/>
  <c r="P23" i="69"/>
  <c r="X22" i="69"/>
  <c r="P22" i="69"/>
  <c r="U28" i="68"/>
  <c r="U27" i="68"/>
  <c r="U26" i="68"/>
  <c r="U25" i="68"/>
  <c r="U24" i="68"/>
  <c r="U23" i="68"/>
  <c r="U22" i="68"/>
  <c r="V22" i="68" s="1"/>
  <c r="W22" i="68" s="1"/>
  <c r="N28" i="68"/>
  <c r="N27" i="68"/>
  <c r="N26" i="68"/>
  <c r="N25" i="68"/>
  <c r="N24" i="68"/>
  <c r="N23" i="68"/>
  <c r="N22" i="68"/>
  <c r="I21" i="68"/>
  <c r="H21" i="68"/>
  <c r="G21" i="68"/>
  <c r="X28" i="68"/>
  <c r="V28" i="68"/>
  <c r="W28" i="68" s="1"/>
  <c r="P28" i="68"/>
  <c r="X27" i="68"/>
  <c r="V27" i="68"/>
  <c r="W27" i="68" s="1"/>
  <c r="P27" i="68"/>
  <c r="X26" i="68"/>
  <c r="V26" i="68"/>
  <c r="W26" i="68" s="1"/>
  <c r="P26" i="68"/>
  <c r="X25" i="68"/>
  <c r="V25" i="68"/>
  <c r="W25" i="68" s="1"/>
  <c r="P25" i="68"/>
  <c r="X24" i="68"/>
  <c r="V24" i="68"/>
  <c r="W24" i="68" s="1"/>
  <c r="P24" i="68"/>
  <c r="X23" i="68"/>
  <c r="V23" i="68"/>
  <c r="W23" i="68" s="1"/>
  <c r="P23" i="68"/>
  <c r="X22" i="68"/>
  <c r="N14" i="68" s="1"/>
  <c r="P22" i="68"/>
  <c r="U42" i="67"/>
  <c r="U41" i="67"/>
  <c r="V41" i="67" s="1"/>
  <c r="W41" i="67" s="1"/>
  <c r="U40" i="67"/>
  <c r="U39" i="67"/>
  <c r="U38" i="67"/>
  <c r="U37" i="67"/>
  <c r="U36" i="67"/>
  <c r="U35" i="67"/>
  <c r="U34" i="67"/>
  <c r="U33" i="67"/>
  <c r="V33" i="67" s="1"/>
  <c r="U32" i="67"/>
  <c r="U31" i="67"/>
  <c r="U30" i="67"/>
  <c r="V30" i="67" s="1"/>
  <c r="W30" i="67" s="1"/>
  <c r="U29" i="67"/>
  <c r="U28" i="67"/>
  <c r="U27" i="67"/>
  <c r="U26" i="67"/>
  <c r="V26" i="67" s="1"/>
  <c r="U25" i="67"/>
  <c r="V25" i="67" s="1"/>
  <c r="W25" i="67" s="1"/>
  <c r="U24" i="67"/>
  <c r="U23" i="67"/>
  <c r="V23" i="67" s="1"/>
  <c r="U22" i="67"/>
  <c r="N42" i="67"/>
  <c r="N41" i="67"/>
  <c r="N40" i="67"/>
  <c r="N39" i="67"/>
  <c r="N38" i="67"/>
  <c r="N37" i="67"/>
  <c r="N36" i="67"/>
  <c r="N35" i="67"/>
  <c r="N34" i="67"/>
  <c r="N33" i="67"/>
  <c r="N32" i="67"/>
  <c r="N31" i="67"/>
  <c r="N30" i="67"/>
  <c r="N29" i="67"/>
  <c r="N28" i="67"/>
  <c r="N27" i="67"/>
  <c r="N26" i="67"/>
  <c r="N25" i="67"/>
  <c r="N24" i="67"/>
  <c r="N23" i="67"/>
  <c r="N22" i="67"/>
  <c r="I21" i="67"/>
  <c r="H21" i="67"/>
  <c r="G21" i="67"/>
  <c r="X42" i="67"/>
  <c r="V42" i="67"/>
  <c r="W42" i="67" s="1"/>
  <c r="P42" i="67"/>
  <c r="X41" i="67"/>
  <c r="P41" i="67"/>
  <c r="X40" i="67"/>
  <c r="V40" i="67"/>
  <c r="W40" i="67" s="1"/>
  <c r="P40" i="67"/>
  <c r="X39" i="67"/>
  <c r="V39" i="67"/>
  <c r="W39" i="67" s="1"/>
  <c r="P39" i="67"/>
  <c r="X38" i="67"/>
  <c r="V38" i="67"/>
  <c r="W38" i="67" s="1"/>
  <c r="P38" i="67"/>
  <c r="X37" i="67"/>
  <c r="V37" i="67"/>
  <c r="W37" i="67" s="1"/>
  <c r="P37" i="67"/>
  <c r="X36" i="67"/>
  <c r="P36" i="67"/>
  <c r="V35" i="67"/>
  <c r="P35" i="67"/>
  <c r="V34" i="67"/>
  <c r="V32" i="67"/>
  <c r="W32" i="67" s="1"/>
  <c r="V28" i="67"/>
  <c r="V27" i="67"/>
  <c r="U27" i="66"/>
  <c r="V27" i="66" s="1"/>
  <c r="W27" i="66" s="1"/>
  <c r="U26" i="66"/>
  <c r="V26" i="66" s="1"/>
  <c r="W26" i="66" s="1"/>
  <c r="U25" i="66"/>
  <c r="V25" i="66" s="1"/>
  <c r="W25" i="66" s="1"/>
  <c r="U24" i="66"/>
  <c r="V24" i="66" s="1"/>
  <c r="W24" i="66" s="1"/>
  <c r="U23" i="66"/>
  <c r="V23" i="66" s="1"/>
  <c r="W23" i="66" s="1"/>
  <c r="U22" i="66"/>
  <c r="V22" i="66" s="1"/>
  <c r="W22" i="66" s="1"/>
  <c r="N27" i="66"/>
  <c r="N26" i="66"/>
  <c r="N25" i="66"/>
  <c r="N24" i="66"/>
  <c r="N23" i="66"/>
  <c r="N22" i="66"/>
  <c r="I21" i="66"/>
  <c r="H21" i="66"/>
  <c r="G21" i="66"/>
  <c r="X27" i="66"/>
  <c r="P27" i="66"/>
  <c r="X26" i="66"/>
  <c r="P26" i="66"/>
  <c r="X25" i="66"/>
  <c r="P25" i="66"/>
  <c r="X24" i="66"/>
  <c r="P24" i="66"/>
  <c r="X23" i="66"/>
  <c r="P23" i="66"/>
  <c r="X22" i="66"/>
  <c r="P22" i="66"/>
  <c r="U32" i="65"/>
  <c r="U31" i="65"/>
  <c r="U30" i="65"/>
  <c r="U29" i="65"/>
  <c r="U28" i="65"/>
  <c r="U27" i="65"/>
  <c r="U26" i="65"/>
  <c r="U25" i="65"/>
  <c r="U24" i="65"/>
  <c r="U23" i="65"/>
  <c r="U22" i="65"/>
  <c r="N32" i="65"/>
  <c r="N31" i="65"/>
  <c r="N30" i="65"/>
  <c r="N29" i="65"/>
  <c r="N28" i="65"/>
  <c r="N27" i="65"/>
  <c r="N26" i="65"/>
  <c r="N25" i="65"/>
  <c r="N24" i="65"/>
  <c r="N23" i="65"/>
  <c r="N22" i="65"/>
  <c r="I21" i="65"/>
  <c r="G21" i="65"/>
  <c r="P32" i="65"/>
  <c r="R32" i="65" s="1"/>
  <c r="P31" i="65"/>
  <c r="R31" i="65" s="1"/>
  <c r="P30" i="65"/>
  <c r="R30" i="65" s="1"/>
  <c r="P29" i="65"/>
  <c r="R29" i="65" s="1"/>
  <c r="P28" i="65"/>
  <c r="R28" i="65" s="1"/>
  <c r="P27" i="65"/>
  <c r="R27" i="65" s="1"/>
  <c r="P26" i="65"/>
  <c r="R26" i="65" s="1"/>
  <c r="P25" i="65"/>
  <c r="R25" i="65" s="1"/>
  <c r="P24" i="65"/>
  <c r="R24" i="65" s="1"/>
  <c r="P23" i="65"/>
  <c r="R23" i="65" s="1"/>
  <c r="P22" i="65"/>
  <c r="U28" i="64"/>
  <c r="U27" i="64"/>
  <c r="U26" i="64"/>
  <c r="U25" i="64"/>
  <c r="U24" i="64"/>
  <c r="U23" i="64"/>
  <c r="U22" i="64"/>
  <c r="N28" i="64"/>
  <c r="N27" i="64"/>
  <c r="N26" i="64"/>
  <c r="N25" i="64"/>
  <c r="N24" i="64"/>
  <c r="N23" i="64"/>
  <c r="N22" i="64"/>
  <c r="I21" i="64"/>
  <c r="H21" i="64"/>
  <c r="G21" i="64"/>
  <c r="P28" i="64"/>
  <c r="R28" i="64" s="1"/>
  <c r="P27" i="64"/>
  <c r="R27" i="64" s="1"/>
  <c r="P26" i="64"/>
  <c r="R26" i="64" s="1"/>
  <c r="P25" i="64"/>
  <c r="R25" i="64" s="1"/>
  <c r="P24" i="64"/>
  <c r="R24" i="64" s="1"/>
  <c r="P23" i="64"/>
  <c r="R23" i="64" s="1"/>
  <c r="P22" i="64"/>
  <c r="U48" i="63"/>
  <c r="U47" i="63"/>
  <c r="U46" i="63"/>
  <c r="U45" i="63"/>
  <c r="U44" i="63"/>
  <c r="U43" i="63"/>
  <c r="U42" i="63"/>
  <c r="U41" i="63"/>
  <c r="U40" i="63"/>
  <c r="U39" i="63"/>
  <c r="U38" i="63"/>
  <c r="U37" i="63"/>
  <c r="U36" i="63"/>
  <c r="U35" i="63"/>
  <c r="U34" i="63"/>
  <c r="U33" i="63"/>
  <c r="U32" i="63"/>
  <c r="U31" i="63"/>
  <c r="U30" i="63"/>
  <c r="U29" i="63"/>
  <c r="U28" i="63"/>
  <c r="U27" i="63"/>
  <c r="U26" i="63"/>
  <c r="U25" i="63"/>
  <c r="U24" i="63"/>
  <c r="U23" i="63"/>
  <c r="U22" i="63"/>
  <c r="N48" i="63"/>
  <c r="N47" i="63"/>
  <c r="N46" i="63"/>
  <c r="P46" i="63" s="1"/>
  <c r="R46" i="63" s="1"/>
  <c r="N45" i="63"/>
  <c r="N44" i="63"/>
  <c r="N43" i="63"/>
  <c r="N42" i="63"/>
  <c r="N41" i="63"/>
  <c r="N40" i="63"/>
  <c r="P40" i="63" s="1"/>
  <c r="R40" i="63" s="1"/>
  <c r="N39" i="63"/>
  <c r="P39" i="63" s="1"/>
  <c r="R39" i="63" s="1"/>
  <c r="N38" i="63"/>
  <c r="N37" i="63"/>
  <c r="P37" i="63" s="1"/>
  <c r="R37" i="63" s="1"/>
  <c r="N36" i="63"/>
  <c r="N35" i="63"/>
  <c r="P35" i="63" s="1"/>
  <c r="R35" i="63" s="1"/>
  <c r="N34" i="63"/>
  <c r="P34" i="63" s="1"/>
  <c r="R34" i="63" s="1"/>
  <c r="N33" i="63"/>
  <c r="N32" i="63"/>
  <c r="N31" i="63"/>
  <c r="N30" i="63"/>
  <c r="P30" i="63" s="1"/>
  <c r="R30" i="63" s="1"/>
  <c r="N29" i="63"/>
  <c r="N28" i="63"/>
  <c r="N27" i="63"/>
  <c r="N26" i="63"/>
  <c r="N25" i="63"/>
  <c r="N24" i="63"/>
  <c r="N23" i="63"/>
  <c r="N22" i="63"/>
  <c r="I21" i="63"/>
  <c r="H21" i="63"/>
  <c r="G21" i="63"/>
  <c r="P48" i="63"/>
  <c r="R48" i="63" s="1"/>
  <c r="P47" i="63"/>
  <c r="R47" i="63" s="1"/>
  <c r="P45" i="63"/>
  <c r="R45" i="63" s="1"/>
  <c r="P44" i="63"/>
  <c r="R44" i="63" s="1"/>
  <c r="P43" i="63"/>
  <c r="R43" i="63" s="1"/>
  <c r="P42" i="63"/>
  <c r="R42" i="63" s="1"/>
  <c r="P41" i="63"/>
  <c r="R41" i="63" s="1"/>
  <c r="P38" i="63"/>
  <c r="R38" i="63" s="1"/>
  <c r="P36" i="63"/>
  <c r="R36" i="63" s="1"/>
  <c r="P33" i="63"/>
  <c r="R33" i="63" s="1"/>
  <c r="P32" i="63"/>
  <c r="R32" i="63" s="1"/>
  <c r="P31" i="63"/>
  <c r="R31" i="63" s="1"/>
  <c r="P23" i="63"/>
  <c r="R23" i="63" s="1"/>
  <c r="L28" i="69"/>
  <c r="M28" i="69" s="1"/>
  <c r="L27" i="69"/>
  <c r="M27" i="69" s="1"/>
  <c r="L25" i="69"/>
  <c r="M25" i="69" s="1"/>
  <c r="L24" i="69"/>
  <c r="M24" i="69" s="1"/>
  <c r="L23" i="69"/>
  <c r="M23" i="69" s="1"/>
  <c r="L22" i="69"/>
  <c r="L28" i="68"/>
  <c r="M28" i="68" s="1"/>
  <c r="S28" i="68" s="1"/>
  <c r="L27" i="68"/>
  <c r="M27" i="68" s="1"/>
  <c r="S27" i="68" s="1"/>
  <c r="L26" i="68"/>
  <c r="M26" i="68" s="1"/>
  <c r="S26" i="68" s="1"/>
  <c r="L25" i="68"/>
  <c r="M25" i="68" s="1"/>
  <c r="S25" i="68" s="1"/>
  <c r="L24" i="68"/>
  <c r="M24" i="68" s="1"/>
  <c r="S24" i="68" s="1"/>
  <c r="L23" i="68"/>
  <c r="M23" i="68" s="1"/>
  <c r="S23" i="68" s="1"/>
  <c r="L22" i="68"/>
  <c r="M22" i="68" s="1"/>
  <c r="L42" i="67"/>
  <c r="M42" i="67" s="1"/>
  <c r="L41" i="67"/>
  <c r="M41" i="67" s="1"/>
  <c r="L40" i="67"/>
  <c r="M40" i="67" s="1"/>
  <c r="L39" i="67"/>
  <c r="M39" i="67" s="1"/>
  <c r="L38" i="67"/>
  <c r="M38" i="67" s="1"/>
  <c r="L37" i="67"/>
  <c r="M37" i="67" s="1"/>
  <c r="L36" i="67"/>
  <c r="M36" i="67" s="1"/>
  <c r="L35" i="67"/>
  <c r="M35" i="67" s="1"/>
  <c r="L34" i="67"/>
  <c r="M34" i="67" s="1"/>
  <c r="L33" i="67"/>
  <c r="M33" i="67" s="1"/>
  <c r="L32" i="67"/>
  <c r="M32" i="67" s="1"/>
  <c r="L31" i="67"/>
  <c r="M31" i="67" s="1"/>
  <c r="L30" i="67"/>
  <c r="M30" i="67" s="1"/>
  <c r="L29" i="67"/>
  <c r="M29" i="67" s="1"/>
  <c r="L28" i="67"/>
  <c r="M28" i="67" s="1"/>
  <c r="L27" i="67"/>
  <c r="M27" i="67" s="1"/>
  <c r="L26" i="67"/>
  <c r="M26" i="67" s="1"/>
  <c r="L25" i="67"/>
  <c r="M25" i="67" s="1"/>
  <c r="L24" i="67"/>
  <c r="M24" i="67" s="1"/>
  <c r="L23" i="67"/>
  <c r="M23" i="67" s="1"/>
  <c r="L22" i="67"/>
  <c r="M22" i="67" s="1"/>
  <c r="L27" i="66"/>
  <c r="M27" i="66" s="1"/>
  <c r="S27" i="66" s="1"/>
  <c r="L26" i="66"/>
  <c r="M26" i="66" s="1"/>
  <c r="S26" i="66" s="1"/>
  <c r="L25" i="66"/>
  <c r="M25" i="66" s="1"/>
  <c r="S25" i="66" s="1"/>
  <c r="L24" i="66"/>
  <c r="M24" i="66" s="1"/>
  <c r="S24" i="66" s="1"/>
  <c r="L23" i="66"/>
  <c r="M23" i="66" s="1"/>
  <c r="S23" i="66" s="1"/>
  <c r="L22" i="66"/>
  <c r="M22" i="66" s="1"/>
  <c r="L47" i="63"/>
  <c r="M47" i="63" s="1"/>
  <c r="L46" i="63"/>
  <c r="M46" i="63" s="1"/>
  <c r="L41" i="63"/>
  <c r="M41" i="63" s="1"/>
  <c r="L39" i="63"/>
  <c r="M39" i="63" s="1"/>
  <c r="L30" i="63"/>
  <c r="M30" i="63" s="1"/>
  <c r="L23" i="63"/>
  <c r="M23" i="63" s="1"/>
  <c r="J31" i="46"/>
  <c r="L22" i="70" s="1"/>
  <c r="M22" i="70" s="1"/>
  <c r="J22" i="46"/>
  <c r="J21" i="46"/>
  <c r="J20" i="46"/>
  <c r="J19" i="46"/>
  <c r="J18" i="46"/>
  <c r="J17" i="46"/>
  <c r="J16" i="46"/>
  <c r="J15" i="46"/>
  <c r="J14" i="46"/>
  <c r="J13" i="46"/>
  <c r="J12" i="46"/>
  <c r="J11" i="46"/>
  <c r="J10" i="46"/>
  <c r="I22" i="46"/>
  <c r="I21" i="46"/>
  <c r="H22" i="46"/>
  <c r="H21" i="46"/>
  <c r="G22" i="46"/>
  <c r="G21" i="46"/>
  <c r="F22" i="46"/>
  <c r="F21" i="46"/>
  <c r="E20" i="46"/>
  <c r="E19" i="46"/>
  <c r="E18" i="46"/>
  <c r="E17" i="46"/>
  <c r="E16" i="46"/>
  <c r="E15" i="46"/>
  <c r="E14" i="46"/>
  <c r="E13" i="46"/>
  <c r="E12" i="46"/>
  <c r="E11" i="46"/>
  <c r="E10" i="46"/>
  <c r="D22" i="46"/>
  <c r="D21" i="46"/>
  <c r="D20" i="46"/>
  <c r="D19" i="46"/>
  <c r="D18" i="46"/>
  <c r="D17" i="46"/>
  <c r="D16" i="46"/>
  <c r="D15" i="46"/>
  <c r="D14" i="46"/>
  <c r="D13" i="46"/>
  <c r="D12" i="46"/>
  <c r="D11" i="46"/>
  <c r="D10" i="46"/>
  <c r="C22" i="46"/>
  <c r="C21" i="46"/>
  <c r="C20" i="46"/>
  <c r="C19" i="46"/>
  <c r="C18" i="46"/>
  <c r="C17" i="46"/>
  <c r="C16" i="46"/>
  <c r="C15" i="46"/>
  <c r="C14" i="46"/>
  <c r="C13" i="46"/>
  <c r="C12" i="46"/>
  <c r="C11" i="46"/>
  <c r="C10" i="46"/>
  <c r="B22" i="46"/>
  <c r="B21" i="46"/>
  <c r="B20" i="46"/>
  <c r="B19" i="46"/>
  <c r="B18" i="46"/>
  <c r="B17" i="46"/>
  <c r="B16" i="46"/>
  <c r="B15" i="46"/>
  <c r="B14" i="46"/>
  <c r="B13" i="46"/>
  <c r="B12" i="46"/>
  <c r="B11" i="46"/>
  <c r="B10" i="46"/>
  <c r="B13" i="70"/>
  <c r="B4" i="70"/>
  <c r="N2" i="70"/>
  <c r="B13" i="69"/>
  <c r="B4" i="69"/>
  <c r="N2" i="69"/>
  <c r="B13" i="68"/>
  <c r="B4" i="68"/>
  <c r="N2" i="68"/>
  <c r="B13" i="67"/>
  <c r="B4" i="67"/>
  <c r="N2" i="67"/>
  <c r="B13" i="66"/>
  <c r="B4" i="66"/>
  <c r="N2" i="66"/>
  <c r="B13" i="65"/>
  <c r="B4" i="65"/>
  <c r="N2" i="65"/>
  <c r="B13" i="64"/>
  <c r="B4" i="64"/>
  <c r="N2" i="64"/>
  <c r="B13" i="63"/>
  <c r="B4" i="63"/>
  <c r="N2" i="63"/>
  <c r="K7" i="71" l="1"/>
  <c r="S40" i="67"/>
  <c r="S41" i="67"/>
  <c r="S37" i="67"/>
  <c r="E24" i="1"/>
  <c r="R21" i="65"/>
  <c r="E23" i="1"/>
  <c r="R21" i="64"/>
  <c r="E22" i="1"/>
  <c r="R21" i="63"/>
  <c r="S23" i="69"/>
  <c r="P26" i="69"/>
  <c r="S26" i="69"/>
  <c r="X26" i="69"/>
  <c r="V26" i="69"/>
  <c r="W26" i="69" s="1"/>
  <c r="P24" i="69"/>
  <c r="X24" i="69"/>
  <c r="S25" i="69"/>
  <c r="S24" i="69"/>
  <c r="S28" i="69"/>
  <c r="S27" i="69"/>
  <c r="S39" i="67"/>
  <c r="S38" i="67"/>
  <c r="S42" i="67"/>
  <c r="X25" i="67"/>
  <c r="P25" i="67"/>
  <c r="X24" i="67"/>
  <c r="P24" i="67"/>
  <c r="W33" i="67"/>
  <c r="W23" i="67"/>
  <c r="W34" i="67"/>
  <c r="W35" i="67"/>
  <c r="W28" i="67"/>
  <c r="W26" i="67"/>
  <c r="W27" i="67"/>
  <c r="N14" i="66"/>
  <c r="L48" i="63"/>
  <c r="M48" i="63" s="1"/>
  <c r="L24" i="63"/>
  <c r="M24" i="63" s="1"/>
  <c r="L29" i="63"/>
  <c r="M29" i="63" s="1"/>
  <c r="L27" i="63"/>
  <c r="M27" i="63" s="1"/>
  <c r="L22" i="63"/>
  <c r="M22" i="63" s="1"/>
  <c r="L26" i="63"/>
  <c r="M26" i="63" s="1"/>
  <c r="L25" i="63"/>
  <c r="M25" i="63" s="1"/>
  <c r="L28" i="63"/>
  <c r="M28" i="63" s="1"/>
  <c r="M32" i="65"/>
  <c r="M31" i="65"/>
  <c r="M28" i="65"/>
  <c r="M27" i="65"/>
  <c r="M26" i="65"/>
  <c r="M23" i="65"/>
  <c r="M22" i="65"/>
  <c r="M30" i="65"/>
  <c r="M29" i="65"/>
  <c r="L28" i="64"/>
  <c r="M28" i="64" s="1"/>
  <c r="L27" i="64"/>
  <c r="M27" i="64" s="1"/>
  <c r="L26" i="64"/>
  <c r="M26" i="64" s="1"/>
  <c r="L25" i="64"/>
  <c r="M25" i="64" s="1"/>
  <c r="L24" i="64"/>
  <c r="M24" i="64" s="1"/>
  <c r="L23" i="64"/>
  <c r="M23" i="64" s="1"/>
  <c r="L22" i="64"/>
  <c r="M22" i="64" s="1"/>
  <c r="S36" i="67"/>
  <c r="S25" i="67"/>
  <c r="S24" i="67"/>
  <c r="T22" i="70"/>
  <c r="V22" i="70"/>
  <c r="M22" i="69"/>
  <c r="J6" i="69" s="1"/>
  <c r="J5" i="68"/>
  <c r="S22" i="68"/>
  <c r="S14" i="68" s="1"/>
  <c r="I5" i="68"/>
  <c r="J4" i="68"/>
  <c r="M21" i="68"/>
  <c r="I4" i="68"/>
  <c r="J6" i="68"/>
  <c r="I6" i="68"/>
  <c r="J4" i="67"/>
  <c r="M21" i="67"/>
  <c r="I8" i="67"/>
  <c r="J5" i="67"/>
  <c r="I5" i="67"/>
  <c r="I9" i="67"/>
  <c r="I6" i="67"/>
  <c r="J7" i="67"/>
  <c r="J8" i="67"/>
  <c r="J9" i="67"/>
  <c r="I7" i="67"/>
  <c r="J6" i="67"/>
  <c r="I4" i="67"/>
  <c r="I5" i="66"/>
  <c r="J4" i="66"/>
  <c r="I4" i="66"/>
  <c r="J5" i="66"/>
  <c r="J6" i="66"/>
  <c r="M21" i="66"/>
  <c r="S22" i="66"/>
  <c r="S14" i="66" s="1"/>
  <c r="I6" i="66"/>
  <c r="T32" i="65"/>
  <c r="V32" i="65"/>
  <c r="V31" i="65"/>
  <c r="T31" i="65"/>
  <c r="T30" i="65"/>
  <c r="V30" i="65"/>
  <c r="T29" i="65"/>
  <c r="V29" i="65"/>
  <c r="T28" i="65"/>
  <c r="V28" i="65"/>
  <c r="T27" i="65"/>
  <c r="V27" i="65"/>
  <c r="T26" i="65"/>
  <c r="V26" i="65"/>
  <c r="T25" i="65"/>
  <c r="V25" i="65"/>
  <c r="T24" i="65"/>
  <c r="V24" i="65"/>
  <c r="J4" i="65"/>
  <c r="M21" i="65"/>
  <c r="J6" i="65"/>
  <c r="J5" i="65"/>
  <c r="I4" i="65"/>
  <c r="I5" i="65"/>
  <c r="I6" i="65"/>
  <c r="T28" i="64"/>
  <c r="V28" i="64"/>
  <c r="T27" i="64"/>
  <c r="V27" i="64"/>
  <c r="T26" i="64"/>
  <c r="V26" i="64"/>
  <c r="V25" i="64"/>
  <c r="T25" i="64"/>
  <c r="V24" i="64"/>
  <c r="T24" i="64"/>
  <c r="T23" i="64"/>
  <c r="V23" i="64"/>
  <c r="V22" i="64"/>
  <c r="M21" i="64"/>
  <c r="J5" i="64"/>
  <c r="T22" i="64"/>
  <c r="I5" i="64"/>
  <c r="I4" i="64"/>
  <c r="J4" i="64"/>
  <c r="I6" i="64"/>
  <c r="J6" i="64"/>
  <c r="T48" i="63"/>
  <c r="V48" i="63"/>
  <c r="Q47" i="63"/>
  <c r="S47" i="63" s="1"/>
  <c r="T47" i="63"/>
  <c r="V47" i="63"/>
  <c r="Q46" i="63"/>
  <c r="S46" i="63" s="1"/>
  <c r="T46" i="63"/>
  <c r="V46" i="63"/>
  <c r="Q41" i="63"/>
  <c r="S41" i="63" s="1"/>
  <c r="T41" i="63"/>
  <c r="V41" i="63"/>
  <c r="Q39" i="63"/>
  <c r="S39" i="63" s="1"/>
  <c r="T39" i="63"/>
  <c r="V39" i="63"/>
  <c r="Q30" i="63"/>
  <c r="S30" i="63" s="1"/>
  <c r="T30" i="63"/>
  <c r="V30" i="63"/>
  <c r="Q23" i="63"/>
  <c r="S23" i="63" s="1"/>
  <c r="T23" i="63"/>
  <c r="V23" i="63"/>
  <c r="L44" i="63"/>
  <c r="M44" i="63" s="1"/>
  <c r="L40" i="63"/>
  <c r="M40" i="63" s="1"/>
  <c r="L34" i="63"/>
  <c r="L45" i="63"/>
  <c r="M45" i="63" s="1"/>
  <c r="L35" i="63"/>
  <c r="M35" i="63" s="1"/>
  <c r="L36" i="63"/>
  <c r="M36" i="63" s="1"/>
  <c r="L31" i="63"/>
  <c r="L42" i="63"/>
  <c r="M42" i="63" s="1"/>
  <c r="L43" i="63"/>
  <c r="M43" i="63" s="1"/>
  <c r="L32" i="63"/>
  <c r="M32" i="63" s="1"/>
  <c r="L37" i="63"/>
  <c r="M37" i="63" s="1"/>
  <c r="L38" i="63"/>
  <c r="M38" i="63" s="1"/>
  <c r="L33" i="63"/>
  <c r="P21" i="70"/>
  <c r="R21" i="70" s="1"/>
  <c r="R28" i="69"/>
  <c r="Q28" i="69"/>
  <c r="R27" i="69"/>
  <c r="Q27" i="69"/>
  <c r="R25" i="69"/>
  <c r="Q25" i="69"/>
  <c r="R23" i="69"/>
  <c r="Q23" i="69"/>
  <c r="R22" i="69"/>
  <c r="Q22" i="69"/>
  <c r="R28" i="68"/>
  <c r="Q28" i="68"/>
  <c r="R27" i="68"/>
  <c r="Q27" i="68"/>
  <c r="R26" i="68"/>
  <c r="Q26" i="68"/>
  <c r="R25" i="68"/>
  <c r="Q25" i="68"/>
  <c r="R24" i="68"/>
  <c r="Q24" i="68"/>
  <c r="R23" i="68"/>
  <c r="Q23" i="68"/>
  <c r="L8" i="68"/>
  <c r="L10" i="68"/>
  <c r="O14" i="68"/>
  <c r="L9" i="68"/>
  <c r="L11" i="68"/>
  <c r="R22" i="68"/>
  <c r="Q22" i="68"/>
  <c r="P21" i="68"/>
  <c r="V36" i="67"/>
  <c r="W36" i="67" s="1"/>
  <c r="V31" i="67"/>
  <c r="W31" i="67" s="1"/>
  <c r="V29" i="67"/>
  <c r="W29" i="67" s="1"/>
  <c r="V24" i="67"/>
  <c r="W24" i="67" s="1"/>
  <c r="V22" i="67"/>
  <c r="W22" i="67" s="1"/>
  <c r="R42" i="67"/>
  <c r="Q42" i="67"/>
  <c r="R41" i="67"/>
  <c r="Q41" i="67"/>
  <c r="R40" i="67"/>
  <c r="Q40" i="67"/>
  <c r="R39" i="67"/>
  <c r="Q39" i="67"/>
  <c r="R38" i="67"/>
  <c r="Q38" i="67"/>
  <c r="R37" i="67"/>
  <c r="Q37" i="67"/>
  <c r="R36" i="67"/>
  <c r="Q36" i="67"/>
  <c r="X35" i="67"/>
  <c r="S35" i="67"/>
  <c r="Q35" i="67"/>
  <c r="R35" i="67"/>
  <c r="S34" i="67"/>
  <c r="X34" i="67"/>
  <c r="P34" i="67"/>
  <c r="S33" i="67"/>
  <c r="X33" i="67"/>
  <c r="P33" i="67"/>
  <c r="S32" i="67"/>
  <c r="X32" i="67"/>
  <c r="P32" i="67"/>
  <c r="S31" i="67"/>
  <c r="X31" i="67"/>
  <c r="P31" i="67"/>
  <c r="S30" i="67"/>
  <c r="X30" i="67"/>
  <c r="P30" i="67"/>
  <c r="S29" i="67"/>
  <c r="X29" i="67"/>
  <c r="P29" i="67"/>
  <c r="S28" i="67"/>
  <c r="X28" i="67"/>
  <c r="P28" i="67"/>
  <c r="S27" i="67"/>
  <c r="X27" i="67"/>
  <c r="P27" i="67"/>
  <c r="S26" i="67"/>
  <c r="X26" i="67"/>
  <c r="P26" i="67"/>
  <c r="R25" i="67"/>
  <c r="Q25" i="67"/>
  <c r="R24" i="67"/>
  <c r="Q24" i="67"/>
  <c r="S23" i="67"/>
  <c r="X23" i="67"/>
  <c r="P23" i="67"/>
  <c r="S22" i="67"/>
  <c r="X22" i="67"/>
  <c r="P22" i="67"/>
  <c r="R27" i="66"/>
  <c r="Q27" i="66"/>
  <c r="R26" i="66"/>
  <c r="Q26" i="66"/>
  <c r="R25" i="66"/>
  <c r="Q25" i="66"/>
  <c r="R24" i="66"/>
  <c r="Q24" i="66"/>
  <c r="R23" i="66"/>
  <c r="Q23" i="66"/>
  <c r="P21" i="66"/>
  <c r="R22" i="66"/>
  <c r="Q22" i="66"/>
  <c r="P21" i="65"/>
  <c r="R22" i="65"/>
  <c r="P21" i="64"/>
  <c r="R22" i="64"/>
  <c r="P29" i="63"/>
  <c r="R29" i="63" s="1"/>
  <c r="P28" i="63"/>
  <c r="R28" i="63" s="1"/>
  <c r="P27" i="63"/>
  <c r="R27" i="63" s="1"/>
  <c r="P26" i="63"/>
  <c r="R26" i="63" s="1"/>
  <c r="P25" i="63"/>
  <c r="R25" i="63" s="1"/>
  <c r="V24" i="63"/>
  <c r="T24" i="63"/>
  <c r="P24" i="63"/>
  <c r="R24" i="63" s="1"/>
  <c r="P22" i="63"/>
  <c r="D17" i="29"/>
  <c r="D17" i="38"/>
  <c r="D18" i="38"/>
  <c r="F18" i="38" s="1"/>
  <c r="D19" i="38"/>
  <c r="D20" i="38"/>
  <c r="F20" i="38" s="1"/>
  <c r="D21" i="38"/>
  <c r="D22" i="38"/>
  <c r="F22" i="38"/>
  <c r="D76" i="29"/>
  <c r="F21" i="1" l="1"/>
  <c r="C6" i="3"/>
  <c r="Q24" i="69"/>
  <c r="R24" i="69"/>
  <c r="R26" i="69"/>
  <c r="Q26" i="69"/>
  <c r="N14" i="69"/>
  <c r="P21" i="69"/>
  <c r="L8" i="66"/>
  <c r="L9" i="66"/>
  <c r="L10" i="66"/>
  <c r="L11" i="66"/>
  <c r="O14" i="66"/>
  <c r="V29" i="63"/>
  <c r="T29" i="63"/>
  <c r="V27" i="63"/>
  <c r="T27" i="63"/>
  <c r="V22" i="63"/>
  <c r="T22" i="63"/>
  <c r="V26" i="63"/>
  <c r="T26" i="63"/>
  <c r="V25" i="63"/>
  <c r="T25" i="63"/>
  <c r="V28" i="63"/>
  <c r="T28" i="63"/>
  <c r="T23" i="65"/>
  <c r="V23" i="65"/>
  <c r="T22" i="65"/>
  <c r="T14" i="65" s="1"/>
  <c r="V22" i="65"/>
  <c r="J4" i="70"/>
  <c r="Q21" i="68"/>
  <c r="D8" i="3" s="1"/>
  <c r="M21" i="70"/>
  <c r="I4" i="70"/>
  <c r="T14" i="70"/>
  <c r="I4" i="69"/>
  <c r="J4" i="69"/>
  <c r="I5" i="69"/>
  <c r="J5" i="69"/>
  <c r="I6" i="69"/>
  <c r="M21" i="69"/>
  <c r="S22" i="69"/>
  <c r="S14" i="69" s="1"/>
  <c r="T44" i="63"/>
  <c r="V44" i="63"/>
  <c r="T40" i="63"/>
  <c r="V40" i="63"/>
  <c r="T45" i="63"/>
  <c r="V45" i="63"/>
  <c r="T35" i="63"/>
  <c r="V35" i="63"/>
  <c r="T36" i="63"/>
  <c r="V36" i="63"/>
  <c r="T42" i="63"/>
  <c r="V42" i="63"/>
  <c r="T43" i="63"/>
  <c r="V43" i="63"/>
  <c r="T32" i="63"/>
  <c r="V32" i="63"/>
  <c r="T37" i="63"/>
  <c r="V37" i="63"/>
  <c r="T38" i="63"/>
  <c r="V38" i="63"/>
  <c r="T14" i="64"/>
  <c r="Q21" i="66"/>
  <c r="N13" i="64"/>
  <c r="N14" i="64"/>
  <c r="O14" i="64" s="1"/>
  <c r="M34" i="63"/>
  <c r="J8" i="63"/>
  <c r="I6" i="63"/>
  <c r="M31" i="63"/>
  <c r="I5" i="63"/>
  <c r="J7" i="63"/>
  <c r="M33" i="63"/>
  <c r="J6" i="63" s="1"/>
  <c r="J4" i="63"/>
  <c r="I9" i="63"/>
  <c r="I7" i="63"/>
  <c r="R21" i="68"/>
  <c r="G23" i="1"/>
  <c r="L9" i="69"/>
  <c r="L10" i="69"/>
  <c r="L8" i="69"/>
  <c r="Q21" i="69"/>
  <c r="D9" i="3" s="1"/>
  <c r="Q34" i="67"/>
  <c r="R34" i="67"/>
  <c r="Q33" i="67"/>
  <c r="R33" i="67"/>
  <c r="Q32" i="67"/>
  <c r="R32" i="67"/>
  <c r="S14" i="67"/>
  <c r="N14" i="67"/>
  <c r="Q31" i="67"/>
  <c r="R31" i="67"/>
  <c r="Q30" i="67"/>
  <c r="R30" i="67"/>
  <c r="Q29" i="67"/>
  <c r="R29" i="67"/>
  <c r="Q28" i="67"/>
  <c r="R28" i="67"/>
  <c r="Q27" i="67"/>
  <c r="R27" i="67"/>
  <c r="Q26" i="67"/>
  <c r="R26" i="67"/>
  <c r="Q23" i="67"/>
  <c r="R23" i="67"/>
  <c r="Q22" i="67"/>
  <c r="R22" i="67"/>
  <c r="P21" i="67"/>
  <c r="R22" i="63"/>
  <c r="P21" i="63"/>
  <c r="H18" i="38"/>
  <c r="H20" i="38"/>
  <c r="O14" i="69" l="1"/>
  <c r="L11" i="69"/>
  <c r="N13" i="65"/>
  <c r="N14" i="65"/>
  <c r="O14" i="65" s="1"/>
  <c r="I8" i="63"/>
  <c r="J5" i="63"/>
  <c r="J10" i="63"/>
  <c r="I4" i="63"/>
  <c r="J9" i="63"/>
  <c r="I10" i="63"/>
  <c r="N13" i="70"/>
  <c r="N14" i="70"/>
  <c r="O14" i="70" s="1"/>
  <c r="D6" i="3"/>
  <c r="F6" i="3" s="1"/>
  <c r="G21" i="1"/>
  <c r="J21" i="1" s="1"/>
  <c r="K21" i="1" s="1"/>
  <c r="R21" i="66"/>
  <c r="V34" i="63"/>
  <c r="T34" i="63"/>
  <c r="V31" i="63"/>
  <c r="T31" i="63"/>
  <c r="M21" i="63"/>
  <c r="V33" i="63"/>
  <c r="T33" i="63"/>
  <c r="O13" i="64"/>
  <c r="M11" i="64"/>
  <c r="M12" i="64"/>
  <c r="R21" i="69"/>
  <c r="G24" i="1"/>
  <c r="Q21" i="67"/>
  <c r="D7" i="3" s="1"/>
  <c r="L8" i="67"/>
  <c r="L9" i="67"/>
  <c r="L10" i="67"/>
  <c r="L11" i="67"/>
  <c r="O14" i="67"/>
  <c r="D76" i="38"/>
  <c r="D23" i="38" s="1"/>
  <c r="D24" i="38" s="1"/>
  <c r="F24" i="38" s="1"/>
  <c r="F57" i="29"/>
  <c r="F42" i="29"/>
  <c r="F34" i="29"/>
  <c r="F59" i="29" s="1"/>
  <c r="F57" i="38"/>
  <c r="F42" i="38"/>
  <c r="F34" i="38"/>
  <c r="F59" i="38" s="1"/>
  <c r="M11" i="65" l="1"/>
  <c r="O13" i="65"/>
  <c r="M12" i="65"/>
  <c r="M12" i="70"/>
  <c r="M11" i="70"/>
  <c r="O13" i="70"/>
  <c r="H6" i="3"/>
  <c r="N13" i="63"/>
  <c r="N14" i="63"/>
  <c r="O14" i="63" s="1"/>
  <c r="T14" i="63"/>
  <c r="R21" i="67"/>
  <c r="G22" i="1"/>
  <c r="F28" i="29"/>
  <c r="D23" i="29"/>
  <c r="D21" i="29"/>
  <c r="D19" i="29"/>
  <c r="F28" i="38"/>
  <c r="G6" i="3" l="1"/>
  <c r="O13" i="63"/>
  <c r="M12" i="63"/>
  <c r="M11" i="63"/>
  <c r="B2" i="26" l="1"/>
  <c r="D2" i="26" l="1"/>
  <c r="C2" i="38" l="1"/>
  <c r="C2" i="29"/>
  <c r="C2" i="23" l="1"/>
  <c r="C2" i="3" l="1"/>
  <c r="E1" i="46" l="1"/>
  <c r="E1" i="29"/>
  <c r="E1" i="38"/>
  <c r="I2" i="1"/>
  <c r="B2" i="46" l="1"/>
  <c r="K68" i="29" l="1"/>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26" i="69" s="1"/>
  <c r="O22" i="70" l="1"/>
  <c r="Q22" i="70" s="1"/>
  <c r="O32" i="65"/>
  <c r="Q32" i="65" s="1"/>
  <c r="S32" i="65" s="1"/>
  <c r="O28" i="69"/>
  <c r="O27" i="69"/>
  <c r="O24" i="69"/>
  <c r="O25" i="69"/>
  <c r="O22" i="69"/>
  <c r="O23" i="69"/>
  <c r="O27" i="68"/>
  <c r="O28" i="68"/>
  <c r="O25" i="68"/>
  <c r="O26" i="68"/>
  <c r="O23" i="68"/>
  <c r="O24" i="68"/>
  <c r="O22" i="68"/>
  <c r="O41" i="67"/>
  <c r="O42" i="67"/>
  <c r="O39" i="67"/>
  <c r="O40" i="67"/>
  <c r="O37" i="67"/>
  <c r="O38" i="67"/>
  <c r="O36" i="67"/>
  <c r="O34" i="67"/>
  <c r="O35" i="67"/>
  <c r="O32" i="67"/>
  <c r="O33" i="67"/>
  <c r="O30" i="67"/>
  <c r="O31" i="67"/>
  <c r="O29" i="67"/>
  <c r="O27" i="67"/>
  <c r="O28" i="67"/>
  <c r="O25" i="67"/>
  <c r="O26" i="67"/>
  <c r="O23" i="67"/>
  <c r="O24" i="67"/>
  <c r="O22" i="67"/>
  <c r="O26" i="66"/>
  <c r="O27" i="66"/>
  <c r="O24" i="66"/>
  <c r="O25" i="66"/>
  <c r="O22" i="66"/>
  <c r="O23" i="66"/>
  <c r="O30" i="65"/>
  <c r="Q30" i="65" s="1"/>
  <c r="S30" i="65" s="1"/>
  <c r="O31" i="65"/>
  <c r="Q31" i="65" s="1"/>
  <c r="S31" i="65" s="1"/>
  <c r="O28" i="65"/>
  <c r="Q28" i="65" s="1"/>
  <c r="S28" i="65" s="1"/>
  <c r="O29" i="65"/>
  <c r="Q29" i="65" s="1"/>
  <c r="S29" i="65" s="1"/>
  <c r="O26" i="65"/>
  <c r="Q26" i="65" s="1"/>
  <c r="S26" i="65" s="1"/>
  <c r="O27" i="65"/>
  <c r="Q27" i="65" s="1"/>
  <c r="S27" i="65" s="1"/>
  <c r="O24" i="65"/>
  <c r="Q24" i="65" s="1"/>
  <c r="O25" i="65"/>
  <c r="Q25" i="65" s="1"/>
  <c r="S25" i="65" s="1"/>
  <c r="O22" i="65"/>
  <c r="Q22" i="65" s="1"/>
  <c r="S22" i="65" s="1"/>
  <c r="O23" i="65"/>
  <c r="Q23" i="65" s="1"/>
  <c r="S23" i="65" s="1"/>
  <c r="O27" i="64"/>
  <c r="Q27" i="64" s="1"/>
  <c r="S27" i="64" s="1"/>
  <c r="O28" i="64"/>
  <c r="Q28" i="64" s="1"/>
  <c r="S28" i="64" s="1"/>
  <c r="O25" i="64"/>
  <c r="Q25" i="64" s="1"/>
  <c r="S25" i="64" s="1"/>
  <c r="O26" i="64"/>
  <c r="Q26" i="64" s="1"/>
  <c r="S26" i="64" s="1"/>
  <c r="O23" i="64"/>
  <c r="Q23" i="64" s="1"/>
  <c r="S23" i="64" s="1"/>
  <c r="O24" i="64"/>
  <c r="Q24" i="64" s="1"/>
  <c r="S24" i="64" s="1"/>
  <c r="O48" i="63"/>
  <c r="Q48" i="63" s="1"/>
  <c r="S48" i="63" s="1"/>
  <c r="O22" i="64"/>
  <c r="Q22" i="64" s="1"/>
  <c r="O46" i="63"/>
  <c r="O47" i="63"/>
  <c r="O44" i="63"/>
  <c r="Q44" i="63" s="1"/>
  <c r="S44" i="63" s="1"/>
  <c r="O45" i="63"/>
  <c r="Q45" i="63" s="1"/>
  <c r="S45" i="63" s="1"/>
  <c r="O42" i="63"/>
  <c r="Q42" i="63" s="1"/>
  <c r="S42" i="63" s="1"/>
  <c r="O43" i="63"/>
  <c r="Q43" i="63" s="1"/>
  <c r="S43" i="63" s="1"/>
  <c r="O40" i="63"/>
  <c r="Q40" i="63" s="1"/>
  <c r="S40" i="63" s="1"/>
  <c r="O41" i="63"/>
  <c r="O38" i="63"/>
  <c r="Q38" i="63" s="1"/>
  <c r="S38" i="63" s="1"/>
  <c r="O39" i="63"/>
  <c r="O36" i="63"/>
  <c r="Q36" i="63" s="1"/>
  <c r="S36" i="63" s="1"/>
  <c r="O37" i="63"/>
  <c r="Q37" i="63" s="1"/>
  <c r="S37" i="63" s="1"/>
  <c r="O34" i="63"/>
  <c r="Q34" i="63" s="1"/>
  <c r="S34" i="63" s="1"/>
  <c r="O35" i="63"/>
  <c r="Q35" i="63" s="1"/>
  <c r="S35" i="63" s="1"/>
  <c r="O32" i="63"/>
  <c r="Q32" i="63" s="1"/>
  <c r="S32" i="63" s="1"/>
  <c r="O33" i="63"/>
  <c r="Q33" i="63" s="1"/>
  <c r="S33" i="63" s="1"/>
  <c r="O30" i="63"/>
  <c r="O31" i="63"/>
  <c r="Q31" i="63" s="1"/>
  <c r="S31" i="63" s="1"/>
  <c r="O28" i="63"/>
  <c r="Q28" i="63" s="1"/>
  <c r="S28" i="63" s="1"/>
  <c r="O29" i="63"/>
  <c r="Q29" i="63" s="1"/>
  <c r="S29" i="63" s="1"/>
  <c r="O26" i="63"/>
  <c r="Q26" i="63" s="1"/>
  <c r="S26" i="63" s="1"/>
  <c r="O27" i="63"/>
  <c r="Q27" i="63" s="1"/>
  <c r="S27" i="63" s="1"/>
  <c r="O24" i="63"/>
  <c r="Q24" i="63" s="1"/>
  <c r="S24" i="63" s="1"/>
  <c r="O25" i="63"/>
  <c r="Q25" i="63" s="1"/>
  <c r="S25" i="63" s="1"/>
  <c r="O22" i="63"/>
  <c r="Q22" i="63" s="1"/>
  <c r="O23" i="63"/>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Q21" i="70" l="1"/>
  <c r="S21" i="70" s="1"/>
  <c r="S22" i="70"/>
  <c r="Q21" i="64"/>
  <c r="S21" i="64" s="1"/>
  <c r="S22" i="64"/>
  <c r="S24" i="65"/>
  <c r="Q21" i="65"/>
  <c r="S21" i="65" s="1"/>
  <c r="S22" i="63"/>
  <c r="Q21" i="63"/>
  <c r="S21" i="63" s="1"/>
  <c r="F29" i="29"/>
  <c r="K62" i="38"/>
  <c r="F24" i="1" l="1"/>
  <c r="J24" i="1" s="1"/>
  <c r="K24" i="1" s="1"/>
  <c r="C9" i="3"/>
  <c r="F9" i="3" s="1"/>
  <c r="H9" i="3" s="1"/>
  <c r="G9" i="3" s="1"/>
  <c r="F23" i="1"/>
  <c r="J23" i="1" s="1"/>
  <c r="K23" i="1" s="1"/>
  <c r="C8" i="3"/>
  <c r="F8" i="3" s="1"/>
  <c r="H8" i="3" s="1"/>
  <c r="G8" i="3" s="1"/>
  <c r="F22" i="1"/>
  <c r="C7" i="3"/>
  <c r="F7" i="3" s="1"/>
  <c r="C6" i="23"/>
  <c r="E6" i="23" s="1"/>
  <c r="D6" i="23" s="1"/>
  <c r="I22" i="1"/>
  <c r="J22" i="1" l="1"/>
  <c r="K22" i="1" s="1"/>
  <c r="F10" i="3"/>
  <c r="H7" i="3"/>
  <c r="H10" i="3" l="1"/>
  <c r="G7" i="3"/>
  <c r="G10" i="3" s="1"/>
</calcChain>
</file>

<file path=xl/sharedStrings.xml><?xml version="1.0" encoding="utf-8"?>
<sst xmlns="http://schemas.openxmlformats.org/spreadsheetml/2006/main" count="1514" uniqueCount="362">
  <si>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</si>
  <si>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</si>
  <si>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</si>
  <si>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</si>
  <si>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</si>
  <si>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</si>
  <si>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</si>
  <si>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</si>
  <si>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</si>
  <si>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</si>
  <si>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</si>
  <si>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</si>
  <si>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</si>
  <si>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</si>
  <si>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</si>
  <si>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</si>
  <si>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</si>
  <si>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</si>
  <si>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</si>
  <si>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</si>
  <si>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</si>
  <si>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</si>
  <si>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</si>
  <si>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</si>
  <si>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</si>
  <si>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</si>
  <si>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</si>
  <si>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</si>
  <si>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</si>
  <si>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</si>
  <si>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</si>
  <si>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</si>
  <si>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</si>
  <si>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</si>
  <si>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</si>
  <si>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</si>
  <si>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</si>
  <si>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</si>
  <si>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</si>
  <si>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</si>
  <si>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</si>
  <si>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</si>
  <si>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</si>
  <si>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</si>
  <si>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</si>
  <si>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</si>
  <si>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</si>
  <si>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</si>
  <si>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</si>
  <si>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</si>
  <si>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</si>
  <si>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</si>
  <si>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</si>
  <si>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</si>
  <si>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</si>
  <si>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</si>
  <si>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</si>
  <si>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</si>
  <si>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</si>
  <si>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</si>
  <si>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</si>
  <si>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</si>
  <si>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</si>
  <si>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</si>
  <si>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</si>
  <si>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</si>
  <si>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</si>
  <si>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</si>
  <si>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</si>
  <si>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</si>
  <si>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</si>
  <si>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</si>
  <si>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</si>
  <si>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</si>
  <si>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</si>
  <si>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</si>
  <si>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</si>
  <si>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</si>
  <si>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</si>
  <si>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</si>
  <si>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</si>
  <si>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</si>
  <si>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</si>
  <si>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</si>
  <si>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</si>
  <si>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</si>
  <si>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</si>
  <si>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</si>
  <si>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</si>
  <si>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</si>
  <si>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</si>
  <si>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</si>
  <si>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</si>
  <si>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</si>
  <si>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</si>
  <si>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</si>
  <si>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</si>
  <si>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</si>
  <si>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</si>
  <si>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</si>
  <si>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</si>
  <si>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</si>
  <si>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</si>
  <si>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</si>
  <si>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</si>
  <si>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</si>
  <si>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</si>
  <si>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</si>
  <si>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</si>
  <si>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</si>
  <si>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</si>
  <si>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</si>
  <si>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</si>
  <si>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</si>
  <si>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Reinigungs-
fläche 
(m²)</t>
  </si>
  <si>
    <t>Reinigungsart</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</si>
  <si>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</si>
  <si>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</si>
  <si>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</si>
  <si>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</si>
  <si>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</si>
  <si>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</si>
  <si>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</si>
  <si>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</si>
  <si>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</si>
  <si>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</si>
  <si>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</si>
  <si>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</si>
  <si>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</si>
  <si>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</si>
  <si>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</si>
  <si>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</si>
  <si>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</si>
  <si>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</si>
  <si>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</si>
  <si>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</si>
  <si>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</si>
  <si>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</si>
  <si>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</si>
  <si>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</si>
  <si>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</si>
  <si>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</si>
  <si>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</si>
  <si>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</si>
  <si>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</si>
  <si>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</si>
  <si>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Einheit</t>
  </si>
  <si>
    <t>Reinigungstage</t>
  </si>
  <si>
    <t>Nettopreis</t>
  </si>
  <si>
    <t>Bruttopreis</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</si>
  <si>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</si>
  <si>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</si>
  <si>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</si>
  <si>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</si>
  <si>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</si>
  <si>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</si>
  <si>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</si>
  <si>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</si>
  <si>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</si>
  <si>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</si>
  <si>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</si>
  <si>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</si>
  <si>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</si>
  <si>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</si>
  <si>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</si>
  <si>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</si>
  <si>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</si>
  <si>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</si>
  <si>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</si>
  <si>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</si>
  <si>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</si>
  <si>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</si>
  <si>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</si>
  <si>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</si>
  <si>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</si>
  <si>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</si>
  <si>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</si>
  <si>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rPr>
        <b/>
        <sz val="8"/>
        <rFont val="Verdana"/>
        <family val="2"/>
      </rPr>
      <t>Reinigungstage</t>
    </r>
    <r>
      <rPr>
        <sz val="8"/>
        <rFont val="Verdana"/>
        <family val="2"/>
      </rPr>
      <t xml:space="preserve"> pro Objekt und Reinigungsart</t>
    </r>
  </si>
  <si>
    <r>
      <rPr>
        <b/>
        <sz val="8"/>
        <rFont val="Verdana"/>
        <family val="2"/>
      </rPr>
      <t>Preisübersicht nach Bedarf</t>
    </r>
    <r>
      <rPr>
        <sz val="8"/>
        <rFont val="Verdana"/>
        <family val="2"/>
      </rPr>
      <t xml:space="preserve"> pro Jahr (in €)</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</si>
  <si>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</si>
  <si>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</si>
  <si>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</si>
  <si>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</si>
  <si>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</si>
  <si>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</si>
  <si>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</si>
  <si>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</si>
  <si>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</si>
  <si>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</si>
  <si>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</si>
  <si>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Albertinsee</t>
  </si>
  <si>
    <t>Los 13</t>
  </si>
  <si>
    <t>Albertinesee</t>
  </si>
  <si>
    <t>Karl-Marx-Straße 2a</t>
  </si>
  <si>
    <t>39443</t>
  </si>
  <si>
    <t>Staßfurt OT Üllnitz</t>
  </si>
  <si>
    <t>ehem Rath Förd</t>
  </si>
  <si>
    <t>ehem. Rathaus Förderstedt</t>
  </si>
  <si>
    <t>Magdeburg-Leipziger-Straße 24</t>
  </si>
  <si>
    <t>Staßfurt OT Förderstedt</t>
  </si>
  <si>
    <t>JK Förderstedt</t>
  </si>
  <si>
    <t>Jugendklub Förderstedt</t>
  </si>
  <si>
    <t>Neue Straße</t>
  </si>
  <si>
    <t>Sport Förderst</t>
  </si>
  <si>
    <t>Sportplatz Förderstedt</t>
  </si>
  <si>
    <t>Burgstraße 6a </t>
  </si>
  <si>
    <t>Unterhaltsreinigung (nach Bedarf)</t>
  </si>
  <si>
    <t>Kalkulation Verbrauchsmaterial</t>
  </si>
  <si>
    <t>EG</t>
  </si>
  <si>
    <t>WC Herren</t>
  </si>
  <si>
    <t>Linoleum</t>
  </si>
  <si>
    <t>WC Damen</t>
  </si>
  <si>
    <t>Vorraum</t>
  </si>
  <si>
    <t>WC Personal</t>
  </si>
  <si>
    <t>Sanitätsraum</t>
  </si>
  <si>
    <t>Aufenthaltsraum</t>
  </si>
  <si>
    <t>Sanitär</t>
  </si>
  <si>
    <t>Verkehr</t>
  </si>
  <si>
    <t>Funktion</t>
  </si>
  <si>
    <t>DG</t>
  </si>
  <si>
    <t>Flur/Treppenh.</t>
  </si>
  <si>
    <t>Fliesen</t>
  </si>
  <si>
    <t>gesamtes DG</t>
  </si>
  <si>
    <t>ohne</t>
  </si>
  <si>
    <t>3.1.</t>
  </si>
  <si>
    <t>2. OG</t>
  </si>
  <si>
    <t>Sitzungssaal</t>
  </si>
  <si>
    <t>Parkett</t>
  </si>
  <si>
    <t>3.3.</t>
  </si>
  <si>
    <t>Küche</t>
  </si>
  <si>
    <t>Textil</t>
  </si>
  <si>
    <t>3.6.</t>
  </si>
  <si>
    <t>Vorraum/Flur</t>
  </si>
  <si>
    <t>3.8.</t>
  </si>
  <si>
    <t>Toiletten</t>
  </si>
  <si>
    <t>gesamtes 2.OG</t>
  </si>
  <si>
    <t>2.1.</t>
  </si>
  <si>
    <t>1. OG</t>
  </si>
  <si>
    <t>Büro</t>
  </si>
  <si>
    <t>2.2.</t>
  </si>
  <si>
    <t>2.4.</t>
  </si>
  <si>
    <t>2.5.</t>
  </si>
  <si>
    <t>1.OG</t>
  </si>
  <si>
    <t>2.6.</t>
  </si>
  <si>
    <t>2.12.</t>
  </si>
  <si>
    <t>2.11.</t>
  </si>
  <si>
    <t>Sanitär ges.</t>
  </si>
  <si>
    <t>gesamtes 1. OG</t>
  </si>
  <si>
    <t>1.9.</t>
  </si>
  <si>
    <t>Einwohnermeldeamt</t>
  </si>
  <si>
    <t>1.11.</t>
  </si>
  <si>
    <t>Trauzimmer</t>
  </si>
  <si>
    <t>1.6.</t>
  </si>
  <si>
    <t>Flur</t>
  </si>
  <si>
    <t>1.7./1.8.</t>
  </si>
  <si>
    <t>1.5.</t>
  </si>
  <si>
    <t>gesamtes EG</t>
  </si>
  <si>
    <t>Treppenaufgänge</t>
  </si>
  <si>
    <t>UG</t>
  </si>
  <si>
    <t>Keller</t>
  </si>
  <si>
    <t>gesamtes Kellergesch.</t>
  </si>
  <si>
    <t>Estrich</t>
  </si>
  <si>
    <t>Treppe</t>
  </si>
  <si>
    <t>Technik</t>
  </si>
  <si>
    <t>Versorgung</t>
  </si>
  <si>
    <t>Keramikfliesen</t>
  </si>
  <si>
    <t>Raum 1</t>
  </si>
  <si>
    <t>PVC</t>
  </si>
  <si>
    <t>Raum 2</t>
  </si>
  <si>
    <t>Flur WC Damen</t>
  </si>
  <si>
    <t>Flur WC Herren</t>
  </si>
  <si>
    <t>Gruppe</t>
  </si>
  <si>
    <t>Umkleideräume Gäste</t>
  </si>
  <si>
    <t>Mai, Juni, August, September</t>
  </si>
  <si>
    <t xml:space="preserve">Umkleideräume 1. Mannschaft </t>
  </si>
  <si>
    <t>Januar, Februar, März, April, Juli, Oktober, November, Dezember</t>
  </si>
  <si>
    <t>Januar - Dezember</t>
  </si>
  <si>
    <t>Dusche</t>
  </si>
  <si>
    <t>Umkleide</t>
  </si>
  <si>
    <t>Papierhandtücher, 
Recyclingpapier natur
2-lagig,
Blattgröße ca. 24,5 cm x 23 cm,
5. 000 Blatt pro Einheit</t>
  </si>
  <si>
    <t>Karton</t>
  </si>
  <si>
    <t>Recycling-Tissue-Toilettenpapier, 
2 lagig, 
Blattgröße 11x9,4 cm,
250 Blatt pro Rolle, 
100% Altpapier,
64 Rollen pro Einheit</t>
  </si>
  <si>
    <t>Paket</t>
  </si>
  <si>
    <t>Handwaschseife,
hautmild,
Farbe: rosè,
geeignet für alle gängigen Spendertypen,
10 Liter pro Einheit</t>
  </si>
  <si>
    <t>Kanister</t>
  </si>
  <si>
    <t>Verwaltung</t>
  </si>
  <si>
    <t>UnterhaltsRG</t>
  </si>
  <si>
    <t>Reinigungs-häufigkeit</t>
  </si>
  <si>
    <t>Schule</t>
  </si>
  <si>
    <t>GrundRG</t>
  </si>
  <si>
    <t>UnterhaltsRG (nach Bedarf)</t>
  </si>
  <si>
    <t>Verbrauch</t>
  </si>
  <si>
    <t>Preiszusammenstellung Los 13</t>
  </si>
  <si>
    <t>Preiszusammenstellung nach Bedarf</t>
  </si>
  <si>
    <t>MwSt.</t>
  </si>
  <si>
    <t>Jahrespreis in €</t>
  </si>
  <si>
    <t>Jahrespreis Reinigung</t>
  </si>
  <si>
    <t>Preisübersicht (nach Bedarf)</t>
  </si>
  <si>
    <t>SVS UnterhaltsRG</t>
  </si>
  <si>
    <t>SVS GrundRG</t>
  </si>
  <si>
    <t>Wertungspreis (netto) in €</t>
  </si>
  <si>
    <t>Wertungspreis (brutto) in €</t>
  </si>
  <si>
    <r>
      <t xml:space="preserve">Kalkulation </t>
    </r>
    <r>
      <rPr>
        <b/>
        <sz val="8"/>
        <rFont val="Verdana"/>
        <family val="2"/>
      </rPr>
      <t>Unterhaltsreinigung</t>
    </r>
  </si>
  <si>
    <t>Objekt: Albertinsee</t>
  </si>
  <si>
    <t>Grundpreis</t>
  </si>
  <si>
    <t>Bereitstellung und Vorhaltung der erforderlichen Geräte und Maschinen</t>
  </si>
  <si>
    <t>Personal-
bereitstellung</t>
  </si>
  <si>
    <t>Sonstige Kosten
(z.B. Dokumentation der Durchführung)</t>
  </si>
  <si>
    <t>Haftungs-
übernahme</t>
  </si>
  <si>
    <t>Versicherungs-
prämien</t>
  </si>
  <si>
    <t>Gesamtgrund-
preis</t>
  </si>
  <si>
    <t>pro Monat 
in €
(Netto)</t>
  </si>
  <si>
    <t>pro Monat in €
(Netto)</t>
  </si>
  <si>
    <t>in €
(Netto)</t>
  </si>
  <si>
    <t>Summe 
Gesamtgrundpreis + Gesamtpreis Einsätze</t>
  </si>
  <si>
    <t>     </t>
  </si>
  <si>
    <t>Einsätze</t>
  </si>
  <si>
    <t>Raumbezeichnung</t>
  </si>
  <si>
    <t>Saison: 15.Mai - August ****</t>
  </si>
  <si>
    <t>Preis pro Einsatz an Werktagen</t>
  </si>
  <si>
    <t>Preis pro Einsatz an Sonn- und Feiertagen</t>
  </si>
  <si>
    <t>Gesamtpreis Einsätze</t>
  </si>
  <si>
    <t xml:space="preserve">Anzahl der Monate:
</t>
  </si>
  <si>
    <t>an Werktagen *</t>
  </si>
  <si>
    <t>Geschätzte Zahl
der Einsätze ***</t>
  </si>
  <si>
    <t>an Sonn- 
und Feiertagen **</t>
  </si>
  <si>
    <t>Kalender-
woche</t>
  </si>
  <si>
    <t>Reinigungs-
intervall</t>
  </si>
  <si>
    <t>Reinigungs-
fläche in
m²</t>
  </si>
  <si>
    <t>pro Einsatz in €
(Netto)</t>
  </si>
  <si>
    <t>Die Abrechnung erfolgt grundsätzlich nach tatsächlicher Anzahl der Einsätze.</t>
  </si>
  <si>
    <t>15.05. - 22. KW</t>
  </si>
  <si>
    <t>23. KW - 32. KW</t>
  </si>
  <si>
    <t>33. KW - 31.08.</t>
  </si>
  <si>
    <t>Reinigungsintervall:</t>
  </si>
  <si>
    <t>Legende:</t>
  </si>
  <si>
    <t>RI 1 - Montag</t>
  </si>
  <si>
    <t>*</t>
  </si>
  <si>
    <t>Preis pro Einsatz an Werktagen, inklusive Lohn- und Lohnfolgekosten.</t>
  </si>
  <si>
    <t>RI 2 - Dienstag + Freitag</t>
  </si>
  <si>
    <t>**</t>
  </si>
  <si>
    <t>Preis pro Einsatz an Sonn- und Feiertagen, inklusive Lohn- und Lohnfolgekosten inklusive Sonn- und Feiertagszuschlägen.</t>
  </si>
  <si>
    <t>RI 7 - Montag - Sonntag</t>
  </si>
  <si>
    <t>***</t>
  </si>
  <si>
    <t>Die geschätzte Zahl der Einsätze ist ein angenommener Richtwert, der aufgrund der witterungsbedingten Verhältnissen nach oben und unten variieren kann.</t>
  </si>
  <si>
    <t>RI 14 - Montag - Sonntag, 2 mal täglich</t>
  </si>
  <si>
    <t>****</t>
  </si>
  <si>
    <t>Das Ende der Saison kann sich je nach witterungsbedingten Verhältnissen auch nach hinten verschieben.</t>
  </si>
  <si>
    <t>UnterhaltsRG
4 Monate</t>
  </si>
  <si>
    <t>UnterhaltsRG
8 Monate</t>
  </si>
  <si>
    <t xml:space="preserve">Umkleideräume 
1. Mannschaft </t>
  </si>
  <si>
    <t>Zeitraum:</t>
  </si>
  <si>
    <t>Reinigungstage 
 maximal
 (UnterhaltsRG)</t>
  </si>
  <si>
    <t>Sachsen-Anhalt</t>
  </si>
  <si>
    <t>Schmutz-
fang in m²</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</si>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</sst>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7" x14ac:knownFonts="1">
    <font>
      <sz val="10"/>
      <name val="Arial"/>
    </font>
    <font>
      <sz val="8"/>
      <color theme="1"/>
      <name val="Verdana"/>
      <family val="2"/>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11"/>
      <color theme="1"/>
      <name val="Calibri"/>
      <family val="2"/>
      <scheme val="minor"/>
    </font>
    <font>
      <b/>
      <sz val="8"/>
      <color indexed="8"/>
      <name val="Verdana"/>
      <family val="2"/>
    </font>
    <font>
      <sz val="8"/>
      <color indexed="9"/>
      <name val="Verdana"/>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
      <patternFill patternType="solid">
        <fgColor rgb="FFCCFFFF"/>
        <bgColor indexed="64"/>
      </patternFill>
    </fill>
    <fill>
      <patternFill patternType="solid">
        <fgColor rgb="FFFFFF00"/>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auto="1"/>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bottom/>
      <diagonal/>
    </border>
  </borders>
  <cellStyleXfs count="63">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6" fillId="20" borderId="2" applyNumberFormat="0" applyAlignment="0" applyProtection="0"/>
    <xf numFmtId="0" fontId="17" fillId="7" borderId="2" applyNumberFormat="0" applyAlignment="0" applyProtection="0"/>
    <xf numFmtId="0" fontId="18" fillId="0" borderId="3" applyNumberFormat="0" applyFill="0" applyAlignment="0" applyProtection="0"/>
    <xf numFmtId="0" fontId="19" fillId="0" borderId="0" applyNumberForma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0" fillId="0" borderId="0" applyFont="0" applyFill="0" applyBorder="0" applyAlignment="0" applyProtection="0"/>
    <xf numFmtId="0" fontId="20" fillId="4" borderId="0" applyNumberFormat="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164" fontId="6" fillId="0" borderId="0" applyFont="0" applyFill="0" applyBorder="0" applyAlignment="0" applyProtection="0"/>
    <xf numFmtId="0" fontId="8" fillId="0" borderId="0" applyNumberFormat="0" applyFill="0" applyBorder="0" applyAlignment="0" applyProtection="0">
      <alignment vertical="top"/>
      <protection locked="0"/>
    </xf>
    <xf numFmtId="0" fontId="22" fillId="21" borderId="0" applyNumberFormat="0" applyBorder="0" applyAlignment="0" applyProtection="0"/>
    <xf numFmtId="0" fontId="6" fillId="22" borderId="4" applyNumberFormat="0" applyFont="0" applyAlignment="0" applyProtection="0"/>
    <xf numFmtId="0" fontId="23" fillId="3" borderId="0" applyNumberFormat="0" applyBorder="0" applyAlignment="0" applyProtection="0"/>
    <xf numFmtId="0" fontId="6" fillId="0" borderId="0"/>
    <xf numFmtId="0" fontId="3" fillId="0" borderId="0"/>
    <xf numFmtId="0" fontId="30" fillId="0" borderId="0"/>
    <xf numFmtId="0" fontId="6" fillId="0" borderId="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12" fillId="0" borderId="0" applyNumberFormat="0" applyFill="0" applyBorder="0" applyAlignment="0" applyProtection="0"/>
    <xf numFmtId="0" fontId="27" fillId="0" borderId="8" applyNumberFormat="0" applyFill="0" applyAlignment="0" applyProtection="0"/>
    <xf numFmtId="0" fontId="28" fillId="0" borderId="0" applyNumberFormat="0" applyFill="0" applyBorder="0" applyAlignment="0" applyProtection="0"/>
    <xf numFmtId="0" fontId="29" fillId="23" borderId="9" applyNumberFormat="0" applyAlignment="0" applyProtection="0"/>
    <xf numFmtId="0" fontId="2" fillId="0" borderId="0"/>
    <xf numFmtId="0" fontId="38" fillId="0" borderId="0" applyNumberFormat="0" applyFill="0" applyBorder="0" applyAlignment="0" applyProtection="0"/>
    <xf numFmtId="0" fontId="39" fillId="0" borderId="0"/>
    <xf numFmtId="0" fontId="2" fillId="0" borderId="0"/>
    <xf numFmtId="0" fontId="8" fillId="0" borderId="0" applyNumberFormat="0" applyFill="0" applyBorder="0" applyAlignment="0" applyProtection="0">
      <alignment vertical="top"/>
      <protection locked="0"/>
    </xf>
    <xf numFmtId="0" fontId="39" fillId="0" borderId="0"/>
    <xf numFmtId="0" fontId="38" fillId="0" borderId="0" applyNumberFormat="0" applyFill="0" applyBorder="0" applyAlignment="0" applyProtection="0"/>
    <xf numFmtId="0" fontId="44" fillId="0" borderId="0"/>
  </cellStyleXfs>
  <cellXfs count="233">
    <xf numFmtId="0" fontId="0" fillId="0" borderId="0" xfId="0"/>
    <xf numFmtId="0" fontId="5" fillId="24" borderId="10" xfId="0" applyFont="1" applyFill="1" applyBorder="1" applyAlignment="1">
      <alignment horizontal="center" vertical="center" wrapTex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11" fillId="0" borderId="0" xfId="39" applyFont="1" applyAlignment="1" applyProtection="1">
      <alignment vertical="center"/>
    </xf>
    <xf numFmtId="0" fontId="5" fillId="0" borderId="0" xfId="0" applyFont="1"/>
    <xf numFmtId="2" fontId="9" fillId="26" borderId="11" xfId="0" applyNumberFormat="1" applyFont="1" applyFill="1" applyBorder="1" applyAlignment="1" applyProtection="1">
      <alignment horizontal="center" vertical="center"/>
      <protection locked="0"/>
    </xf>
    <xf numFmtId="166" fontId="5" fillId="26" borderId="11" xfId="0" applyNumberFormat="1" applyFont="1" applyFill="1" applyBorder="1" applyAlignment="1" applyProtection="1">
      <alignment horizontal="center" vertical="center"/>
      <protection locked="0"/>
    </xf>
    <xf numFmtId="2" fontId="7" fillId="26" borderId="13" xfId="0" applyNumberFormat="1" applyFont="1" applyFill="1" applyBorder="1" applyAlignment="1" applyProtection="1">
      <alignment vertical="center"/>
      <protection locked="0"/>
    </xf>
    <xf numFmtId="2" fontId="7" fillId="26" borderId="12" xfId="0" applyNumberFormat="1" applyFont="1" applyFill="1" applyBorder="1" applyAlignment="1" applyProtection="1">
      <alignment vertical="center"/>
      <protection locked="0"/>
    </xf>
    <xf numFmtId="2" fontId="7" fillId="26" borderId="0" xfId="0" applyNumberFormat="1" applyFont="1" applyFill="1" applyAlignment="1" applyProtection="1">
      <alignment vertical="center"/>
      <protection locked="0"/>
    </xf>
    <xf numFmtId="0" fontId="5" fillId="0" borderId="10" xfId="0" applyFont="1" applyBorder="1" applyAlignment="1">
      <alignment vertical="center" wrapText="1"/>
    </xf>
    <xf numFmtId="0" fontId="37" fillId="0" borderId="0" xfId="0" applyFont="1" applyAlignment="1">
      <alignment vertical="center"/>
    </xf>
    <xf numFmtId="0" fontId="5" fillId="0" borderId="0" xfId="55" applyFont="1" applyAlignment="1">
      <alignment vertical="center"/>
    </xf>
    <xf numFmtId="0" fontId="5" fillId="0" borderId="0" xfId="55" applyFont="1"/>
    <xf numFmtId="49" fontId="5" fillId="26" borderId="10" xfId="0" applyNumberFormat="1" applyFont="1" applyFill="1" applyBorder="1" applyAlignment="1" applyProtection="1">
      <alignment horizontal="left" vertical="center"/>
      <protection locked="0"/>
    </xf>
    <xf numFmtId="0" fontId="5" fillId="0" borderId="0" xfId="0" applyFont="1" applyAlignment="1">
      <alignment horizontal="center" vertical="center"/>
    </xf>
    <xf numFmtId="0" fontId="5" fillId="0" borderId="0" xfId="0" applyFont="1" applyAlignment="1">
      <alignment vertical="center" wrapText="1"/>
    </xf>
    <xf numFmtId="0" fontId="31" fillId="0" borderId="0" xfId="0" applyFont="1" applyAlignment="1">
      <alignment vertical="center"/>
    </xf>
    <xf numFmtId="0" fontId="5" fillId="0" borderId="0" xfId="0" applyFont="1" applyAlignment="1" applyProtection="1">
      <alignment vertical="center"/>
      <protection locked="0"/>
    </xf>
    <xf numFmtId="0" fontId="5" fillId="0" borderId="11" xfId="0" applyFont="1" applyBorder="1" applyAlignment="1">
      <alignment vertical="center"/>
    </xf>
    <xf numFmtId="0" fontId="7" fillId="0" borderId="0" xfId="55" applyFont="1" applyAlignment="1">
      <alignment vertical="center"/>
    </xf>
    <xf numFmtId="0" fontId="11" fillId="0" borderId="0" xfId="59" applyFont="1" applyAlignment="1" applyProtection="1">
      <alignment vertical="center"/>
    </xf>
    <xf numFmtId="0" fontId="5" fillId="0" borderId="0" xfId="55" applyFont="1" applyAlignment="1" applyProtection="1">
      <alignment vertical="center"/>
      <protection locked="0"/>
    </xf>
    <xf numFmtId="168" fontId="35" fillId="0" borderId="0" xfId="55" applyNumberFormat="1" applyFont="1" applyAlignment="1">
      <alignment horizontal="left" vertical="center"/>
    </xf>
    <xf numFmtId="0" fontId="3" fillId="0" borderId="0" xfId="55" applyFont="1" applyAlignment="1">
      <alignment vertical="center"/>
    </xf>
    <xf numFmtId="0" fontId="5" fillId="24" borderId="16" xfId="55" applyFont="1" applyFill="1" applyBorder="1" applyAlignment="1">
      <alignment horizontal="center" vertical="center" wrapText="1"/>
    </xf>
    <xf numFmtId="0" fontId="5" fillId="24" borderId="16" xfId="55" applyFont="1" applyFill="1" applyBorder="1" applyAlignment="1">
      <alignment horizontal="center" vertical="center"/>
    </xf>
    <xf numFmtId="0" fontId="5" fillId="24" borderId="19" xfId="55" applyFont="1" applyFill="1" applyBorder="1" applyAlignment="1">
      <alignment horizontal="center" vertical="center" wrapText="1"/>
    </xf>
    <xf numFmtId="0" fontId="11" fillId="0" borderId="0" xfId="61" applyFont="1" applyAlignment="1" applyProtection="1">
      <alignment vertical="center"/>
    </xf>
    <xf numFmtId="0" fontId="11" fillId="0" borderId="0" xfId="39" applyFont="1" applyAlignment="1" applyProtection="1">
      <alignment horizontal="left" vertical="center"/>
    </xf>
    <xf numFmtId="4" fontId="11" fillId="0" borderId="28" xfId="39" applyNumberFormat="1" applyFont="1" applyBorder="1" applyAlignment="1" applyProtection="1">
      <alignment vertical="center" wrapText="1"/>
    </xf>
    <xf numFmtId="4" fontId="5" fillId="0" borderId="10" xfId="0" applyNumberFormat="1" applyFont="1" applyBorder="1" applyAlignment="1">
      <alignment vertical="center" wrapText="1"/>
    </xf>
    <xf numFmtId="3" fontId="5" fillId="0" borderId="10" xfId="0" applyNumberFormat="1" applyFont="1" applyBorder="1" applyAlignment="1">
      <alignment horizontal="center" vertical="center" wrapText="1"/>
    </xf>
    <xf numFmtId="4" fontId="5" fillId="30" borderId="10" xfId="0" applyNumberFormat="1" applyFont="1" applyFill="1" applyBorder="1" applyAlignment="1">
      <alignment vertical="center" wrapText="1"/>
    </xf>
    <xf numFmtId="0" fontId="5" fillId="24" borderId="29" xfId="0" applyFont="1" applyFill="1" applyBorder="1" applyAlignment="1">
      <alignment horizontal="center" vertical="center" wrapText="1"/>
    </xf>
    <xf numFmtId="0" fontId="5" fillId="0" borderId="29" xfId="0" applyFont="1" applyBorder="1" applyAlignment="1">
      <alignment vertical="center" wrapText="1"/>
    </xf>
    <xf numFmtId="4" fontId="5" fillId="0" borderId="29" xfId="0" applyNumberFormat="1" applyFont="1" applyBorder="1" applyAlignment="1">
      <alignment vertical="center" wrapText="1"/>
    </xf>
    <xf numFmtId="3" fontId="5" fillId="0" borderId="29" xfId="0" applyNumberFormat="1" applyFont="1" applyBorder="1" applyAlignment="1">
      <alignment horizontal="center" vertical="center" wrapText="1"/>
    </xf>
    <xf numFmtId="0" fontId="5" fillId="0" borderId="0" xfId="55" applyFont="1" applyAlignment="1">
      <alignment horizontal="left" vertical="center"/>
    </xf>
    <xf numFmtId="0" fontId="5" fillId="0" borderId="10" xfId="55" applyFont="1" applyBorder="1" applyAlignment="1">
      <alignment horizontal="center" vertical="center" wrapText="1"/>
    </xf>
    <xf numFmtId="0" fontId="5" fillId="0" borderId="10" xfId="55" applyFont="1" applyBorder="1" applyAlignment="1">
      <alignment vertical="center" wrapText="1"/>
    </xf>
    <xf numFmtId="4" fontId="5" fillId="0" borderId="10" xfId="55" applyNumberFormat="1" applyFont="1" applyBorder="1" applyAlignment="1">
      <alignment horizontal="center" vertical="center" wrapText="1"/>
    </xf>
    <xf numFmtId="4" fontId="5" fillId="0" borderId="10" xfId="55" applyNumberFormat="1" applyFont="1" applyBorder="1" applyAlignment="1">
      <alignment horizontal="right" vertical="center" wrapText="1"/>
    </xf>
    <xf numFmtId="0" fontId="5" fillId="0" borderId="0" xfId="0" applyFont="1" applyAlignment="1">
      <alignment horizontal="right"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xf>
    <xf numFmtId="167" fontId="5" fillId="0" borderId="10" xfId="0" applyNumberFormat="1" applyFont="1" applyBorder="1" applyAlignment="1">
      <alignment horizontal="center" vertical="center"/>
    </xf>
    <xf numFmtId="0" fontId="35" fillId="0" borderId="0" xfId="0" applyFont="1" applyAlignment="1">
      <alignment horizontal="left" vertical="center"/>
    </xf>
    <xf numFmtId="0" fontId="5" fillId="0" borderId="0" xfId="44" applyFont="1" applyAlignment="1">
      <alignment horizontal="left" vertical="center" wrapText="1"/>
    </xf>
    <xf numFmtId="0" fontId="5" fillId="24" borderId="10" xfId="0" applyFont="1" applyFill="1" applyBorder="1" applyAlignment="1">
      <alignment horizontal="left" vertical="center"/>
    </xf>
    <xf numFmtId="14" fontId="5" fillId="0" borderId="10" xfId="0" applyNumberFormat="1" applyFont="1" applyBorder="1" applyAlignment="1">
      <alignment vertical="center"/>
    </xf>
    <xf numFmtId="0" fontId="40" fillId="0" borderId="0" xfId="0" applyFont="1" applyAlignment="1">
      <alignment vertical="center"/>
    </xf>
    <xf numFmtId="0" fontId="5" fillId="0" borderId="10" xfId="0" applyFont="1" applyBorder="1" applyAlignment="1">
      <alignment vertical="center"/>
    </xf>
    <xf numFmtId="0" fontId="5" fillId="24" borderId="28" xfId="0" applyFont="1" applyFill="1" applyBorder="1" applyAlignment="1">
      <alignment horizontal="center" vertical="center" wrapText="1"/>
    </xf>
    <xf numFmtId="0" fontId="5" fillId="0" borderId="28" xfId="44" applyFont="1" applyBorder="1" applyAlignment="1">
      <alignment vertical="center" wrapText="1"/>
    </xf>
    <xf numFmtId="4" fontId="5" fillId="30" borderId="28" xfId="0" applyNumberFormat="1" applyFont="1" applyFill="1" applyBorder="1" applyAlignment="1">
      <alignment horizontal="center" vertical="center" wrapText="1"/>
    </xf>
    <xf numFmtId="0" fontId="5" fillId="30" borderId="28" xfId="0" applyFont="1" applyFill="1" applyBorder="1" applyAlignment="1">
      <alignment vertical="center" wrapText="1"/>
    </xf>
    <xf numFmtId="4" fontId="5" fillId="0" borderId="28" xfId="0" applyNumberFormat="1" applyFont="1" applyBorder="1" applyAlignment="1">
      <alignment vertical="center" wrapText="1"/>
    </xf>
    <xf numFmtId="4" fontId="5" fillId="0" borderId="28" xfId="0" applyNumberFormat="1" applyFont="1" applyBorder="1" applyAlignment="1">
      <alignment horizontal="center" vertical="center" wrapText="1"/>
    </xf>
    <xf numFmtId="2" fontId="35" fillId="0" borderId="0" xfId="0" applyNumberFormat="1" applyFont="1" applyAlignment="1">
      <alignment vertical="center"/>
    </xf>
    <xf numFmtId="2" fontId="5" fillId="0" borderId="0" xfId="0" applyNumberFormat="1" applyFont="1" applyAlignment="1">
      <alignment vertical="center"/>
    </xf>
    <xf numFmtId="2" fontId="9" fillId="0" borderId="0" xfId="0" applyNumberFormat="1" applyFont="1" applyAlignment="1">
      <alignment vertical="center"/>
    </xf>
    <xf numFmtId="166" fontId="9" fillId="0" borderId="11" xfId="0" applyNumberFormat="1" applyFont="1" applyBorder="1" applyAlignment="1">
      <alignment horizontal="center" vertical="center"/>
    </xf>
    <xf numFmtId="0" fontId="35" fillId="0" borderId="0" xfId="0" applyFont="1" applyAlignment="1">
      <alignment vertical="center"/>
    </xf>
    <xf numFmtId="2" fontId="5" fillId="0" borderId="0" xfId="0" applyNumberFormat="1" applyFont="1" applyAlignment="1">
      <alignment horizontal="center" vertical="center"/>
    </xf>
    <xf numFmtId="2" fontId="9" fillId="0" borderId="0" xfId="0" applyNumberFormat="1" applyFont="1" applyAlignment="1">
      <alignment horizontal="center" vertical="center"/>
    </xf>
    <xf numFmtId="0" fontId="36" fillId="0" borderId="0" xfId="0" applyFont="1" applyAlignment="1">
      <alignment vertical="center"/>
    </xf>
    <xf numFmtId="2" fontId="5" fillId="0" borderId="11" xfId="0" applyNumberFormat="1" applyFont="1" applyBorder="1" applyAlignment="1">
      <alignment horizontal="center" vertical="center"/>
    </xf>
    <xf numFmtId="166" fontId="9" fillId="0" borderId="12" xfId="0" applyNumberFormat="1" applyFont="1" applyBorder="1" applyAlignment="1">
      <alignment horizontal="center" vertical="center"/>
    </xf>
    <xf numFmtId="2" fontId="9" fillId="0" borderId="12" xfId="0" applyNumberFormat="1" applyFont="1" applyBorder="1" applyAlignment="1">
      <alignment horizontal="center" vertical="center"/>
    </xf>
    <xf numFmtId="166" fontId="5" fillId="0" borderId="11" xfId="0" applyNumberFormat="1" applyFont="1" applyBorder="1" applyAlignment="1">
      <alignment horizontal="center" vertical="center"/>
    </xf>
    <xf numFmtId="167" fontId="5" fillId="0" borderId="11" xfId="0" applyNumberFormat="1" applyFont="1" applyBorder="1" applyAlignment="1">
      <alignment horizontal="center" vertical="center"/>
    </xf>
    <xf numFmtId="167" fontId="5" fillId="0" borderId="0" xfId="0" applyNumberFormat="1" applyFont="1" applyAlignment="1">
      <alignment horizontal="center" vertical="center"/>
    </xf>
    <xf numFmtId="166" fontId="9" fillId="0" borderId="0" xfId="0" applyNumberFormat="1" applyFont="1" applyAlignment="1">
      <alignment horizontal="center" vertical="center"/>
    </xf>
    <xf numFmtId="2" fontId="7" fillId="0" borderId="0" xfId="0" applyNumberFormat="1" applyFont="1" applyAlignment="1">
      <alignment vertical="center"/>
    </xf>
    <xf numFmtId="0" fontId="37" fillId="0" borderId="0" xfId="0" applyFont="1" applyAlignment="1" applyProtection="1">
      <alignment vertical="center"/>
      <protection locked="0"/>
    </xf>
    <xf numFmtId="0" fontId="5" fillId="24" borderId="14" xfId="55" applyFont="1" applyFill="1" applyBorder="1" applyAlignment="1">
      <alignment horizontal="left" vertical="center" wrapText="1"/>
    </xf>
    <xf numFmtId="4" fontId="5" fillId="24" borderId="30" xfId="55" applyNumberFormat="1" applyFont="1" applyFill="1" applyBorder="1" applyAlignment="1">
      <alignment vertical="center" wrapText="1"/>
    </xf>
    <xf numFmtId="0" fontId="5" fillId="24" borderId="25" xfId="55" applyFont="1" applyFill="1" applyBorder="1" applyAlignment="1">
      <alignment horizontal="center" vertical="center" wrapText="1"/>
    </xf>
    <xf numFmtId="0" fontId="5" fillId="24" borderId="10" xfId="55" applyFont="1" applyFill="1" applyBorder="1" applyAlignment="1">
      <alignment horizontal="center" vertical="center" wrapText="1"/>
    </xf>
    <xf numFmtId="0" fontId="5" fillId="24" borderId="14" xfId="55" applyFont="1" applyFill="1" applyBorder="1" applyAlignment="1">
      <alignment vertical="center" wrapText="1"/>
    </xf>
    <xf numFmtId="4" fontId="5" fillId="31" borderId="24" xfId="55" applyNumberFormat="1" applyFont="1" applyFill="1" applyBorder="1" applyAlignment="1">
      <alignment horizontal="right" vertical="center" wrapText="1"/>
    </xf>
    <xf numFmtId="4" fontId="5" fillId="31" borderId="10" xfId="55" applyNumberFormat="1" applyFont="1" applyFill="1" applyBorder="1" applyAlignment="1">
      <alignment horizontal="right" vertical="center" wrapText="1"/>
    </xf>
    <xf numFmtId="4" fontId="5" fillId="31" borderId="15" xfId="55" applyNumberFormat="1" applyFont="1" applyFill="1" applyBorder="1" applyAlignment="1">
      <alignment horizontal="right" vertical="center" wrapText="1"/>
    </xf>
    <xf numFmtId="0" fontId="5" fillId="0" borderId="0" xfId="62" applyFont="1" applyAlignment="1">
      <alignment vertical="center" wrapText="1"/>
    </xf>
    <xf numFmtId="0" fontId="5" fillId="0" borderId="0" xfId="55" applyFont="1" applyAlignment="1">
      <alignment horizontal="center" vertical="center" wrapText="1"/>
    </xf>
    <xf numFmtId="0" fontId="5" fillId="24" borderId="26" xfId="55" applyFont="1" applyFill="1" applyBorder="1" applyAlignment="1">
      <alignment horizontal="right" vertical="center"/>
    </xf>
    <xf numFmtId="0" fontId="5" fillId="24" borderId="27" xfId="55" applyFont="1" applyFill="1" applyBorder="1" applyAlignment="1">
      <alignment horizontal="left" vertical="center"/>
    </xf>
    <xf numFmtId="0" fontId="5" fillId="24" borderId="22" xfId="55" applyFont="1" applyFill="1" applyBorder="1" applyAlignment="1">
      <alignment horizontal="center" vertical="center" wrapText="1"/>
    </xf>
    <xf numFmtId="0" fontId="5" fillId="24" borderId="21" xfId="55" applyFont="1" applyFill="1" applyBorder="1" applyAlignment="1">
      <alignment horizontal="center" vertical="center" wrapText="1"/>
    </xf>
    <xf numFmtId="0" fontId="5" fillId="24" borderId="15" xfId="55" applyFont="1" applyFill="1" applyBorder="1" applyAlignment="1">
      <alignment horizontal="center" vertical="center" wrapText="1"/>
    </xf>
    <xf numFmtId="0" fontId="5" fillId="31" borderId="18" xfId="55" applyFont="1" applyFill="1" applyBorder="1" applyAlignment="1">
      <alignment horizontal="right" vertical="center"/>
    </xf>
    <xf numFmtId="0" fontId="5" fillId="24" borderId="18" xfId="55" applyFont="1" applyFill="1" applyBorder="1" applyAlignment="1">
      <alignment horizontal="center" vertical="center"/>
    </xf>
    <xf numFmtId="0" fontId="5" fillId="0" borderId="22" xfId="62" applyFont="1" applyBorder="1" applyAlignment="1">
      <alignment vertical="center" wrapText="1"/>
    </xf>
    <xf numFmtId="0" fontId="5" fillId="0" borderId="10" xfId="0" applyFont="1" applyBorder="1" applyAlignment="1">
      <alignment horizontal="center" vertical="center" wrapText="1"/>
    </xf>
    <xf numFmtId="0" fontId="33" fillId="24" borderId="20" xfId="0" applyFont="1" applyFill="1" applyBorder="1" applyAlignment="1">
      <alignment vertical="center"/>
    </xf>
    <xf numFmtId="0" fontId="9" fillId="24" borderId="11" xfId="0" applyFont="1" applyFill="1" applyBorder="1" applyAlignment="1">
      <alignment vertical="center"/>
    </xf>
    <xf numFmtId="0" fontId="9" fillId="24" borderId="21" xfId="0" applyFont="1" applyFill="1" applyBorder="1" applyAlignment="1">
      <alignment vertical="center"/>
    </xf>
    <xf numFmtId="4" fontId="5" fillId="26" borderId="10" xfId="0" applyNumberFormat="1" applyFont="1" applyFill="1" applyBorder="1" applyAlignment="1" applyProtection="1">
      <alignment vertical="center"/>
      <protection locked="0"/>
    </xf>
    <xf numFmtId="4" fontId="5" fillId="0" borderId="10" xfId="0" applyNumberFormat="1" applyFont="1" applyBorder="1" applyAlignment="1">
      <alignment vertical="center"/>
    </xf>
    <xf numFmtId="0" fontId="5" fillId="24" borderId="14" xfId="0" applyFont="1" applyFill="1" applyBorder="1" applyAlignment="1">
      <alignment horizontal="left" vertical="center" wrapText="1"/>
    </xf>
    <xf numFmtId="0" fontId="5" fillId="24" borderId="14" xfId="0" applyFont="1" applyFill="1" applyBorder="1" applyAlignment="1">
      <alignment vertical="center" wrapText="1"/>
    </xf>
    <xf numFmtId="0" fontId="43" fillId="0" borderId="0" xfId="0" applyFont="1" applyAlignment="1">
      <alignment vertical="center"/>
    </xf>
    <xf numFmtId="0" fontId="43" fillId="28" borderId="0" xfId="0" applyFont="1" applyFill="1" applyAlignment="1">
      <alignment vertical="center"/>
    </xf>
    <xf numFmtId="168" fontId="35" fillId="0" borderId="0" xfId="0" applyNumberFormat="1" applyFont="1" applyAlignment="1">
      <alignment horizontal="left" vertical="center"/>
    </xf>
    <xf numFmtId="0" fontId="5" fillId="25" borderId="10" xfId="0" applyFont="1" applyFill="1" applyBorder="1" applyAlignment="1">
      <alignment vertical="center" wrapText="1"/>
    </xf>
    <xf numFmtId="4" fontId="5" fillId="25" borderId="10" xfId="0" applyNumberFormat="1" applyFont="1" applyFill="1" applyBorder="1" applyAlignment="1">
      <alignment vertical="center" wrapText="1"/>
    </xf>
    <xf numFmtId="4" fontId="46" fillId="0" borderId="10" xfId="0" applyNumberFormat="1" applyFont="1" applyBorder="1" applyAlignment="1">
      <alignment vertical="center" wrapText="1"/>
    </xf>
    <xf numFmtId="49" fontId="5" fillId="0" borderId="10"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4" fontId="5" fillId="26" borderId="10" xfId="0" applyNumberFormat="1" applyFont="1" applyFill="1" applyBorder="1" applyAlignment="1" applyProtection="1">
      <alignment vertical="center" wrapText="1"/>
      <protection locked="0"/>
    </xf>
    <xf numFmtId="0" fontId="5" fillId="29" borderId="0" xfId="0" applyFont="1" applyFill="1" applyAlignment="1">
      <alignment vertical="center"/>
    </xf>
    <xf numFmtId="2" fontId="5" fillId="0" borderId="10" xfId="0" applyNumberFormat="1" applyFont="1" applyBorder="1" applyAlignment="1">
      <alignment horizontal="center" vertical="center" wrapText="1"/>
    </xf>
    <xf numFmtId="0" fontId="5" fillId="24" borderId="10" xfId="0" applyFont="1" applyFill="1" applyBorder="1" applyAlignment="1">
      <alignment horizontal="center" vertical="center"/>
    </xf>
    <xf numFmtId="4" fontId="5" fillId="30" borderId="10" xfId="0" applyNumberFormat="1" applyFont="1" applyFill="1" applyBorder="1" applyAlignment="1">
      <alignment horizontal="center" vertical="center"/>
    </xf>
    <xf numFmtId="4" fontId="5" fillId="0" borderId="10" xfId="0" applyNumberFormat="1" applyFont="1" applyBorder="1" applyAlignment="1">
      <alignment horizontal="center" vertical="center"/>
    </xf>
    <xf numFmtId="0" fontId="5" fillId="0" borderId="10" xfId="0" applyFont="1" applyBorder="1"/>
    <xf numFmtId="4" fontId="34" fillId="0" borderId="10" xfId="0" applyNumberFormat="1" applyFont="1" applyBorder="1" applyAlignment="1">
      <alignment horizontal="center" vertical="center"/>
    </xf>
    <xf numFmtId="4" fontId="42" fillId="0" borderId="10" xfId="0" applyNumberFormat="1" applyFont="1" applyBorder="1" applyAlignment="1">
      <alignment horizontal="center" vertical="center"/>
    </xf>
    <xf numFmtId="4" fontId="42" fillId="30" borderId="10" xfId="0" applyNumberFormat="1" applyFont="1" applyFill="1" applyBorder="1" applyAlignment="1">
      <alignment horizontal="center" vertical="center"/>
    </xf>
    <xf numFmtId="4" fontId="42" fillId="27" borderId="10" xfId="0" applyNumberFormat="1" applyFont="1" applyFill="1" applyBorder="1" applyAlignment="1">
      <alignment horizontal="center" vertical="center"/>
    </xf>
    <xf numFmtId="4" fontId="5" fillId="27" borderId="10" xfId="0" applyNumberFormat="1" applyFont="1" applyFill="1" applyBorder="1" applyAlignment="1">
      <alignment horizontal="center" vertical="center"/>
    </xf>
    <xf numFmtId="0" fontId="5" fillId="30" borderId="10" xfId="0" applyFont="1" applyFill="1" applyBorder="1"/>
    <xf numFmtId="0" fontId="37" fillId="0" borderId="0" xfId="0" applyFont="1" applyAlignment="1" applyProtection="1">
      <alignment horizontal="center" vertical="center"/>
      <protection locked="0"/>
    </xf>
    <xf numFmtId="4" fontId="5" fillId="26" borderId="10" xfId="55" applyNumberFormat="1" applyFont="1" applyFill="1" applyBorder="1" applyAlignment="1" applyProtection="1">
      <alignment horizontal="right" vertical="center" wrapText="1"/>
      <protection locked="0"/>
    </xf>
    <xf numFmtId="0" fontId="45" fillId="0" borderId="10" xfId="55" applyFont="1" applyBorder="1" applyAlignment="1">
      <alignment horizontal="left" vertical="center" wrapText="1"/>
    </xf>
    <xf numFmtId="0" fontId="45" fillId="0" borderId="10" xfId="55"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right" vertical="center" wrapText="1"/>
    </xf>
    <xf numFmtId="0" fontId="5" fillId="24" borderId="10" xfId="0" applyFont="1" applyFill="1" applyBorder="1" applyAlignment="1">
      <alignment horizontal="center" vertical="center" wrapText="1"/>
    </xf>
    <xf numFmtId="0" fontId="5" fillId="0" borderId="10" xfId="0" applyFont="1" applyBorder="1" applyAlignment="1">
      <alignment horizontal="right" vertical="center" wrapText="1"/>
    </xf>
    <xf numFmtId="3" fontId="5" fillId="0" borderId="10"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0" fontId="5" fillId="0" borderId="0" xfId="0" applyFont="1" applyAlignment="1">
      <alignment horizontal="center" vertical="center" wrapText="1"/>
    </xf>
    <xf numFmtId="0" fontId="5" fillId="24" borderId="14" xfId="0" applyFont="1" applyFill="1" applyBorder="1" applyAlignment="1">
      <alignment horizontal="center" vertical="center" wrapText="1"/>
    </xf>
    <xf numFmtId="0" fontId="3" fillId="0" borderId="15" xfId="0" applyFont="1" applyBorder="1" applyAlignment="1">
      <alignment horizontal="center" vertical="center" wrapText="1"/>
    </xf>
    <xf numFmtId="0" fontId="5" fillId="24" borderId="29" xfId="0" applyFont="1" applyFill="1" applyBorder="1" applyAlignment="1">
      <alignment horizontal="center" vertical="center" wrapText="1"/>
    </xf>
    <xf numFmtId="0" fontId="5" fillId="0" borderId="10" xfId="0" applyFont="1" applyBorder="1" applyAlignment="1">
      <alignment horizontal="center" vertical="center"/>
    </xf>
    <xf numFmtId="167" fontId="5" fillId="0" borderId="10" xfId="0" applyNumberFormat="1" applyFont="1" applyBorder="1" applyAlignment="1">
      <alignment horizontal="center" vertical="center"/>
    </xf>
    <xf numFmtId="2" fontId="9" fillId="24" borderId="16" xfId="0" applyNumberFormat="1" applyFont="1" applyFill="1" applyBorder="1" applyAlignment="1">
      <alignment horizontal="center" vertical="center" wrapText="1"/>
    </xf>
    <xf numFmtId="2" fontId="9" fillId="24" borderId="18" xfId="0" applyNumberFormat="1" applyFont="1" applyFill="1" applyBorder="1" applyAlignment="1">
      <alignment horizontal="center" vertical="center" wrapText="1"/>
    </xf>
    <xf numFmtId="2" fontId="9" fillId="24" borderId="19" xfId="0" applyNumberFormat="1" applyFont="1" applyFill="1" applyBorder="1" applyAlignment="1">
      <alignment horizontal="center" vertical="center"/>
    </xf>
    <xf numFmtId="2" fontId="9" fillId="24" borderId="13" xfId="0" applyNumberFormat="1" applyFont="1" applyFill="1" applyBorder="1" applyAlignment="1">
      <alignment horizontal="center" vertical="center"/>
    </xf>
    <xf numFmtId="2" fontId="9" fillId="24" borderId="17" xfId="0" applyNumberFormat="1" applyFont="1" applyFill="1" applyBorder="1" applyAlignment="1">
      <alignment horizontal="center" vertical="center"/>
    </xf>
    <xf numFmtId="2" fontId="9" fillId="24" borderId="20" xfId="0" applyNumberFormat="1" applyFont="1" applyFill="1" applyBorder="1" applyAlignment="1">
      <alignment horizontal="center" vertical="center"/>
    </xf>
    <xf numFmtId="2" fontId="9" fillId="24" borderId="11" xfId="0" applyNumberFormat="1" applyFont="1" applyFill="1" applyBorder="1" applyAlignment="1">
      <alignment horizontal="center" vertical="center"/>
    </xf>
    <xf numFmtId="2" fontId="9" fillId="24" borderId="21" xfId="0" applyNumberFormat="1" applyFont="1" applyFill="1" applyBorder="1" applyAlignment="1">
      <alignment horizontal="center" vertical="center"/>
    </xf>
    <xf numFmtId="2" fontId="33" fillId="24" borderId="0" xfId="0" applyNumberFormat="1" applyFont="1" applyFill="1" applyAlignment="1">
      <alignment horizontal="left" vertical="center"/>
    </xf>
    <xf numFmtId="2" fontId="9" fillId="0" borderId="0" xfId="0" applyNumberFormat="1" applyFont="1" applyAlignment="1">
      <alignment horizontal="left" vertical="center"/>
    </xf>
    <xf numFmtId="2" fontId="9" fillId="0" borderId="0" xfId="0" applyNumberFormat="1" applyFont="1" applyAlignment="1">
      <alignment horizontal="left" vertical="center" wrapText="1"/>
    </xf>
    <xf numFmtId="0" fontId="5" fillId="0" borderId="14" xfId="44" applyFont="1" applyBorder="1" applyAlignment="1">
      <alignment horizontal="left" vertical="center"/>
    </xf>
    <xf numFmtId="0" fontId="5" fillId="0" borderId="12" xfId="44" applyFont="1" applyBorder="1" applyAlignment="1">
      <alignment horizontal="left" vertical="center"/>
    </xf>
    <xf numFmtId="0" fontId="5" fillId="0" borderId="15" xfId="44" applyFont="1" applyBorder="1" applyAlignment="1">
      <alignment horizontal="left" vertical="center"/>
    </xf>
    <xf numFmtId="4" fontId="5" fillId="0" borderId="30" xfId="44" applyNumberFormat="1" applyFont="1" applyBorder="1" applyAlignment="1">
      <alignment horizontal="left" vertical="center"/>
    </xf>
    <xf numFmtId="0" fontId="5" fillId="0" borderId="30" xfId="44" applyFont="1" applyBorder="1" applyAlignment="1">
      <alignment horizontal="left" vertical="center"/>
    </xf>
    <xf numFmtId="0" fontId="5" fillId="24" borderId="24" xfId="55" applyFont="1" applyFill="1" applyBorder="1" applyAlignment="1">
      <alignment horizontal="center" vertical="center"/>
    </xf>
    <xf numFmtId="0" fontId="5" fillId="24" borderId="12" xfId="55" applyFont="1" applyFill="1" applyBorder="1" applyAlignment="1">
      <alignment horizontal="center" vertical="center"/>
    </xf>
    <xf numFmtId="0" fontId="5" fillId="24" borderId="15" xfId="55" applyFont="1" applyFill="1" applyBorder="1" applyAlignment="1">
      <alignment horizontal="center" vertical="center"/>
    </xf>
    <xf numFmtId="0" fontId="5" fillId="24" borderId="14" xfId="55" applyFont="1" applyFill="1" applyBorder="1" applyAlignment="1">
      <alignment horizontal="center" vertical="center" wrapText="1"/>
    </xf>
    <xf numFmtId="0" fontId="5" fillId="24" borderId="12" xfId="55" applyFont="1" applyFill="1" applyBorder="1" applyAlignment="1">
      <alignment horizontal="center" vertical="center" wrapText="1"/>
    </xf>
    <xf numFmtId="0" fontId="5" fillId="24" borderId="15" xfId="55" applyFont="1" applyFill="1" applyBorder="1" applyAlignment="1">
      <alignment horizontal="center" vertical="center" wrapText="1"/>
    </xf>
    <xf numFmtId="0" fontId="5" fillId="24" borderId="14" xfId="55" applyFont="1" applyFill="1" applyBorder="1" applyAlignment="1">
      <alignment horizontal="center" vertical="center"/>
    </xf>
    <xf numFmtId="0" fontId="5" fillId="24" borderId="16" xfId="55" applyFont="1" applyFill="1" applyBorder="1" applyAlignment="1">
      <alignment horizontal="center" vertical="center"/>
    </xf>
    <xf numFmtId="0" fontId="5" fillId="24" borderId="23" xfId="55" applyFont="1" applyFill="1" applyBorder="1" applyAlignment="1">
      <alignment horizontal="center" vertical="center"/>
    </xf>
    <xf numFmtId="0" fontId="5" fillId="24" borderId="18" xfId="55" applyFont="1" applyFill="1" applyBorder="1" applyAlignment="1">
      <alignment horizontal="center" vertical="center"/>
    </xf>
    <xf numFmtId="0" fontId="5" fillId="24" borderId="19" xfId="55" applyFont="1" applyFill="1" applyBorder="1" applyAlignment="1">
      <alignment horizontal="center" vertical="center"/>
    </xf>
    <xf numFmtId="0" fontId="5" fillId="24" borderId="17" xfId="55" applyFont="1" applyFill="1" applyBorder="1" applyAlignment="1">
      <alignment horizontal="center" vertical="center"/>
    </xf>
    <xf numFmtId="0" fontId="5" fillId="24" borderId="16" xfId="55" applyFont="1" applyFill="1" applyBorder="1" applyAlignment="1">
      <alignment horizontal="center" vertical="center" wrapText="1"/>
    </xf>
    <xf numFmtId="0" fontId="5" fillId="24" borderId="18" xfId="55" applyFont="1" applyFill="1" applyBorder="1" applyAlignment="1">
      <alignment horizontal="center" vertical="center" wrapText="1"/>
    </xf>
    <xf numFmtId="0" fontId="35" fillId="24" borderId="23" xfId="55" applyFont="1" applyFill="1" applyBorder="1" applyAlignment="1">
      <alignment horizontal="center" vertical="center" wrapText="1"/>
    </xf>
    <xf numFmtId="0" fontId="35" fillId="24" borderId="18" xfId="55" applyFont="1" applyFill="1" applyBorder="1" applyAlignment="1">
      <alignment horizontal="center" vertical="center" wrapText="1"/>
    </xf>
    <xf numFmtId="0" fontId="5" fillId="24" borderId="22" xfId="0" applyFont="1" applyFill="1" applyBorder="1" applyAlignment="1">
      <alignment horizontal="left" vertical="center" wrapText="1"/>
    </xf>
    <xf numFmtId="0" fontId="5" fillId="24" borderId="20" xfId="0" applyFont="1" applyFill="1" applyBorder="1" applyAlignment="1">
      <alignment horizontal="left" vertical="center" wrapText="1"/>
    </xf>
    <xf numFmtId="0" fontId="5" fillId="24" borderId="19" xfId="0" applyFont="1" applyFill="1" applyBorder="1" applyAlignment="1">
      <alignment vertical="center" wrapText="1"/>
    </xf>
    <xf numFmtId="0" fontId="5" fillId="24" borderId="13" xfId="0" applyFont="1" applyFill="1" applyBorder="1" applyAlignment="1">
      <alignment vertical="center" wrapText="1"/>
    </xf>
    <xf numFmtId="0" fontId="5" fillId="24" borderId="17" xfId="0" applyFont="1" applyFill="1" applyBorder="1" applyAlignment="1">
      <alignment vertical="center" wrapText="1"/>
    </xf>
    <xf numFmtId="0" fontId="5" fillId="24" borderId="16"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11" fillId="0" borderId="14" xfId="39" applyFont="1" applyBorder="1" applyAlignment="1" applyProtection="1">
      <alignment horizontal="left" vertical="center"/>
    </xf>
    <xf numFmtId="0" fontId="11" fillId="0" borderId="12" xfId="39" applyFont="1" applyBorder="1" applyAlignment="1" applyProtection="1">
      <alignment horizontal="left" vertical="center"/>
    </xf>
    <xf numFmtId="0" fontId="11" fillId="0" borderId="15" xfId="39" applyFont="1" applyBorder="1" applyAlignment="1" applyProtection="1">
      <alignment horizontal="left" vertical="center"/>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5" fillId="0" borderId="17" xfId="0" applyFont="1" applyBorder="1" applyAlignment="1">
      <alignment horizontal="left" vertical="center" wrapText="1"/>
    </xf>
    <xf numFmtId="0" fontId="5" fillId="0" borderId="20" xfId="0" applyFont="1" applyBorder="1" applyAlignment="1">
      <alignment horizontal="left" vertical="center" wrapText="1"/>
    </xf>
    <xf numFmtId="0" fontId="5" fillId="0" borderId="11" xfId="0" applyFont="1" applyBorder="1" applyAlignment="1">
      <alignment horizontal="left" vertical="center" wrapText="1"/>
    </xf>
    <xf numFmtId="0" fontId="5" fillId="0" borderId="21" xfId="0" applyFont="1" applyBorder="1" applyAlignment="1">
      <alignment horizontal="left" vertical="center" wrapText="1"/>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9" fillId="0" borderId="14" xfId="44" applyFont="1" applyBorder="1" applyAlignment="1">
      <alignment horizontal="left" vertical="center"/>
    </xf>
    <xf numFmtId="0" fontId="5" fillId="0" borderId="14" xfId="0" applyFont="1" applyBorder="1" applyAlignment="1">
      <alignment horizontal="left" vertical="center"/>
    </xf>
    <xf numFmtId="49" fontId="5" fillId="0" borderId="14" xfId="44" applyNumberFormat="1" applyFont="1" applyBorder="1" applyAlignment="1">
      <alignment horizontal="left" vertical="center"/>
    </xf>
    <xf numFmtId="0" fontId="5" fillId="0" borderId="0" xfId="55" applyFont="1" applyAlignment="1">
      <alignment horizontal="left" vertical="center" wrapText="1"/>
    </xf>
    <xf numFmtId="0" fontId="5" fillId="0" borderId="11" xfId="55" applyFont="1" applyBorder="1" applyAlignment="1">
      <alignment horizontal="left" vertical="center" wrapText="1"/>
    </xf>
    <xf numFmtId="0" fontId="1" fillId="0" borderId="0" xfId="60" applyFont="1" applyAlignment="1">
      <alignment vertical="center"/>
    </xf>
    <xf numFmtId="0" fontId="1" fillId="0" borderId="31" xfId="60" applyFont="1" applyBorder="1" applyAlignment="1">
      <alignment vertical="center"/>
    </xf>
    <xf numFmtId="0" fontId="39" fillId="0" borderId="0" xfId="60" applyFont="1" applyAlignment="1">
      <alignment vertical="center"/>
    </xf>
    <xf numFmtId="0" fontId="1" fillId="0" borderId="0" xfId="60" applyFont="1" applyAlignment="1" applyProtection="1">
      <alignment vertical="center"/>
      <protection locked="0"/>
    </xf>
    <xf numFmtId="0" fontId="1" fillId="0" borderId="0" xfId="60" applyFont="1" applyAlignment="1">
      <alignment horizontal="center" vertical="center" wrapText="1"/>
    </xf>
    <xf numFmtId="0" fontId="1" fillId="0" borderId="23" xfId="60" applyFont="1" applyBorder="1" applyAlignment="1">
      <alignment horizontal="center" vertical="center" wrapText="1"/>
    </xf>
    <xf numFmtId="0" fontId="1" fillId="0" borderId="23" xfId="60" applyFont="1" applyBorder="1" applyAlignment="1">
      <alignment vertical="center"/>
    </xf>
    <xf numFmtId="4" fontId="1" fillId="32" borderId="25" xfId="60" applyNumberFormat="1" applyFont="1" applyFill="1" applyBorder="1" applyAlignment="1" applyProtection="1">
      <alignment vertical="center"/>
      <protection locked="0"/>
    </xf>
    <xf numFmtId="4" fontId="1" fillId="32" borderId="10" xfId="60" applyNumberFormat="1" applyFont="1" applyFill="1" applyBorder="1" applyAlignment="1" applyProtection="1">
      <alignment vertical="center"/>
      <protection locked="0"/>
    </xf>
    <xf numFmtId="4" fontId="1" fillId="0" borderId="10" xfId="60" applyNumberFormat="1" applyFont="1" applyBorder="1" applyAlignment="1">
      <alignment vertical="center"/>
    </xf>
    <xf numFmtId="0" fontId="1" fillId="0" borderId="10" xfId="60" applyFont="1" applyBorder="1" applyAlignment="1">
      <alignment vertical="center"/>
    </xf>
    <xf numFmtId="0" fontId="1" fillId="0" borderId="10" xfId="60" applyFont="1" applyBorder="1" applyAlignment="1">
      <alignment horizontal="center" vertical="center"/>
    </xf>
    <xf numFmtId="1" fontId="1" fillId="0" borderId="15" xfId="60" applyNumberFormat="1" applyFont="1" applyBorder="1" applyAlignment="1">
      <alignment horizontal="center" vertical="center"/>
    </xf>
    <xf numFmtId="4" fontId="1" fillId="0" borderId="15" xfId="60" applyNumberFormat="1" applyFont="1" applyBorder="1" applyAlignment="1">
      <alignment vertical="center"/>
    </xf>
    <xf numFmtId="4" fontId="1" fillId="0" borderId="10" xfId="60" applyNumberFormat="1" applyFont="1" applyBorder="1" applyAlignment="1">
      <alignment horizontal="center" vertical="center"/>
    </xf>
    <xf numFmtId="0" fontId="1" fillId="0" borderId="10" xfId="60" applyFont="1" applyBorder="1" applyAlignment="1">
      <alignment vertical="center" wrapText="1"/>
    </xf>
    <xf numFmtId="0" fontId="1" fillId="0" borderId="10" xfId="60" applyFont="1" applyBorder="1" applyAlignment="1">
      <alignment horizontal="center" vertical="center" wrapText="1"/>
    </xf>
    <xf numFmtId="1" fontId="1" fillId="0" borderId="10" xfId="60" applyNumberFormat="1" applyFont="1" applyBorder="1" applyAlignment="1">
      <alignment horizontal="center" vertical="center" wrapText="1"/>
    </xf>
    <xf numFmtId="4" fontId="1" fillId="0" borderId="10" xfId="60" applyNumberFormat="1" applyFont="1" applyBorder="1" applyAlignment="1">
      <alignment vertical="center" wrapText="1"/>
    </xf>
    <xf numFmtId="4" fontId="1" fillId="32" borderId="10" xfId="60" applyNumberFormat="1" applyFont="1" applyFill="1" applyBorder="1" applyAlignment="1" applyProtection="1">
      <alignment vertical="center" wrapText="1"/>
      <protection locked="0"/>
    </xf>
    <xf numFmtId="4" fontId="1" fillId="0" borderId="10" xfId="60" applyNumberFormat="1" applyFont="1" applyBorder="1" applyAlignment="1">
      <alignment horizontal="center" vertical="center" wrapText="1"/>
    </xf>
    <xf numFmtId="4" fontId="1" fillId="0" borderId="10" xfId="60" applyNumberFormat="1" applyFont="1" applyBorder="1" applyAlignment="1">
      <alignment horizontal="right" vertical="center" wrapText="1"/>
    </xf>
    <xf numFmtId="0" fontId="1" fillId="0" borderId="14" xfId="60" applyFont="1" applyBorder="1" applyAlignment="1">
      <alignment vertical="center" wrapText="1"/>
    </xf>
    <xf numFmtId="0" fontId="1" fillId="0" borderId="12" xfId="60" applyFont="1" applyBorder="1" applyAlignment="1">
      <alignment horizontal="center" vertical="center" wrapText="1"/>
    </xf>
    <xf numFmtId="0" fontId="1" fillId="0" borderId="13" xfId="60" applyFont="1" applyBorder="1" applyAlignment="1">
      <alignment horizontal="center" vertical="center" wrapText="1"/>
    </xf>
    <xf numFmtId="0" fontId="1" fillId="0" borderId="13" xfId="60" applyFont="1" applyBorder="1" applyAlignment="1">
      <alignment vertical="center" wrapText="1"/>
    </xf>
    <xf numFmtId="4" fontId="1" fillId="0" borderId="13" xfId="60" applyNumberFormat="1" applyFont="1" applyBorder="1" applyAlignment="1">
      <alignment vertical="center" wrapText="1"/>
    </xf>
    <xf numFmtId="4" fontId="1" fillId="0" borderId="13" xfId="60" applyNumberFormat="1" applyFont="1" applyBorder="1" applyAlignment="1">
      <alignment horizontal="center" vertical="center" wrapText="1"/>
    </xf>
    <xf numFmtId="4" fontId="1" fillId="0" borderId="0" xfId="60" applyNumberFormat="1" applyFont="1" applyAlignment="1">
      <alignment vertical="center" wrapText="1"/>
    </xf>
    <xf numFmtId="0" fontId="1" fillId="0" borderId="20" xfId="60" applyFont="1" applyBorder="1" applyAlignment="1">
      <alignment horizontal="center" vertical="center" wrapText="1"/>
    </xf>
    <xf numFmtId="0" fontId="1" fillId="0" borderId="11" xfId="60" applyFont="1" applyBorder="1" applyAlignment="1">
      <alignment vertical="center" wrapText="1"/>
    </xf>
    <xf numFmtId="4" fontId="1" fillId="0" borderId="11" xfId="60" applyNumberFormat="1" applyFont="1" applyBorder="1" applyAlignment="1">
      <alignment vertical="center" wrapText="1"/>
    </xf>
    <xf numFmtId="4" fontId="1" fillId="0" borderId="11" xfId="60" applyNumberFormat="1" applyFont="1" applyBorder="1" applyAlignment="1">
      <alignment horizontal="center" vertical="center" wrapText="1"/>
    </xf>
    <xf numFmtId="0" fontId="1" fillId="0" borderId="10" xfId="60" applyFont="1" applyBorder="1" applyAlignment="1">
      <alignment horizontal="right" vertical="center" wrapText="1" indent="1"/>
    </xf>
    <xf numFmtId="0" fontId="1" fillId="0" borderId="30" xfId="60" applyFont="1" applyBorder="1" applyAlignment="1">
      <alignment horizontal="left" vertical="center" wrapText="1" indent="1"/>
    </xf>
    <xf numFmtId="4" fontId="1" fillId="0" borderId="30" xfId="60" applyNumberFormat="1" applyFont="1" applyBorder="1" applyAlignment="1">
      <alignment horizontal="left" vertical="center" wrapText="1" indent="1"/>
    </xf>
  </cellXfs>
  <cellStyles count="63">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Komma 2" xfId="38" xr:uid="{00000000-0005-0000-0000-000026000000}"/>
    <cellStyle name="Link" xfId="39" builtinId="8"/>
    <cellStyle name="Link 2" xfId="59" xr:uid="{89552312-80C8-41E8-8BC3-D0AE3C9A9E31}"/>
    <cellStyle name="Link 2 3" xfId="61" xr:uid="{D919D7D1-7979-47FD-8579-4229F399E3A6}"/>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3 2" xfId="60" xr:uid="{F12BB590-D8FC-40E1-A47F-810676D590A4}"/>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Standard 8" xfId="62" xr:uid="{B3F05937-EFAC-4A49-A97D-97AABB4EE457}"/>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123">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0"/>
      </font>
      <fill>
        <patternFill>
          <bgColor rgb="FFFFC7CE"/>
        </patternFill>
      </fill>
    </dxf>
    <dxf>
      <font>
        <color rgb="FF9C0000"/>
      </font>
      <fill>
        <patternFill>
          <bgColor rgb="FFFFC7CE"/>
        </patternFill>
      </fill>
    </dxf>
    <dxf>
      <font>
        <color rgb="FF9C0000"/>
      </font>
      <fill>
        <patternFill>
          <bgColor rgb="FFFFC7CE"/>
        </patternFill>
      </fill>
    </dxf>
    <dxf>
      <font>
        <color rgb="FF9C0000"/>
      </font>
      <fill>
        <patternFill>
          <bgColor rgb="FFFFC7CE"/>
        </patternFill>
      </fill>
    </dxf>
    <dxf>
      <font>
        <color rgb="FF9C0000"/>
      </font>
      <fill>
        <patternFill>
          <bgColor rgb="FFFFC7CE"/>
        </patternFill>
      </fill>
    </dxf>
    <dxf>
      <font>
        <color rgb="FF9C0000"/>
      </font>
      <fill>
        <patternFill>
          <bgColor rgb="FFFFC7CE"/>
        </patternFill>
      </fill>
    </dxf>
    <dxf>
      <font>
        <color rgb="FF9C0000"/>
      </font>
      <fill>
        <patternFill>
          <bgColor rgb="FFFFC7CE"/>
        </patternFill>
      </fill>
    </dxf>
    <dxf>
      <font>
        <color rgb="FF9C0000"/>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22"/>
      <tableStyleElement type="headerRow" dxfId="121"/>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B3"/>
</file>

<file path=xl/ctrlProps/ctrlProp11.xml><?xml version="1.0" encoding="utf-8"?>
<formControlPr xmlns="http://schemas.microsoft.com/office/spreadsheetml/2009/9/main" objectType="CheckBox" fmlaLink="M2" lockText="1"/>
</file>

<file path=xl/ctrlProps/ctrlProp12.xml><?xml version="1.0" encoding="utf-8"?>
<formControlPr xmlns="http://schemas.microsoft.com/office/spreadsheetml/2009/9/main" objectType="CheckBox" fmlaLink="M3" lockText="1"/>
</file>

<file path=xl/ctrlProps/ctrlProp13.xml><?xml version="1.0" encoding="utf-8"?>
<formControlPr xmlns="http://schemas.microsoft.com/office/spreadsheetml/2009/9/main" objectType="CheckBox" fmlaLink="M4" lockText="1"/>
</file>

<file path=xl/ctrlProps/ctrlProp14.xml><?xml version="1.0" encoding="utf-8"?>
<formControlPr xmlns="http://schemas.microsoft.com/office/spreadsheetml/2009/9/main" objectType="CheckBox" fmlaLink="M5" lockText="1"/>
</file>

<file path=xl/ctrlProps/ctrlProp15.xml><?xml version="1.0" encoding="utf-8"?>
<formControlPr xmlns="http://schemas.microsoft.com/office/spreadsheetml/2009/9/main" objectType="CheckBox" fmlaLink="M2" lockText="1"/>
</file>

<file path=xl/ctrlProps/ctrlProp16.xml><?xml version="1.0" encoding="utf-8"?>
<formControlPr xmlns="http://schemas.microsoft.com/office/spreadsheetml/2009/9/main" objectType="CheckBox" fmlaLink="M3" lockText="1"/>
</file>

<file path=xl/ctrlProps/ctrlProp17.xml><?xml version="1.0" encoding="utf-8"?>
<formControlPr xmlns="http://schemas.microsoft.com/office/spreadsheetml/2009/9/main" objectType="CheckBox" fmlaLink="M4" lockText="1"/>
</file>

<file path=xl/ctrlProps/ctrlProp18.xml><?xml version="1.0" encoding="utf-8"?>
<formControlPr xmlns="http://schemas.microsoft.com/office/spreadsheetml/2009/9/main" objectType="CheckBox" fmlaLink="M5" lockText="1"/>
</file>

<file path=xl/ctrlProps/ctrlProp19.xml><?xml version="1.0" encoding="utf-8"?>
<formControlPr xmlns="http://schemas.microsoft.com/office/spreadsheetml/2009/9/main" objectType="CheckBox" fmlaLink="M2"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M3" lockText="1"/>
</file>

<file path=xl/ctrlProps/ctrlProp21.xml><?xml version="1.0" encoding="utf-8"?>
<formControlPr xmlns="http://schemas.microsoft.com/office/spreadsheetml/2009/9/main" objectType="CheckBox" fmlaLink="M4" lockText="1"/>
</file>

<file path=xl/ctrlProps/ctrlProp22.xml><?xml version="1.0" encoding="utf-8"?>
<formControlPr xmlns="http://schemas.microsoft.com/office/spreadsheetml/2009/9/main" objectType="CheckBox" fmlaLink="M5" lockText="1"/>
</file>

<file path=xl/ctrlProps/ctrlProp23.xml><?xml version="1.0" encoding="utf-8"?>
<formControlPr xmlns="http://schemas.microsoft.com/office/spreadsheetml/2009/9/main" objectType="CheckBox" fmlaLink="M2" lockText="1"/>
</file>

<file path=xl/ctrlProps/ctrlProp24.xml><?xml version="1.0" encoding="utf-8"?>
<formControlPr xmlns="http://schemas.microsoft.com/office/spreadsheetml/2009/9/main" objectType="CheckBox" fmlaLink="M3" lockText="1"/>
</file>

<file path=xl/ctrlProps/ctrlProp25.xml><?xml version="1.0" encoding="utf-8"?>
<formControlPr xmlns="http://schemas.microsoft.com/office/spreadsheetml/2009/9/main" objectType="CheckBox" fmlaLink="M4" lockText="1"/>
</file>

<file path=xl/ctrlProps/ctrlProp26.xml><?xml version="1.0" encoding="utf-8"?>
<formControlPr xmlns="http://schemas.microsoft.com/office/spreadsheetml/2009/9/main" objectType="CheckBox" fmlaLink="M5" lockText="1"/>
</file>

<file path=xl/ctrlProps/ctrlProp27.xml><?xml version="1.0" encoding="utf-8"?>
<formControlPr xmlns="http://schemas.microsoft.com/office/spreadsheetml/2009/9/main" objectType="CheckBox" fmlaLink="M2" lockText="1"/>
</file>

<file path=xl/ctrlProps/ctrlProp28.xml><?xml version="1.0" encoding="utf-8"?>
<formControlPr xmlns="http://schemas.microsoft.com/office/spreadsheetml/2009/9/main" objectType="CheckBox" fmlaLink="M3" lockText="1"/>
</file>

<file path=xl/ctrlProps/ctrlProp29.xml><?xml version="1.0" encoding="utf-8"?>
<formControlPr xmlns="http://schemas.microsoft.com/office/spreadsheetml/2009/9/main" objectType="CheckBox" fmlaLink="M4" lockText="1"/>
</file>

<file path=xl/ctrlProps/ctrlProp3.xml><?xml version="1.0" encoding="utf-8"?>
<formControlPr xmlns="http://schemas.microsoft.com/office/spreadsheetml/2009/9/main" objectType="CheckBox" fmlaLink="$H$5" lockText="1"/>
</file>

<file path=xl/ctrlProps/ctrlProp30.xml><?xml version="1.0" encoding="utf-8"?>
<formControlPr xmlns="http://schemas.microsoft.com/office/spreadsheetml/2009/9/main" objectType="CheckBox" fmlaLink="M5" lockText="1"/>
</file>

<file path=xl/ctrlProps/ctrlProp31.xml><?xml version="1.0" encoding="utf-8"?>
<formControlPr xmlns="http://schemas.microsoft.com/office/spreadsheetml/2009/9/main" objectType="CheckBox" fmlaLink="M2" lockText="1"/>
</file>

<file path=xl/ctrlProps/ctrlProp32.xml><?xml version="1.0" encoding="utf-8"?>
<formControlPr xmlns="http://schemas.microsoft.com/office/spreadsheetml/2009/9/main" objectType="CheckBox" fmlaLink="M3" lockText="1"/>
</file>

<file path=xl/ctrlProps/ctrlProp33.xml><?xml version="1.0" encoding="utf-8"?>
<formControlPr xmlns="http://schemas.microsoft.com/office/spreadsheetml/2009/9/main" objectType="CheckBox" fmlaLink="M4" lockText="1"/>
</file>

<file path=xl/ctrlProps/ctrlProp34.xml><?xml version="1.0" encoding="utf-8"?>
<formControlPr xmlns="http://schemas.microsoft.com/office/spreadsheetml/2009/9/main" objectType="CheckBox" fmlaLink="M5" lockText="1"/>
</file>

<file path=xl/ctrlProps/ctrlProp35.xml><?xml version="1.0" encoding="utf-8"?>
<formControlPr xmlns="http://schemas.microsoft.com/office/spreadsheetml/2009/9/main" objectType="CheckBox" fmlaLink="M2" lockText="1"/>
</file>

<file path=xl/ctrlProps/ctrlProp36.xml><?xml version="1.0" encoding="utf-8"?>
<formControlPr xmlns="http://schemas.microsoft.com/office/spreadsheetml/2009/9/main" objectType="CheckBox" fmlaLink="M3" lockText="1"/>
</file>

<file path=xl/ctrlProps/ctrlProp37.xml><?xml version="1.0" encoding="utf-8"?>
<formControlPr xmlns="http://schemas.microsoft.com/office/spreadsheetml/2009/9/main" objectType="CheckBox" fmlaLink="M4" lockText="1"/>
</file>

<file path=xl/ctrlProps/ctrlProp38.xml><?xml version="1.0" encoding="utf-8"?>
<formControlPr xmlns="http://schemas.microsoft.com/office/spreadsheetml/2009/9/main" objectType="CheckBox" fmlaLink="M5" lockText="1"/>
</file>

<file path=xl/ctrlProps/ctrlProp39.xml><?xml version="1.0" encoding="utf-8"?>
<formControlPr xmlns="http://schemas.microsoft.com/office/spreadsheetml/2009/9/main" objectType="CheckBox" fmlaLink="M2" lockText="1"/>
</file>

<file path=xl/ctrlProps/ctrlProp4.xml><?xml version="1.0" encoding="utf-8"?>
<formControlPr xmlns="http://schemas.microsoft.com/office/spreadsheetml/2009/9/main" objectType="CheckBox" fmlaLink="B2" lockText="1"/>
</file>

<file path=xl/ctrlProps/ctrlProp40.xml><?xml version="1.0" encoding="utf-8"?>
<formControlPr xmlns="http://schemas.microsoft.com/office/spreadsheetml/2009/9/main" objectType="CheckBox" fmlaLink="M3" lockText="1"/>
</file>

<file path=xl/ctrlProps/ctrlProp41.xml><?xml version="1.0" encoding="utf-8"?>
<formControlPr xmlns="http://schemas.microsoft.com/office/spreadsheetml/2009/9/main" objectType="CheckBox" fmlaLink="M4" lockText="1"/>
</file>

<file path=xl/ctrlProps/ctrlProp42.xml><?xml version="1.0" encoding="utf-8"?>
<formControlPr xmlns="http://schemas.microsoft.com/office/spreadsheetml/2009/9/main" objectType="CheckBox" fmlaLink="M5" lockText="1"/>
</file>

<file path=xl/ctrlProps/ctrlProp43.xml><?xml version="1.0" encoding="utf-8"?>
<formControlPr xmlns="http://schemas.microsoft.com/office/spreadsheetml/2009/9/main" objectType="CheckBox" fmlaLink="C2" lockText="1"/>
</file>

<file path=xl/ctrlProps/ctrlProp44.xml><?xml version="1.0" encoding="utf-8"?>
<formControlPr xmlns="http://schemas.microsoft.com/office/spreadsheetml/2009/9/main" objectType="CheckBox" fmlaLink="D1" lockText="1"/>
</file>

<file path=xl/ctrlProps/ctrlProp5.xml><?xml version="1.0" encoding="utf-8"?>
<formControlPr xmlns="http://schemas.microsoft.com/office/spreadsheetml/2009/9/main" objectType="CheckBox" fmlaLink="B2" lockText="1"/>
</file>

<file path=xl/ctrlProps/ctrlProp6.xml><?xml version="1.0" encoding="utf-8"?>
<formControlPr xmlns="http://schemas.microsoft.com/office/spreadsheetml/2009/9/main" objectType="CheckBox" fmlaLink="D1" lockText="1"/>
</file>

<file path=xl/ctrlProps/ctrlProp7.xml><?xml version="1.0" encoding="utf-8"?>
<formControlPr xmlns="http://schemas.microsoft.com/office/spreadsheetml/2009/9/main" objectType="CheckBox" fmlaLink="D2" lockText="1"/>
</file>

<file path=xl/ctrlProps/ctrlProp8.xml><?xml version="1.0" encoding="utf-8"?>
<formControlPr xmlns="http://schemas.microsoft.com/office/spreadsheetml/2009/9/main" objectType="CheckBox" fmlaLink="D1" lockText="1"/>
</file>

<file path=xl/ctrlProps/ctrlProp9.xml><?xml version="1.0" encoding="utf-8"?>
<formControlPr xmlns="http://schemas.microsoft.com/office/spreadsheetml/2009/9/main" objectType="CheckBox" fmlaLink="D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0900-000001C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14690" name="Check Box 2" descr="Hinweis 2" hidden="1">
              <a:extLst>
                <a:ext uri="{63B3BB69-23CF-44E3-9099-C40C66FF867C}">
                  <a14:compatExt spid="_x0000_s114690"/>
                </a:ext>
                <a:ext uri="{FF2B5EF4-FFF2-40B4-BE49-F238E27FC236}">
                  <a16:creationId xmlns:a16="http://schemas.microsoft.com/office/drawing/2014/main" id="{00000000-0008-0000-0900-000002C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14691" name="Check Box 3" descr="Hinweis 3" hidden="1">
              <a:extLst>
                <a:ext uri="{63B3BB69-23CF-44E3-9099-C40C66FF867C}">
                  <a14:compatExt spid="_x0000_s114691"/>
                </a:ext>
                <a:ext uri="{FF2B5EF4-FFF2-40B4-BE49-F238E27FC236}">
                  <a16:creationId xmlns:a16="http://schemas.microsoft.com/office/drawing/2014/main" id="{00000000-0008-0000-0900-000003C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14692" name="Check Box 4" descr="Hinweis 3" hidden="1">
              <a:extLst>
                <a:ext uri="{63B3BB69-23CF-44E3-9099-C40C66FF867C}">
                  <a14:compatExt spid="_x0000_s114692"/>
                </a:ext>
                <a:ext uri="{FF2B5EF4-FFF2-40B4-BE49-F238E27FC236}">
                  <a16:creationId xmlns:a16="http://schemas.microsoft.com/office/drawing/2014/main" id="{00000000-0008-0000-0900-000004C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A00-000001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8546" name="Check Box 2" descr="Hinweis 2" hidden="1">
              <a:extLst>
                <a:ext uri="{63B3BB69-23CF-44E3-9099-C40C66FF867C}">
                  <a14:compatExt spid="_x0000_s108546"/>
                </a:ext>
                <a:ext uri="{FF2B5EF4-FFF2-40B4-BE49-F238E27FC236}">
                  <a16:creationId xmlns:a16="http://schemas.microsoft.com/office/drawing/2014/main" id="{00000000-0008-0000-0A00-000002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8547" name="Check Box 3" descr="Hinweis 3" hidden="1">
              <a:extLst>
                <a:ext uri="{63B3BB69-23CF-44E3-9099-C40C66FF867C}">
                  <a14:compatExt spid="_x0000_s108547"/>
                </a:ext>
                <a:ext uri="{FF2B5EF4-FFF2-40B4-BE49-F238E27FC236}">
                  <a16:creationId xmlns:a16="http://schemas.microsoft.com/office/drawing/2014/main" id="{00000000-0008-0000-0A00-000003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8548" name="Check Box 4" descr="Hinweis 3" hidden="1">
              <a:extLst>
                <a:ext uri="{63B3BB69-23CF-44E3-9099-C40C66FF867C}">
                  <a14:compatExt spid="_x0000_s108548"/>
                </a:ext>
                <a:ext uri="{FF2B5EF4-FFF2-40B4-BE49-F238E27FC236}">
                  <a16:creationId xmlns:a16="http://schemas.microsoft.com/office/drawing/2014/main" id="{00000000-0008-0000-0A00-000004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0B00-000001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2642" name="Check Box 2" descr="Hinweis 2" hidden="1">
              <a:extLst>
                <a:ext uri="{63B3BB69-23CF-44E3-9099-C40C66FF867C}">
                  <a14:compatExt spid="_x0000_s112642"/>
                </a:ext>
                <a:ext uri="{FF2B5EF4-FFF2-40B4-BE49-F238E27FC236}">
                  <a16:creationId xmlns:a16="http://schemas.microsoft.com/office/drawing/2014/main" id="{00000000-0008-0000-0B00-000002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2643" name="Check Box 3" descr="Hinweis 3" hidden="1">
              <a:extLst>
                <a:ext uri="{63B3BB69-23CF-44E3-9099-C40C66FF867C}">
                  <a14:compatExt spid="_x0000_s112643"/>
                </a:ext>
                <a:ext uri="{FF2B5EF4-FFF2-40B4-BE49-F238E27FC236}">
                  <a16:creationId xmlns:a16="http://schemas.microsoft.com/office/drawing/2014/main" id="{00000000-0008-0000-0B00-000003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2644" name="Check Box 4" descr="Hinweis 3" hidden="1">
              <a:extLst>
                <a:ext uri="{63B3BB69-23CF-44E3-9099-C40C66FF867C}">
                  <a14:compatExt spid="_x0000_s112644"/>
                </a:ext>
                <a:ext uri="{FF2B5EF4-FFF2-40B4-BE49-F238E27FC236}">
                  <a16:creationId xmlns:a16="http://schemas.microsoft.com/office/drawing/2014/main" id="{00000000-0008-0000-0B00-000004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C00-000001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9570" name="Check Box 2" descr="Hinweis 2" hidden="1">
              <a:extLst>
                <a:ext uri="{63B3BB69-23CF-44E3-9099-C40C66FF867C}">
                  <a14:compatExt spid="_x0000_s109570"/>
                </a:ext>
                <a:ext uri="{FF2B5EF4-FFF2-40B4-BE49-F238E27FC236}">
                  <a16:creationId xmlns:a16="http://schemas.microsoft.com/office/drawing/2014/main" id="{00000000-0008-0000-0C00-000002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9571" name="Check Box 3" descr="Hinweis 3" hidden="1">
              <a:extLst>
                <a:ext uri="{63B3BB69-23CF-44E3-9099-C40C66FF867C}">
                  <a14:compatExt spid="_x0000_s109571"/>
                </a:ext>
                <a:ext uri="{FF2B5EF4-FFF2-40B4-BE49-F238E27FC236}">
                  <a16:creationId xmlns:a16="http://schemas.microsoft.com/office/drawing/2014/main" id="{00000000-0008-0000-0C00-000003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9572" name="Check Box 4" descr="Hinweis 3" hidden="1">
              <a:extLst>
                <a:ext uri="{63B3BB69-23CF-44E3-9099-C40C66FF867C}">
                  <a14:compatExt spid="_x0000_s109572"/>
                </a:ext>
                <a:ext uri="{FF2B5EF4-FFF2-40B4-BE49-F238E27FC236}">
                  <a16:creationId xmlns:a16="http://schemas.microsoft.com/office/drawing/2014/main" id="{00000000-0008-0000-0C00-000004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3665" name="Check Box 1" hidden="1">
              <a:extLst>
                <a:ext uri="{63B3BB69-23CF-44E3-9099-C40C66FF867C}">
                  <a14:compatExt spid="_x0000_s113665"/>
                </a:ext>
                <a:ext uri="{FF2B5EF4-FFF2-40B4-BE49-F238E27FC236}">
                  <a16:creationId xmlns:a16="http://schemas.microsoft.com/office/drawing/2014/main" id="{00000000-0008-0000-0D00-000001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3666" name="Check Box 2" descr="Hinweis 2" hidden="1">
              <a:extLst>
                <a:ext uri="{63B3BB69-23CF-44E3-9099-C40C66FF867C}">
                  <a14:compatExt spid="_x0000_s113666"/>
                </a:ext>
                <a:ext uri="{FF2B5EF4-FFF2-40B4-BE49-F238E27FC236}">
                  <a16:creationId xmlns:a16="http://schemas.microsoft.com/office/drawing/2014/main" id="{00000000-0008-0000-0D00-000002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3667" name="Check Box 3" descr="Hinweis 3" hidden="1">
              <a:extLst>
                <a:ext uri="{63B3BB69-23CF-44E3-9099-C40C66FF867C}">
                  <a14:compatExt spid="_x0000_s113667"/>
                </a:ext>
                <a:ext uri="{FF2B5EF4-FFF2-40B4-BE49-F238E27FC236}">
                  <a16:creationId xmlns:a16="http://schemas.microsoft.com/office/drawing/2014/main" id="{00000000-0008-0000-0D00-000003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3668" name="Check Box 4" descr="Hinweis 3" hidden="1">
              <a:extLst>
                <a:ext uri="{63B3BB69-23CF-44E3-9099-C40C66FF867C}">
                  <a14:compatExt spid="_x0000_s113668"/>
                </a:ext>
                <a:ext uri="{FF2B5EF4-FFF2-40B4-BE49-F238E27FC236}">
                  <a16:creationId xmlns:a16="http://schemas.microsoft.com/office/drawing/2014/main" id="{00000000-0008-0000-0D00-000004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E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F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19050</xdr:rowOff>
        </xdr:from>
        <xdr:to>
          <xdr:col>1</xdr:col>
          <xdr:colOff>971550</xdr:colOff>
          <xdr:row>1</xdr:row>
          <xdr:rowOff>276225</xdr:rowOff>
        </xdr:to>
        <xdr:sp macro="" textlink="">
          <xdr:nvSpPr>
            <xdr:cNvPr id="3073" name="Check Box 1" descr="Hinweis"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xdr:row>
          <xdr:rowOff>85725</xdr:rowOff>
        </xdr:from>
        <xdr:to>
          <xdr:col>1</xdr:col>
          <xdr:colOff>933450</xdr:colOff>
          <xdr:row>2</xdr:row>
          <xdr:rowOff>333375</xdr:rowOff>
        </xdr:to>
        <xdr:sp macro="" textlink="">
          <xdr:nvSpPr>
            <xdr:cNvPr id="121857" name="Check Box 1" descr="Hinweis" hidden="1">
              <a:extLst>
                <a:ext uri="{63B3BB69-23CF-44E3-9099-C40C66FF867C}">
                  <a14:compatExt spid="_x0000_s121857"/>
                </a:ext>
                <a:ext uri="{FF2B5EF4-FFF2-40B4-BE49-F238E27FC236}">
                  <a16:creationId xmlns:a16="http://schemas.microsoft.com/office/drawing/2014/main" id="{00000000-0008-0000-0500-000001D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600-000001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0594" name="Check Box 2" descr="Hinweis 2" hidden="1">
              <a:extLst>
                <a:ext uri="{63B3BB69-23CF-44E3-9099-C40C66FF867C}">
                  <a14:compatExt spid="_x0000_s110594"/>
                </a:ext>
                <a:ext uri="{FF2B5EF4-FFF2-40B4-BE49-F238E27FC236}">
                  <a16:creationId xmlns:a16="http://schemas.microsoft.com/office/drawing/2014/main" id="{00000000-0008-0000-0600-000002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0595" name="Check Box 3" descr="Hinweis 3" hidden="1">
              <a:extLst>
                <a:ext uri="{63B3BB69-23CF-44E3-9099-C40C66FF867C}">
                  <a14:compatExt spid="_x0000_s110595"/>
                </a:ext>
                <a:ext uri="{FF2B5EF4-FFF2-40B4-BE49-F238E27FC236}">
                  <a16:creationId xmlns:a16="http://schemas.microsoft.com/office/drawing/2014/main" id="{00000000-0008-0000-0600-000003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0596" name="Check Box 4" descr="Hinweis 3" hidden="1">
              <a:extLst>
                <a:ext uri="{63B3BB69-23CF-44E3-9099-C40C66FF867C}">
                  <a14:compatExt spid="_x0000_s110596"/>
                </a:ext>
                <a:ext uri="{FF2B5EF4-FFF2-40B4-BE49-F238E27FC236}">
                  <a16:creationId xmlns:a16="http://schemas.microsoft.com/office/drawing/2014/main" id="{00000000-0008-0000-0600-000004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7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7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7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7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800-000001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1618" name="Check Box 2" descr="Hinweis 2" hidden="1">
              <a:extLst>
                <a:ext uri="{63B3BB69-23CF-44E3-9099-C40C66FF867C}">
                  <a14:compatExt spid="_x0000_s111618"/>
                </a:ext>
                <a:ext uri="{FF2B5EF4-FFF2-40B4-BE49-F238E27FC236}">
                  <a16:creationId xmlns:a16="http://schemas.microsoft.com/office/drawing/2014/main" id="{00000000-0008-0000-0800-000002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1619" name="Check Box 3" descr="Hinweis 3" hidden="1">
              <a:extLst>
                <a:ext uri="{63B3BB69-23CF-44E3-9099-C40C66FF867C}">
                  <a14:compatExt spid="_x0000_s111619"/>
                </a:ext>
                <a:ext uri="{FF2B5EF4-FFF2-40B4-BE49-F238E27FC236}">
                  <a16:creationId xmlns:a16="http://schemas.microsoft.com/office/drawing/2014/main" id="{00000000-0008-0000-0800-000003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1620" name="Check Box 4" descr="Hinweis 3" hidden="1">
              <a:extLst>
                <a:ext uri="{63B3BB69-23CF-44E3-9099-C40C66FF867C}">
                  <a14:compatExt spid="_x0000_s111620"/>
                </a:ext>
                <a:ext uri="{FF2B5EF4-FFF2-40B4-BE49-F238E27FC236}">
                  <a16:creationId xmlns:a16="http://schemas.microsoft.com/office/drawing/2014/main" id="{00000000-0008-0000-0800-000004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26.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0.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34.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38.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42.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4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4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8.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22.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2" style="3" bestFit="1" customWidth="1"/>
    <col min="5" max="5" width="15.28515625" style="17" customWidth="1"/>
    <col min="6" max="6" width="12.140625" style="3" customWidth="1"/>
    <col min="7" max="7" width="11.5703125" style="3" customWidth="1"/>
    <col min="8" max="8" width="12" style="3" customWidth="1"/>
    <col min="9" max="9" width="11.5703125" style="3" customWidth="1"/>
    <col min="10" max="11" width="12.7109375" style="3" customWidth="1"/>
    <col min="12" max="13" width="11.42578125" style="3" customWidth="1"/>
    <col min="14" max="16384" width="11.42578125" style="3"/>
  </cols>
  <sheetData>
    <row r="1" spans="1:12" x14ac:dyDescent="0.2">
      <c r="A1" s="49"/>
    </row>
    <row r="2" spans="1:12" ht="32.450000000000003" customHeight="1" x14ac:dyDescent="0.2">
      <c r="B2" s="50" t="s">
        <v>91</v>
      </c>
      <c r="G2" s="131" t="s">
        <v>185</v>
      </c>
      <c r="H2" s="131"/>
      <c r="I2" s="130"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30"/>
      <c r="K2" s="130"/>
      <c r="L2" s="130"/>
    </row>
    <row r="3" spans="1:12" ht="15" customHeight="1" x14ac:dyDescent="0.2">
      <c r="B3" s="51" t="s">
        <v>164</v>
      </c>
      <c r="C3" s="16"/>
      <c r="E3" s="51" t="s">
        <v>159</v>
      </c>
      <c r="F3" s="52">
        <v>46235</v>
      </c>
      <c r="G3" s="53"/>
      <c r="H3" s="20" t="b">
        <v>0</v>
      </c>
      <c r="I3" s="130"/>
      <c r="J3" s="130"/>
      <c r="K3" s="130"/>
      <c r="L3" s="130"/>
    </row>
    <row r="4" spans="1:12" ht="15" customHeight="1" x14ac:dyDescent="0.2">
      <c r="B4" s="51" t="s">
        <v>152</v>
      </c>
      <c r="C4" s="16"/>
      <c r="E4" s="51" t="s">
        <v>160</v>
      </c>
      <c r="F4" s="52">
        <v>47695</v>
      </c>
      <c r="G4" s="53"/>
      <c r="H4" s="20" t="b">
        <v>0</v>
      </c>
      <c r="I4" s="130"/>
      <c r="J4" s="130"/>
      <c r="K4" s="130"/>
      <c r="L4" s="130"/>
    </row>
    <row r="5" spans="1:12" ht="15" customHeight="1" x14ac:dyDescent="0.2">
      <c r="B5" s="51" t="s">
        <v>153</v>
      </c>
      <c r="C5" s="16"/>
      <c r="E5" s="51" t="s">
        <v>161</v>
      </c>
      <c r="F5" s="54">
        <v>2</v>
      </c>
      <c r="G5" s="53"/>
      <c r="H5" s="20" t="b">
        <v>0</v>
      </c>
      <c r="I5" s="130"/>
      <c r="J5" s="130"/>
      <c r="K5" s="130"/>
      <c r="L5" s="130"/>
    </row>
    <row r="6" spans="1:12" ht="15" customHeight="1" x14ac:dyDescent="0.2">
      <c r="B6" s="51" t="s">
        <v>154</v>
      </c>
      <c r="C6" s="16"/>
      <c r="E6" s="51" t="s">
        <v>162</v>
      </c>
      <c r="F6" s="52">
        <f>DATE(YEAR($F$4)+$F$5,MONTH($F$4),DAY($F$4))</f>
        <v>48426</v>
      </c>
      <c r="I6" s="130"/>
      <c r="J6" s="130"/>
      <c r="K6" s="130"/>
      <c r="L6" s="130"/>
    </row>
    <row r="7" spans="1:12" ht="15" customHeight="1" x14ac:dyDescent="0.2">
      <c r="B7" s="51" t="s">
        <v>165</v>
      </c>
      <c r="C7" s="16"/>
    </row>
    <row r="8" spans="1:12" ht="15" customHeight="1" x14ac:dyDescent="0.2">
      <c r="B8" s="51" t="s">
        <v>166</v>
      </c>
      <c r="C8" s="16"/>
    </row>
    <row r="9" spans="1:12" ht="15" customHeight="1" x14ac:dyDescent="0.2">
      <c r="B9" s="51" t="s">
        <v>167</v>
      </c>
      <c r="C9" s="16"/>
    </row>
    <row r="10" spans="1:12" ht="15" customHeight="1" x14ac:dyDescent="0.2">
      <c r="B10" s="51" t="s">
        <v>168</v>
      </c>
      <c r="C10" s="16"/>
    </row>
    <row r="11" spans="1:12" ht="15" customHeight="1" x14ac:dyDescent="0.2">
      <c r="B11" s="51" t="s">
        <v>169</v>
      </c>
      <c r="C11" s="16"/>
    </row>
    <row r="12" spans="1:12" ht="24.95" customHeight="1" x14ac:dyDescent="0.2"/>
    <row r="13" spans="1:12" ht="19.899999999999999" customHeight="1" x14ac:dyDescent="0.2">
      <c r="B13" s="4" t="s">
        <v>0</v>
      </c>
      <c r="C13" s="4" t="s">
        <v>191</v>
      </c>
      <c r="E13" s="3"/>
    </row>
    <row r="14" spans="1:12" ht="15" customHeight="1" x14ac:dyDescent="0.2">
      <c r="B14" s="31" t="s">
        <v>176</v>
      </c>
      <c r="E14" s="3"/>
    </row>
    <row r="15" spans="1:12" ht="15" customHeight="1" x14ac:dyDescent="0.2">
      <c r="B15" s="31" t="s">
        <v>297</v>
      </c>
      <c r="E15" s="3"/>
    </row>
    <row r="16" spans="1:12" ht="15" customHeight="1" x14ac:dyDescent="0.2">
      <c r="B16" s="31" t="s">
        <v>298</v>
      </c>
      <c r="E16" s="3"/>
    </row>
    <row r="17" spans="2:11" ht="15" customHeight="1" x14ac:dyDescent="0.2">
      <c r="B17" s="5" t="s">
        <v>299</v>
      </c>
      <c r="C17" s="3"/>
      <c r="E17" s="3"/>
    </row>
    <row r="18" spans="2:11" ht="15" customHeight="1" x14ac:dyDescent="0.2">
      <c r="B18" s="5" t="s">
        <v>147</v>
      </c>
      <c r="C18" s="3"/>
      <c r="E18" s="3"/>
    </row>
    <row r="19" spans="2:11" ht="15" customHeight="1" x14ac:dyDescent="0.2"/>
    <row r="20" spans="2:11" ht="90" customHeight="1" x14ac:dyDescent="0.2">
      <c r="B20" s="55" t="s">
        <v>170</v>
      </c>
      <c r="C20" s="55" t="s">
        <v>171</v>
      </c>
      <c r="D20" s="55" t="s">
        <v>172</v>
      </c>
      <c r="E20" s="55" t="s">
        <v>352</v>
      </c>
      <c r="F20" s="55" t="s">
        <v>286</v>
      </c>
      <c r="G20" s="55" t="s">
        <v>289</v>
      </c>
      <c r="H20" s="55" t="s">
        <v>291</v>
      </c>
      <c r="I20" s="55" t="s">
        <v>290</v>
      </c>
      <c r="J20" s="55" t="s">
        <v>300</v>
      </c>
      <c r="K20" s="55" t="s">
        <v>301</v>
      </c>
    </row>
    <row r="21" spans="2:11" ht="15" customHeight="1" x14ac:dyDescent="0.2">
      <c r="B21" s="56" t="s">
        <v>190</v>
      </c>
      <c r="C21" s="56" t="s">
        <v>192</v>
      </c>
      <c r="D21" s="56" t="s">
        <v>186</v>
      </c>
      <c r="E21" s="57"/>
      <c r="F21" s="32">
        <f>'Kal Unter Albertinsee Gesamt'!$K$7</f>
        <v>0</v>
      </c>
      <c r="G21" s="32">
        <f>'Kal Grund Albertinsee'!Q21</f>
        <v>0</v>
      </c>
      <c r="H21" s="58"/>
      <c r="I21" s="58"/>
      <c r="J21" s="59">
        <f>ROUND(SUM($F$21:$I$21),2)</f>
        <v>0</v>
      </c>
      <c r="K21" s="59">
        <f>ROUND($J$21* 1.19,2)</f>
        <v>0</v>
      </c>
    </row>
    <row r="22" spans="2:11" ht="15" customHeight="1" x14ac:dyDescent="0.2">
      <c r="B22" s="56" t="s">
        <v>196</v>
      </c>
      <c r="C22" s="56" t="s">
        <v>197</v>
      </c>
      <c r="D22" s="56" t="s">
        <v>186</v>
      </c>
      <c r="E22" s="60">
        <f>'Kal Unter ehem Rath Förd'!L21</f>
        <v>104.91</v>
      </c>
      <c r="F22" s="32">
        <f ca="1">'Kal Unter ehem Rath Förd'!Q21</f>
        <v>0</v>
      </c>
      <c r="G22" s="32">
        <f>'Kal Grund ehem Rath Förd'!Q21</f>
        <v>0</v>
      </c>
      <c r="H22" s="32">
        <f>SUMIF('Kal Verbrauch Gesamt'!$B$5:$B7,$B$22,'Kal Verbrauch Gesamt'!$G$5:$G7)</f>
        <v>0</v>
      </c>
      <c r="I22" s="32">
        <f ca="1">'Kal Unter Bed ehem Rath Förd'!Q21</f>
        <v>0</v>
      </c>
      <c r="J22" s="59">
        <f ca="1">ROUND(SUM($F$22:$I$22),2)</f>
        <v>0</v>
      </c>
      <c r="K22" s="59">
        <f ca="1">ROUND($J$22* 1.19,2)</f>
        <v>0</v>
      </c>
    </row>
    <row r="23" spans="2:11" ht="15" customHeight="1" x14ac:dyDescent="0.2">
      <c r="B23" s="56" t="s">
        <v>200</v>
      </c>
      <c r="C23" s="56" t="s">
        <v>201</v>
      </c>
      <c r="D23" s="56" t="s">
        <v>186</v>
      </c>
      <c r="E23" s="60">
        <f>'Kal Unter JK Förderstedt'!L21</f>
        <v>104.91</v>
      </c>
      <c r="F23" s="32">
        <f ca="1">'Kal Unter JK Förderstedt'!Q21</f>
        <v>0</v>
      </c>
      <c r="G23" s="32">
        <f>'Kal Grund JK Förderstedt'!Q21</f>
        <v>0</v>
      </c>
      <c r="H23" s="58"/>
      <c r="I23" s="58"/>
      <c r="J23" s="59">
        <f ca="1">ROUND(SUM($F$23:$I$23),2)</f>
        <v>0</v>
      </c>
      <c r="K23" s="59">
        <f ca="1">ROUND($J$23* 1.19,2)</f>
        <v>0</v>
      </c>
    </row>
    <row r="24" spans="2:11" ht="15" customHeight="1" x14ac:dyDescent="0.2">
      <c r="B24" s="56" t="s">
        <v>203</v>
      </c>
      <c r="C24" s="56" t="s">
        <v>204</v>
      </c>
      <c r="D24" s="56" t="s">
        <v>186</v>
      </c>
      <c r="E24" s="60">
        <f>'Kal Unter Sport Förderst'!L21</f>
        <v>84.5</v>
      </c>
      <c r="F24" s="32">
        <f ca="1">'Kal Unter Sport Förderst'!Q21</f>
        <v>0</v>
      </c>
      <c r="G24" s="32">
        <f>'Kal Grund Sport Förderst'!Q21</f>
        <v>0</v>
      </c>
      <c r="H24" s="58"/>
      <c r="I24" s="58"/>
      <c r="J24" s="59">
        <f ca="1">ROUND(SUM($F$24:$I$24),2)</f>
        <v>0</v>
      </c>
      <c r="K24" s="59">
        <f ca="1">ROUND($J$24* 1.19,2)</f>
        <v>0</v>
      </c>
    </row>
    <row r="25" spans="2:11" ht="15" customHeight="1" x14ac:dyDescent="0.2"/>
    <row r="26" spans="2:11" ht="15" customHeight="1" x14ac:dyDescent="0.2"/>
    <row r="27" spans="2:11" ht="15" customHeight="1" x14ac:dyDescent="0.2"/>
    <row r="28" spans="2:11" ht="15" customHeight="1" x14ac:dyDescent="0.2"/>
    <row r="29" spans="2:11" ht="15" customHeight="1" x14ac:dyDescent="0.2"/>
    <row r="30" spans="2:11" ht="15"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A5pnXvAiKWwvOQhu34R+DFl7FIKvhVp4BNgzCPmyA87Tk8vj8znxMoj5WKOayYecfWVmbWwqE2lZKN/NulYEWg==" saltValue="QSQyBNcUlM5Wy7vAcz0FLQ==" spinCount="100000" sheet="1" objects="1" scenarios="1"/>
  <mergeCells count="2">
    <mergeCell ref="I2:L6"/>
    <mergeCell ref="G2:H2"/>
  </mergeCells>
  <phoneticPr fontId="4" type="noConversion"/>
  <hyperlinks>
    <hyperlink ref="B14" location="'Preisübersicht'!A1" display="Preisübersicht" xr:uid="{9B62AB67-E85C-4D52-97D7-FDDE4963BF13}"/>
    <hyperlink ref="B15" location="'Preisübersicht (nach Bedarf)'!A1" display="Preisübersicht (nach Bedarf)" xr:uid="{42C15B44-F4D1-4002-A4D5-2DA26C8E3703}"/>
    <hyperlink ref="B16" location="'SVS UnterhaltsRG'!A1" display="SVS UnterhaltsRG" xr:uid="{380B952B-636E-480C-9B3B-1DC1B0B2627B}"/>
    <hyperlink ref="B17" location="'SVS GrundRG'!A1" display="SVS GrundRG" xr:uid="{6D86E612-ACB6-42DC-BBA7-1CF3457B8416}"/>
    <hyperlink ref="B18" location="'Reinigungstage'!A1" display="Reinigungstage" xr:uid="{56A50679-F6FB-4E17-9BF8-DC037EE82681}"/>
    <hyperlink ref="F22" location="'Kal Unter ehem Rath Förd'!$Q$21" display="'Kal Unter ehem Rath Förd'!$Q$21" xr:uid="{30F136EA-7EF6-4261-B88A-D562AF1F8299}"/>
    <hyperlink ref="F23" location="'Kal Unter JK Förderstedt'!$Q$21" display="'Kal Unter JK Förderstedt'!$Q$21" xr:uid="{8A52D449-9F42-4991-B822-15C51BE4D812}"/>
    <hyperlink ref="F24" location="'Kal Unter Sport Förderst'!$Q$21" display="'Kal Unter Sport Förderst'!$Q$21" xr:uid="{DF4BF71F-C633-4BAE-ACCB-FAB2E3931D69}"/>
    <hyperlink ref="G21" location="'Kal Grund Albertinsee'!$Q$21" display="'Kal Grund Albertinsee'!$Q$21" xr:uid="{E8E0DBE0-35DA-415B-88E4-8DEF45B09047}"/>
    <hyperlink ref="G22" location="'Kal Grund ehem Rath Förd'!$Q$21" display="'Kal Grund ehem Rath Förd'!$Q$21" xr:uid="{6311BAC2-F206-47AC-BDFE-ED66E5D48DB0}"/>
    <hyperlink ref="G23" location="'Kal Grund JK Förderstedt'!$Q$21" display="'Kal Grund JK Förderstedt'!$Q$21" xr:uid="{C3F8D138-C40C-475D-B669-7D0431F48647}"/>
    <hyperlink ref="G24" location="'Kal Grund Sport Förderst'!$Q$21" display="'Kal Grund Sport Förderst'!$Q$21" xr:uid="{CCCCFA4D-1D59-4F66-963F-458843F5C395}"/>
    <hyperlink ref="H22" location="'Kal Verbrauch Gesamt'!G5:G7" display="'Kal Verbrauch Gesamt'!G5:G7" xr:uid="{17D36248-9393-4870-BDF6-3AA798BAAE42}"/>
    <hyperlink ref="I22" location="'Kal Unter Bed ehem Rath Förd'!$Q$21" display="'Kal Unter Bed ehem Rath Förd'!$Q$21" xr:uid="{CD9F6466-0133-41E4-A445-E4BCB2EC8E1A}"/>
    <hyperlink ref="F21" location="'Kal Unter Albertinsee Gesamt'!K7" display="'Kal Unter Albertinsee Gesamt'!K7" xr:uid="{E8A28363-5467-48BA-93DC-66010ED94A5B}"/>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E93B-8928-47FC-8D39-D5B621A77DA6}">
  <sheetPr codeName="Tabelle23">
    <tabColor indexed="40"/>
  </sheetPr>
  <dimension ref="A1:V22"/>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16384" width="11.42578125" style="3" hidden="1"/>
  </cols>
  <sheetData>
    <row r="1" spans="1:22" ht="15" customHeight="1" x14ac:dyDescent="0.2">
      <c r="M1" s="5" t="s">
        <v>100</v>
      </c>
    </row>
    <row r="2" spans="1:22" ht="21" customHeight="1" x14ac:dyDescent="0.2">
      <c r="A2" s="176" t="s">
        <v>150</v>
      </c>
      <c r="B2" s="177"/>
      <c r="C2" s="177"/>
      <c r="D2" s="177" t="b">
        <v>0</v>
      </c>
      <c r="E2" s="178"/>
      <c r="G2" s="179" t="s">
        <v>163</v>
      </c>
      <c r="H2" s="179" t="s">
        <v>155</v>
      </c>
      <c r="I2" s="179" t="s">
        <v>156</v>
      </c>
      <c r="J2" s="179" t="s">
        <v>175</v>
      </c>
      <c r="M2" s="20"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1" customHeight="1" x14ac:dyDescent="0.2">
      <c r="A3" s="97" t="s">
        <v>206</v>
      </c>
      <c r="B3" s="98"/>
      <c r="C3" s="98"/>
      <c r="D3" s="98"/>
      <c r="E3" s="99"/>
      <c r="G3" s="180"/>
      <c r="H3" s="180" t="b">
        <v>0</v>
      </c>
      <c r="I3" s="180"/>
      <c r="J3" s="180"/>
      <c r="M3" s="20" t="b">
        <v>0</v>
      </c>
      <c r="N3" s="130"/>
      <c r="O3" s="130"/>
      <c r="P3" s="130"/>
      <c r="Q3" s="130"/>
    </row>
    <row r="4" spans="1:22" ht="15" customHeight="1" x14ac:dyDescent="0.2">
      <c r="A4" s="174" t="s">
        <v>91</v>
      </c>
      <c r="B4" s="184" t="str">
        <f>IF(Inhaltsverzeichnis!C3="","",Inhaltsverzeichnis!C3)</f>
        <v/>
      </c>
      <c r="C4" s="185"/>
      <c r="D4" s="185"/>
      <c r="E4" s="186"/>
      <c r="G4" s="96" t="s">
        <v>238</v>
      </c>
      <c r="H4" s="100"/>
      <c r="I4" s="101">
        <f ca="1">SUMIF('Kal Unter Bed ehem Rath Förd'!J22:M22,$G$4,'Kal Unter Bed ehem Rath Förd'!M22:M22)</f>
        <v>24.53</v>
      </c>
      <c r="J4" s="54">
        <f>COUNTIFS('Kal Unter Bed ehem Rath Förd'!J22:M22,$G$4)</f>
        <v>1</v>
      </c>
      <c r="M4" s="20" t="b">
        <v>0</v>
      </c>
      <c r="N4" s="130"/>
      <c r="O4" s="130"/>
      <c r="P4" s="130"/>
      <c r="Q4" s="130"/>
      <c r="U4" s="96" t="s">
        <v>238</v>
      </c>
      <c r="V4" s="3">
        <v>168.75</v>
      </c>
    </row>
    <row r="5" spans="1:22" ht="15" customHeight="1" x14ac:dyDescent="0.2">
      <c r="A5" s="175"/>
      <c r="B5" s="187"/>
      <c r="C5" s="188"/>
      <c r="D5" s="188"/>
      <c r="E5" s="189"/>
      <c r="M5" s="20" t="b">
        <v>0</v>
      </c>
      <c r="N5" s="130"/>
      <c r="O5" s="130"/>
      <c r="P5" s="130"/>
      <c r="Q5" s="130"/>
      <c r="U5" s="96" t="s">
        <v>218</v>
      </c>
      <c r="V5" s="3">
        <v>140</v>
      </c>
    </row>
    <row r="6" spans="1:22" ht="15" customHeight="1" x14ac:dyDescent="0.2">
      <c r="A6" s="102" t="s">
        <v>173</v>
      </c>
      <c r="B6" s="153" t="s">
        <v>191</v>
      </c>
      <c r="C6" s="190"/>
      <c r="D6" s="190"/>
      <c r="E6" s="191"/>
      <c r="U6" s="96" t="s">
        <v>216</v>
      </c>
      <c r="V6" s="3">
        <v>63.75</v>
      </c>
    </row>
    <row r="7" spans="1:22" ht="15" customHeight="1" x14ac:dyDescent="0.2">
      <c r="A7" s="103" t="s">
        <v>171</v>
      </c>
      <c r="B7" s="192" t="s">
        <v>197</v>
      </c>
      <c r="C7" s="190"/>
      <c r="D7" s="190"/>
      <c r="E7" s="191"/>
      <c r="U7" s="96" t="s">
        <v>263</v>
      </c>
      <c r="V7" s="3">
        <v>262.5</v>
      </c>
    </row>
    <row r="8" spans="1:22" ht="15" customHeight="1" x14ac:dyDescent="0.2">
      <c r="A8" s="103" t="s">
        <v>172</v>
      </c>
      <c r="B8" s="153"/>
      <c r="C8" s="190"/>
      <c r="D8" s="190"/>
      <c r="E8" s="191"/>
      <c r="U8" s="96" t="s">
        <v>262</v>
      </c>
      <c r="V8" s="3">
        <v>138.75</v>
      </c>
    </row>
    <row r="9" spans="1:22" ht="15" customHeight="1" x14ac:dyDescent="0.2">
      <c r="A9" s="102" t="s">
        <v>170</v>
      </c>
      <c r="B9" s="193" t="s">
        <v>196</v>
      </c>
      <c r="C9" s="190"/>
      <c r="D9" s="190"/>
      <c r="E9" s="191"/>
      <c r="U9" s="96" t="s">
        <v>217</v>
      </c>
      <c r="V9" s="3">
        <v>300</v>
      </c>
    </row>
    <row r="10" spans="1:22" ht="15" customHeight="1" x14ac:dyDescent="0.2">
      <c r="A10" s="103" t="s">
        <v>152</v>
      </c>
      <c r="B10" s="153" t="s">
        <v>198</v>
      </c>
      <c r="C10" s="190"/>
      <c r="D10" s="190"/>
      <c r="E10" s="191"/>
      <c r="U10" s="96" t="s">
        <v>264</v>
      </c>
      <c r="V10" s="3">
        <v>88.75</v>
      </c>
    </row>
    <row r="11" spans="1:22" ht="15" customHeight="1" x14ac:dyDescent="0.2">
      <c r="A11" s="103" t="s">
        <v>153</v>
      </c>
      <c r="B11" s="194" t="s">
        <v>194</v>
      </c>
      <c r="C11" s="190"/>
      <c r="D11" s="190"/>
      <c r="E11" s="191"/>
      <c r="M11" s="3" t="str">
        <f>IF(N13&gt;0,"Bitte die Leistungswerte im Leistungsverzeichnis/ Tabellenblatt Leistungsrichtwerte","")</f>
        <v/>
      </c>
    </row>
    <row r="12" spans="1:22" ht="15" customHeight="1" x14ac:dyDescent="0.2">
      <c r="A12" s="103" t="s">
        <v>154</v>
      </c>
      <c r="B12" s="153" t="s">
        <v>199</v>
      </c>
      <c r="C12" s="190"/>
      <c r="D12" s="190"/>
      <c r="E12" s="191"/>
      <c r="M12" s="3" t="str">
        <f>IF(N13&gt;0,"für die Objektart prüfen.","")</f>
        <v/>
      </c>
    </row>
    <row r="13" spans="1:22" ht="15" customHeight="1" x14ac:dyDescent="0.2">
      <c r="A13" s="103" t="s">
        <v>157</v>
      </c>
      <c r="B13" s="181" t="str">
        <f>HYPERLINK("http://maps.google.de/maps?hl=de&amp;bav=on.2,or.r_qf.&amp;bvm=bv.44770516,d.Yms&amp;biw=1395&amp;bih=916&amp;um=1&amp;ie=UTF-8&amp;q="&amp;B7&amp;"+"&amp;B8&amp;"+"&amp;B10&amp;"+"&amp;B11&amp;"+"&amp;B12&amp;"","In Google-Maps anzeigen (wenn Internet verfügbar)")</f>
        <v>In Google-Maps anzeigen (wenn Internet verfügbar)</v>
      </c>
      <c r="C13" s="182"/>
      <c r="D13" s="182"/>
      <c r="E13" s="183"/>
      <c r="N13" s="105">
        <f>COUNTIF(V22:V$22,1)</f>
        <v>0</v>
      </c>
      <c r="O13" s="3" t="str">
        <f>IF(N13&gt;0,"Wert(e) überschritten, bitte mit dem Angebot plausibel darlegen.","")</f>
        <v/>
      </c>
    </row>
    <row r="14" spans="1:22" ht="15" customHeight="1" x14ac:dyDescent="0.2">
      <c r="N14" s="114">
        <f>COUNTIF(V22:V$22,0)</f>
        <v>1</v>
      </c>
      <c r="O14" s="3" t="str">
        <f>IF(N14&gt;0,"Wert(e) korrekt","")</f>
        <v>Wert(e) korrekt</v>
      </c>
      <c r="T14" s="106">
        <f>IF(COUNTA($T$22:$T$22)-COUNTBLANK($T$22:$T$22)=0,"",COUNTA($T$22:$T$22)-COUNTBLANK($T$22:$T$22))</f>
        <v>1</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107" t="s">
        <v>118</v>
      </c>
      <c r="B21" s="12"/>
      <c r="C21" s="12"/>
      <c r="D21" s="12"/>
      <c r="E21" s="12"/>
      <c r="F21" s="12"/>
      <c r="G21" s="108">
        <f>SUM($G$22:$G$22)</f>
        <v>24.53</v>
      </c>
      <c r="H21" s="108">
        <f>SUM($H$22:$H$22)</f>
        <v>0</v>
      </c>
      <c r="I21" s="108">
        <f>SUM($I$22:$I$22)</f>
        <v>0</v>
      </c>
      <c r="J21" s="33"/>
      <c r="K21" s="33"/>
      <c r="L21" s="109">
        <f>MAX(L22)</f>
        <v>1</v>
      </c>
      <c r="M21" s="108">
        <f>SUM($M$22:$M$22)</f>
        <v>24.53</v>
      </c>
      <c r="N21" s="33"/>
      <c r="O21" s="33"/>
      <c r="P21" s="108">
        <f>SUM($P$22:$P$22)</f>
        <v>0</v>
      </c>
      <c r="Q21" s="108">
        <f ca="1">SUM($Q$22:$Q$22)</f>
        <v>0</v>
      </c>
      <c r="R21" s="108">
        <f>ROUND(IF(L21=0,0,P21/L21),2)</f>
        <v>0</v>
      </c>
      <c r="S21" s="108">
        <f ca="1">ROUND(IF(L21=0,0,Q21/L21),2)</f>
        <v>0</v>
      </c>
    </row>
    <row r="22" spans="1:22" ht="15" customHeight="1" x14ac:dyDescent="0.2">
      <c r="A22" s="96">
        <v>1</v>
      </c>
      <c r="B22" s="110" t="s">
        <v>250</v>
      </c>
      <c r="C22" s="111" t="s">
        <v>208</v>
      </c>
      <c r="D22" s="111"/>
      <c r="E22" s="111" t="s">
        <v>251</v>
      </c>
      <c r="F22" s="111" t="s">
        <v>230</v>
      </c>
      <c r="G22" s="112">
        <v>24.53</v>
      </c>
      <c r="H22" s="112"/>
      <c r="I22" s="112"/>
      <c r="J22" s="96" t="s">
        <v>238</v>
      </c>
      <c r="K22" s="96" t="s">
        <v>145</v>
      </c>
      <c r="L22" s="33">
        <f>VLOOKUP(K22,Reinigungstage!A10:J31,10,FALSE)</f>
        <v>1</v>
      </c>
      <c r="M22" s="33">
        <f t="shared" ref="M22" si="0">ROUND(IF(L22=0,0,L22*G22),2)</f>
        <v>24.53</v>
      </c>
      <c r="N22" s="113">
        <f t="shared" ref="N22" si="1">VLOOKUP(J22,$G$4:$H$10,2,FALSE)</f>
        <v>0</v>
      </c>
      <c r="O22" s="33">
        <f ca="1">IF('SVS UnterhaltsRG'!H61="",0,'SVS UnterhaltsRG'!H61)</f>
        <v>0</v>
      </c>
      <c r="P22" s="33">
        <f t="shared" ref="P22" si="2">ROUND(IF(N22=0,0,M22/N22),2)</f>
        <v>0</v>
      </c>
      <c r="Q22" s="33">
        <f t="shared" ref="Q22" ca="1" si="3">IF(M22=0,0,IF(O22="",0,ROUND(P22*O22,2)))</f>
        <v>0</v>
      </c>
      <c r="R22" s="33">
        <f t="shared" ref="R22" si="4">ROUND(IF(P22=0,0,P22/L22),2)</f>
        <v>0</v>
      </c>
      <c r="S22" s="33">
        <f t="shared" ref="S22" ca="1" si="5">ROUND(IF(Q22=0,0,Q22/L22),2)</f>
        <v>0</v>
      </c>
      <c r="T22" s="3" t="str">
        <f t="shared" ref="T22" si="6">IF(M22=0,"",IF(N22=0,"Leistungswert eintragen",IF(O22=0,"SVS prüfen","")))</f>
        <v>Leistungswert eintragen</v>
      </c>
      <c r="U22" s="3">
        <f t="shared" ref="U22" si="7">VLOOKUP(J22,$U$4:$V$10,2,FALSE)</f>
        <v>168.75</v>
      </c>
      <c r="V22" s="3">
        <f t="shared" ref="V22" si="8">IF(M22=0,0,IF(U22&lt;N22,1,IF(U22&gt;=N22,0,"")))</f>
        <v>0</v>
      </c>
    </row>
  </sheetData>
  <sheetProtection algorithmName="SHA-512" hashValue="rqMCBepcUaK2pg31j39cTDFCB3twJcXajr5CEQYdifGJQ/ElaKQi4w0zbpR5xeb7KU7tbwf7uAjROJe3DQy13g==" saltValue="SWQPELPDtiMAyXh81g63aw=="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70"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69" priority="5" operator="containsText" text="Bitte prüfen Sie diese.">
      <formula>NOT(ISERROR(SEARCH("Bitte prüfen Sie diese.",L9)))</formula>
    </cfRule>
  </conditionalFormatting>
  <conditionalFormatting sqref="L10">
    <cfRule type="containsText" dxfId="68"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67" priority="3" operator="containsText" text="lediglich Fehleingaben vermeiden wollen.">
      <formula>NOT(ISERROR(SEARCH("lediglich Fehleingaben vermeiden wollen.",L11)))</formula>
    </cfRule>
  </conditionalFormatting>
  <conditionalFormatting sqref="M11">
    <cfRule type="containsText" dxfId="66"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65" priority="7" operator="containsText" text="für die Objektart prüfen.">
      <formula>NOT(ISERROR(SEARCH("für die Objektart prüfen.",M12)))</formula>
    </cfRule>
  </conditionalFormatting>
  <conditionalFormatting sqref="N13">
    <cfRule type="expression" dxfId="64" priority="2" stopIfTrue="1">
      <formula>N13=0</formula>
    </cfRule>
  </conditionalFormatting>
  <conditionalFormatting sqref="N14">
    <cfRule type="expression" dxfId="63" priority="1">
      <formula>N14=0</formula>
    </cfRule>
  </conditionalFormatting>
  <conditionalFormatting sqref="N22">
    <cfRule type="expression" dxfId="62" priority="11">
      <formula>V22=0</formula>
    </cfRule>
    <cfRule type="expression" dxfId="61" priority="12" stopIfTrue="1">
      <formula>V22=1</formula>
    </cfRule>
  </conditionalFormatting>
  <conditionalFormatting sqref="O13">
    <cfRule type="containsText" dxfId="60"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59" priority="9" operator="containsText" text="Wert(e) prüfen.">
      <formula>NOT(ISERROR(SEARCH("Wert(e) prüfen.",O14)))</formula>
    </cfRule>
  </conditionalFormatting>
  <conditionalFormatting sqref="T22">
    <cfRule type="containsText" dxfId="58" priority="13" stopIfTrue="1" operator="containsText" text="SVS prüfen">
      <formula>NOT(ISERROR(SEARCH("SVS prüfen",T22)))</formula>
    </cfRule>
    <cfRule type="containsText" dxfId="57" priority="14" stopIfTrue="1" operator="containsText" text="Leistungswert eintragen">
      <formula>NOT(ISERROR(SEARCH("Leistungswert eintragen",T22)))</formula>
    </cfRule>
  </conditionalFormatting>
  <hyperlinks>
    <hyperlink ref="M1" location="Inhaltsverzeichnis!A1" display="Zurück zum Inhaltsverzeichnis" xr:uid="{72420A64-5806-43C5-84C5-0CC6CB5EAAFF}"/>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Bed ehem Rath Förd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14690"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14691"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14692"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E881-BF0C-4D0B-BB38-C7FA9937BF35}">
  <sheetPr codeName="Tabelle34">
    <tabColor indexed="40"/>
  </sheetPr>
  <dimension ref="A1:V28"/>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4.5703125" style="3"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16384" width="11.42578125" style="3" hidden="1"/>
  </cols>
  <sheetData>
    <row r="1" spans="1:22" ht="15" customHeight="1" x14ac:dyDescent="0.2">
      <c r="M1" s="5" t="s">
        <v>100</v>
      </c>
    </row>
    <row r="2" spans="1:22" ht="21" customHeight="1" x14ac:dyDescent="0.2">
      <c r="A2" s="176" t="s">
        <v>150</v>
      </c>
      <c r="B2" s="177"/>
      <c r="C2" s="177"/>
      <c r="D2" s="177" t="b">
        <v>0</v>
      </c>
      <c r="E2" s="178"/>
      <c r="G2" s="179" t="s">
        <v>163</v>
      </c>
      <c r="H2" s="179" t="s">
        <v>155</v>
      </c>
      <c r="I2" s="179" t="s">
        <v>156</v>
      </c>
      <c r="J2" s="179" t="s">
        <v>175</v>
      </c>
      <c r="M2" s="20"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1" customHeight="1" x14ac:dyDescent="0.2">
      <c r="A3" s="97" t="s">
        <v>151</v>
      </c>
      <c r="B3" s="98"/>
      <c r="C3" s="98"/>
      <c r="D3" s="98"/>
      <c r="E3" s="99"/>
      <c r="G3" s="180"/>
      <c r="H3" s="180" t="b">
        <v>0</v>
      </c>
      <c r="I3" s="180"/>
      <c r="J3" s="180"/>
      <c r="M3" s="20" t="b">
        <v>0</v>
      </c>
      <c r="N3" s="130"/>
      <c r="O3" s="130"/>
      <c r="P3" s="130"/>
      <c r="Q3" s="130"/>
    </row>
    <row r="4" spans="1:22" ht="15" customHeight="1" x14ac:dyDescent="0.2">
      <c r="A4" s="174" t="s">
        <v>91</v>
      </c>
      <c r="B4" s="184" t="str">
        <f>IF(Inhaltsverzeichnis!C3="","",Inhaltsverzeichnis!C3)</f>
        <v/>
      </c>
      <c r="C4" s="185"/>
      <c r="D4" s="185"/>
      <c r="E4" s="186"/>
      <c r="G4" s="96" t="s">
        <v>271</v>
      </c>
      <c r="H4" s="100"/>
      <c r="I4" s="101">
        <f ca="1">SUMIF('Kal Unter JK Förderstedt'!J22:M28,$G$4,'Kal Unter JK Förderstedt'!M22:M28)</f>
        <v>7214.67</v>
      </c>
      <c r="J4" s="54">
        <f>COUNTIFS('Kal Unter JK Förderstedt'!J22:M28,$G$4)</f>
        <v>2</v>
      </c>
      <c r="M4" s="20" t="b">
        <v>0</v>
      </c>
      <c r="N4" s="130"/>
      <c r="O4" s="130"/>
      <c r="P4" s="130"/>
      <c r="Q4" s="130"/>
      <c r="U4" s="96" t="s">
        <v>271</v>
      </c>
      <c r="V4" s="3">
        <v>132.5</v>
      </c>
    </row>
    <row r="5" spans="1:22" ht="15" customHeight="1" x14ac:dyDescent="0.2">
      <c r="A5" s="175"/>
      <c r="B5" s="187"/>
      <c r="C5" s="188"/>
      <c r="D5" s="188"/>
      <c r="E5" s="189"/>
      <c r="G5" s="96" t="s">
        <v>216</v>
      </c>
      <c r="H5" s="100"/>
      <c r="I5" s="101">
        <f ca="1">SUMIF('Kal Unter JK Förderstedt'!J22:M28,$G$5,'Kal Unter JK Förderstedt'!M22:M28)</f>
        <v>3343.4800000000005</v>
      </c>
      <c r="J5" s="54">
        <f>COUNTIFS('Kal Unter JK Förderstedt'!J22:M28,$G$5)</f>
        <v>4</v>
      </c>
      <c r="M5" s="20" t="b">
        <v>0</v>
      </c>
      <c r="N5" s="130"/>
      <c r="O5" s="130"/>
      <c r="P5" s="130"/>
      <c r="Q5" s="130"/>
      <c r="U5" s="96" t="s">
        <v>216</v>
      </c>
      <c r="V5" s="3">
        <v>63.75</v>
      </c>
    </row>
    <row r="6" spans="1:22" ht="15" customHeight="1" x14ac:dyDescent="0.2">
      <c r="A6" s="102" t="s">
        <v>173</v>
      </c>
      <c r="B6" s="153" t="s">
        <v>191</v>
      </c>
      <c r="C6" s="190"/>
      <c r="D6" s="190"/>
      <c r="E6" s="191"/>
      <c r="G6" s="96" t="s">
        <v>217</v>
      </c>
      <c r="H6" s="100"/>
      <c r="I6" s="101">
        <f ca="1">SUMIF('Kal Unter JK Förderstedt'!J22:M28,$G$6,'Kal Unter JK Förderstedt'!M22:M28)</f>
        <v>789.97</v>
      </c>
      <c r="J6" s="54">
        <f>COUNTIFS('Kal Unter JK Förderstedt'!J22:M28,$G$6)</f>
        <v>1</v>
      </c>
      <c r="U6" s="96" t="s">
        <v>217</v>
      </c>
      <c r="V6" s="3">
        <v>300</v>
      </c>
    </row>
    <row r="7" spans="1:22" ht="15" customHeight="1" x14ac:dyDescent="0.2">
      <c r="A7" s="103" t="s">
        <v>171</v>
      </c>
      <c r="B7" s="192" t="s">
        <v>201</v>
      </c>
      <c r="C7" s="190"/>
      <c r="D7" s="190"/>
      <c r="E7" s="191"/>
    </row>
    <row r="8" spans="1:22" ht="15" customHeight="1" x14ac:dyDescent="0.2">
      <c r="A8" s="103" t="s">
        <v>172</v>
      </c>
      <c r="B8" s="153"/>
      <c r="C8" s="190"/>
      <c r="D8" s="190"/>
      <c r="E8" s="191"/>
    </row>
    <row r="9" spans="1:22" ht="15" customHeight="1" x14ac:dyDescent="0.2">
      <c r="A9" s="102" t="s">
        <v>170</v>
      </c>
      <c r="B9" s="193" t="s">
        <v>200</v>
      </c>
      <c r="C9" s="190"/>
      <c r="D9" s="190"/>
      <c r="E9" s="191"/>
    </row>
    <row r="10" spans="1:22" ht="15" customHeight="1" x14ac:dyDescent="0.2">
      <c r="A10" s="103" t="s">
        <v>152</v>
      </c>
      <c r="B10" s="153" t="s">
        <v>202</v>
      </c>
      <c r="C10" s="190"/>
      <c r="D10" s="190"/>
      <c r="E10" s="191"/>
    </row>
    <row r="11" spans="1:22" ht="15" customHeight="1" x14ac:dyDescent="0.2">
      <c r="A11" s="103" t="s">
        <v>153</v>
      </c>
      <c r="B11" s="194" t="s">
        <v>194</v>
      </c>
      <c r="C11" s="190"/>
      <c r="D11" s="190"/>
      <c r="E11" s="191"/>
      <c r="M11" s="3" t="str">
        <f>IF(N13&gt;0,"Bitte die Leistungswerte im Leistungsverzeichnis/ Tabellenblatt Leistungsrichtwerte","")</f>
        <v/>
      </c>
    </row>
    <row r="12" spans="1:22" ht="15" customHeight="1" x14ac:dyDescent="0.2">
      <c r="A12" s="103" t="s">
        <v>154</v>
      </c>
      <c r="B12" s="153" t="s">
        <v>199</v>
      </c>
      <c r="C12" s="190"/>
      <c r="D12" s="190"/>
      <c r="E12" s="191"/>
      <c r="M12" s="3" t="str">
        <f>IF(N13&gt;0,"für die Objektart prüfen.","")</f>
        <v/>
      </c>
    </row>
    <row r="13" spans="1:22" ht="15" customHeight="1" x14ac:dyDescent="0.2">
      <c r="A13" s="103" t="s">
        <v>157</v>
      </c>
      <c r="B13" s="181" t="str">
        <f>HYPERLINK("http://maps.google.de/maps?hl=de&amp;bav=on.2,or.r_qf.&amp;bvm=bv.44770516,d.Yms&amp;biw=1395&amp;bih=916&amp;um=1&amp;ie=UTF-8&amp;q="&amp;B7&amp;"+"&amp;B8&amp;"+"&amp;B10&amp;"+"&amp;B11&amp;"+"&amp;B12&amp;"","In Google-Maps anzeigen (wenn Internet verfügbar)")</f>
        <v>In Google-Maps anzeigen (wenn Internet verfügbar)</v>
      </c>
      <c r="C13" s="182"/>
      <c r="D13" s="182"/>
      <c r="E13" s="183"/>
      <c r="N13" s="105">
        <f>COUNTIF(V22:V$28,1)</f>
        <v>0</v>
      </c>
      <c r="O13" s="3" t="str">
        <f>IF(N13&gt;0,"Wert(e) überschritten, bitte mit dem Angebot plausibel darlegen.","")</f>
        <v/>
      </c>
    </row>
    <row r="14" spans="1:22" ht="15" customHeight="1" x14ac:dyDescent="0.2">
      <c r="N14" s="114">
        <f>COUNTIF(V22:V$28,0)</f>
        <v>7</v>
      </c>
      <c r="O14" s="3" t="str">
        <f>IF(N14&gt;0,"Wert(e) korrekt","")</f>
        <v>Wert(e) korrekt</v>
      </c>
      <c r="T14" s="106">
        <f>IF(COUNTA($T$22:$T$28)-COUNTBLANK($T$22:$T$28)=0,"",COUNTA($T$22:$T$28)-COUNTBLANK($T$22:$T$28))</f>
        <v>7</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107" t="s">
        <v>118</v>
      </c>
      <c r="B21" s="12"/>
      <c r="C21" s="12"/>
      <c r="D21" s="12"/>
      <c r="E21" s="12"/>
      <c r="F21" s="12"/>
      <c r="G21" s="108">
        <f>SUM($G$22:$G$28)</f>
        <v>108.16999999999999</v>
      </c>
      <c r="H21" s="108">
        <f>SUM($H$22:$H$28)</f>
        <v>0</v>
      </c>
      <c r="I21" s="108">
        <f>SUM($I$22:$I$28)</f>
        <v>0</v>
      </c>
      <c r="J21" s="33"/>
      <c r="K21" s="33"/>
      <c r="L21" s="109">
        <f>MAX(L22:L28)</f>
        <v>104.91</v>
      </c>
      <c r="M21" s="108">
        <f>SUM($M$22:$M$28)</f>
        <v>11348.119999999999</v>
      </c>
      <c r="N21" s="33"/>
      <c r="O21" s="33"/>
      <c r="P21" s="108">
        <f>SUM($P$22:$P$28)</f>
        <v>0</v>
      </c>
      <c r="Q21" s="108">
        <f ca="1">SUM($Q$22:$Q$28)</f>
        <v>0</v>
      </c>
      <c r="R21" s="108">
        <f>ROUND(IF(L21=0,0,P21/L21),2)</f>
        <v>0</v>
      </c>
      <c r="S21" s="108">
        <f ca="1">ROUND(IF(L21=0,0,Q21/L21),2)</f>
        <v>0</v>
      </c>
    </row>
    <row r="22" spans="1:22" ht="15" customHeight="1" x14ac:dyDescent="0.2">
      <c r="A22" s="96">
        <v>1</v>
      </c>
      <c r="B22" s="110"/>
      <c r="C22" s="111" t="s">
        <v>208</v>
      </c>
      <c r="D22" s="111"/>
      <c r="E22" s="111" t="s">
        <v>253</v>
      </c>
      <c r="F22" s="111" t="s">
        <v>265</v>
      </c>
      <c r="G22" s="112">
        <v>7.53</v>
      </c>
      <c r="H22" s="112"/>
      <c r="I22" s="112"/>
      <c r="J22" s="96" t="s">
        <v>217</v>
      </c>
      <c r="K22" s="112">
        <v>2</v>
      </c>
      <c r="L22" s="33">
        <f>VLOOKUP(K22,Reinigungstage!A10:D31,4,FALSE)</f>
        <v>104.91</v>
      </c>
      <c r="M22" s="33">
        <f t="shared" ref="M22:M28" si="0">ROUND(IF(L22=0,0,L22*G22),2)</f>
        <v>789.97</v>
      </c>
      <c r="N22" s="113">
        <f t="shared" ref="N22:N28" si="1">VLOOKUP(J22,$G$4:$H$6,2,FALSE)</f>
        <v>0</v>
      </c>
      <c r="O22" s="33">
        <f ca="1">IF('SVS UnterhaltsRG'!H61="",0,'SVS UnterhaltsRG'!H61)</f>
        <v>0</v>
      </c>
      <c r="P22" s="33">
        <f t="shared" ref="P22:P28" si="2">ROUND(IF(N22=0,0,M22/N22),2)</f>
        <v>0</v>
      </c>
      <c r="Q22" s="33">
        <f t="shared" ref="Q22:Q28" ca="1" si="3">IF(M22=0,0,IF(O22="",0,ROUND(P22*O22,2)))</f>
        <v>0</v>
      </c>
      <c r="R22" s="33">
        <f t="shared" ref="R22:R28" si="4">ROUND(IF(P22=0,0,P22/L22),2)</f>
        <v>0</v>
      </c>
      <c r="S22" s="33">
        <f t="shared" ref="S22:S28" ca="1" si="5">ROUND(IF(Q22=0,0,Q22/L22),2)</f>
        <v>0</v>
      </c>
      <c r="T22" s="3" t="str">
        <f t="shared" ref="T22:T28" si="6">IF(M22=0,"",IF(N22=0,"Leistungswert eintragen",IF(O22=0,"SVS prüfen","")))</f>
        <v>Leistungswert eintragen</v>
      </c>
      <c r="U22" s="3">
        <f t="shared" ref="U22:U28" si="7">VLOOKUP(J22,$U$4:$V$6,2,FALSE)</f>
        <v>300</v>
      </c>
      <c r="V22" s="3">
        <f t="shared" ref="V22:V28" si="8">IF(M22=0,0,IF(U22&lt;N22,1,IF(U22&gt;=N22,0,"")))</f>
        <v>0</v>
      </c>
    </row>
    <row r="23" spans="1:22" ht="15" customHeight="1" x14ac:dyDescent="0.2">
      <c r="A23" s="96">
        <v>2</v>
      </c>
      <c r="B23" s="110"/>
      <c r="C23" s="111" t="s">
        <v>208</v>
      </c>
      <c r="D23" s="111"/>
      <c r="E23" s="111" t="s">
        <v>266</v>
      </c>
      <c r="F23" s="111" t="s">
        <v>267</v>
      </c>
      <c r="G23" s="112">
        <v>36.72</v>
      </c>
      <c r="H23" s="112"/>
      <c r="I23" s="112"/>
      <c r="J23" s="96" t="s">
        <v>271</v>
      </c>
      <c r="K23" s="112">
        <v>2</v>
      </c>
      <c r="L23" s="33">
        <f>VLOOKUP(K23,Reinigungstage!A10:D31,4,FALSE)</f>
        <v>104.91</v>
      </c>
      <c r="M23" s="33">
        <f t="shared" si="0"/>
        <v>3852.3</v>
      </c>
      <c r="N23" s="113">
        <f t="shared" si="1"/>
        <v>0</v>
      </c>
      <c r="O23" s="33">
        <f ca="1">IF('SVS UnterhaltsRG'!H61="",0,'SVS UnterhaltsRG'!H61)</f>
        <v>0</v>
      </c>
      <c r="P23" s="33">
        <f t="shared" si="2"/>
        <v>0</v>
      </c>
      <c r="Q23" s="33">
        <f t="shared" ca="1" si="3"/>
        <v>0</v>
      </c>
      <c r="R23" s="33">
        <f t="shared" si="4"/>
        <v>0</v>
      </c>
      <c r="S23" s="33">
        <f t="shared" ca="1" si="5"/>
        <v>0</v>
      </c>
      <c r="T23" s="3" t="str">
        <f t="shared" si="6"/>
        <v>Leistungswert eintragen</v>
      </c>
      <c r="U23" s="3">
        <f t="shared" si="7"/>
        <v>132.5</v>
      </c>
      <c r="V23" s="3">
        <f t="shared" si="8"/>
        <v>0</v>
      </c>
    </row>
    <row r="24" spans="1:22" ht="15" customHeight="1" x14ac:dyDescent="0.2">
      <c r="A24" s="96">
        <v>3</v>
      </c>
      <c r="B24" s="110"/>
      <c r="C24" s="111" t="s">
        <v>208</v>
      </c>
      <c r="D24" s="111"/>
      <c r="E24" s="111" t="s">
        <v>268</v>
      </c>
      <c r="F24" s="111" t="s">
        <v>267</v>
      </c>
      <c r="G24" s="112">
        <v>32.049999999999997</v>
      </c>
      <c r="H24" s="112"/>
      <c r="I24" s="112"/>
      <c r="J24" s="96" t="s">
        <v>271</v>
      </c>
      <c r="K24" s="112">
        <v>2</v>
      </c>
      <c r="L24" s="33">
        <f>VLOOKUP(K24,Reinigungstage!A10:D31,4,FALSE)</f>
        <v>104.91</v>
      </c>
      <c r="M24" s="33">
        <f t="shared" si="0"/>
        <v>3362.37</v>
      </c>
      <c r="N24" s="113">
        <f t="shared" si="1"/>
        <v>0</v>
      </c>
      <c r="O24" s="33">
        <f ca="1">IF('SVS UnterhaltsRG'!H61="",0,'SVS UnterhaltsRG'!H61)</f>
        <v>0</v>
      </c>
      <c r="P24" s="33">
        <f t="shared" si="2"/>
        <v>0</v>
      </c>
      <c r="Q24" s="33">
        <f t="shared" ca="1" si="3"/>
        <v>0</v>
      </c>
      <c r="R24" s="33">
        <f t="shared" si="4"/>
        <v>0</v>
      </c>
      <c r="S24" s="33">
        <f t="shared" ca="1" si="5"/>
        <v>0</v>
      </c>
      <c r="T24" s="3" t="str">
        <f t="shared" si="6"/>
        <v>Leistungswert eintragen</v>
      </c>
      <c r="U24" s="3">
        <f t="shared" si="7"/>
        <v>132.5</v>
      </c>
      <c r="V24" s="3">
        <f t="shared" si="8"/>
        <v>0</v>
      </c>
    </row>
    <row r="25" spans="1:22" ht="15" customHeight="1" x14ac:dyDescent="0.2">
      <c r="A25" s="96">
        <v>4</v>
      </c>
      <c r="B25" s="110"/>
      <c r="C25" s="111" t="s">
        <v>208</v>
      </c>
      <c r="D25" s="111"/>
      <c r="E25" s="111" t="s">
        <v>211</v>
      </c>
      <c r="F25" s="111" t="s">
        <v>221</v>
      </c>
      <c r="G25" s="112">
        <v>10.23</v>
      </c>
      <c r="H25" s="112"/>
      <c r="I25" s="112"/>
      <c r="J25" s="96" t="s">
        <v>216</v>
      </c>
      <c r="K25" s="112">
        <v>2</v>
      </c>
      <c r="L25" s="33">
        <f>VLOOKUP(K25,Reinigungstage!A10:D31,4,FALSE)</f>
        <v>104.91</v>
      </c>
      <c r="M25" s="33">
        <f t="shared" si="0"/>
        <v>1073.23</v>
      </c>
      <c r="N25" s="113">
        <f t="shared" si="1"/>
        <v>0</v>
      </c>
      <c r="O25" s="33">
        <f ca="1">IF('SVS UnterhaltsRG'!H61="",0,'SVS UnterhaltsRG'!H61)</f>
        <v>0</v>
      </c>
      <c r="P25" s="33">
        <f t="shared" si="2"/>
        <v>0</v>
      </c>
      <c r="Q25" s="33">
        <f t="shared" ca="1" si="3"/>
        <v>0</v>
      </c>
      <c r="R25" s="33">
        <f t="shared" si="4"/>
        <v>0</v>
      </c>
      <c r="S25" s="33">
        <f t="shared" ca="1" si="5"/>
        <v>0</v>
      </c>
      <c r="T25" s="3" t="str">
        <f t="shared" si="6"/>
        <v>Leistungswert eintragen</v>
      </c>
      <c r="U25" s="3">
        <f t="shared" si="7"/>
        <v>63.75</v>
      </c>
      <c r="V25" s="3">
        <f t="shared" si="8"/>
        <v>0</v>
      </c>
    </row>
    <row r="26" spans="1:22" ht="15" customHeight="1" x14ac:dyDescent="0.2">
      <c r="A26" s="96">
        <v>5</v>
      </c>
      <c r="B26" s="110"/>
      <c r="C26" s="111" t="s">
        <v>208</v>
      </c>
      <c r="D26" s="111"/>
      <c r="E26" s="111" t="s">
        <v>269</v>
      </c>
      <c r="F26" s="111" t="s">
        <v>221</v>
      </c>
      <c r="G26" s="112">
        <v>4.07</v>
      </c>
      <c r="H26" s="112"/>
      <c r="I26" s="112"/>
      <c r="J26" s="96" t="s">
        <v>216</v>
      </c>
      <c r="K26" s="112">
        <v>2</v>
      </c>
      <c r="L26" s="33">
        <f>VLOOKUP(K26,Reinigungstage!A10:D31,4,FALSE)</f>
        <v>104.91</v>
      </c>
      <c r="M26" s="33">
        <f t="shared" si="0"/>
        <v>426.98</v>
      </c>
      <c r="N26" s="113">
        <f t="shared" si="1"/>
        <v>0</v>
      </c>
      <c r="O26" s="33">
        <f ca="1">IF('SVS UnterhaltsRG'!H61="",0,'SVS UnterhaltsRG'!H61)</f>
        <v>0</v>
      </c>
      <c r="P26" s="33">
        <f t="shared" si="2"/>
        <v>0</v>
      </c>
      <c r="Q26" s="33">
        <f t="shared" ca="1" si="3"/>
        <v>0</v>
      </c>
      <c r="R26" s="33">
        <f t="shared" si="4"/>
        <v>0</v>
      </c>
      <c r="S26" s="33">
        <f t="shared" ca="1" si="5"/>
        <v>0</v>
      </c>
      <c r="T26" s="3" t="str">
        <f t="shared" si="6"/>
        <v>Leistungswert eintragen</v>
      </c>
      <c r="U26" s="3">
        <f t="shared" si="7"/>
        <v>63.75</v>
      </c>
      <c r="V26" s="3">
        <f t="shared" si="8"/>
        <v>0</v>
      </c>
    </row>
    <row r="27" spans="1:22" ht="15" customHeight="1" x14ac:dyDescent="0.2">
      <c r="A27" s="96">
        <v>6</v>
      </c>
      <c r="B27" s="110"/>
      <c r="C27" s="111" t="s">
        <v>208</v>
      </c>
      <c r="D27" s="111"/>
      <c r="E27" s="111" t="s">
        <v>209</v>
      </c>
      <c r="F27" s="111" t="s">
        <v>221</v>
      </c>
      <c r="G27" s="112">
        <v>12.74</v>
      </c>
      <c r="H27" s="112"/>
      <c r="I27" s="112"/>
      <c r="J27" s="96" t="s">
        <v>216</v>
      </c>
      <c r="K27" s="112">
        <v>2</v>
      </c>
      <c r="L27" s="33">
        <f>VLOOKUP(K27,Reinigungstage!A10:D31,4,FALSE)</f>
        <v>104.91</v>
      </c>
      <c r="M27" s="33">
        <f t="shared" si="0"/>
        <v>1336.55</v>
      </c>
      <c r="N27" s="113">
        <f t="shared" si="1"/>
        <v>0</v>
      </c>
      <c r="O27" s="33">
        <f ca="1">IF('SVS UnterhaltsRG'!H61="",0,'SVS UnterhaltsRG'!H61)</f>
        <v>0</v>
      </c>
      <c r="P27" s="33">
        <f t="shared" si="2"/>
        <v>0</v>
      </c>
      <c r="Q27" s="33">
        <f t="shared" ca="1" si="3"/>
        <v>0</v>
      </c>
      <c r="R27" s="33">
        <f t="shared" si="4"/>
        <v>0</v>
      </c>
      <c r="S27" s="33">
        <f t="shared" ca="1" si="5"/>
        <v>0</v>
      </c>
      <c r="T27" s="3" t="str">
        <f t="shared" si="6"/>
        <v>Leistungswert eintragen</v>
      </c>
      <c r="U27" s="3">
        <f t="shared" si="7"/>
        <v>63.75</v>
      </c>
      <c r="V27" s="3">
        <f t="shared" si="8"/>
        <v>0</v>
      </c>
    </row>
    <row r="28" spans="1:22" ht="15" customHeight="1" x14ac:dyDescent="0.2">
      <c r="A28" s="96">
        <v>7</v>
      </c>
      <c r="B28" s="110"/>
      <c r="C28" s="111" t="s">
        <v>208</v>
      </c>
      <c r="D28" s="111"/>
      <c r="E28" s="111" t="s">
        <v>270</v>
      </c>
      <c r="F28" s="111" t="s">
        <v>221</v>
      </c>
      <c r="G28" s="112">
        <v>4.83</v>
      </c>
      <c r="H28" s="112"/>
      <c r="I28" s="112"/>
      <c r="J28" s="96" t="s">
        <v>216</v>
      </c>
      <c r="K28" s="112">
        <v>2</v>
      </c>
      <c r="L28" s="33">
        <f>VLOOKUP(K28,Reinigungstage!A10:D31,4,FALSE)</f>
        <v>104.91</v>
      </c>
      <c r="M28" s="33">
        <f t="shared" si="0"/>
        <v>506.72</v>
      </c>
      <c r="N28" s="113">
        <f t="shared" si="1"/>
        <v>0</v>
      </c>
      <c r="O28" s="33">
        <f ca="1">IF('SVS UnterhaltsRG'!H61="",0,'SVS UnterhaltsRG'!H61)</f>
        <v>0</v>
      </c>
      <c r="P28" s="33">
        <f t="shared" si="2"/>
        <v>0</v>
      </c>
      <c r="Q28" s="33">
        <f t="shared" ca="1" si="3"/>
        <v>0</v>
      </c>
      <c r="R28" s="33">
        <f t="shared" si="4"/>
        <v>0</v>
      </c>
      <c r="S28" s="33">
        <f t="shared" ca="1" si="5"/>
        <v>0</v>
      </c>
      <c r="T28" s="3" t="str">
        <f t="shared" si="6"/>
        <v>Leistungswert eintragen</v>
      </c>
      <c r="U28" s="3">
        <f t="shared" si="7"/>
        <v>63.75</v>
      </c>
      <c r="V28" s="3">
        <f t="shared" si="8"/>
        <v>0</v>
      </c>
    </row>
  </sheetData>
  <sheetProtection algorithmName="SHA-512" hashValue="j+hUTTsSw9O33EHQo5oby8X2uuBtvKjRRnkhgbJbhv35Bc55y8dI0AKQhFOCxTTVsKQJ2vHCnvQT5qxJN0yeSQ==" saltValue="/3WSX1T1fyOGDfV32IJ/mQ==" spinCount="100000" sheet="1" objects="1" scenarios="1"/>
  <sortState xmlns:xlrd2="http://schemas.microsoft.com/office/spreadsheetml/2017/richdata2" ref="U4:U6">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56"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55" priority="5" operator="containsText" text="Bitte prüfen Sie diese.">
      <formula>NOT(ISERROR(SEARCH("Bitte prüfen Sie diese.",L9)))</formula>
    </cfRule>
  </conditionalFormatting>
  <conditionalFormatting sqref="L10">
    <cfRule type="containsText" dxfId="54"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53" priority="3" operator="containsText" text="lediglich Fehleingaben vermeiden wollen.">
      <formula>NOT(ISERROR(SEARCH("lediglich Fehleingaben vermeiden wollen.",L11)))</formula>
    </cfRule>
  </conditionalFormatting>
  <conditionalFormatting sqref="M11">
    <cfRule type="containsText" dxfId="52"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51" priority="7" operator="containsText" text="für die Objektart prüfen.">
      <formula>NOT(ISERROR(SEARCH("für die Objektart prüfen.",M12)))</formula>
    </cfRule>
  </conditionalFormatting>
  <conditionalFormatting sqref="N13">
    <cfRule type="expression" dxfId="50" priority="2" stopIfTrue="1">
      <formula>N13=0</formula>
    </cfRule>
  </conditionalFormatting>
  <conditionalFormatting sqref="N14">
    <cfRule type="expression" dxfId="49" priority="1">
      <formula>N14=0</formula>
    </cfRule>
  </conditionalFormatting>
  <conditionalFormatting sqref="N22:N28">
    <cfRule type="expression" dxfId="48" priority="11">
      <formula>V22=0</formula>
    </cfRule>
    <cfRule type="expression" dxfId="47" priority="12" stopIfTrue="1">
      <formula>V22=1</formula>
    </cfRule>
  </conditionalFormatting>
  <conditionalFormatting sqref="O13">
    <cfRule type="containsText" dxfId="46"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5" priority="9" operator="containsText" text="Wert(e) prüfen.">
      <formula>NOT(ISERROR(SEARCH("Wert(e) prüfen.",O14)))</formula>
    </cfRule>
  </conditionalFormatting>
  <conditionalFormatting sqref="T22:T28">
    <cfRule type="containsText" dxfId="44" priority="13" stopIfTrue="1" operator="containsText" text="SVS prüfen">
      <formula>NOT(ISERROR(SEARCH("SVS prüfen",T22)))</formula>
    </cfRule>
    <cfRule type="containsText" dxfId="43" priority="14" stopIfTrue="1" operator="containsText" text="Leistungswert eintragen">
      <formula>NOT(ISERROR(SEARCH("Leistungswert eintragen",T22)))</formula>
    </cfRule>
  </conditionalFormatting>
  <hyperlinks>
    <hyperlink ref="M1" location="Inhaltsverzeichnis!A1" display="Zurück zum Inhaltsverzeichnis" xr:uid="{0425BA65-2D07-4240-A99F-95E082ED7E82}"/>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JK Förderstedt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8546"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8547"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8548"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269BE-C560-4CCC-AC12-4266DDC7C55F}">
  <sheetPr codeName="Tabelle38">
    <tabColor indexed="40"/>
  </sheetPr>
  <dimension ref="A1:X28"/>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4.42578125" style="3"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76" t="s">
        <v>150</v>
      </c>
      <c r="B2" s="177"/>
      <c r="C2" s="177"/>
      <c r="D2" s="177"/>
      <c r="E2" s="178"/>
      <c r="G2" s="179" t="s">
        <v>163</v>
      </c>
      <c r="H2" s="179" t="s">
        <v>155</v>
      </c>
      <c r="I2" s="179" t="s">
        <v>156</v>
      </c>
      <c r="J2" s="179" t="s">
        <v>175</v>
      </c>
      <c r="M2" s="77"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4" customHeight="1" x14ac:dyDescent="0.2">
      <c r="A3" s="97" t="s">
        <v>158</v>
      </c>
      <c r="B3" s="98"/>
      <c r="C3" s="98"/>
      <c r="D3" s="98"/>
      <c r="E3" s="99"/>
      <c r="G3" s="180"/>
      <c r="H3" s="180"/>
      <c r="I3" s="180"/>
      <c r="J3" s="180"/>
      <c r="M3" s="77" t="b">
        <v>0</v>
      </c>
      <c r="N3" s="130"/>
      <c r="O3" s="130"/>
      <c r="P3" s="130"/>
      <c r="Q3" s="130"/>
    </row>
    <row r="4" spans="1:22" ht="18.600000000000001" customHeight="1" x14ac:dyDescent="0.2">
      <c r="A4" s="174" t="s">
        <v>91</v>
      </c>
      <c r="B4" s="184" t="str">
        <f>IF(Inhaltsverzeichnis!C3="","",Inhaltsverzeichnis!C3)</f>
        <v/>
      </c>
      <c r="C4" s="185"/>
      <c r="D4" s="185"/>
      <c r="E4" s="186"/>
      <c r="G4" s="96" t="s">
        <v>271</v>
      </c>
      <c r="H4" s="100"/>
      <c r="I4" s="101">
        <f ca="1">SUMIF('Kal Grund JK Förderstedt'!J22:M28,$G$4,'Kal Grund JK Förderstedt'!M22:M28)</f>
        <v>68.77</v>
      </c>
      <c r="J4" s="54">
        <f>COUNTIFS('Kal Grund JK Förderstedt'!J22:M28,$G$4)</f>
        <v>2</v>
      </c>
      <c r="M4" s="77" t="b">
        <v>0</v>
      </c>
      <c r="N4" s="130"/>
      <c r="O4" s="130"/>
      <c r="P4" s="130"/>
      <c r="Q4" s="130"/>
      <c r="U4" s="96" t="s">
        <v>271</v>
      </c>
      <c r="V4" s="3">
        <v>15</v>
      </c>
    </row>
    <row r="5" spans="1:22" ht="15" customHeight="1" x14ac:dyDescent="0.2">
      <c r="A5" s="175"/>
      <c r="B5" s="187"/>
      <c r="C5" s="188"/>
      <c r="D5" s="188"/>
      <c r="E5" s="189"/>
      <c r="G5" s="96" t="s">
        <v>216</v>
      </c>
      <c r="H5" s="100"/>
      <c r="I5" s="101">
        <f ca="1">SUMIF('Kal Grund JK Förderstedt'!J22:M28,$G$5,'Kal Grund JK Förderstedt'!M22:M28)</f>
        <v>31.869999999999997</v>
      </c>
      <c r="J5" s="54">
        <f>COUNTIFS('Kal Grund JK Förderstedt'!J22:M28,$G$5)</f>
        <v>4</v>
      </c>
      <c r="M5" s="77" t="b">
        <v>0</v>
      </c>
      <c r="N5" s="130"/>
      <c r="O5" s="130"/>
      <c r="P5" s="130"/>
      <c r="Q5" s="130"/>
      <c r="U5" s="96" t="s">
        <v>216</v>
      </c>
      <c r="V5" s="3">
        <v>10.25</v>
      </c>
    </row>
    <row r="6" spans="1:22" ht="15" customHeight="1" x14ac:dyDescent="0.2">
      <c r="A6" s="102" t="s">
        <v>173</v>
      </c>
      <c r="B6" s="153" t="s">
        <v>191</v>
      </c>
      <c r="C6" s="190"/>
      <c r="D6" s="190"/>
      <c r="E6" s="191"/>
      <c r="G6" s="96" t="s">
        <v>217</v>
      </c>
      <c r="H6" s="100"/>
      <c r="I6" s="101">
        <f ca="1">SUMIF('Kal Grund JK Förderstedt'!J22:M28,$G$6,'Kal Grund JK Förderstedt'!M22:M28)</f>
        <v>7.53</v>
      </c>
      <c r="J6" s="54">
        <f>COUNTIFS('Kal Grund JK Förderstedt'!J22:M28,$G$6)</f>
        <v>1</v>
      </c>
      <c r="U6" s="96" t="s">
        <v>217</v>
      </c>
      <c r="V6" s="3">
        <v>16.25</v>
      </c>
    </row>
    <row r="7" spans="1:22" ht="15" customHeight="1" x14ac:dyDescent="0.2">
      <c r="A7" s="103" t="s">
        <v>171</v>
      </c>
      <c r="B7" s="192" t="s">
        <v>201</v>
      </c>
      <c r="C7" s="190"/>
      <c r="D7" s="190"/>
      <c r="E7" s="191"/>
    </row>
    <row r="8" spans="1:22" ht="15" customHeight="1" x14ac:dyDescent="0.2">
      <c r="A8" s="103" t="s">
        <v>172</v>
      </c>
      <c r="B8" s="153"/>
      <c r="C8" s="190"/>
      <c r="D8" s="190"/>
      <c r="E8" s="191"/>
      <c r="L8" s="104" t="str">
        <f>IF(N14&gt;0,"Ihre Eintragungen der Leistungswerte liegen weit über den Erfahrungswerten aus der Preisschätzung.","")</f>
        <v/>
      </c>
    </row>
    <row r="9" spans="1:22" ht="15" customHeight="1" x14ac:dyDescent="0.2">
      <c r="A9" s="102" t="s">
        <v>170</v>
      </c>
      <c r="B9" s="193" t="s">
        <v>200</v>
      </c>
      <c r="C9" s="190"/>
      <c r="D9" s="190"/>
      <c r="E9" s="191"/>
      <c r="L9" s="104" t="str">
        <f>IF(N14&gt;0,"Bitte prüfen Sie diese.","")</f>
        <v/>
      </c>
    </row>
    <row r="10" spans="1:22" ht="15" customHeight="1" x14ac:dyDescent="0.2">
      <c r="A10" s="103" t="s">
        <v>152</v>
      </c>
      <c r="B10" s="153" t="s">
        <v>202</v>
      </c>
      <c r="C10" s="190"/>
      <c r="D10" s="190"/>
      <c r="E10" s="191"/>
      <c r="L10" s="104" t="str">
        <f>IF(N14&gt;0,"Beachten Sie, dass Sie frei in der Kalkulation dieser Leistungswerte sind und wir durch den Hinweis","")</f>
        <v/>
      </c>
    </row>
    <row r="11" spans="1:22" ht="15" customHeight="1" x14ac:dyDescent="0.2">
      <c r="A11" s="103" t="s">
        <v>153</v>
      </c>
      <c r="B11" s="194" t="s">
        <v>194</v>
      </c>
      <c r="C11" s="190"/>
      <c r="D11" s="190"/>
      <c r="E11" s="191"/>
      <c r="L11" s="104" t="str">
        <f>IF(N14&gt;0,"lediglich Fehleingaben vermeiden wollen.","")</f>
        <v/>
      </c>
    </row>
    <row r="12" spans="1:22" ht="15" customHeight="1" x14ac:dyDescent="0.2">
      <c r="A12" s="103" t="s">
        <v>154</v>
      </c>
      <c r="B12" s="153" t="s">
        <v>199</v>
      </c>
      <c r="C12" s="190"/>
      <c r="D12" s="190"/>
      <c r="E12" s="191"/>
    </row>
    <row r="13" spans="1:22" ht="15" customHeight="1" x14ac:dyDescent="0.2">
      <c r="A13" s="103" t="s">
        <v>157</v>
      </c>
      <c r="B13" s="181" t="str">
        <f>HYPERLINK("http://maps.google.de/maps?hl=de&amp;bav=on.2,or.r_qf.&amp;bvm=bv.44770516,d.Yms&amp;biw=1395&amp;bih=916&amp;um=1&amp;ie=UTF-8&amp;q="&amp;B7&amp;"+"&amp;B8&amp;"+"&amp;B10&amp;"+"&amp;B11&amp;"+"&amp;B12&amp;"","In Google-Maps anzeigen (wenn Internet verfügbar)")</f>
        <v>In Google-Maps anzeigen (wenn Internet verfügbar)</v>
      </c>
      <c r="C13" s="182"/>
      <c r="D13" s="182"/>
      <c r="E13" s="183"/>
    </row>
    <row r="14" spans="1:22" ht="15" customHeight="1" x14ac:dyDescent="0.2">
      <c r="N14" s="105">
        <f>COUNTIF(X22:X$28,1)</f>
        <v>0</v>
      </c>
      <c r="O14" s="3" t="str">
        <f>IF(N14&gt;0,"Wert(e) prüfen.","")</f>
        <v/>
      </c>
      <c r="S14" s="106">
        <f>IF(COUNTA($S$22:$S$28)-COUNTBLANK($S$22:$S$28)=0,"",COUNTA($S$22:$S$28)-COUNTBLANK($S$22:$S$28))</f>
        <v>7</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107" t="s">
        <v>118</v>
      </c>
      <c r="B21" s="12"/>
      <c r="C21" s="12"/>
      <c r="D21" s="12"/>
      <c r="E21" s="12"/>
      <c r="F21" s="12"/>
      <c r="G21" s="108">
        <f>SUM($G$22:$G$28)</f>
        <v>108.16999999999999</v>
      </c>
      <c r="H21" s="108">
        <f>SUM($H$22:$H$28)</f>
        <v>0</v>
      </c>
      <c r="I21" s="108">
        <f>SUM($I$22:$I$28)</f>
        <v>0</v>
      </c>
      <c r="J21" s="33"/>
      <c r="K21" s="33"/>
      <c r="L21" s="109">
        <f>MAX(L22:L28)</f>
        <v>1</v>
      </c>
      <c r="M21" s="108">
        <f>SUM($M$22:$M$28)</f>
        <v>108.16999999999999</v>
      </c>
      <c r="N21" s="33"/>
      <c r="O21" s="33"/>
      <c r="P21" s="108">
        <f>SUM($P$22:$P$28)</f>
        <v>0</v>
      </c>
      <c r="Q21" s="108">
        <f>SUM($Q$22:$Q$28)</f>
        <v>0</v>
      </c>
      <c r="R21" s="108">
        <f>ROUND(IF(Q21=0,0,Q21/L21),2)</f>
        <v>0</v>
      </c>
    </row>
    <row r="22" spans="1:24" ht="15" customHeight="1" x14ac:dyDescent="0.2">
      <c r="A22" s="96">
        <v>1</v>
      </c>
      <c r="B22" s="110"/>
      <c r="C22" s="111" t="s">
        <v>208</v>
      </c>
      <c r="D22" s="111"/>
      <c r="E22" s="111" t="s">
        <v>253</v>
      </c>
      <c r="F22" s="111" t="s">
        <v>265</v>
      </c>
      <c r="G22" s="112">
        <v>7.53</v>
      </c>
      <c r="H22" s="112"/>
      <c r="I22" s="112"/>
      <c r="J22" s="96" t="s">
        <v>217</v>
      </c>
      <c r="K22" s="96" t="s">
        <v>142</v>
      </c>
      <c r="L22" s="33">
        <f>VLOOKUP(K22,Reinigungstage!A10:H31,8,FALSE)</f>
        <v>1</v>
      </c>
      <c r="M22" s="33">
        <f t="shared" ref="M22:M28" si="0">ROUND(IF(L22=0,0,L22*G22),2)</f>
        <v>7.53</v>
      </c>
      <c r="N22" s="113">
        <f t="shared" ref="N22:N28" si="1">VLOOKUP(J22,$G$4:$H$6,2,FALSE)</f>
        <v>0</v>
      </c>
      <c r="O22" s="33">
        <f ca="1">IF('SVS GrundRG'!H61="",0,'SVS GrundRG'!H61)</f>
        <v>0</v>
      </c>
      <c r="P22" s="33">
        <f t="shared" ref="P22:P28" si="2">ROUND(IF(N22=0,0,M22/N22),2)</f>
        <v>0</v>
      </c>
      <c r="Q22" s="33">
        <f t="shared" ref="Q22:Q28" si="3">ROUND(IF(P22=0,0,P22*O22),2)</f>
        <v>0</v>
      </c>
      <c r="R22" s="33">
        <f t="shared" ref="R22:R28" si="4">ROUND(IF(P22=0,0,Q22/L22),2)</f>
        <v>0</v>
      </c>
      <c r="S22" s="3" t="str">
        <f t="shared" ref="S22:S28" si="5">IF(M22=0,"",IF(N22=0,"Leistungswert eintragen",IF(O22=0,"SVS prüfen","")))</f>
        <v>Leistungswert eintragen</v>
      </c>
      <c r="U22" s="3">
        <f t="shared" ref="U22:U28" si="6">VLOOKUP(J22,$U$4:$V$6,2,FALSE)</f>
        <v>16.25</v>
      </c>
      <c r="V22" s="3">
        <f t="shared" ref="V22:V28" si="7">U22*30%</f>
        <v>4.875</v>
      </c>
      <c r="W22" s="3">
        <f t="shared" ref="W22:W28" si="8">SUM(U22:V22)</f>
        <v>21.125</v>
      </c>
      <c r="X22" s="3" t="str">
        <f t="shared" ref="X22:X28" si="9">IF(N22=0,"",IF(W22&lt;N22,1,IF(W22&gt;=N22,0,"")))</f>
        <v/>
      </c>
    </row>
    <row r="23" spans="1:24" ht="15" customHeight="1" x14ac:dyDescent="0.2">
      <c r="A23" s="96">
        <v>2</v>
      </c>
      <c r="B23" s="110"/>
      <c r="C23" s="111" t="s">
        <v>208</v>
      </c>
      <c r="D23" s="111"/>
      <c r="E23" s="111" t="s">
        <v>266</v>
      </c>
      <c r="F23" s="111" t="s">
        <v>267</v>
      </c>
      <c r="G23" s="112">
        <v>36.72</v>
      </c>
      <c r="H23" s="112"/>
      <c r="I23" s="112"/>
      <c r="J23" s="96" t="s">
        <v>271</v>
      </c>
      <c r="K23" s="96" t="s">
        <v>142</v>
      </c>
      <c r="L23" s="33">
        <f>VLOOKUP(K23,Reinigungstage!A10:H31,8,FALSE)</f>
        <v>1</v>
      </c>
      <c r="M23" s="33">
        <f t="shared" si="0"/>
        <v>36.72</v>
      </c>
      <c r="N23" s="113">
        <f t="shared" si="1"/>
        <v>0</v>
      </c>
      <c r="O23" s="33">
        <f ca="1">IF('SVS GrundRG'!H61="",0,'SVS GrundRG'!H61)</f>
        <v>0</v>
      </c>
      <c r="P23" s="33">
        <f t="shared" si="2"/>
        <v>0</v>
      </c>
      <c r="Q23" s="33">
        <f t="shared" si="3"/>
        <v>0</v>
      </c>
      <c r="R23" s="33">
        <f t="shared" si="4"/>
        <v>0</v>
      </c>
      <c r="S23" s="3" t="str">
        <f t="shared" si="5"/>
        <v>Leistungswert eintragen</v>
      </c>
      <c r="U23" s="3">
        <f t="shared" si="6"/>
        <v>15</v>
      </c>
      <c r="V23" s="3">
        <f t="shared" si="7"/>
        <v>4.5</v>
      </c>
      <c r="W23" s="3">
        <f t="shared" si="8"/>
        <v>19.5</v>
      </c>
      <c r="X23" s="3" t="str">
        <f t="shared" si="9"/>
        <v/>
      </c>
    </row>
    <row r="24" spans="1:24" ht="15" customHeight="1" x14ac:dyDescent="0.2">
      <c r="A24" s="96">
        <v>3</v>
      </c>
      <c r="B24" s="110"/>
      <c r="C24" s="111" t="s">
        <v>208</v>
      </c>
      <c r="D24" s="111"/>
      <c r="E24" s="111" t="s">
        <v>268</v>
      </c>
      <c r="F24" s="111" t="s">
        <v>267</v>
      </c>
      <c r="G24" s="112">
        <v>32.049999999999997</v>
      </c>
      <c r="H24" s="112"/>
      <c r="I24" s="112"/>
      <c r="J24" s="96" t="s">
        <v>271</v>
      </c>
      <c r="K24" s="96" t="s">
        <v>142</v>
      </c>
      <c r="L24" s="33">
        <f>VLOOKUP(K24,Reinigungstage!A10:H31,8,FALSE)</f>
        <v>1</v>
      </c>
      <c r="M24" s="33">
        <f t="shared" si="0"/>
        <v>32.049999999999997</v>
      </c>
      <c r="N24" s="113">
        <f t="shared" si="1"/>
        <v>0</v>
      </c>
      <c r="O24" s="33">
        <f ca="1">IF('SVS GrundRG'!H61="",0,'SVS GrundRG'!H61)</f>
        <v>0</v>
      </c>
      <c r="P24" s="33">
        <f t="shared" si="2"/>
        <v>0</v>
      </c>
      <c r="Q24" s="33">
        <f t="shared" si="3"/>
        <v>0</v>
      </c>
      <c r="R24" s="33">
        <f t="shared" si="4"/>
        <v>0</v>
      </c>
      <c r="S24" s="3" t="str">
        <f t="shared" si="5"/>
        <v>Leistungswert eintragen</v>
      </c>
      <c r="U24" s="3">
        <f t="shared" si="6"/>
        <v>15</v>
      </c>
      <c r="V24" s="3">
        <f t="shared" si="7"/>
        <v>4.5</v>
      </c>
      <c r="W24" s="3">
        <f t="shared" si="8"/>
        <v>19.5</v>
      </c>
      <c r="X24" s="3" t="str">
        <f t="shared" si="9"/>
        <v/>
      </c>
    </row>
    <row r="25" spans="1:24" ht="15" customHeight="1" x14ac:dyDescent="0.2">
      <c r="A25" s="96">
        <v>4</v>
      </c>
      <c r="B25" s="110"/>
      <c r="C25" s="111" t="s">
        <v>208</v>
      </c>
      <c r="D25" s="111"/>
      <c r="E25" s="111" t="s">
        <v>211</v>
      </c>
      <c r="F25" s="111" t="s">
        <v>221</v>
      </c>
      <c r="G25" s="112">
        <v>10.23</v>
      </c>
      <c r="H25" s="112"/>
      <c r="I25" s="112"/>
      <c r="J25" s="96" t="s">
        <v>216</v>
      </c>
      <c r="K25" s="96" t="s">
        <v>142</v>
      </c>
      <c r="L25" s="33">
        <f>VLOOKUP(K25,Reinigungstage!A10:H31,8,FALSE)</f>
        <v>1</v>
      </c>
      <c r="M25" s="33">
        <f t="shared" si="0"/>
        <v>10.23</v>
      </c>
      <c r="N25" s="113">
        <f t="shared" si="1"/>
        <v>0</v>
      </c>
      <c r="O25" s="33">
        <f ca="1">IF('SVS GrundRG'!H61="",0,'SVS GrundRG'!H61)</f>
        <v>0</v>
      </c>
      <c r="P25" s="33">
        <f t="shared" si="2"/>
        <v>0</v>
      </c>
      <c r="Q25" s="33">
        <f t="shared" si="3"/>
        <v>0</v>
      </c>
      <c r="R25" s="33">
        <f t="shared" si="4"/>
        <v>0</v>
      </c>
      <c r="S25" s="3" t="str">
        <f t="shared" si="5"/>
        <v>Leistungswert eintragen</v>
      </c>
      <c r="U25" s="3">
        <f t="shared" si="6"/>
        <v>10.25</v>
      </c>
      <c r="V25" s="3">
        <f t="shared" si="7"/>
        <v>3.0749999999999997</v>
      </c>
      <c r="W25" s="3">
        <f t="shared" si="8"/>
        <v>13.324999999999999</v>
      </c>
      <c r="X25" s="3" t="str">
        <f t="shared" si="9"/>
        <v/>
      </c>
    </row>
    <row r="26" spans="1:24" ht="15" customHeight="1" x14ac:dyDescent="0.2">
      <c r="A26" s="96">
        <v>5</v>
      </c>
      <c r="B26" s="110"/>
      <c r="C26" s="111" t="s">
        <v>208</v>
      </c>
      <c r="D26" s="111"/>
      <c r="E26" s="111" t="s">
        <v>269</v>
      </c>
      <c r="F26" s="111" t="s">
        <v>221</v>
      </c>
      <c r="G26" s="112">
        <v>4.07</v>
      </c>
      <c r="H26" s="112"/>
      <c r="I26" s="112"/>
      <c r="J26" s="96" t="s">
        <v>216</v>
      </c>
      <c r="K26" s="96" t="s">
        <v>142</v>
      </c>
      <c r="L26" s="33">
        <f>VLOOKUP(K26,Reinigungstage!A10:H31,8,FALSE)</f>
        <v>1</v>
      </c>
      <c r="M26" s="33">
        <f t="shared" si="0"/>
        <v>4.07</v>
      </c>
      <c r="N26" s="113">
        <f t="shared" si="1"/>
        <v>0</v>
      </c>
      <c r="O26" s="33">
        <f ca="1">IF('SVS GrundRG'!H61="",0,'SVS GrundRG'!H61)</f>
        <v>0</v>
      </c>
      <c r="P26" s="33">
        <f t="shared" si="2"/>
        <v>0</v>
      </c>
      <c r="Q26" s="33">
        <f t="shared" si="3"/>
        <v>0</v>
      </c>
      <c r="R26" s="33">
        <f t="shared" si="4"/>
        <v>0</v>
      </c>
      <c r="S26" s="3" t="str">
        <f t="shared" si="5"/>
        <v>Leistungswert eintragen</v>
      </c>
      <c r="U26" s="3">
        <f t="shared" si="6"/>
        <v>10.25</v>
      </c>
      <c r="V26" s="3">
        <f t="shared" si="7"/>
        <v>3.0749999999999997</v>
      </c>
      <c r="W26" s="3">
        <f t="shared" si="8"/>
        <v>13.324999999999999</v>
      </c>
      <c r="X26" s="3" t="str">
        <f t="shared" si="9"/>
        <v/>
      </c>
    </row>
    <row r="27" spans="1:24" ht="15" customHeight="1" x14ac:dyDescent="0.2">
      <c r="A27" s="96">
        <v>6</v>
      </c>
      <c r="B27" s="110"/>
      <c r="C27" s="111" t="s">
        <v>208</v>
      </c>
      <c r="D27" s="111"/>
      <c r="E27" s="111" t="s">
        <v>209</v>
      </c>
      <c r="F27" s="111" t="s">
        <v>221</v>
      </c>
      <c r="G27" s="112">
        <v>12.74</v>
      </c>
      <c r="H27" s="112"/>
      <c r="I27" s="112"/>
      <c r="J27" s="96" t="s">
        <v>216</v>
      </c>
      <c r="K27" s="96" t="s">
        <v>142</v>
      </c>
      <c r="L27" s="33">
        <f>VLOOKUP(K27,Reinigungstage!A10:H31,8,FALSE)</f>
        <v>1</v>
      </c>
      <c r="M27" s="33">
        <f t="shared" si="0"/>
        <v>12.74</v>
      </c>
      <c r="N27" s="113">
        <f t="shared" si="1"/>
        <v>0</v>
      </c>
      <c r="O27" s="33">
        <f ca="1">IF('SVS GrundRG'!H61="",0,'SVS GrundRG'!H61)</f>
        <v>0</v>
      </c>
      <c r="P27" s="33">
        <f t="shared" si="2"/>
        <v>0</v>
      </c>
      <c r="Q27" s="33">
        <f t="shared" si="3"/>
        <v>0</v>
      </c>
      <c r="R27" s="33">
        <f t="shared" si="4"/>
        <v>0</v>
      </c>
      <c r="S27" s="3" t="str">
        <f t="shared" si="5"/>
        <v>Leistungswert eintragen</v>
      </c>
      <c r="U27" s="3">
        <f t="shared" si="6"/>
        <v>10.25</v>
      </c>
      <c r="V27" s="3">
        <f t="shared" si="7"/>
        <v>3.0749999999999997</v>
      </c>
      <c r="W27" s="3">
        <f t="shared" si="8"/>
        <v>13.324999999999999</v>
      </c>
      <c r="X27" s="3" t="str">
        <f t="shared" si="9"/>
        <v/>
      </c>
    </row>
    <row r="28" spans="1:24" ht="15" customHeight="1" x14ac:dyDescent="0.2">
      <c r="A28" s="96">
        <v>7</v>
      </c>
      <c r="B28" s="110"/>
      <c r="C28" s="111" t="s">
        <v>208</v>
      </c>
      <c r="D28" s="111"/>
      <c r="E28" s="111" t="s">
        <v>270</v>
      </c>
      <c r="F28" s="111" t="s">
        <v>221</v>
      </c>
      <c r="G28" s="112">
        <v>4.83</v>
      </c>
      <c r="H28" s="112"/>
      <c r="I28" s="112"/>
      <c r="J28" s="96" t="s">
        <v>216</v>
      </c>
      <c r="K28" s="96" t="s">
        <v>142</v>
      </c>
      <c r="L28" s="33">
        <f>VLOOKUP(K28,Reinigungstage!A10:H31,8,FALSE)</f>
        <v>1</v>
      </c>
      <c r="M28" s="33">
        <f t="shared" si="0"/>
        <v>4.83</v>
      </c>
      <c r="N28" s="113">
        <f t="shared" si="1"/>
        <v>0</v>
      </c>
      <c r="O28" s="33">
        <f ca="1">IF('SVS GrundRG'!H61="",0,'SVS GrundRG'!H61)</f>
        <v>0</v>
      </c>
      <c r="P28" s="33">
        <f t="shared" si="2"/>
        <v>0</v>
      </c>
      <c r="Q28" s="33">
        <f t="shared" si="3"/>
        <v>0</v>
      </c>
      <c r="R28" s="33">
        <f t="shared" si="4"/>
        <v>0</v>
      </c>
      <c r="S28" s="3" t="str">
        <f t="shared" si="5"/>
        <v>Leistungswert eintragen</v>
      </c>
      <c r="U28" s="3">
        <f t="shared" si="6"/>
        <v>10.25</v>
      </c>
      <c r="V28" s="3">
        <f t="shared" si="7"/>
        <v>3.0749999999999997</v>
      </c>
      <c r="W28" s="3">
        <f t="shared" si="8"/>
        <v>13.324999999999999</v>
      </c>
      <c r="X28" s="3" t="str">
        <f t="shared" si="9"/>
        <v/>
      </c>
    </row>
  </sheetData>
  <sheetProtection algorithmName="SHA-512" hashValue="vmLFJGcwcIPfcInaAOCipIZblCQCO8KnBnQbSjMJfGfxaVLSav77SqF5lRYegHcuesNd7T8BLFE/k9F3fDpaFA==" saltValue="ZyjZw790vt8Tz4ahpZMMOw==" spinCount="100000" sheet="1" objects="1" scenarios="1"/>
  <sortState xmlns:xlrd2="http://schemas.microsoft.com/office/spreadsheetml/2017/richdata2" ref="U4:U6">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4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41" priority="5" operator="containsText" text="Bitte prüfen Sie diese.">
      <formula>NOT(ISERROR(SEARCH("Bitte prüfen Sie diese.",L9)))</formula>
    </cfRule>
  </conditionalFormatting>
  <conditionalFormatting sqref="L10">
    <cfRule type="containsText" dxfId="4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39" priority="3" operator="containsText" text="lediglich Fehleingaben vermeiden wollen.">
      <formula>NOT(ISERROR(SEARCH("lediglich Fehleingaben vermeiden wollen.",L11)))</formula>
    </cfRule>
  </conditionalFormatting>
  <conditionalFormatting sqref="M11">
    <cfRule type="containsText" dxfId="3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37" priority="7" operator="containsText" text="für die Objektart prüfen.">
      <formula>NOT(ISERROR(SEARCH("für die Objektart prüfen.",M12)))</formula>
    </cfRule>
  </conditionalFormatting>
  <conditionalFormatting sqref="N13">
    <cfRule type="expression" dxfId="36" priority="2" stopIfTrue="1">
      <formula>N13=0</formula>
    </cfRule>
  </conditionalFormatting>
  <conditionalFormatting sqref="N14">
    <cfRule type="expression" dxfId="35" priority="1">
      <formula>N14=0</formula>
    </cfRule>
  </conditionalFormatting>
  <conditionalFormatting sqref="N22:N28">
    <cfRule type="expression" dxfId="34" priority="11">
      <formula>X22=0</formula>
    </cfRule>
    <cfRule type="expression" dxfId="33" priority="12" stopIfTrue="1">
      <formula>X22=1</formula>
    </cfRule>
  </conditionalFormatting>
  <conditionalFormatting sqref="O13">
    <cfRule type="containsText" dxfId="3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1" priority="9" operator="containsText" text="Wert(e) prüfen.">
      <formula>NOT(ISERROR(SEARCH("Wert(e) prüfen.",O14)))</formula>
    </cfRule>
  </conditionalFormatting>
  <conditionalFormatting sqref="S22:S28">
    <cfRule type="containsText" dxfId="30" priority="13" stopIfTrue="1" operator="containsText" text="SVS prüfen">
      <formula>NOT(ISERROR(SEARCH("SVS prüfen",S22)))</formula>
    </cfRule>
    <cfRule type="containsText" dxfId="29" priority="14" stopIfTrue="1" operator="containsText" text="Leistungswert eintragen">
      <formula>NOT(ISERROR(SEARCH("Leistungswert eintragen",S22)))</formula>
    </cfRule>
  </conditionalFormatting>
  <hyperlinks>
    <hyperlink ref="M1" location="Inhaltsverzeichnis!A1" display="Zurück zum Inhaltsverzeichnis" xr:uid="{1D27A3A6-EB71-47E1-A35A-5CA469DB283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JK Förderstedt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264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264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264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D4FBE-4CFE-43E0-81A6-30C0334F0598}">
  <sheetPr codeName="Tabelle35">
    <tabColor indexed="40"/>
  </sheetPr>
  <dimension ref="A1:V32"/>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16384" width="11.42578125" style="3" hidden="1"/>
  </cols>
  <sheetData>
    <row r="1" spans="1:22" ht="15" customHeight="1" x14ac:dyDescent="0.2">
      <c r="M1" s="5" t="s">
        <v>100</v>
      </c>
    </row>
    <row r="2" spans="1:22" ht="21" customHeight="1" x14ac:dyDescent="0.2">
      <c r="A2" s="176" t="s">
        <v>150</v>
      </c>
      <c r="B2" s="177"/>
      <c r="C2" s="177"/>
      <c r="D2" s="177" t="b">
        <v>0</v>
      </c>
      <c r="E2" s="178"/>
      <c r="G2" s="179" t="s">
        <v>163</v>
      </c>
      <c r="H2" s="179" t="s">
        <v>155</v>
      </c>
      <c r="I2" s="179" t="s">
        <v>156</v>
      </c>
      <c r="J2" s="179" t="s">
        <v>175</v>
      </c>
      <c r="M2" s="20"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1" customHeight="1" x14ac:dyDescent="0.2">
      <c r="A3" s="97" t="s">
        <v>151</v>
      </c>
      <c r="B3" s="98"/>
      <c r="C3" s="98"/>
      <c r="D3" s="98"/>
      <c r="E3" s="99"/>
      <c r="G3" s="180"/>
      <c r="H3" s="180" t="b">
        <v>0</v>
      </c>
      <c r="I3" s="180"/>
      <c r="J3" s="180"/>
      <c r="M3" s="20" t="b">
        <v>0</v>
      </c>
      <c r="N3" s="130"/>
      <c r="O3" s="130"/>
      <c r="P3" s="130"/>
      <c r="Q3" s="130"/>
    </row>
    <row r="4" spans="1:22" ht="15" customHeight="1" x14ac:dyDescent="0.2">
      <c r="A4" s="174" t="s">
        <v>91</v>
      </c>
      <c r="B4" s="184" t="str">
        <f>IF(Inhaltsverzeichnis!C3="","",Inhaltsverzeichnis!C3)</f>
        <v/>
      </c>
      <c r="C4" s="185"/>
      <c r="D4" s="185"/>
      <c r="E4" s="186"/>
      <c r="G4" s="96" t="s">
        <v>216</v>
      </c>
      <c r="H4" s="100"/>
      <c r="I4" s="101">
        <f ca="1">SUMIF('Kal Unter Sport Förderst'!J22:M32,$G$4,'Kal Unter Sport Förderst'!M22:M32)</f>
        <v>2143.34</v>
      </c>
      <c r="J4" s="54">
        <f>COUNTIFS('Kal Unter Sport Förderst'!J22:M32,$G$4)</f>
        <v>6</v>
      </c>
      <c r="M4" s="20" t="b">
        <v>0</v>
      </c>
      <c r="N4" s="130"/>
      <c r="O4" s="130"/>
      <c r="P4" s="130"/>
      <c r="Q4" s="130"/>
      <c r="U4" s="96" t="s">
        <v>216</v>
      </c>
      <c r="V4" s="3">
        <v>63.75</v>
      </c>
    </row>
    <row r="5" spans="1:22" ht="15" customHeight="1" x14ac:dyDescent="0.2">
      <c r="A5" s="175"/>
      <c r="B5" s="187"/>
      <c r="C5" s="188"/>
      <c r="D5" s="188"/>
      <c r="E5" s="189"/>
      <c r="G5" s="96" t="s">
        <v>278</v>
      </c>
      <c r="H5" s="100"/>
      <c r="I5" s="101">
        <f ca="1">SUMIF('Kal Unter Sport Förderst'!J22:M32,$G$5,'Kal Unter Sport Förderst'!M22:M32)</f>
        <v>1305.6099999999999</v>
      </c>
      <c r="J5" s="54">
        <f>COUNTIFS('Kal Unter Sport Förderst'!J22:M32,$G$5)</f>
        <v>4</v>
      </c>
      <c r="M5" s="20" t="b">
        <v>0</v>
      </c>
      <c r="N5" s="130"/>
      <c r="O5" s="130"/>
      <c r="P5" s="130"/>
      <c r="Q5" s="130"/>
      <c r="U5" s="96" t="s">
        <v>278</v>
      </c>
      <c r="V5" s="3">
        <v>175</v>
      </c>
    </row>
    <row r="6" spans="1:22" ht="15" customHeight="1" x14ac:dyDescent="0.2">
      <c r="A6" s="102" t="s">
        <v>173</v>
      </c>
      <c r="B6" s="153" t="s">
        <v>191</v>
      </c>
      <c r="C6" s="190"/>
      <c r="D6" s="190"/>
      <c r="E6" s="191"/>
      <c r="G6" s="96" t="s">
        <v>217</v>
      </c>
      <c r="H6" s="100"/>
      <c r="I6" s="101">
        <f ca="1">SUMIF('Kal Unter Sport Förderst'!J22:M32,$G$6,'Kal Unter Sport Förderst'!M22:M32)</f>
        <v>1168.5</v>
      </c>
      <c r="J6" s="54">
        <f>COUNTIFS('Kal Unter Sport Förderst'!J22:M32,$G$6)</f>
        <v>1</v>
      </c>
      <c r="U6" s="96" t="s">
        <v>217</v>
      </c>
      <c r="V6" s="3">
        <v>300</v>
      </c>
    </row>
    <row r="7" spans="1:22" ht="15" customHeight="1" x14ac:dyDescent="0.2">
      <c r="A7" s="103" t="s">
        <v>171</v>
      </c>
      <c r="B7" s="192" t="s">
        <v>204</v>
      </c>
      <c r="C7" s="190"/>
      <c r="D7" s="190"/>
      <c r="E7" s="191"/>
    </row>
    <row r="8" spans="1:22" ht="15" customHeight="1" x14ac:dyDescent="0.2">
      <c r="A8" s="103" t="s">
        <v>172</v>
      </c>
      <c r="B8" s="153"/>
      <c r="C8" s="190"/>
      <c r="D8" s="190"/>
      <c r="E8" s="191"/>
    </row>
    <row r="9" spans="1:22" ht="15" customHeight="1" x14ac:dyDescent="0.2">
      <c r="A9" s="102" t="s">
        <v>170</v>
      </c>
      <c r="B9" s="193" t="s">
        <v>203</v>
      </c>
      <c r="C9" s="190"/>
      <c r="D9" s="190"/>
      <c r="E9" s="191"/>
    </row>
    <row r="10" spans="1:22" ht="15" customHeight="1" x14ac:dyDescent="0.2">
      <c r="A10" s="103" t="s">
        <v>152</v>
      </c>
      <c r="B10" s="153" t="s">
        <v>205</v>
      </c>
      <c r="C10" s="190"/>
      <c r="D10" s="190"/>
      <c r="E10" s="191"/>
    </row>
    <row r="11" spans="1:22" ht="15" customHeight="1" x14ac:dyDescent="0.2">
      <c r="A11" s="103" t="s">
        <v>153</v>
      </c>
      <c r="B11" s="194" t="s">
        <v>194</v>
      </c>
      <c r="C11" s="190"/>
      <c r="D11" s="190"/>
      <c r="E11" s="191"/>
      <c r="M11" s="3" t="str">
        <f>IF(N13&gt;0,"Bitte die Leistungswerte im Leistungsverzeichnis/ Tabellenblatt Leistungsrichtwerte","")</f>
        <v/>
      </c>
    </row>
    <row r="12" spans="1:22" ht="15" customHeight="1" x14ac:dyDescent="0.2">
      <c r="A12" s="103" t="s">
        <v>154</v>
      </c>
      <c r="B12" s="153" t="s">
        <v>199</v>
      </c>
      <c r="C12" s="190"/>
      <c r="D12" s="190"/>
      <c r="E12" s="191"/>
      <c r="M12" s="3" t="str">
        <f>IF(N13&gt;0,"für die Objektart prüfen.","")</f>
        <v/>
      </c>
    </row>
    <row r="13" spans="1:22" ht="15" customHeight="1" x14ac:dyDescent="0.2">
      <c r="A13" s="103" t="s">
        <v>157</v>
      </c>
      <c r="B13" s="181" t="str">
        <f>HYPERLINK("http://maps.google.de/maps?hl=de&amp;bav=on.2,or.r_qf.&amp;bvm=bv.44770516,d.Yms&amp;biw=1395&amp;bih=916&amp;um=1&amp;ie=UTF-8&amp;q="&amp;B7&amp;"+"&amp;B8&amp;"+"&amp;B10&amp;"+"&amp;B11&amp;"+"&amp;B12&amp;"","In Google-Maps anzeigen (wenn Internet verfügbar)")</f>
        <v>In Google-Maps anzeigen (wenn Internet verfügbar)</v>
      </c>
      <c r="C13" s="182"/>
      <c r="D13" s="182"/>
      <c r="E13" s="183"/>
      <c r="N13" s="105">
        <f>COUNTIF(V22:V$32,1)</f>
        <v>0</v>
      </c>
      <c r="O13" s="3" t="str">
        <f>IF(N13&gt;0,"Wert(e) überschritten, bitte mit dem Angebot plausibel darlegen.","")</f>
        <v/>
      </c>
    </row>
    <row r="14" spans="1:22" ht="15" customHeight="1" x14ac:dyDescent="0.2">
      <c r="N14" s="114">
        <f>COUNTIF(V22:V$32,0)</f>
        <v>11</v>
      </c>
      <c r="O14" s="3" t="str">
        <f>IF(N14&gt;0,"Wert(e) korrekt","")</f>
        <v>Wert(e) korrekt</v>
      </c>
      <c r="T14" s="106">
        <f>IF(COUNTA($T$22:$T$32)-COUNTBLANK($T$22:$T$32)=0,"",COUNTA($T$22:$T$32)-COUNTBLANK($T$22:$T$32))</f>
        <v>11</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2" customHeight="1" x14ac:dyDescent="0.2">
      <c r="A20" s="1" t="s">
        <v>92</v>
      </c>
      <c r="B20" s="1" t="s">
        <v>97</v>
      </c>
      <c r="C20" s="1" t="s">
        <v>93</v>
      </c>
      <c r="D20" s="1" t="s">
        <v>94</v>
      </c>
      <c r="E20" s="1" t="s">
        <v>98</v>
      </c>
      <c r="F20" s="1" t="s">
        <v>95</v>
      </c>
      <c r="G20" s="1" t="s">
        <v>114</v>
      </c>
      <c r="H20" s="1" t="s">
        <v>351</v>
      </c>
      <c r="I20" s="1" t="s">
        <v>354</v>
      </c>
      <c r="J20" s="1" t="s">
        <v>99</v>
      </c>
      <c r="K20" s="1" t="s">
        <v>104</v>
      </c>
      <c r="L20" s="1" t="s">
        <v>134</v>
      </c>
      <c r="M20" s="1" t="s">
        <v>109</v>
      </c>
      <c r="N20" s="1" t="s">
        <v>105</v>
      </c>
      <c r="O20" s="1" t="s">
        <v>110</v>
      </c>
      <c r="P20" s="1" t="s">
        <v>111</v>
      </c>
      <c r="Q20" s="1" t="s">
        <v>112</v>
      </c>
      <c r="R20" s="1" t="s">
        <v>174</v>
      </c>
      <c r="S20" s="1" t="s">
        <v>133</v>
      </c>
    </row>
    <row r="21" spans="1:22" ht="24" customHeight="1" x14ac:dyDescent="0.2">
      <c r="A21" s="107" t="s">
        <v>118</v>
      </c>
      <c r="B21" s="12"/>
      <c r="C21" s="12"/>
      <c r="D21" s="12"/>
      <c r="E21" s="12"/>
      <c r="F21" s="12"/>
      <c r="G21" s="108">
        <f>SUM($G$22:$G$32)</f>
        <v>175.6</v>
      </c>
      <c r="H21" s="33"/>
      <c r="I21" s="108">
        <f>SUM($I$22:$I$32)</f>
        <v>2</v>
      </c>
      <c r="J21" s="33"/>
      <c r="K21" s="33"/>
      <c r="L21" s="109">
        <f>MAX(L22:L32)</f>
        <v>84.5</v>
      </c>
      <c r="M21" s="108">
        <f>SUM($M$22:$M$32)</f>
        <v>4617.45</v>
      </c>
      <c r="N21" s="33"/>
      <c r="O21" s="33"/>
      <c r="P21" s="108">
        <f>SUM($P$22:$P$32)</f>
        <v>0</v>
      </c>
      <c r="Q21" s="108">
        <f ca="1">SUM($Q$22:$Q$32)</f>
        <v>0</v>
      </c>
      <c r="R21" s="108">
        <f>ROUND(IF(L21=0,0,P21/L21),2)</f>
        <v>0</v>
      </c>
      <c r="S21" s="108">
        <f ca="1">ROUND(IF(L21=0,0,Q21/L21),2)</f>
        <v>0</v>
      </c>
    </row>
    <row r="22" spans="1:22" ht="33.950000000000003" customHeight="1" x14ac:dyDescent="0.2">
      <c r="A22" s="96">
        <v>1</v>
      </c>
      <c r="B22" s="110"/>
      <c r="C22" s="111" t="s">
        <v>208</v>
      </c>
      <c r="D22" s="111"/>
      <c r="E22" s="111" t="s">
        <v>272</v>
      </c>
      <c r="F22" s="111" t="s">
        <v>210</v>
      </c>
      <c r="G22" s="112">
        <v>22.6</v>
      </c>
      <c r="H22" s="115" t="s">
        <v>273</v>
      </c>
      <c r="I22" s="112"/>
      <c r="J22" s="96" t="s">
        <v>278</v>
      </c>
      <c r="K22" s="112">
        <v>1</v>
      </c>
      <c r="L22" s="33">
        <f>VLOOKUP(K22,Reinigungstage!$A$10:$L$31,11,FALSE)</f>
        <v>17.55</v>
      </c>
      <c r="M22" s="33">
        <f t="shared" ref="M22:M32" si="0">ROUND(IF(L22=0,0,L22*G22),2)</f>
        <v>396.63</v>
      </c>
      <c r="N22" s="113">
        <f t="shared" ref="N22:N32" si="1">VLOOKUP(J22,$G$4:$H$6,2,FALSE)</f>
        <v>0</v>
      </c>
      <c r="O22" s="33">
        <f ca="1">IF('SVS UnterhaltsRG'!H61="",0,'SVS UnterhaltsRG'!H61)</f>
        <v>0</v>
      </c>
      <c r="P22" s="33">
        <f t="shared" ref="P22:P32" si="2">ROUND(IF(N22=0,0,M22/N22),2)</f>
        <v>0</v>
      </c>
      <c r="Q22" s="33">
        <f t="shared" ref="Q22:Q32" ca="1" si="3">IF(M22=0,0,IF(O22="",0,ROUND(P22*O22,2)))</f>
        <v>0</v>
      </c>
      <c r="R22" s="33">
        <f t="shared" ref="R22:R32" si="4">ROUND(IF(P22=0,0,P22/L22),2)</f>
        <v>0</v>
      </c>
      <c r="S22" s="33">
        <f t="shared" ref="S22:S32" ca="1" si="5">ROUND(IF(Q22=0,0,Q22/L22),2)</f>
        <v>0</v>
      </c>
      <c r="T22" s="3" t="str">
        <f t="shared" ref="T22:T32" si="6">IF(M22=0,"",IF(N22=0,"Leistungswert eintragen",IF(O22=0,"SVS prüfen","")))</f>
        <v>Leistungswert eintragen</v>
      </c>
      <c r="U22" s="3">
        <f t="shared" ref="U22:U32" si="7">VLOOKUP(J22,$U$4:$V$6,2,FALSE)</f>
        <v>175</v>
      </c>
      <c r="V22" s="3">
        <f t="shared" ref="V22:V32" si="8">IF(M22=0,0,IF(U22&lt;N22,1,IF(U22&gt;=N22,0,"")))</f>
        <v>0</v>
      </c>
    </row>
    <row r="23" spans="1:22" ht="33.950000000000003" customHeight="1" x14ac:dyDescent="0.2">
      <c r="A23" s="96">
        <v>2</v>
      </c>
      <c r="B23" s="110"/>
      <c r="C23" s="111" t="s">
        <v>208</v>
      </c>
      <c r="D23" s="111"/>
      <c r="E23" s="111" t="s">
        <v>274</v>
      </c>
      <c r="F23" s="111" t="s">
        <v>210</v>
      </c>
      <c r="G23" s="112">
        <v>28.5</v>
      </c>
      <c r="H23" s="115" t="s">
        <v>273</v>
      </c>
      <c r="I23" s="112"/>
      <c r="J23" s="96" t="s">
        <v>278</v>
      </c>
      <c r="K23" s="112">
        <v>1</v>
      </c>
      <c r="L23" s="33">
        <f>VLOOKUP(K23,Reinigungstage!$A$10:$L$31,11,FALSE)</f>
        <v>17.55</v>
      </c>
      <c r="M23" s="33">
        <f t="shared" si="0"/>
        <v>500.18</v>
      </c>
      <c r="N23" s="113">
        <f t="shared" si="1"/>
        <v>0</v>
      </c>
      <c r="O23" s="33">
        <f ca="1">IF('SVS UnterhaltsRG'!H61="",0,'SVS UnterhaltsRG'!H61)</f>
        <v>0</v>
      </c>
      <c r="P23" s="33">
        <f t="shared" si="2"/>
        <v>0</v>
      </c>
      <c r="Q23" s="33">
        <f t="shared" ca="1" si="3"/>
        <v>0</v>
      </c>
      <c r="R23" s="33">
        <f t="shared" si="4"/>
        <v>0</v>
      </c>
      <c r="S23" s="33">
        <f t="shared" ca="1" si="5"/>
        <v>0</v>
      </c>
      <c r="T23" s="3" t="str">
        <f t="shared" si="6"/>
        <v>Leistungswert eintragen</v>
      </c>
      <c r="U23" s="3">
        <f t="shared" si="7"/>
        <v>175</v>
      </c>
      <c r="V23" s="3">
        <f t="shared" si="8"/>
        <v>0</v>
      </c>
    </row>
    <row r="24" spans="1:22" ht="74.099999999999994" customHeight="1" x14ac:dyDescent="0.2">
      <c r="A24" s="96">
        <v>3</v>
      </c>
      <c r="B24" s="110"/>
      <c r="C24" s="111" t="s">
        <v>208</v>
      </c>
      <c r="D24" s="111"/>
      <c r="E24" s="111" t="s">
        <v>272</v>
      </c>
      <c r="F24" s="111" t="s">
        <v>210</v>
      </c>
      <c r="G24" s="112">
        <v>22.6</v>
      </c>
      <c r="H24" s="115" t="s">
        <v>275</v>
      </c>
      <c r="I24" s="112"/>
      <c r="J24" s="96" t="s">
        <v>278</v>
      </c>
      <c r="K24" s="96" t="s">
        <v>136</v>
      </c>
      <c r="L24" s="33">
        <f>VLOOKUP(K24,Reinigungstage!$A$10:$L$31,12,FALSE)</f>
        <v>8</v>
      </c>
      <c r="M24" s="33">
        <f t="shared" si="0"/>
        <v>180.8</v>
      </c>
      <c r="N24" s="113">
        <f t="shared" si="1"/>
        <v>0</v>
      </c>
      <c r="O24" s="33">
        <f ca="1">IF('SVS UnterhaltsRG'!H61="",0,'SVS UnterhaltsRG'!H61)</f>
        <v>0</v>
      </c>
      <c r="P24" s="33">
        <f t="shared" si="2"/>
        <v>0</v>
      </c>
      <c r="Q24" s="33">
        <f t="shared" ca="1" si="3"/>
        <v>0</v>
      </c>
      <c r="R24" s="33">
        <f t="shared" si="4"/>
        <v>0</v>
      </c>
      <c r="S24" s="33">
        <f t="shared" ca="1" si="5"/>
        <v>0</v>
      </c>
      <c r="T24" s="3" t="str">
        <f t="shared" si="6"/>
        <v>Leistungswert eintragen</v>
      </c>
      <c r="U24" s="3">
        <f t="shared" si="7"/>
        <v>175</v>
      </c>
      <c r="V24" s="3">
        <f t="shared" si="8"/>
        <v>0</v>
      </c>
    </row>
    <row r="25" spans="1:22" ht="74.099999999999994" customHeight="1" x14ac:dyDescent="0.2">
      <c r="A25" s="96">
        <v>4</v>
      </c>
      <c r="B25" s="110"/>
      <c r="C25" s="111" t="s">
        <v>208</v>
      </c>
      <c r="D25" s="111"/>
      <c r="E25" s="111" t="s">
        <v>274</v>
      </c>
      <c r="F25" s="111" t="s">
        <v>210</v>
      </c>
      <c r="G25" s="112">
        <v>28.5</v>
      </c>
      <c r="H25" s="115" t="s">
        <v>275</v>
      </c>
      <c r="I25" s="112"/>
      <c r="J25" s="96" t="s">
        <v>278</v>
      </c>
      <c r="K25" s="96" t="s">
        <v>136</v>
      </c>
      <c r="L25" s="33">
        <f>VLOOKUP(K25,Reinigungstage!$A$10:$L$31,12,FALSE)</f>
        <v>8</v>
      </c>
      <c r="M25" s="33">
        <f t="shared" si="0"/>
        <v>228</v>
      </c>
      <c r="N25" s="113">
        <f t="shared" si="1"/>
        <v>0</v>
      </c>
      <c r="O25" s="33">
        <f ca="1">IF('SVS UnterhaltsRG'!H61="",0,'SVS UnterhaltsRG'!H61)</f>
        <v>0</v>
      </c>
      <c r="P25" s="33">
        <f t="shared" si="2"/>
        <v>0</v>
      </c>
      <c r="Q25" s="33">
        <f t="shared" ca="1" si="3"/>
        <v>0</v>
      </c>
      <c r="R25" s="33">
        <f t="shared" si="4"/>
        <v>0</v>
      </c>
      <c r="S25" s="33">
        <f t="shared" ca="1" si="5"/>
        <v>0</v>
      </c>
      <c r="T25" s="3" t="str">
        <f t="shared" si="6"/>
        <v>Leistungswert eintragen</v>
      </c>
      <c r="U25" s="3">
        <f t="shared" si="7"/>
        <v>175</v>
      </c>
      <c r="V25" s="3">
        <f t="shared" si="8"/>
        <v>0</v>
      </c>
    </row>
    <row r="26" spans="1:22" ht="24" customHeight="1" x14ac:dyDescent="0.2">
      <c r="A26" s="96">
        <v>5</v>
      </c>
      <c r="B26" s="110"/>
      <c r="C26" s="111" t="s">
        <v>208</v>
      </c>
      <c r="D26" s="111"/>
      <c r="E26" s="111" t="s">
        <v>253</v>
      </c>
      <c r="F26" s="111" t="s">
        <v>210</v>
      </c>
      <c r="G26" s="112">
        <v>30</v>
      </c>
      <c r="H26" s="115" t="s">
        <v>276</v>
      </c>
      <c r="I26" s="112">
        <v>2</v>
      </c>
      <c r="J26" s="96" t="s">
        <v>217</v>
      </c>
      <c r="K26" s="112">
        <v>1</v>
      </c>
      <c r="L26" s="33">
        <f>VLOOKUP(K26,Reinigungstage!$A$10:$L$31,5,FALSE)</f>
        <v>38.950000000000003</v>
      </c>
      <c r="M26" s="33">
        <f t="shared" si="0"/>
        <v>1168.5</v>
      </c>
      <c r="N26" s="113">
        <f t="shared" si="1"/>
        <v>0</v>
      </c>
      <c r="O26" s="33">
        <f ca="1">IF('SVS UnterhaltsRG'!H61="",0,'SVS UnterhaltsRG'!H61)</f>
        <v>0</v>
      </c>
      <c r="P26" s="33">
        <f t="shared" si="2"/>
        <v>0</v>
      </c>
      <c r="Q26" s="33">
        <f t="shared" ca="1" si="3"/>
        <v>0</v>
      </c>
      <c r="R26" s="33">
        <f t="shared" si="4"/>
        <v>0</v>
      </c>
      <c r="S26" s="33">
        <f t="shared" ca="1" si="5"/>
        <v>0</v>
      </c>
      <c r="T26" s="3" t="str">
        <f t="shared" si="6"/>
        <v>Leistungswert eintragen</v>
      </c>
      <c r="U26" s="3">
        <f t="shared" si="7"/>
        <v>300</v>
      </c>
      <c r="V26" s="3">
        <f t="shared" si="8"/>
        <v>0</v>
      </c>
    </row>
    <row r="27" spans="1:22" ht="24" customHeight="1" x14ac:dyDescent="0.2">
      <c r="A27" s="96">
        <v>6</v>
      </c>
      <c r="B27" s="110"/>
      <c r="C27" s="111" t="s">
        <v>208</v>
      </c>
      <c r="D27" s="111"/>
      <c r="E27" s="111" t="s">
        <v>277</v>
      </c>
      <c r="F27" s="111" t="s">
        <v>221</v>
      </c>
      <c r="G27" s="112">
        <v>10.9</v>
      </c>
      <c r="H27" s="115" t="s">
        <v>276</v>
      </c>
      <c r="I27" s="112"/>
      <c r="J27" s="96" t="s">
        <v>216</v>
      </c>
      <c r="K27" s="112">
        <v>1</v>
      </c>
      <c r="L27" s="33">
        <f>VLOOKUP(K27,Reinigungstage!$A$10:$L$31,5,FALSE)</f>
        <v>38.950000000000003</v>
      </c>
      <c r="M27" s="33">
        <f t="shared" si="0"/>
        <v>424.56</v>
      </c>
      <c r="N27" s="113">
        <f t="shared" si="1"/>
        <v>0</v>
      </c>
      <c r="O27" s="33">
        <f ca="1">IF('SVS UnterhaltsRG'!H61="",0,'SVS UnterhaltsRG'!H61)</f>
        <v>0</v>
      </c>
      <c r="P27" s="33">
        <f t="shared" si="2"/>
        <v>0</v>
      </c>
      <c r="Q27" s="33">
        <f t="shared" ca="1" si="3"/>
        <v>0</v>
      </c>
      <c r="R27" s="33">
        <f t="shared" si="4"/>
        <v>0</v>
      </c>
      <c r="S27" s="33">
        <f t="shared" ca="1" si="5"/>
        <v>0</v>
      </c>
      <c r="T27" s="3" t="str">
        <f t="shared" si="6"/>
        <v>Leistungswert eintragen</v>
      </c>
      <c r="U27" s="3">
        <f t="shared" si="7"/>
        <v>63.75</v>
      </c>
      <c r="V27" s="3">
        <f t="shared" si="8"/>
        <v>0</v>
      </c>
    </row>
    <row r="28" spans="1:22" ht="24" customHeight="1" x14ac:dyDescent="0.2">
      <c r="A28" s="96">
        <v>7</v>
      </c>
      <c r="B28" s="110"/>
      <c r="C28" s="111" t="s">
        <v>208</v>
      </c>
      <c r="D28" s="111"/>
      <c r="E28" s="111" t="s">
        <v>277</v>
      </c>
      <c r="F28" s="111" t="s">
        <v>221</v>
      </c>
      <c r="G28" s="112">
        <v>10.7</v>
      </c>
      <c r="H28" s="115" t="s">
        <v>276</v>
      </c>
      <c r="I28" s="112"/>
      <c r="J28" s="96" t="s">
        <v>216</v>
      </c>
      <c r="K28" s="112">
        <v>1</v>
      </c>
      <c r="L28" s="33">
        <f>VLOOKUP(K28,Reinigungstage!$A$10:$L$31,5,FALSE)</f>
        <v>38.950000000000003</v>
      </c>
      <c r="M28" s="33">
        <f t="shared" si="0"/>
        <v>416.77</v>
      </c>
      <c r="N28" s="113">
        <f t="shared" si="1"/>
        <v>0</v>
      </c>
      <c r="O28" s="33">
        <f ca="1">IF('SVS UnterhaltsRG'!H61="",0,'SVS UnterhaltsRG'!H61)</f>
        <v>0</v>
      </c>
      <c r="P28" s="33">
        <f t="shared" si="2"/>
        <v>0</v>
      </c>
      <c r="Q28" s="33">
        <f t="shared" ca="1" si="3"/>
        <v>0</v>
      </c>
      <c r="R28" s="33">
        <f t="shared" si="4"/>
        <v>0</v>
      </c>
      <c r="S28" s="33">
        <f t="shared" ca="1" si="5"/>
        <v>0</v>
      </c>
      <c r="T28" s="3" t="str">
        <f t="shared" si="6"/>
        <v>Leistungswert eintragen</v>
      </c>
      <c r="U28" s="3">
        <f t="shared" si="7"/>
        <v>63.75</v>
      </c>
      <c r="V28" s="3">
        <f t="shared" si="8"/>
        <v>0</v>
      </c>
    </row>
    <row r="29" spans="1:22" ht="33.950000000000003" customHeight="1" x14ac:dyDescent="0.2">
      <c r="A29" s="96">
        <v>8</v>
      </c>
      <c r="B29" s="110"/>
      <c r="C29" s="111" t="s">
        <v>208</v>
      </c>
      <c r="D29" s="111"/>
      <c r="E29" s="111" t="s">
        <v>209</v>
      </c>
      <c r="F29" s="111" t="s">
        <v>221</v>
      </c>
      <c r="G29" s="112">
        <v>6.9</v>
      </c>
      <c r="H29" s="115" t="s">
        <v>273</v>
      </c>
      <c r="I29" s="112"/>
      <c r="J29" s="96" t="s">
        <v>216</v>
      </c>
      <c r="K29" s="112">
        <v>5</v>
      </c>
      <c r="L29" s="33">
        <f>VLOOKUP(K29,Reinigungstage!$A$10:$L$31,11,FALSE)</f>
        <v>84.5</v>
      </c>
      <c r="M29" s="33">
        <f t="shared" si="0"/>
        <v>583.04999999999995</v>
      </c>
      <c r="N29" s="113">
        <f t="shared" si="1"/>
        <v>0</v>
      </c>
      <c r="O29" s="33">
        <f ca="1">IF('SVS UnterhaltsRG'!H61="",0,'SVS UnterhaltsRG'!H61)</f>
        <v>0</v>
      </c>
      <c r="P29" s="33">
        <f t="shared" si="2"/>
        <v>0</v>
      </c>
      <c r="Q29" s="33">
        <f t="shared" ca="1" si="3"/>
        <v>0</v>
      </c>
      <c r="R29" s="33">
        <f t="shared" si="4"/>
        <v>0</v>
      </c>
      <c r="S29" s="33">
        <f t="shared" ca="1" si="5"/>
        <v>0</v>
      </c>
      <c r="T29" s="3" t="str">
        <f t="shared" si="6"/>
        <v>Leistungswert eintragen</v>
      </c>
      <c r="U29" s="3">
        <f t="shared" si="7"/>
        <v>63.75</v>
      </c>
      <c r="V29" s="3">
        <f t="shared" si="8"/>
        <v>0</v>
      </c>
    </row>
    <row r="30" spans="1:22" ht="33.950000000000003" customHeight="1" x14ac:dyDescent="0.2">
      <c r="A30" s="96">
        <v>9</v>
      </c>
      <c r="B30" s="110"/>
      <c r="C30" s="111" t="s">
        <v>208</v>
      </c>
      <c r="D30" s="111"/>
      <c r="E30" s="111" t="s">
        <v>211</v>
      </c>
      <c r="F30" s="111" t="s">
        <v>221</v>
      </c>
      <c r="G30" s="112">
        <v>4</v>
      </c>
      <c r="H30" s="115" t="s">
        <v>273</v>
      </c>
      <c r="I30" s="112"/>
      <c r="J30" s="96" t="s">
        <v>216</v>
      </c>
      <c r="K30" s="112">
        <v>5</v>
      </c>
      <c r="L30" s="33">
        <f>VLOOKUP(K30,Reinigungstage!$A$10:$L$31,11,FALSE)</f>
        <v>84.5</v>
      </c>
      <c r="M30" s="33">
        <f t="shared" si="0"/>
        <v>338</v>
      </c>
      <c r="N30" s="113">
        <f t="shared" si="1"/>
        <v>0</v>
      </c>
      <c r="O30" s="33">
        <f ca="1">IF('SVS UnterhaltsRG'!H61="",0,'SVS UnterhaltsRG'!H61)</f>
        <v>0</v>
      </c>
      <c r="P30" s="33">
        <f t="shared" si="2"/>
        <v>0</v>
      </c>
      <c r="Q30" s="33">
        <f t="shared" ca="1" si="3"/>
        <v>0</v>
      </c>
      <c r="R30" s="33">
        <f t="shared" si="4"/>
        <v>0</v>
      </c>
      <c r="S30" s="33">
        <f t="shared" ca="1" si="5"/>
        <v>0</v>
      </c>
      <c r="T30" s="3" t="str">
        <f t="shared" si="6"/>
        <v>Leistungswert eintragen</v>
      </c>
      <c r="U30" s="3">
        <f t="shared" si="7"/>
        <v>63.75</v>
      </c>
      <c r="V30" s="3">
        <f t="shared" si="8"/>
        <v>0</v>
      </c>
    </row>
    <row r="31" spans="1:22" ht="74.099999999999994" customHeight="1" x14ac:dyDescent="0.2">
      <c r="A31" s="96">
        <v>10</v>
      </c>
      <c r="B31" s="110"/>
      <c r="C31" s="111" t="s">
        <v>208</v>
      </c>
      <c r="D31" s="111"/>
      <c r="E31" s="111" t="s">
        <v>209</v>
      </c>
      <c r="F31" s="111" t="s">
        <v>221</v>
      </c>
      <c r="G31" s="112">
        <v>6.9</v>
      </c>
      <c r="H31" s="115" t="s">
        <v>275</v>
      </c>
      <c r="I31" s="112"/>
      <c r="J31" s="96" t="s">
        <v>216</v>
      </c>
      <c r="K31" s="112">
        <v>1</v>
      </c>
      <c r="L31" s="33">
        <f>VLOOKUP(K31,Reinigungstage!$A$10:$L$31,12,FALSE)</f>
        <v>34.950000000000003</v>
      </c>
      <c r="M31" s="33">
        <f t="shared" si="0"/>
        <v>241.16</v>
      </c>
      <c r="N31" s="113">
        <f t="shared" si="1"/>
        <v>0</v>
      </c>
      <c r="O31" s="33">
        <f ca="1">IF('SVS UnterhaltsRG'!H61="",0,'SVS UnterhaltsRG'!H61)</f>
        <v>0</v>
      </c>
      <c r="P31" s="33">
        <f t="shared" si="2"/>
        <v>0</v>
      </c>
      <c r="Q31" s="33">
        <f t="shared" ca="1" si="3"/>
        <v>0</v>
      </c>
      <c r="R31" s="33">
        <f t="shared" si="4"/>
        <v>0</v>
      </c>
      <c r="S31" s="33">
        <f t="shared" ca="1" si="5"/>
        <v>0</v>
      </c>
      <c r="T31" s="3" t="str">
        <f t="shared" si="6"/>
        <v>Leistungswert eintragen</v>
      </c>
      <c r="U31" s="3">
        <f t="shared" si="7"/>
        <v>63.75</v>
      </c>
      <c r="V31" s="3">
        <f t="shared" si="8"/>
        <v>0</v>
      </c>
    </row>
    <row r="32" spans="1:22" ht="74.099999999999994" customHeight="1" x14ac:dyDescent="0.2">
      <c r="A32" s="96">
        <v>11</v>
      </c>
      <c r="B32" s="110"/>
      <c r="C32" s="111" t="s">
        <v>208</v>
      </c>
      <c r="D32" s="111"/>
      <c r="E32" s="111" t="s">
        <v>211</v>
      </c>
      <c r="F32" s="111" t="s">
        <v>221</v>
      </c>
      <c r="G32" s="112">
        <v>4</v>
      </c>
      <c r="H32" s="115" t="s">
        <v>275</v>
      </c>
      <c r="I32" s="112"/>
      <c r="J32" s="96" t="s">
        <v>216</v>
      </c>
      <c r="K32" s="112">
        <v>1</v>
      </c>
      <c r="L32" s="33">
        <f>VLOOKUP(K32,Reinigungstage!$A$10:$L$31,12,FALSE)</f>
        <v>34.950000000000003</v>
      </c>
      <c r="M32" s="33">
        <f t="shared" si="0"/>
        <v>139.80000000000001</v>
      </c>
      <c r="N32" s="113">
        <f t="shared" si="1"/>
        <v>0</v>
      </c>
      <c r="O32" s="33">
        <f ca="1">IF('SVS UnterhaltsRG'!H61="",0,'SVS UnterhaltsRG'!H61)</f>
        <v>0</v>
      </c>
      <c r="P32" s="33">
        <f t="shared" si="2"/>
        <v>0</v>
      </c>
      <c r="Q32" s="33">
        <f t="shared" ca="1" si="3"/>
        <v>0</v>
      </c>
      <c r="R32" s="33">
        <f t="shared" si="4"/>
        <v>0</v>
      </c>
      <c r="S32" s="33">
        <f t="shared" ca="1" si="5"/>
        <v>0</v>
      </c>
      <c r="T32" s="3" t="str">
        <f t="shared" si="6"/>
        <v>Leistungswert eintragen</v>
      </c>
      <c r="U32" s="3">
        <f t="shared" si="7"/>
        <v>63.75</v>
      </c>
      <c r="V32" s="3">
        <f t="shared" si="8"/>
        <v>0</v>
      </c>
    </row>
  </sheetData>
  <sheetProtection algorithmName="SHA-512" hashValue="MUTRHjoBmZD5aJOuAVTdscxkhxMF/XtYD7cIClGs9iGR11tAbIh40ia06eOhdOKhp5F44J3ioYSWLGIVaLwKzQ==" saltValue="eqKlbZZuT89VVxI5MQ7Ofg==" spinCount="100000" sheet="1" objects="1" scenarios="1"/>
  <sortState xmlns:xlrd2="http://schemas.microsoft.com/office/spreadsheetml/2017/richdata2" ref="U4:U6">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2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7" priority="5" operator="containsText" text="Bitte prüfen Sie diese.">
      <formula>NOT(ISERROR(SEARCH("Bitte prüfen Sie diese.",L9)))</formula>
    </cfRule>
  </conditionalFormatting>
  <conditionalFormatting sqref="L10">
    <cfRule type="containsText" dxfId="2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5" priority="3" operator="containsText" text="lediglich Fehleingaben vermeiden wollen.">
      <formula>NOT(ISERROR(SEARCH("lediglich Fehleingaben vermeiden wollen.",L11)))</formula>
    </cfRule>
  </conditionalFormatting>
  <conditionalFormatting sqref="M11">
    <cfRule type="containsText" dxfId="2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3" priority="7" operator="containsText" text="für die Objektart prüfen.">
      <formula>NOT(ISERROR(SEARCH("für die Objektart prüfen.",M12)))</formula>
    </cfRule>
  </conditionalFormatting>
  <conditionalFormatting sqref="N13">
    <cfRule type="expression" dxfId="22" priority="2" stopIfTrue="1">
      <formula>N13=0</formula>
    </cfRule>
  </conditionalFormatting>
  <conditionalFormatting sqref="N14">
    <cfRule type="expression" dxfId="21" priority="1">
      <formula>N14=0</formula>
    </cfRule>
  </conditionalFormatting>
  <conditionalFormatting sqref="N22:N32">
    <cfRule type="expression" dxfId="20" priority="11">
      <formula>V22=0</formula>
    </cfRule>
    <cfRule type="expression" dxfId="19" priority="12" stopIfTrue="1">
      <formula>V22=1</formula>
    </cfRule>
  </conditionalFormatting>
  <conditionalFormatting sqref="O13">
    <cfRule type="containsText" dxfId="1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7" priority="9" operator="containsText" text="Wert(e) prüfen.">
      <formula>NOT(ISERROR(SEARCH("Wert(e) prüfen.",O14)))</formula>
    </cfRule>
  </conditionalFormatting>
  <conditionalFormatting sqref="T22:T32">
    <cfRule type="containsText" dxfId="16" priority="13" stopIfTrue="1" operator="containsText" text="SVS prüfen">
      <formula>NOT(ISERROR(SEARCH("SVS prüfen",T22)))</formula>
    </cfRule>
    <cfRule type="containsText" dxfId="15" priority="14" stopIfTrue="1" operator="containsText" text="Leistungswert eintragen">
      <formula>NOT(ISERROR(SEARCH("Leistungswert eintragen",T22)))</formula>
    </cfRule>
  </conditionalFormatting>
  <hyperlinks>
    <hyperlink ref="M1" location="Inhaltsverzeichnis!A1" display="Zurück zum Inhaltsverzeichnis" xr:uid="{0919E863-F261-4581-987A-FE16E9C2A014}"/>
  </hyperlinks>
  <printOptions horizontalCentered="1"/>
  <pageMargins left="0.78740157480314965" right="0.78740157480314965" top="0.98425196850393704" bottom="0.98425196850393704" header="0.51181102362204722" footer="0.51181102362204722"/>
  <pageSetup paperSize="9" scale="58" orientation="landscape" r:id="rId1"/>
  <headerFooter alignWithMargins="0">
    <oddHeader>&amp;L&amp;F</oddHeader>
    <oddFooter>&amp;LSalzstadt Staßfurt&amp;CSeite &amp;P von &amp;N&amp;RKal Unter Sport Förderst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9570"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9571"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9572"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06FE2-A7D1-473C-B2E9-32480E6BB2D7}">
  <sheetPr codeName="Tabelle39">
    <tabColor indexed="40"/>
  </sheetPr>
  <dimension ref="A1:X28"/>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76" t="s">
        <v>150</v>
      </c>
      <c r="B2" s="177"/>
      <c r="C2" s="177"/>
      <c r="D2" s="177"/>
      <c r="E2" s="178"/>
      <c r="G2" s="179" t="s">
        <v>163</v>
      </c>
      <c r="H2" s="179" t="s">
        <v>155</v>
      </c>
      <c r="I2" s="179" t="s">
        <v>156</v>
      </c>
      <c r="J2" s="179" t="s">
        <v>175</v>
      </c>
      <c r="M2" s="77"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4" customHeight="1" x14ac:dyDescent="0.2">
      <c r="A3" s="97" t="s">
        <v>158</v>
      </c>
      <c r="B3" s="98"/>
      <c r="C3" s="98"/>
      <c r="D3" s="98"/>
      <c r="E3" s="99"/>
      <c r="G3" s="180"/>
      <c r="H3" s="180"/>
      <c r="I3" s="180"/>
      <c r="J3" s="180"/>
      <c r="M3" s="77" t="b">
        <v>0</v>
      </c>
      <c r="N3" s="130"/>
      <c r="O3" s="130"/>
      <c r="P3" s="130"/>
      <c r="Q3" s="130"/>
    </row>
    <row r="4" spans="1:22" ht="18.600000000000001" customHeight="1" x14ac:dyDescent="0.2">
      <c r="A4" s="174" t="s">
        <v>91</v>
      </c>
      <c r="B4" s="184" t="str">
        <f>IF(Inhaltsverzeichnis!C3="","",Inhaltsverzeichnis!C3)</f>
        <v/>
      </c>
      <c r="C4" s="185"/>
      <c r="D4" s="185"/>
      <c r="E4" s="186"/>
      <c r="G4" s="96" t="s">
        <v>216</v>
      </c>
      <c r="H4" s="100"/>
      <c r="I4" s="101">
        <f ca="1">SUMIF('Kal Grund Sport Förderst'!J22:M28,$G$4,'Kal Grund Sport Förderst'!M22:M28)</f>
        <v>32.5</v>
      </c>
      <c r="J4" s="54">
        <f>COUNTIFS('Kal Grund Sport Förderst'!J22:M28,$G$4)</f>
        <v>4</v>
      </c>
      <c r="M4" s="77" t="b">
        <v>0</v>
      </c>
      <c r="N4" s="130"/>
      <c r="O4" s="130"/>
      <c r="P4" s="130"/>
      <c r="Q4" s="130"/>
      <c r="U4" s="96" t="s">
        <v>216</v>
      </c>
      <c r="V4" s="3">
        <v>6.25</v>
      </c>
    </row>
    <row r="5" spans="1:22" ht="15" customHeight="1" x14ac:dyDescent="0.2">
      <c r="A5" s="175"/>
      <c r="B5" s="187"/>
      <c r="C5" s="188"/>
      <c r="D5" s="188"/>
      <c r="E5" s="189"/>
      <c r="G5" s="96" t="s">
        <v>278</v>
      </c>
      <c r="H5" s="100"/>
      <c r="I5" s="101">
        <f ca="1">SUMIF('Kal Grund Sport Förderst'!J22:M28,$G$5,'Kal Grund Sport Förderst'!M22:M28)</f>
        <v>51.1</v>
      </c>
      <c r="J5" s="54">
        <f>COUNTIFS('Kal Grund Sport Förderst'!J22:M28,$G$5)</f>
        <v>2</v>
      </c>
      <c r="M5" s="77" t="b">
        <v>0</v>
      </c>
      <c r="N5" s="130"/>
      <c r="O5" s="130"/>
      <c r="P5" s="130"/>
      <c r="Q5" s="130"/>
      <c r="U5" s="96" t="s">
        <v>278</v>
      </c>
      <c r="V5" s="3">
        <v>13.88</v>
      </c>
    </row>
    <row r="6" spans="1:22" ht="15" customHeight="1" x14ac:dyDescent="0.2">
      <c r="A6" s="102" t="s">
        <v>173</v>
      </c>
      <c r="B6" s="153" t="s">
        <v>191</v>
      </c>
      <c r="C6" s="190"/>
      <c r="D6" s="190"/>
      <c r="E6" s="191"/>
      <c r="G6" s="96" t="s">
        <v>217</v>
      </c>
      <c r="H6" s="100"/>
      <c r="I6" s="101">
        <f ca="1">SUMIF('Kal Grund Sport Förderst'!J22:M28,$G$6,'Kal Grund Sport Förderst'!M22:M28)</f>
        <v>30</v>
      </c>
      <c r="J6" s="54">
        <f>COUNTIFS('Kal Grund Sport Förderst'!J22:M28,$G$6)</f>
        <v>1</v>
      </c>
      <c r="U6" s="96" t="s">
        <v>217</v>
      </c>
      <c r="V6" s="3">
        <v>21</v>
      </c>
    </row>
    <row r="7" spans="1:22" ht="15" customHeight="1" x14ac:dyDescent="0.2">
      <c r="A7" s="103" t="s">
        <v>171</v>
      </c>
      <c r="B7" s="192" t="s">
        <v>204</v>
      </c>
      <c r="C7" s="190"/>
      <c r="D7" s="190"/>
      <c r="E7" s="191"/>
    </row>
    <row r="8" spans="1:22" ht="15" customHeight="1" x14ac:dyDescent="0.2">
      <c r="A8" s="103" t="s">
        <v>172</v>
      </c>
      <c r="B8" s="153"/>
      <c r="C8" s="190"/>
      <c r="D8" s="190"/>
      <c r="E8" s="191"/>
      <c r="L8" s="104" t="str">
        <f>IF(N14&gt;0,"Ihre Eintragungen der Leistungswerte liegen weit über den Erfahrungswerten aus der Preisschätzung.","")</f>
        <v/>
      </c>
    </row>
    <row r="9" spans="1:22" ht="15" customHeight="1" x14ac:dyDescent="0.2">
      <c r="A9" s="102" t="s">
        <v>170</v>
      </c>
      <c r="B9" s="193" t="s">
        <v>203</v>
      </c>
      <c r="C9" s="190"/>
      <c r="D9" s="190"/>
      <c r="E9" s="191"/>
      <c r="L9" s="104" t="str">
        <f>IF(N14&gt;0,"Bitte prüfen Sie diese.","")</f>
        <v/>
      </c>
    </row>
    <row r="10" spans="1:22" ht="15" customHeight="1" x14ac:dyDescent="0.2">
      <c r="A10" s="103" t="s">
        <v>152</v>
      </c>
      <c r="B10" s="153" t="s">
        <v>205</v>
      </c>
      <c r="C10" s="190"/>
      <c r="D10" s="190"/>
      <c r="E10" s="191"/>
      <c r="L10" s="104" t="str">
        <f>IF(N14&gt;0,"Beachten Sie, dass Sie frei in der Kalkulation dieser Leistungswerte sind und wir durch den Hinweis","")</f>
        <v/>
      </c>
    </row>
    <row r="11" spans="1:22" ht="15" customHeight="1" x14ac:dyDescent="0.2">
      <c r="A11" s="103" t="s">
        <v>153</v>
      </c>
      <c r="B11" s="194" t="s">
        <v>194</v>
      </c>
      <c r="C11" s="190"/>
      <c r="D11" s="190"/>
      <c r="E11" s="191"/>
      <c r="L11" s="104" t="str">
        <f>IF(N14&gt;0,"lediglich Fehleingaben vermeiden wollen.","")</f>
        <v/>
      </c>
    </row>
    <row r="12" spans="1:22" ht="15" customHeight="1" x14ac:dyDescent="0.2">
      <c r="A12" s="103" t="s">
        <v>154</v>
      </c>
      <c r="B12" s="153" t="s">
        <v>199</v>
      </c>
      <c r="C12" s="190"/>
      <c r="D12" s="190"/>
      <c r="E12" s="191"/>
    </row>
    <row r="13" spans="1:22" ht="15" customHeight="1" x14ac:dyDescent="0.2">
      <c r="A13" s="103" t="s">
        <v>157</v>
      </c>
      <c r="B13" s="181" t="str">
        <f>HYPERLINK("http://maps.google.de/maps?hl=de&amp;bav=on.2,or.r_qf.&amp;bvm=bv.44770516,d.Yms&amp;biw=1395&amp;bih=916&amp;um=1&amp;ie=UTF-8&amp;q="&amp;B7&amp;"+"&amp;B8&amp;"+"&amp;B10&amp;"+"&amp;B11&amp;"+"&amp;B12&amp;"","In Google-Maps anzeigen (wenn Internet verfügbar)")</f>
        <v>In Google-Maps anzeigen (wenn Internet verfügbar)</v>
      </c>
      <c r="C13" s="182"/>
      <c r="D13" s="182"/>
      <c r="E13" s="183"/>
    </row>
    <row r="14" spans="1:22" ht="15" customHeight="1" x14ac:dyDescent="0.2">
      <c r="N14" s="105">
        <f>COUNTIF(X22:X$28,1)</f>
        <v>0</v>
      </c>
      <c r="O14" s="3" t="str">
        <f>IF(N14&gt;0,"Wert(e) prüfen.","")</f>
        <v/>
      </c>
      <c r="S14" s="106">
        <f>IF(COUNTA($S$22:$S$28)-COUNTBLANK($S$22:$S$28)=0,"",COUNTA($S$22:$S$28)-COUNTBLANK($S$22:$S$28))</f>
        <v>7</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354</v>
      </c>
      <c r="J20" s="1" t="s">
        <v>99</v>
      </c>
      <c r="K20" s="1" t="s">
        <v>104</v>
      </c>
      <c r="L20" s="1" t="s">
        <v>108</v>
      </c>
      <c r="M20" s="1" t="s">
        <v>109</v>
      </c>
      <c r="N20" s="1" t="s">
        <v>105</v>
      </c>
      <c r="O20" s="1" t="s">
        <v>110</v>
      </c>
      <c r="P20" s="1" t="s">
        <v>111</v>
      </c>
      <c r="Q20" s="1" t="s">
        <v>112</v>
      </c>
      <c r="R20" s="1" t="s">
        <v>133</v>
      </c>
    </row>
    <row r="21" spans="1:24" ht="29.1" customHeight="1" x14ac:dyDescent="0.2">
      <c r="A21" s="107" t="s">
        <v>118</v>
      </c>
      <c r="B21" s="12"/>
      <c r="C21" s="12"/>
      <c r="D21" s="12"/>
      <c r="E21" s="12"/>
      <c r="F21" s="12"/>
      <c r="G21" s="108">
        <f>SUM($G$22:$G$28)</f>
        <v>113.60000000000001</v>
      </c>
      <c r="H21" s="108">
        <f>SUM($H$22:$H$28)</f>
        <v>0</v>
      </c>
      <c r="I21" s="108">
        <f>SUM($I$22:$I$28)</f>
        <v>2</v>
      </c>
      <c r="J21" s="33"/>
      <c r="K21" s="33"/>
      <c r="L21" s="109">
        <f>MAX(L22:L28)</f>
        <v>1</v>
      </c>
      <c r="M21" s="108">
        <f>SUM($M$22:$M$28)</f>
        <v>113.60000000000001</v>
      </c>
      <c r="N21" s="33"/>
      <c r="O21" s="33"/>
      <c r="P21" s="108">
        <f>SUM($P$22:$P$28)</f>
        <v>0</v>
      </c>
      <c r="Q21" s="108">
        <f>SUM($Q$22:$Q$28)</f>
        <v>0</v>
      </c>
      <c r="R21" s="108">
        <f>ROUND(IF(Q21=0,0,Q21/L21),2)</f>
        <v>0</v>
      </c>
    </row>
    <row r="22" spans="1:24" ht="15" customHeight="1" x14ac:dyDescent="0.2">
      <c r="A22" s="96">
        <v>1</v>
      </c>
      <c r="B22" s="110"/>
      <c r="C22" s="111" t="s">
        <v>208</v>
      </c>
      <c r="D22" s="111"/>
      <c r="E22" s="111" t="s">
        <v>272</v>
      </c>
      <c r="F22" s="111" t="s">
        <v>210</v>
      </c>
      <c r="G22" s="112">
        <v>22.6</v>
      </c>
      <c r="H22" s="112"/>
      <c r="I22" s="112"/>
      <c r="J22" s="96" t="s">
        <v>278</v>
      </c>
      <c r="K22" s="96" t="s">
        <v>142</v>
      </c>
      <c r="L22" s="33">
        <f>VLOOKUP(K22,Reinigungstage!A10:I31,9,FALSE)</f>
        <v>1</v>
      </c>
      <c r="M22" s="33">
        <f t="shared" ref="M22:M28" si="0">ROUND(IF(L22=0,0,L22*G22),2)</f>
        <v>22.6</v>
      </c>
      <c r="N22" s="113">
        <f t="shared" ref="N22:N28" si="1">VLOOKUP(J22,$G$4:$H$6,2,FALSE)</f>
        <v>0</v>
      </c>
      <c r="O22" s="33">
        <f ca="1">IF('SVS GrundRG'!H61="",0,'SVS GrundRG'!H61)</f>
        <v>0</v>
      </c>
      <c r="P22" s="33">
        <f t="shared" ref="P22:P28" si="2">ROUND(IF(N22=0,0,M22/N22),2)</f>
        <v>0</v>
      </c>
      <c r="Q22" s="33">
        <f t="shared" ref="Q22:Q28" si="3">ROUND(IF(P22=0,0,P22*O22),2)</f>
        <v>0</v>
      </c>
      <c r="R22" s="33">
        <f t="shared" ref="R22:R28" si="4">ROUND(IF(P22=0,0,Q22/L22),2)</f>
        <v>0</v>
      </c>
      <c r="S22" s="3" t="str">
        <f t="shared" ref="S22:S28" si="5">IF(M22=0,"",IF(N22=0,"Leistungswert eintragen",IF(O22=0,"SVS prüfen","")))</f>
        <v>Leistungswert eintragen</v>
      </c>
      <c r="U22" s="3">
        <f t="shared" ref="U22:U28" si="6">VLOOKUP(J22,$U$4:$V$6,2,FALSE)</f>
        <v>13.88</v>
      </c>
      <c r="V22" s="3">
        <f t="shared" ref="V22:V28" si="7">U22*30%</f>
        <v>4.1639999999999997</v>
      </c>
      <c r="W22" s="3">
        <f t="shared" ref="W22:W28" si="8">SUM(U22:V22)</f>
        <v>18.044</v>
      </c>
      <c r="X22" s="3" t="str">
        <f t="shared" ref="X22:X28" si="9">IF(N22=0,"",IF(W22&lt;N22,1,IF(W22&gt;=N22,0,"")))</f>
        <v/>
      </c>
    </row>
    <row r="23" spans="1:24" ht="21" x14ac:dyDescent="0.2">
      <c r="A23" s="96">
        <v>2</v>
      </c>
      <c r="B23" s="110"/>
      <c r="C23" s="111" t="s">
        <v>208</v>
      </c>
      <c r="D23" s="111"/>
      <c r="E23" s="111" t="s">
        <v>350</v>
      </c>
      <c r="F23" s="111" t="s">
        <v>210</v>
      </c>
      <c r="G23" s="112">
        <v>28.5</v>
      </c>
      <c r="H23" s="112"/>
      <c r="I23" s="112"/>
      <c r="J23" s="96" t="s">
        <v>278</v>
      </c>
      <c r="K23" s="96" t="s">
        <v>142</v>
      </c>
      <c r="L23" s="33">
        <f>VLOOKUP(K23,Reinigungstage!A10:I31,9,FALSE)</f>
        <v>1</v>
      </c>
      <c r="M23" s="33">
        <f t="shared" si="0"/>
        <v>28.5</v>
      </c>
      <c r="N23" s="113">
        <f t="shared" si="1"/>
        <v>0</v>
      </c>
      <c r="O23" s="33">
        <f ca="1">IF('SVS GrundRG'!H61="",0,'SVS GrundRG'!H61)</f>
        <v>0</v>
      </c>
      <c r="P23" s="33">
        <f t="shared" si="2"/>
        <v>0</v>
      </c>
      <c r="Q23" s="33">
        <f t="shared" si="3"/>
        <v>0</v>
      </c>
      <c r="R23" s="33">
        <f t="shared" si="4"/>
        <v>0</v>
      </c>
      <c r="S23" s="3" t="str">
        <f t="shared" si="5"/>
        <v>Leistungswert eintragen</v>
      </c>
      <c r="U23" s="3">
        <f t="shared" si="6"/>
        <v>13.88</v>
      </c>
      <c r="V23" s="3">
        <f t="shared" si="7"/>
        <v>4.1639999999999997</v>
      </c>
      <c r="W23" s="3">
        <f t="shared" si="8"/>
        <v>18.044</v>
      </c>
      <c r="X23" s="3" t="str">
        <f t="shared" si="9"/>
        <v/>
      </c>
    </row>
    <row r="24" spans="1:24" ht="15" customHeight="1" x14ac:dyDescent="0.2">
      <c r="A24" s="96">
        <v>3</v>
      </c>
      <c r="B24" s="110"/>
      <c r="C24" s="111" t="s">
        <v>208</v>
      </c>
      <c r="D24" s="111"/>
      <c r="E24" s="111" t="s">
        <v>253</v>
      </c>
      <c r="F24" s="111" t="s">
        <v>210</v>
      </c>
      <c r="G24" s="112">
        <v>30</v>
      </c>
      <c r="H24" s="112"/>
      <c r="I24" s="112">
        <v>2</v>
      </c>
      <c r="J24" s="96" t="s">
        <v>217</v>
      </c>
      <c r="K24" s="96" t="s">
        <v>142</v>
      </c>
      <c r="L24" s="33">
        <f>VLOOKUP(K24,Reinigungstage!A10:I31,9,FALSE)</f>
        <v>1</v>
      </c>
      <c r="M24" s="33">
        <f t="shared" si="0"/>
        <v>30</v>
      </c>
      <c r="N24" s="113">
        <f t="shared" si="1"/>
        <v>0</v>
      </c>
      <c r="O24" s="33">
        <f ca="1">IF('SVS GrundRG'!H61="",0,'SVS GrundRG'!H61)</f>
        <v>0</v>
      </c>
      <c r="P24" s="33">
        <f t="shared" si="2"/>
        <v>0</v>
      </c>
      <c r="Q24" s="33">
        <f t="shared" si="3"/>
        <v>0</v>
      </c>
      <c r="R24" s="33">
        <f t="shared" si="4"/>
        <v>0</v>
      </c>
      <c r="S24" s="3" t="str">
        <f t="shared" si="5"/>
        <v>Leistungswert eintragen</v>
      </c>
      <c r="U24" s="3">
        <f t="shared" si="6"/>
        <v>21</v>
      </c>
      <c r="V24" s="3">
        <f t="shared" si="7"/>
        <v>6.3</v>
      </c>
      <c r="W24" s="3">
        <f t="shared" si="8"/>
        <v>27.3</v>
      </c>
      <c r="X24" s="3" t="str">
        <f t="shared" si="9"/>
        <v/>
      </c>
    </row>
    <row r="25" spans="1:24" ht="15" customHeight="1" x14ac:dyDescent="0.2">
      <c r="A25" s="96">
        <v>4</v>
      </c>
      <c r="B25" s="110"/>
      <c r="C25" s="111" t="s">
        <v>208</v>
      </c>
      <c r="D25" s="111"/>
      <c r="E25" s="111" t="s">
        <v>277</v>
      </c>
      <c r="F25" s="111" t="s">
        <v>221</v>
      </c>
      <c r="G25" s="112">
        <v>10.9</v>
      </c>
      <c r="H25" s="112"/>
      <c r="I25" s="112"/>
      <c r="J25" s="96" t="s">
        <v>216</v>
      </c>
      <c r="K25" s="96" t="s">
        <v>142</v>
      </c>
      <c r="L25" s="33">
        <f>VLOOKUP(K25,Reinigungstage!A10:I31,9,FALSE)</f>
        <v>1</v>
      </c>
      <c r="M25" s="33">
        <f t="shared" si="0"/>
        <v>10.9</v>
      </c>
      <c r="N25" s="113">
        <f t="shared" si="1"/>
        <v>0</v>
      </c>
      <c r="O25" s="33">
        <f ca="1">IF('SVS GrundRG'!H61="",0,'SVS GrundRG'!H61)</f>
        <v>0</v>
      </c>
      <c r="P25" s="33">
        <f t="shared" si="2"/>
        <v>0</v>
      </c>
      <c r="Q25" s="33">
        <f t="shared" si="3"/>
        <v>0</v>
      </c>
      <c r="R25" s="33">
        <f t="shared" si="4"/>
        <v>0</v>
      </c>
      <c r="S25" s="3" t="str">
        <f t="shared" si="5"/>
        <v>Leistungswert eintragen</v>
      </c>
      <c r="U25" s="3">
        <f t="shared" si="6"/>
        <v>6.25</v>
      </c>
      <c r="V25" s="3">
        <f t="shared" si="7"/>
        <v>1.875</v>
      </c>
      <c r="W25" s="3">
        <f t="shared" si="8"/>
        <v>8.125</v>
      </c>
      <c r="X25" s="3" t="str">
        <f t="shared" si="9"/>
        <v/>
      </c>
    </row>
    <row r="26" spans="1:24" ht="15" customHeight="1" x14ac:dyDescent="0.2">
      <c r="A26" s="96">
        <v>5</v>
      </c>
      <c r="B26" s="110"/>
      <c r="C26" s="111" t="s">
        <v>208</v>
      </c>
      <c r="D26" s="111"/>
      <c r="E26" s="111" t="s">
        <v>277</v>
      </c>
      <c r="F26" s="111" t="s">
        <v>221</v>
      </c>
      <c r="G26" s="112">
        <v>10.7</v>
      </c>
      <c r="H26" s="112"/>
      <c r="I26" s="112"/>
      <c r="J26" s="96" t="s">
        <v>216</v>
      </c>
      <c r="K26" s="96" t="s">
        <v>142</v>
      </c>
      <c r="L26" s="33">
        <f>VLOOKUP(K26,Reinigungstage!A10:I31,9,FALSE)</f>
        <v>1</v>
      </c>
      <c r="M26" s="33">
        <f t="shared" si="0"/>
        <v>10.7</v>
      </c>
      <c r="N26" s="113">
        <f t="shared" si="1"/>
        <v>0</v>
      </c>
      <c r="O26" s="33">
        <f ca="1">IF('SVS GrundRG'!H61="",0,'SVS GrundRG'!H61)</f>
        <v>0</v>
      </c>
      <c r="P26" s="33">
        <f t="shared" si="2"/>
        <v>0</v>
      </c>
      <c r="Q26" s="33">
        <f t="shared" si="3"/>
        <v>0</v>
      </c>
      <c r="R26" s="33">
        <f t="shared" si="4"/>
        <v>0</v>
      </c>
      <c r="S26" s="3" t="str">
        <f t="shared" si="5"/>
        <v>Leistungswert eintragen</v>
      </c>
      <c r="U26" s="3">
        <f t="shared" si="6"/>
        <v>6.25</v>
      </c>
      <c r="V26" s="3">
        <f t="shared" si="7"/>
        <v>1.875</v>
      </c>
      <c r="W26" s="3">
        <f t="shared" si="8"/>
        <v>8.125</v>
      </c>
      <c r="X26" s="3" t="str">
        <f t="shared" si="9"/>
        <v/>
      </c>
    </row>
    <row r="27" spans="1:24" ht="15" customHeight="1" x14ac:dyDescent="0.2">
      <c r="A27" s="96">
        <v>6</v>
      </c>
      <c r="B27" s="110"/>
      <c r="C27" s="111" t="s">
        <v>208</v>
      </c>
      <c r="D27" s="111"/>
      <c r="E27" s="111" t="s">
        <v>209</v>
      </c>
      <c r="F27" s="111" t="s">
        <v>221</v>
      </c>
      <c r="G27" s="112">
        <v>6.9</v>
      </c>
      <c r="H27" s="112"/>
      <c r="I27" s="112"/>
      <c r="J27" s="96" t="s">
        <v>216</v>
      </c>
      <c r="K27" s="96" t="s">
        <v>142</v>
      </c>
      <c r="L27" s="33">
        <f>VLOOKUP(K27,Reinigungstage!A10:I31,9,FALSE)</f>
        <v>1</v>
      </c>
      <c r="M27" s="33">
        <f t="shared" si="0"/>
        <v>6.9</v>
      </c>
      <c r="N27" s="113">
        <f t="shared" si="1"/>
        <v>0</v>
      </c>
      <c r="O27" s="33">
        <f ca="1">IF('SVS GrundRG'!H61="",0,'SVS GrundRG'!H61)</f>
        <v>0</v>
      </c>
      <c r="P27" s="33">
        <f t="shared" si="2"/>
        <v>0</v>
      </c>
      <c r="Q27" s="33">
        <f t="shared" si="3"/>
        <v>0</v>
      </c>
      <c r="R27" s="33">
        <f t="shared" si="4"/>
        <v>0</v>
      </c>
      <c r="S27" s="3" t="str">
        <f t="shared" si="5"/>
        <v>Leistungswert eintragen</v>
      </c>
      <c r="U27" s="3">
        <f t="shared" si="6"/>
        <v>6.25</v>
      </c>
      <c r="V27" s="3">
        <f t="shared" si="7"/>
        <v>1.875</v>
      </c>
      <c r="W27" s="3">
        <f t="shared" si="8"/>
        <v>8.125</v>
      </c>
      <c r="X27" s="3" t="str">
        <f t="shared" si="9"/>
        <v/>
      </c>
    </row>
    <row r="28" spans="1:24" ht="15" customHeight="1" x14ac:dyDescent="0.2">
      <c r="A28" s="96">
        <v>7</v>
      </c>
      <c r="B28" s="110"/>
      <c r="C28" s="111" t="s">
        <v>208</v>
      </c>
      <c r="D28" s="111"/>
      <c r="E28" s="111" t="s">
        <v>211</v>
      </c>
      <c r="F28" s="111" t="s">
        <v>221</v>
      </c>
      <c r="G28" s="112">
        <v>4</v>
      </c>
      <c r="H28" s="112"/>
      <c r="I28" s="112"/>
      <c r="J28" s="96" t="s">
        <v>216</v>
      </c>
      <c r="K28" s="96" t="s">
        <v>142</v>
      </c>
      <c r="L28" s="33">
        <f>VLOOKUP(K28,Reinigungstage!A10:I31,9,FALSE)</f>
        <v>1</v>
      </c>
      <c r="M28" s="33">
        <f t="shared" si="0"/>
        <v>4</v>
      </c>
      <c r="N28" s="113">
        <f t="shared" si="1"/>
        <v>0</v>
      </c>
      <c r="O28" s="33">
        <f ca="1">IF('SVS GrundRG'!H61="",0,'SVS GrundRG'!H61)</f>
        <v>0</v>
      </c>
      <c r="P28" s="33">
        <f t="shared" si="2"/>
        <v>0</v>
      </c>
      <c r="Q28" s="33">
        <f t="shared" si="3"/>
        <v>0</v>
      </c>
      <c r="R28" s="33">
        <f t="shared" si="4"/>
        <v>0</v>
      </c>
      <c r="S28" s="3" t="str">
        <f t="shared" si="5"/>
        <v>Leistungswert eintragen</v>
      </c>
      <c r="U28" s="3">
        <f t="shared" si="6"/>
        <v>6.25</v>
      </c>
      <c r="V28" s="3">
        <f t="shared" si="7"/>
        <v>1.875</v>
      </c>
      <c r="W28" s="3">
        <f t="shared" si="8"/>
        <v>8.125</v>
      </c>
      <c r="X28" s="3" t="str">
        <f t="shared" si="9"/>
        <v/>
      </c>
    </row>
  </sheetData>
  <sheetProtection algorithmName="SHA-512" hashValue="B51zDSZcoKJcJwaqV8g5+DmuCNV7m8TXpuCASkB09MpD6Ym5vZj2yqICpLTCDQlMSjjQJgz2v+V9msqMkAIv6w==" saltValue="UNx/MYyJkY3IeQxfQVGyMA==" spinCount="100000" sheet="1" objects="1" scenarios="1"/>
  <sortState xmlns:xlrd2="http://schemas.microsoft.com/office/spreadsheetml/2017/richdata2" ref="U4:U6">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3" priority="5" operator="containsText" text="Bitte prüfen Sie diese.">
      <formula>NOT(ISERROR(SEARCH("Bitte prüfen Sie diese.",L9)))</formula>
    </cfRule>
  </conditionalFormatting>
  <conditionalFormatting sqref="L10">
    <cfRule type="containsText" dxfId="1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1" priority="3" operator="containsText" text="lediglich Fehleingaben vermeiden wollen.">
      <formula>NOT(ISERROR(SEARCH("lediglich Fehleingaben vermeiden wollen.",L11)))</formula>
    </cfRule>
  </conditionalFormatting>
  <conditionalFormatting sqref="M11">
    <cfRule type="containsText" dxfId="1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 priority="7" operator="containsText" text="für die Objektart prüfen.">
      <formula>NOT(ISERROR(SEARCH("für die Objektart prüfen.",M12)))</formula>
    </cfRule>
  </conditionalFormatting>
  <conditionalFormatting sqref="N13">
    <cfRule type="expression" dxfId="8" priority="2" stopIfTrue="1">
      <formula>N13=0</formula>
    </cfRule>
  </conditionalFormatting>
  <conditionalFormatting sqref="N14">
    <cfRule type="expression" dxfId="7" priority="1">
      <formula>N14=0</formula>
    </cfRule>
  </conditionalFormatting>
  <conditionalFormatting sqref="N22:N28">
    <cfRule type="expression" dxfId="6" priority="11">
      <formula>X22=0</formula>
    </cfRule>
    <cfRule type="expression" dxfId="5" priority="12" stopIfTrue="1">
      <formula>X22=1</formula>
    </cfRule>
  </conditionalFormatting>
  <conditionalFormatting sqref="O13">
    <cfRule type="containsText" dxfId="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 priority="9" operator="containsText" text="Wert(e) prüfen.">
      <formula>NOT(ISERROR(SEARCH("Wert(e) prüfen.",O14)))</formula>
    </cfRule>
  </conditionalFormatting>
  <conditionalFormatting sqref="S22:S28">
    <cfRule type="containsText" dxfId="2" priority="13" stopIfTrue="1" operator="containsText" text="SVS prüfen">
      <formula>NOT(ISERROR(SEARCH("SVS prüfen",S22)))</formula>
    </cfRule>
    <cfRule type="containsText" dxfId="1" priority="14" stopIfTrue="1" operator="containsText" text="Leistungswert eintragen">
      <formula>NOT(ISERROR(SEARCH("Leistungswert eintragen",S22)))</formula>
    </cfRule>
  </conditionalFormatting>
  <hyperlinks>
    <hyperlink ref="M1" location="Inhaltsverzeichnis!A1" display="Zurück zum Inhaltsverzeichnis" xr:uid="{6CB32F82-8B30-4750-84A5-1693429471DF}"/>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Sport Förderst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3666"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3667"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3668"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3"/>
  <sheetViews>
    <sheetView showGridLines="0" zoomScaleNormal="100" workbookViewId="0"/>
  </sheetViews>
  <sheetFormatPr baseColWidth="10" defaultColWidth="0" defaultRowHeight="15" customHeight="1" x14ac:dyDescent="0.15"/>
  <cols>
    <col min="1" max="1" width="7.7109375" style="15" customWidth="1"/>
    <col min="2" max="2" width="28.7109375" style="15" customWidth="1"/>
    <col min="3" max="3" width="35.7109375" style="15" customWidth="1"/>
    <col min="4" max="4" width="20.7109375" style="15" customWidth="1"/>
    <col min="5" max="5" width="11.7109375" style="15" customWidth="1"/>
    <col min="6" max="6" width="16.28515625" style="15" customWidth="1"/>
    <col min="7" max="7" width="17.28515625" style="15" customWidth="1"/>
    <col min="8" max="8" width="22.28515625" style="15" customWidth="1"/>
    <col min="9" max="9" width="11.7109375" style="15" hidden="1" customWidth="1"/>
    <col min="10" max="10" width="5.7109375" style="15" hidden="1" customWidth="1"/>
    <col min="11" max="11" width="12.7109375" style="15" hidden="1" customWidth="1"/>
    <col min="12" max="12" width="13.28515625" style="15" hidden="1" customWidth="1"/>
    <col min="13" max="13" width="10" style="15" hidden="1" customWidth="1"/>
    <col min="14" max="14" width="11.42578125" style="15" hidden="1" customWidth="1"/>
    <col min="15" max="15" width="10.5703125" style="15" hidden="1" customWidth="1"/>
    <col min="16" max="16384" width="0" style="15" hidden="1"/>
  </cols>
  <sheetData>
    <row r="1" spans="1:8" s="14" customFormat="1" ht="36" customHeight="1" x14ac:dyDescent="0.2">
      <c r="A1" s="14" t="s">
        <v>207</v>
      </c>
      <c r="D1" s="22"/>
      <c r="F1" s="23" t="s">
        <v>100</v>
      </c>
    </row>
    <row r="2" spans="1:8" s="14" customFormat="1" ht="25.9" customHeight="1" x14ac:dyDescent="0.2">
      <c r="A2" s="14" t="s">
        <v>103</v>
      </c>
      <c r="B2" s="40" t="str">
        <f>IF(Inhaltsverzeichnis!$C$3="", "",Inhaltsverzeichnis!$C$3)</f>
        <v/>
      </c>
      <c r="C2" s="24" t="b">
        <v>0</v>
      </c>
      <c r="D2" s="195" t="str">
        <f>IF(C2=TRUE,"Hier ist lediglich der Preis pro Einheit (€) auszufüllen.
Die rot markierten Informationen verschwinden, wenn die gelben Zellen ausgefüllt sind.  Wenn keine rote Schrift mehr angezeigt wird, ist alles ausgefüllt.","")</f>
        <v/>
      </c>
      <c r="E2" s="195"/>
      <c r="F2" s="195"/>
      <c r="G2" s="195"/>
    </row>
    <row r="3" spans="1:8" s="14" customFormat="1" ht="15" customHeight="1" x14ac:dyDescent="0.2">
      <c r="D3" s="196"/>
      <c r="E3" s="196"/>
      <c r="F3" s="196"/>
      <c r="G3" s="196"/>
      <c r="H3" s="25">
        <f>IF(COUNTA($H$5:$H$7)-COUNTBLANK($H$5:$H$7)=0,"",COUNTA($H$5:$H$7)-COUNTBLANK($H$5:$H$7))</f>
        <v>3</v>
      </c>
    </row>
    <row r="4" spans="1:8" ht="45" customHeight="1" x14ac:dyDescent="0.15">
      <c r="A4" s="28" t="s">
        <v>92</v>
      </c>
      <c r="B4" s="28" t="s">
        <v>113</v>
      </c>
      <c r="C4" s="29" t="s">
        <v>116</v>
      </c>
      <c r="D4" s="27" t="s">
        <v>146</v>
      </c>
      <c r="E4" s="27" t="s">
        <v>180</v>
      </c>
      <c r="F4" s="27" t="s">
        <v>181</v>
      </c>
      <c r="G4" s="27" t="s">
        <v>182</v>
      </c>
    </row>
    <row r="5" spans="1:8" ht="54.95" customHeight="1" x14ac:dyDescent="0.15">
      <c r="A5" s="41">
        <v>1</v>
      </c>
      <c r="B5" s="42" t="s">
        <v>196</v>
      </c>
      <c r="C5" s="42" t="s">
        <v>279</v>
      </c>
      <c r="D5" s="43" t="s">
        <v>280</v>
      </c>
      <c r="E5" s="43">
        <v>5</v>
      </c>
      <c r="F5" s="127"/>
      <c r="G5" s="44">
        <f>ROUND(IF(F5=0,0,F5*E5),2)</f>
        <v>0</v>
      </c>
      <c r="H5" s="14" t="str">
        <f>IF(F5=0,"Preis eintragen","")</f>
        <v>Preis eintragen</v>
      </c>
    </row>
    <row r="6" spans="1:8" ht="65.099999999999994" customHeight="1" x14ac:dyDescent="0.15">
      <c r="A6" s="41">
        <v>2</v>
      </c>
      <c r="B6" s="42" t="s">
        <v>196</v>
      </c>
      <c r="C6" s="42" t="s">
        <v>281</v>
      </c>
      <c r="D6" s="43" t="s">
        <v>282</v>
      </c>
      <c r="E6" s="43">
        <v>3</v>
      </c>
      <c r="F6" s="127"/>
      <c r="G6" s="44">
        <f>ROUND(IF(F6=0,0,F6*E6),2)</f>
        <v>0</v>
      </c>
      <c r="H6" s="14" t="str">
        <f>IF(F6=0,"Preis eintragen","")</f>
        <v>Preis eintragen</v>
      </c>
    </row>
    <row r="7" spans="1:8" ht="54.95" customHeight="1" x14ac:dyDescent="0.15">
      <c r="A7" s="41">
        <v>3</v>
      </c>
      <c r="B7" s="42" t="s">
        <v>196</v>
      </c>
      <c r="C7" s="42" t="s">
        <v>283</v>
      </c>
      <c r="D7" s="43" t="s">
        <v>284</v>
      </c>
      <c r="E7" s="43">
        <v>1</v>
      </c>
      <c r="F7" s="127"/>
      <c r="G7" s="44">
        <f>ROUND(IF(F7=0,0,F7*E7),2)</f>
        <v>0</v>
      </c>
      <c r="H7" s="14" t="str">
        <f>IF(F7=0,"Preis eintragen","")</f>
        <v>Preis eintragen</v>
      </c>
    </row>
    <row r="8" spans="1:8" ht="10.5" x14ac:dyDescent="0.15">
      <c r="A8" s="14"/>
      <c r="B8" s="14"/>
      <c r="C8" s="14"/>
      <c r="D8" s="14"/>
      <c r="E8" s="14"/>
      <c r="F8" s="14"/>
      <c r="G8" s="14"/>
      <c r="H8" s="14"/>
    </row>
    <row r="9" spans="1:8" ht="15" customHeight="1" x14ac:dyDescent="0.15">
      <c r="A9" s="14"/>
      <c r="B9" s="14" t="s">
        <v>355</v>
      </c>
      <c r="C9" s="14"/>
      <c r="D9" s="14"/>
      <c r="E9" s="14"/>
      <c r="F9" s="14"/>
      <c r="G9" s="14"/>
      <c r="H9" s="14"/>
    </row>
    <row r="10" spans="1:8" ht="15" customHeight="1" x14ac:dyDescent="0.15">
      <c r="A10" s="14"/>
      <c r="B10" s="14" t="s">
        <v>356</v>
      </c>
      <c r="C10" s="14"/>
      <c r="D10" s="14"/>
      <c r="E10" s="14"/>
      <c r="F10" s="14"/>
      <c r="G10" s="14"/>
      <c r="H10" s="14"/>
    </row>
    <row r="11" spans="1:8" ht="15" customHeight="1" x14ac:dyDescent="0.15">
      <c r="A11" s="14"/>
      <c r="B11" s="14" t="s">
        <v>357</v>
      </c>
      <c r="C11" s="14"/>
      <c r="D11" s="14"/>
      <c r="E11" s="14"/>
      <c r="F11" s="14"/>
      <c r="G11" s="14"/>
      <c r="H11" s="14"/>
    </row>
    <row r="12" spans="1:8" ht="10.5" x14ac:dyDescent="0.15">
      <c r="A12" s="14"/>
      <c r="B12" s="14"/>
      <c r="C12" s="14"/>
      <c r="D12" s="14"/>
      <c r="E12" s="14"/>
      <c r="F12" s="14"/>
      <c r="G12" s="14"/>
      <c r="H12" s="14"/>
    </row>
    <row r="13" spans="1:8" ht="15" customHeight="1" x14ac:dyDescent="0.15">
      <c r="A13" s="14"/>
      <c r="B13" s="14" t="s">
        <v>358</v>
      </c>
      <c r="C13" s="14"/>
      <c r="D13" s="14"/>
      <c r="E13" s="14"/>
      <c r="F13" s="14"/>
      <c r="G13" s="14"/>
      <c r="H13" s="14"/>
    </row>
    <row r="14" spans="1:8" ht="15" customHeight="1" x14ac:dyDescent="0.15">
      <c r="A14" s="14"/>
      <c r="B14" s="14" t="s">
        <v>359</v>
      </c>
      <c r="C14" s="14"/>
      <c r="D14" s="14"/>
      <c r="E14" s="14"/>
      <c r="F14" s="14"/>
      <c r="G14" s="14"/>
      <c r="H14" s="14"/>
    </row>
    <row r="15" spans="1:8" ht="15" customHeight="1" x14ac:dyDescent="0.15">
      <c r="A15" s="14"/>
      <c r="B15" s="14" t="s">
        <v>360</v>
      </c>
      <c r="C15" s="14"/>
      <c r="D15" s="14"/>
      <c r="E15" s="14"/>
      <c r="F15" s="14"/>
      <c r="G15" s="14"/>
      <c r="H15" s="14"/>
    </row>
    <row r="16" spans="1:8" ht="10.5" x14ac:dyDescent="0.15">
      <c r="A16" s="14"/>
      <c r="C16" s="14"/>
      <c r="D16" s="14"/>
      <c r="E16" s="14"/>
      <c r="F16" s="14"/>
      <c r="G16" s="14"/>
      <c r="H16" s="14"/>
    </row>
    <row r="17" spans="1:8" ht="15" customHeight="1" x14ac:dyDescent="0.15">
      <c r="A17" s="14"/>
      <c r="B17" s="14" t="s">
        <v>361</v>
      </c>
      <c r="C17" s="14"/>
      <c r="D17" s="14"/>
      <c r="E17" s="14"/>
      <c r="F17" s="14"/>
      <c r="G17" s="14"/>
      <c r="H17" s="14"/>
    </row>
    <row r="18" spans="1:8" ht="10.5" x14ac:dyDescent="0.15">
      <c r="A18" s="14"/>
      <c r="B18" s="14"/>
      <c r="C18" s="14"/>
      <c r="D18" s="14"/>
      <c r="E18" s="14"/>
      <c r="F18" s="14"/>
      <c r="G18" s="14"/>
      <c r="H18" s="14"/>
    </row>
    <row r="19" spans="1:8" ht="10.5" x14ac:dyDescent="0.15">
      <c r="A19" s="14"/>
      <c r="B19" s="14"/>
      <c r="C19" s="14"/>
      <c r="D19" s="14"/>
      <c r="E19" s="14"/>
      <c r="F19" s="14"/>
      <c r="G19" s="14"/>
      <c r="H19" s="14"/>
    </row>
    <row r="20" spans="1:8" ht="10.5" x14ac:dyDescent="0.15">
      <c r="A20" s="14"/>
      <c r="B20" s="14"/>
      <c r="C20" s="14"/>
      <c r="D20" s="14"/>
      <c r="E20" s="14"/>
      <c r="F20" s="14"/>
      <c r="G20" s="14"/>
      <c r="H20" s="14"/>
    </row>
    <row r="21" spans="1:8" ht="10.5" x14ac:dyDescent="0.15">
      <c r="A21" s="14"/>
      <c r="B21" s="14"/>
      <c r="C21" s="14"/>
      <c r="D21" s="14"/>
      <c r="E21" s="14"/>
      <c r="F21" s="14"/>
      <c r="G21" s="14"/>
      <c r="H21" s="14"/>
    </row>
    <row r="22" spans="1:8" ht="10.5" x14ac:dyDescent="0.15">
      <c r="A22" s="14"/>
      <c r="B22" s="14"/>
      <c r="C22" s="14"/>
      <c r="D22" s="14"/>
      <c r="E22" s="14"/>
      <c r="F22" s="14"/>
      <c r="G22" s="14"/>
      <c r="H22" s="14"/>
    </row>
    <row r="23" spans="1:8" ht="10.5" x14ac:dyDescent="0.15">
      <c r="A23" s="14"/>
      <c r="B23" s="14"/>
      <c r="C23" s="14"/>
      <c r="D23" s="14"/>
      <c r="E23" s="14"/>
      <c r="F23" s="14"/>
      <c r="G23" s="14"/>
      <c r="H23" s="14"/>
    </row>
    <row r="24" spans="1:8" ht="10.5" x14ac:dyDescent="0.15">
      <c r="A24" s="14"/>
      <c r="B24" s="14"/>
      <c r="C24" s="14"/>
      <c r="D24" s="14"/>
      <c r="E24" s="14"/>
      <c r="F24" s="14"/>
      <c r="G24" s="14"/>
      <c r="H24" s="14"/>
    </row>
    <row r="25" spans="1:8" ht="10.5" x14ac:dyDescent="0.15">
      <c r="A25" s="14"/>
      <c r="B25" s="14"/>
      <c r="C25" s="14"/>
      <c r="D25" s="14"/>
      <c r="E25" s="14"/>
      <c r="F25" s="14"/>
      <c r="G25" s="14"/>
      <c r="H25" s="14"/>
    </row>
    <row r="26" spans="1:8" ht="10.5" x14ac:dyDescent="0.15">
      <c r="A26" s="14"/>
      <c r="B26" s="14"/>
      <c r="C26" s="14"/>
      <c r="D26" s="14"/>
      <c r="E26" s="14"/>
      <c r="F26" s="14"/>
      <c r="G26" s="14"/>
      <c r="H26" s="14"/>
    </row>
    <row r="27" spans="1:8" ht="10.5" x14ac:dyDescent="0.15">
      <c r="A27" s="14"/>
      <c r="B27" s="14"/>
      <c r="C27" s="14"/>
      <c r="D27" s="14"/>
      <c r="E27" s="14"/>
      <c r="F27" s="14"/>
      <c r="G27" s="14"/>
      <c r="H27" s="14"/>
    </row>
    <row r="28" spans="1:8" ht="10.5" x14ac:dyDescent="0.15">
      <c r="A28" s="14"/>
      <c r="B28" s="14"/>
      <c r="C28" s="14"/>
      <c r="D28" s="14"/>
      <c r="E28" s="14"/>
      <c r="F28" s="14"/>
      <c r="G28" s="14"/>
      <c r="H28" s="14"/>
    </row>
    <row r="29" spans="1:8" ht="10.5" x14ac:dyDescent="0.15">
      <c r="A29" s="14"/>
      <c r="B29" s="14"/>
      <c r="C29" s="14"/>
      <c r="D29" s="14"/>
      <c r="E29" s="14"/>
      <c r="F29" s="14"/>
      <c r="G29" s="14"/>
      <c r="H29" s="14"/>
    </row>
    <row r="30" spans="1:8" ht="10.5" x14ac:dyDescent="0.15">
      <c r="A30" s="14"/>
      <c r="B30" s="14"/>
      <c r="C30" s="14"/>
      <c r="D30" s="14"/>
      <c r="E30" s="14"/>
      <c r="F30" s="14"/>
      <c r="G30" s="14"/>
      <c r="H30" s="14"/>
    </row>
    <row r="31" spans="1:8" ht="10.5" x14ac:dyDescent="0.15">
      <c r="A31" s="14"/>
      <c r="B31" s="14"/>
      <c r="C31" s="14"/>
      <c r="D31" s="14"/>
      <c r="E31" s="14"/>
      <c r="F31" s="14"/>
      <c r="G31" s="14"/>
      <c r="H31" s="14"/>
    </row>
    <row r="32" spans="1:8" ht="10.5" x14ac:dyDescent="0.15">
      <c r="A32" s="14"/>
      <c r="B32" s="14"/>
      <c r="C32" s="14"/>
      <c r="D32" s="14"/>
      <c r="E32" s="14"/>
      <c r="F32" s="14"/>
      <c r="G32" s="14"/>
      <c r="H32" s="14"/>
    </row>
    <row r="33" spans="1:8" ht="10.5" x14ac:dyDescent="0.15">
      <c r="A33" s="14"/>
      <c r="B33" s="14"/>
      <c r="C33" s="14"/>
      <c r="D33" s="14"/>
      <c r="E33" s="14"/>
      <c r="F33" s="14"/>
      <c r="G33" s="14"/>
      <c r="H33" s="14"/>
    </row>
    <row r="34" spans="1:8" ht="10.5" x14ac:dyDescent="0.15">
      <c r="A34" s="14"/>
      <c r="B34" s="14"/>
      <c r="C34" s="14"/>
      <c r="D34" s="14"/>
      <c r="E34" s="14"/>
      <c r="F34" s="14"/>
      <c r="G34" s="14"/>
      <c r="H34" s="14"/>
    </row>
    <row r="35" spans="1:8" ht="10.5" x14ac:dyDescent="0.15">
      <c r="A35" s="14"/>
      <c r="B35" s="14"/>
      <c r="C35" s="14"/>
      <c r="D35" s="14"/>
      <c r="E35" s="14"/>
      <c r="F35" s="14"/>
      <c r="G35" s="14"/>
      <c r="H35" s="14"/>
    </row>
    <row r="36" spans="1:8" ht="10.5" x14ac:dyDescent="0.15">
      <c r="A36" s="14"/>
      <c r="B36" s="14"/>
      <c r="C36" s="14"/>
      <c r="D36" s="14"/>
      <c r="E36" s="14"/>
      <c r="F36" s="14"/>
      <c r="G36" s="14"/>
      <c r="H36" s="14"/>
    </row>
    <row r="37" spans="1:8" ht="10.5" x14ac:dyDescent="0.15">
      <c r="A37" s="14"/>
      <c r="B37" s="14"/>
      <c r="C37" s="14"/>
      <c r="D37" s="14"/>
      <c r="E37" s="14"/>
      <c r="F37" s="14"/>
      <c r="G37" s="14"/>
      <c r="H37" s="14"/>
    </row>
    <row r="38" spans="1:8" ht="10.5" x14ac:dyDescent="0.15">
      <c r="A38" s="14"/>
      <c r="B38" s="14"/>
      <c r="C38" s="14"/>
      <c r="D38" s="14"/>
      <c r="E38" s="14"/>
      <c r="F38" s="14"/>
      <c r="G38" s="14"/>
      <c r="H38" s="14"/>
    </row>
    <row r="39" spans="1:8" ht="10.5" x14ac:dyDescent="0.15">
      <c r="A39" s="14"/>
      <c r="B39" s="14"/>
      <c r="C39" s="14"/>
      <c r="D39" s="14"/>
      <c r="E39" s="14"/>
      <c r="F39" s="14"/>
      <c r="G39" s="14"/>
      <c r="H39" s="14"/>
    </row>
    <row r="40" spans="1:8" ht="10.5" x14ac:dyDescent="0.15">
      <c r="A40" s="14"/>
      <c r="B40" s="14"/>
      <c r="C40" s="14"/>
      <c r="D40" s="14"/>
      <c r="E40" s="14"/>
      <c r="F40" s="14"/>
      <c r="G40" s="14"/>
      <c r="H40" s="14"/>
    </row>
    <row r="41" spans="1:8" ht="10.5" x14ac:dyDescent="0.15">
      <c r="A41" s="14"/>
      <c r="B41" s="14"/>
      <c r="C41" s="14"/>
      <c r="D41" s="14"/>
      <c r="E41" s="14"/>
      <c r="F41" s="14"/>
      <c r="G41" s="14"/>
      <c r="H41" s="14"/>
    </row>
    <row r="42" spans="1:8" ht="10.5" x14ac:dyDescent="0.15">
      <c r="A42" s="14"/>
      <c r="B42" s="14"/>
      <c r="C42" s="14"/>
      <c r="D42" s="14"/>
      <c r="E42" s="14"/>
      <c r="F42" s="14"/>
      <c r="G42" s="14"/>
      <c r="H42" s="14"/>
    </row>
    <row r="43" spans="1:8" ht="10.5" x14ac:dyDescent="0.15">
      <c r="A43" s="14"/>
      <c r="B43" s="14"/>
      <c r="C43" s="14"/>
      <c r="D43" s="14"/>
      <c r="E43" s="14"/>
      <c r="F43" s="14"/>
      <c r="G43" s="14"/>
      <c r="H43" s="14"/>
    </row>
  </sheetData>
  <sheetProtection algorithmName="SHA-512" hashValue="Hnscbx2u8ptTuYXabkLni3ayPohELmEf32BjnPfOMMVtJiOKwVLJrTxr0fDL2/QiOXNQOR3xZfZmTiP8XoS5kA==" saltValue="JuI3ODK8WJlEc4DW41hDog==" spinCount="100000" sheet="1" objects="1" scenarios="1"/>
  <mergeCells count="1">
    <mergeCell ref="D2:G3"/>
  </mergeCells>
  <phoneticPr fontId="4" type="noConversion"/>
  <conditionalFormatting sqref="H5:H7">
    <cfRule type="containsText" dxfId="0"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L31"/>
  <sheetViews>
    <sheetView showGridLines="0" zoomScaleNormal="100" workbookViewId="0"/>
  </sheetViews>
  <sheetFormatPr baseColWidth="10" defaultColWidth="6.42578125" defaultRowHeight="10.5" x14ac:dyDescent="0.15"/>
  <cols>
    <col min="1" max="1" width="22.42578125" style="6" customWidth="1"/>
    <col min="2" max="11" width="13.7109375" style="17" customWidth="1"/>
    <col min="12" max="52" width="13.7109375" style="6" customWidth="1"/>
    <col min="53" max="16384" width="6.42578125" style="6"/>
  </cols>
  <sheetData>
    <row r="1" spans="1:12" s="3" customFormat="1" ht="35.450000000000003" customHeight="1" x14ac:dyDescent="0.2">
      <c r="A1" s="3" t="s">
        <v>177</v>
      </c>
      <c r="B1" s="17"/>
      <c r="C1" s="17"/>
      <c r="D1" s="126" t="b">
        <v>0</v>
      </c>
      <c r="E1" s="130" t="str">
        <f>IF(D1=TRUE,"Hier muss nichts ausgefüllt werden. Sie sehen hier die Reinigungsarten mit den maximalen Reinigungstagen. Mehrere Tabellen greifen hierauf zu.","")</f>
        <v/>
      </c>
      <c r="F1" s="130"/>
      <c r="G1" s="130"/>
      <c r="H1" s="130"/>
      <c r="I1" s="31" t="s">
        <v>100</v>
      </c>
      <c r="J1" s="17"/>
      <c r="K1" s="17"/>
    </row>
    <row r="2" spans="1:12" s="3" customFormat="1" ht="26.45" customHeight="1" x14ac:dyDescent="0.2">
      <c r="A2" s="3" t="s">
        <v>103</v>
      </c>
      <c r="B2" s="4" t="str">
        <f>IF(Inhaltsverzeichnis!$C$3="","",Inhaltsverzeichnis!$C$3)</f>
        <v/>
      </c>
      <c r="C2" s="17"/>
      <c r="D2" s="17"/>
      <c r="E2" s="130"/>
      <c r="F2" s="130"/>
      <c r="G2" s="130"/>
      <c r="H2" s="130"/>
      <c r="I2" s="17"/>
      <c r="J2" s="17"/>
      <c r="K2" s="17"/>
    </row>
    <row r="3" spans="1:12" s="3" customFormat="1" ht="15" customHeight="1" x14ac:dyDescent="0.2">
      <c r="B3" s="17"/>
      <c r="C3" s="17"/>
      <c r="D3" s="17"/>
      <c r="E3" s="46"/>
      <c r="F3" s="46"/>
      <c r="G3" s="17"/>
      <c r="H3" s="17"/>
      <c r="I3" s="17"/>
      <c r="J3" s="17"/>
      <c r="K3" s="17"/>
    </row>
    <row r="4" spans="1:12" ht="25.5" customHeight="1" x14ac:dyDescent="0.15">
      <c r="A4" s="116" t="s">
        <v>113</v>
      </c>
      <c r="B4" s="116" t="s">
        <v>190</v>
      </c>
      <c r="C4" s="116" t="s">
        <v>196</v>
      </c>
      <c r="D4" s="116" t="s">
        <v>200</v>
      </c>
      <c r="E4" s="116" t="s">
        <v>203</v>
      </c>
      <c r="F4" s="116" t="s">
        <v>190</v>
      </c>
      <c r="G4" s="116" t="s">
        <v>196</v>
      </c>
      <c r="H4" s="116" t="s">
        <v>200</v>
      </c>
      <c r="I4" s="116" t="s">
        <v>203</v>
      </c>
      <c r="J4" s="116" t="s">
        <v>196</v>
      </c>
      <c r="K4" s="116" t="s">
        <v>203</v>
      </c>
      <c r="L4" s="116" t="s">
        <v>203</v>
      </c>
    </row>
    <row r="5" spans="1:12" ht="25.5" customHeight="1" x14ac:dyDescent="0.15">
      <c r="A5" s="116" t="s">
        <v>144</v>
      </c>
      <c r="B5" s="116" t="s">
        <v>285</v>
      </c>
      <c r="C5" s="116" t="s">
        <v>285</v>
      </c>
      <c r="D5" s="116" t="s">
        <v>285</v>
      </c>
      <c r="E5" s="116" t="s">
        <v>288</v>
      </c>
      <c r="F5" s="116" t="s">
        <v>285</v>
      </c>
      <c r="G5" s="116" t="s">
        <v>285</v>
      </c>
      <c r="H5" s="116" t="s">
        <v>285</v>
      </c>
      <c r="I5" s="116" t="s">
        <v>288</v>
      </c>
      <c r="J5" s="116" t="s">
        <v>285</v>
      </c>
      <c r="K5" s="116" t="s">
        <v>288</v>
      </c>
      <c r="L5" s="116" t="s">
        <v>288</v>
      </c>
    </row>
    <row r="6" spans="1:12" ht="25.5" customHeight="1" x14ac:dyDescent="0.15">
      <c r="A6" s="116" t="s">
        <v>115</v>
      </c>
      <c r="B6" s="1" t="s">
        <v>286</v>
      </c>
      <c r="C6" s="1" t="s">
        <v>286</v>
      </c>
      <c r="D6" s="1" t="s">
        <v>286</v>
      </c>
      <c r="E6" s="1" t="s">
        <v>286</v>
      </c>
      <c r="F6" s="1" t="s">
        <v>289</v>
      </c>
      <c r="G6" s="1" t="s">
        <v>289</v>
      </c>
      <c r="H6" s="1" t="s">
        <v>289</v>
      </c>
      <c r="I6" s="1" t="s">
        <v>289</v>
      </c>
      <c r="J6" s="1" t="s">
        <v>290</v>
      </c>
      <c r="K6" s="1" t="s">
        <v>348</v>
      </c>
      <c r="L6" s="1" t="s">
        <v>349</v>
      </c>
    </row>
    <row r="7" spans="1:12" ht="35.1" customHeight="1" x14ac:dyDescent="0.15">
      <c r="A7" s="1" t="s">
        <v>183</v>
      </c>
      <c r="B7" s="117"/>
      <c r="C7" s="118">
        <v>252.5</v>
      </c>
      <c r="D7" s="118">
        <v>252.5</v>
      </c>
      <c r="E7" s="118">
        <v>187.5</v>
      </c>
      <c r="F7" s="118">
        <v>1</v>
      </c>
      <c r="G7" s="118">
        <v>1</v>
      </c>
      <c r="H7" s="118">
        <v>1</v>
      </c>
      <c r="I7" s="118">
        <v>1</v>
      </c>
      <c r="J7" s="118">
        <v>1</v>
      </c>
      <c r="K7" s="118">
        <v>84.5</v>
      </c>
      <c r="L7" s="118">
        <v>168.25</v>
      </c>
    </row>
    <row r="8" spans="1:12" ht="6" customHeight="1" x14ac:dyDescent="0.15">
      <c r="A8" s="119"/>
      <c r="B8" s="47"/>
      <c r="C8" s="47"/>
      <c r="D8" s="47"/>
      <c r="E8" s="47"/>
      <c r="F8" s="47"/>
      <c r="G8" s="47"/>
      <c r="H8" s="47"/>
      <c r="I8" s="47"/>
      <c r="J8" s="47"/>
      <c r="K8" s="47"/>
      <c r="L8" s="47"/>
    </row>
    <row r="9" spans="1:12" ht="25.5" customHeight="1" x14ac:dyDescent="0.15">
      <c r="A9" s="116" t="s">
        <v>184</v>
      </c>
      <c r="B9" s="1" t="s">
        <v>287</v>
      </c>
      <c r="C9" s="1" t="s">
        <v>287</v>
      </c>
      <c r="D9" s="1" t="s">
        <v>287</v>
      </c>
      <c r="E9" s="1" t="s">
        <v>287</v>
      </c>
      <c r="F9" s="1" t="s">
        <v>287</v>
      </c>
      <c r="G9" s="1" t="s">
        <v>287</v>
      </c>
      <c r="H9" s="1" t="s">
        <v>287</v>
      </c>
      <c r="I9" s="1" t="s">
        <v>287</v>
      </c>
      <c r="J9" s="1" t="s">
        <v>287</v>
      </c>
      <c r="K9" s="1" t="s">
        <v>287</v>
      </c>
      <c r="L9" s="1" t="s">
        <v>287</v>
      </c>
    </row>
    <row r="10" spans="1:12" ht="15" customHeight="1" x14ac:dyDescent="0.15">
      <c r="A10" s="120">
        <v>12</v>
      </c>
      <c r="B10" s="121">
        <f t="shared" ref="B10:B17" si="0">ROUND($B$7/5*A10,2)</f>
        <v>0</v>
      </c>
      <c r="C10" s="121">
        <f t="shared" ref="C10:C17" si="1">ROUND($C$7/5*A10,2)</f>
        <v>606</v>
      </c>
      <c r="D10" s="121">
        <f t="shared" ref="D10:D17" si="2">ROUND($D$7/5*A10,2)</f>
        <v>606</v>
      </c>
      <c r="E10" s="121">
        <f t="shared" ref="E10:E17" si="3">ROUND($E$7/5*A10,2)</f>
        <v>450</v>
      </c>
      <c r="F10" s="122"/>
      <c r="G10" s="122"/>
      <c r="H10" s="122"/>
      <c r="I10" s="122"/>
      <c r="J10" s="121">
        <f t="shared" ref="J10:J17" si="4">ROUND($J$7/5*A10,2)</f>
        <v>2.4</v>
      </c>
      <c r="K10" s="121">
        <f>ROUND($K$7/5*A10,2)</f>
        <v>202.8</v>
      </c>
      <c r="L10" s="121">
        <f>ROUND($L$7/5*A10,2)</f>
        <v>403.8</v>
      </c>
    </row>
    <row r="11" spans="1:12" ht="15" customHeight="1" x14ac:dyDescent="0.15">
      <c r="A11" s="120">
        <v>10</v>
      </c>
      <c r="B11" s="121">
        <f t="shared" si="0"/>
        <v>0</v>
      </c>
      <c r="C11" s="121">
        <f t="shared" si="1"/>
        <v>505</v>
      </c>
      <c r="D11" s="121">
        <f t="shared" si="2"/>
        <v>505</v>
      </c>
      <c r="E11" s="121">
        <f t="shared" si="3"/>
        <v>375</v>
      </c>
      <c r="F11" s="122"/>
      <c r="G11" s="122"/>
      <c r="H11" s="122"/>
      <c r="I11" s="122"/>
      <c r="J11" s="121">
        <f t="shared" si="4"/>
        <v>2</v>
      </c>
      <c r="K11" s="121">
        <f t="shared" ref="K11:K17" si="5">ROUND($K$7/5*A11,2)</f>
        <v>169</v>
      </c>
      <c r="L11" s="121">
        <f t="shared" ref="L11:L17" si="6">ROUND($L$7/5*A11,2)</f>
        <v>336.5</v>
      </c>
    </row>
    <row r="12" spans="1:12" ht="15" customHeight="1" x14ac:dyDescent="0.15">
      <c r="A12" s="120">
        <v>7</v>
      </c>
      <c r="B12" s="121">
        <f t="shared" si="0"/>
        <v>0</v>
      </c>
      <c r="C12" s="121">
        <f t="shared" si="1"/>
        <v>353.5</v>
      </c>
      <c r="D12" s="121">
        <f t="shared" si="2"/>
        <v>353.5</v>
      </c>
      <c r="E12" s="121">
        <f t="shared" si="3"/>
        <v>262.5</v>
      </c>
      <c r="F12" s="122"/>
      <c r="G12" s="122"/>
      <c r="H12" s="122"/>
      <c r="I12" s="122"/>
      <c r="J12" s="121">
        <f t="shared" si="4"/>
        <v>1.4</v>
      </c>
      <c r="K12" s="121">
        <f t="shared" si="5"/>
        <v>118.3</v>
      </c>
      <c r="L12" s="121">
        <f t="shared" si="6"/>
        <v>235.55</v>
      </c>
    </row>
    <row r="13" spans="1:12" ht="15" customHeight="1" x14ac:dyDescent="0.15">
      <c r="A13" s="120">
        <v>6</v>
      </c>
      <c r="B13" s="121">
        <f t="shared" si="0"/>
        <v>0</v>
      </c>
      <c r="C13" s="121">
        <f t="shared" si="1"/>
        <v>303</v>
      </c>
      <c r="D13" s="121">
        <f t="shared" si="2"/>
        <v>303</v>
      </c>
      <c r="E13" s="121">
        <f t="shared" si="3"/>
        <v>225</v>
      </c>
      <c r="F13" s="122"/>
      <c r="G13" s="122"/>
      <c r="H13" s="122"/>
      <c r="I13" s="122"/>
      <c r="J13" s="121">
        <f t="shared" si="4"/>
        <v>1.2</v>
      </c>
      <c r="K13" s="121">
        <f t="shared" si="5"/>
        <v>101.4</v>
      </c>
      <c r="L13" s="121">
        <f t="shared" si="6"/>
        <v>201.9</v>
      </c>
    </row>
    <row r="14" spans="1:12" ht="15" customHeight="1" x14ac:dyDescent="0.15">
      <c r="A14" s="120">
        <v>5</v>
      </c>
      <c r="B14" s="121">
        <f t="shared" si="0"/>
        <v>0</v>
      </c>
      <c r="C14" s="121">
        <f t="shared" si="1"/>
        <v>252.5</v>
      </c>
      <c r="D14" s="121">
        <f t="shared" si="2"/>
        <v>252.5</v>
      </c>
      <c r="E14" s="118">
        <f t="shared" si="3"/>
        <v>187.5</v>
      </c>
      <c r="F14" s="122"/>
      <c r="G14" s="122"/>
      <c r="H14" s="122"/>
      <c r="I14" s="122"/>
      <c r="J14" s="121">
        <f t="shared" si="4"/>
        <v>1</v>
      </c>
      <c r="K14" s="121">
        <f t="shared" si="5"/>
        <v>84.5</v>
      </c>
      <c r="L14" s="121">
        <f t="shared" si="6"/>
        <v>168.25</v>
      </c>
    </row>
    <row r="15" spans="1:12" ht="15" customHeight="1" x14ac:dyDescent="0.15">
      <c r="A15" s="120">
        <v>4</v>
      </c>
      <c r="B15" s="121">
        <f t="shared" si="0"/>
        <v>0</v>
      </c>
      <c r="C15" s="121">
        <f t="shared" si="1"/>
        <v>202</v>
      </c>
      <c r="D15" s="121">
        <f t="shared" si="2"/>
        <v>202</v>
      </c>
      <c r="E15" s="121">
        <f t="shared" si="3"/>
        <v>150</v>
      </c>
      <c r="F15" s="122"/>
      <c r="G15" s="122"/>
      <c r="H15" s="122"/>
      <c r="I15" s="122"/>
      <c r="J15" s="121">
        <f t="shared" si="4"/>
        <v>0.8</v>
      </c>
      <c r="K15" s="121">
        <f t="shared" si="5"/>
        <v>67.599999999999994</v>
      </c>
      <c r="L15" s="121">
        <f t="shared" si="6"/>
        <v>134.6</v>
      </c>
    </row>
    <row r="16" spans="1:12" ht="15" customHeight="1" x14ac:dyDescent="0.15">
      <c r="A16" s="120">
        <v>3</v>
      </c>
      <c r="B16" s="121">
        <f t="shared" si="0"/>
        <v>0</v>
      </c>
      <c r="C16" s="121">
        <f t="shared" si="1"/>
        <v>151.5</v>
      </c>
      <c r="D16" s="121">
        <f t="shared" si="2"/>
        <v>151.5</v>
      </c>
      <c r="E16" s="121">
        <f t="shared" si="3"/>
        <v>112.5</v>
      </c>
      <c r="F16" s="122"/>
      <c r="G16" s="122"/>
      <c r="H16" s="122"/>
      <c r="I16" s="122"/>
      <c r="J16" s="121">
        <f t="shared" si="4"/>
        <v>0.6</v>
      </c>
      <c r="K16" s="121">
        <f t="shared" si="5"/>
        <v>50.7</v>
      </c>
      <c r="L16" s="121">
        <f t="shared" si="6"/>
        <v>100.95</v>
      </c>
    </row>
    <row r="17" spans="1:12" ht="15" customHeight="1" x14ac:dyDescent="0.15">
      <c r="A17" s="120">
        <v>2.5</v>
      </c>
      <c r="B17" s="121">
        <f t="shared" si="0"/>
        <v>0</v>
      </c>
      <c r="C17" s="121">
        <f t="shared" si="1"/>
        <v>126.25</v>
      </c>
      <c r="D17" s="121">
        <f t="shared" si="2"/>
        <v>126.25</v>
      </c>
      <c r="E17" s="121">
        <f t="shared" si="3"/>
        <v>93.75</v>
      </c>
      <c r="F17" s="122"/>
      <c r="G17" s="122"/>
      <c r="H17" s="122"/>
      <c r="I17" s="122"/>
      <c r="J17" s="121">
        <f t="shared" si="4"/>
        <v>0.5</v>
      </c>
      <c r="K17" s="121">
        <f t="shared" si="5"/>
        <v>42.25</v>
      </c>
      <c r="L17" s="121">
        <f t="shared" si="6"/>
        <v>84.13</v>
      </c>
    </row>
    <row r="18" spans="1:12" ht="15" customHeight="1" x14ac:dyDescent="0.15">
      <c r="A18" s="120">
        <v>2</v>
      </c>
      <c r="B18" s="121">
        <f>ROUND(B7*104.29/251,2)</f>
        <v>0</v>
      </c>
      <c r="C18" s="118">
        <f>ROUND(C7*104.29/251,2)</f>
        <v>104.91</v>
      </c>
      <c r="D18" s="118">
        <f>ROUND(D7*104.29/251,2)</f>
        <v>104.91</v>
      </c>
      <c r="E18" s="121">
        <f>ROUND(E7*104.29/251,2)</f>
        <v>77.91</v>
      </c>
      <c r="F18" s="122"/>
      <c r="G18" s="122"/>
      <c r="H18" s="122"/>
      <c r="I18" s="122"/>
      <c r="J18" s="121">
        <f>ROUND(J7*104.29/251,2)</f>
        <v>0.42</v>
      </c>
      <c r="K18" s="121">
        <f>ROUND(K7*104.29/251,2)</f>
        <v>35.11</v>
      </c>
      <c r="L18" s="121">
        <f>ROUND(L7*104.29/251,2)</f>
        <v>69.91</v>
      </c>
    </row>
    <row r="19" spans="1:12" ht="15" customHeight="1" x14ac:dyDescent="0.15">
      <c r="A19" s="120">
        <v>1</v>
      </c>
      <c r="B19" s="121">
        <f>ROUND(B7*52.14/251,2)</f>
        <v>0</v>
      </c>
      <c r="C19" s="118">
        <f>ROUND(C7*52.14/251,2)</f>
        <v>52.45</v>
      </c>
      <c r="D19" s="121">
        <f>ROUND(D7*52.14/251,2)</f>
        <v>52.45</v>
      </c>
      <c r="E19" s="118">
        <f>ROUND(E7*52.14/251,2)</f>
        <v>38.950000000000003</v>
      </c>
      <c r="F19" s="122"/>
      <c r="G19" s="122"/>
      <c r="H19" s="122"/>
      <c r="I19" s="122"/>
      <c r="J19" s="121">
        <f>ROUND(J7*52.14/251,2)</f>
        <v>0.21</v>
      </c>
      <c r="K19" s="118">
        <f>ROUND(K7*52.14/251,2)</f>
        <v>17.55</v>
      </c>
      <c r="L19" s="118">
        <f>ROUND(L7*52.14/251,2)</f>
        <v>34.950000000000003</v>
      </c>
    </row>
    <row r="20" spans="1:12" ht="15" customHeight="1" x14ac:dyDescent="0.15">
      <c r="A20" s="120">
        <v>0.5</v>
      </c>
      <c r="B20" s="121">
        <f>ROUND(B7*26.07/251,2)</f>
        <v>0</v>
      </c>
      <c r="C20" s="121">
        <f>ROUND(C7*26.07/251,2)</f>
        <v>26.23</v>
      </c>
      <c r="D20" s="121">
        <f>ROUND(D7*26.07/251,2)</f>
        <v>26.23</v>
      </c>
      <c r="E20" s="121">
        <f>ROUND(E7*26.07/251,2)</f>
        <v>19.47</v>
      </c>
      <c r="F20" s="122"/>
      <c r="G20" s="122"/>
      <c r="H20" s="122"/>
      <c r="I20" s="122"/>
      <c r="J20" s="121">
        <f>ROUND(J7*26.07/251,2)</f>
        <v>0.1</v>
      </c>
      <c r="K20" s="121">
        <f>ROUND(K7*26.07/251,2)</f>
        <v>8.7799999999999994</v>
      </c>
      <c r="L20" s="121">
        <f>ROUND(L7*26.07/251,2)</f>
        <v>17.48</v>
      </c>
    </row>
    <row r="21" spans="1:12" ht="15" customHeight="1" x14ac:dyDescent="0.15">
      <c r="A21" s="120" t="s">
        <v>135</v>
      </c>
      <c r="B21" s="123">
        <f>ROUND(12*2,2)</f>
        <v>24</v>
      </c>
      <c r="C21" s="124">
        <f>ROUND(12*2,2)</f>
        <v>24</v>
      </c>
      <c r="D21" s="123">
        <f>ROUND(12*2,2)</f>
        <v>24</v>
      </c>
      <c r="E21" s="123">
        <v>22</v>
      </c>
      <c r="F21" s="123">
        <f>ROUND(12*2,2)</f>
        <v>24</v>
      </c>
      <c r="G21" s="123">
        <f>ROUND(12*2,2)</f>
        <v>24</v>
      </c>
      <c r="H21" s="123">
        <f>ROUND(12*2,2)</f>
        <v>24</v>
      </c>
      <c r="I21" s="123">
        <f>ROUND(11*2,2)</f>
        <v>22</v>
      </c>
      <c r="J21" s="123">
        <f>ROUND(12*2,2)</f>
        <v>24</v>
      </c>
      <c r="K21" s="123">
        <v>8</v>
      </c>
      <c r="L21" s="123">
        <v>16</v>
      </c>
    </row>
    <row r="22" spans="1:12" ht="15" customHeight="1" x14ac:dyDescent="0.15">
      <c r="A22" s="120" t="s">
        <v>136</v>
      </c>
      <c r="B22" s="123">
        <f>ROUND(12*1,2)</f>
        <v>12</v>
      </c>
      <c r="C22" s="124">
        <f>ROUND(12*1,2)</f>
        <v>12</v>
      </c>
      <c r="D22" s="123">
        <f>ROUND(12*1,2)</f>
        <v>12</v>
      </c>
      <c r="E22" s="124">
        <v>11</v>
      </c>
      <c r="F22" s="123">
        <f>ROUND(12*1,2)</f>
        <v>12</v>
      </c>
      <c r="G22" s="123">
        <f>ROUND(12*1,2)</f>
        <v>12</v>
      </c>
      <c r="H22" s="123">
        <f>ROUND(12*1,2)</f>
        <v>12</v>
      </c>
      <c r="I22" s="123">
        <f>ROUND(11*1,2)</f>
        <v>11</v>
      </c>
      <c r="J22" s="123">
        <f>ROUND(12*1,2)</f>
        <v>12</v>
      </c>
      <c r="K22" s="124">
        <v>4</v>
      </c>
      <c r="L22" s="124">
        <v>8</v>
      </c>
    </row>
    <row r="23" spans="1:12" ht="15" customHeight="1" x14ac:dyDescent="0.15">
      <c r="A23" s="120" t="s">
        <v>137</v>
      </c>
      <c r="B23" s="121">
        <v>6</v>
      </c>
      <c r="C23" s="121">
        <v>6</v>
      </c>
      <c r="D23" s="121">
        <v>6</v>
      </c>
      <c r="E23" s="121">
        <v>6</v>
      </c>
      <c r="F23" s="121">
        <v>6</v>
      </c>
      <c r="G23" s="121">
        <v>6</v>
      </c>
      <c r="H23" s="121">
        <v>6</v>
      </c>
      <c r="I23" s="121">
        <v>6</v>
      </c>
      <c r="J23" s="121">
        <v>6</v>
      </c>
      <c r="K23" s="121">
        <v>6</v>
      </c>
      <c r="L23" s="121">
        <v>6</v>
      </c>
    </row>
    <row r="24" spans="1:12" ht="15" customHeight="1" x14ac:dyDescent="0.15">
      <c r="A24" s="120" t="s">
        <v>138</v>
      </c>
      <c r="B24" s="121">
        <v>5</v>
      </c>
      <c r="C24" s="121">
        <v>5</v>
      </c>
      <c r="D24" s="121">
        <v>5</v>
      </c>
      <c r="E24" s="121">
        <v>5</v>
      </c>
      <c r="F24" s="121">
        <v>5</v>
      </c>
      <c r="G24" s="121">
        <v>5</v>
      </c>
      <c r="H24" s="121">
        <v>5</v>
      </c>
      <c r="I24" s="121">
        <v>5</v>
      </c>
      <c r="J24" s="121">
        <v>5</v>
      </c>
      <c r="K24" s="121">
        <v>5</v>
      </c>
      <c r="L24" s="121">
        <v>5</v>
      </c>
    </row>
    <row r="25" spans="1:12" ht="15" customHeight="1" x14ac:dyDescent="0.15">
      <c r="A25" s="120" t="s">
        <v>139</v>
      </c>
      <c r="B25" s="121">
        <v>4</v>
      </c>
      <c r="C25" s="121">
        <v>4</v>
      </c>
      <c r="D25" s="121">
        <v>4</v>
      </c>
      <c r="E25" s="121">
        <v>4</v>
      </c>
      <c r="F25" s="121">
        <v>4</v>
      </c>
      <c r="G25" s="121">
        <v>4</v>
      </c>
      <c r="H25" s="121">
        <v>4</v>
      </c>
      <c r="I25" s="121">
        <v>4</v>
      </c>
      <c r="J25" s="121">
        <v>4</v>
      </c>
      <c r="K25" s="121">
        <v>4</v>
      </c>
      <c r="L25" s="121">
        <v>4</v>
      </c>
    </row>
    <row r="26" spans="1:12" ht="15" customHeight="1" x14ac:dyDescent="0.15">
      <c r="A26" s="120" t="s">
        <v>140</v>
      </c>
      <c r="B26" s="121">
        <v>3</v>
      </c>
      <c r="C26" s="121">
        <v>3</v>
      </c>
      <c r="D26" s="121">
        <v>3</v>
      </c>
      <c r="E26" s="121">
        <v>3</v>
      </c>
      <c r="F26" s="121">
        <v>3</v>
      </c>
      <c r="G26" s="121">
        <v>3</v>
      </c>
      <c r="H26" s="121">
        <v>3</v>
      </c>
      <c r="I26" s="121">
        <v>3</v>
      </c>
      <c r="J26" s="121">
        <v>3</v>
      </c>
      <c r="K26" s="121">
        <v>3</v>
      </c>
      <c r="L26" s="121">
        <v>3</v>
      </c>
    </row>
    <row r="27" spans="1:12" ht="15" customHeight="1" x14ac:dyDescent="0.15">
      <c r="A27" s="120" t="s">
        <v>141</v>
      </c>
      <c r="B27" s="121">
        <v>2</v>
      </c>
      <c r="C27" s="121">
        <v>2</v>
      </c>
      <c r="D27" s="121">
        <v>2</v>
      </c>
      <c r="E27" s="121">
        <v>2</v>
      </c>
      <c r="F27" s="121">
        <v>2</v>
      </c>
      <c r="G27" s="121">
        <v>2</v>
      </c>
      <c r="H27" s="121">
        <v>2</v>
      </c>
      <c r="I27" s="121">
        <v>2</v>
      </c>
      <c r="J27" s="121">
        <v>2</v>
      </c>
      <c r="K27" s="121">
        <v>2</v>
      </c>
      <c r="L27" s="121">
        <v>2</v>
      </c>
    </row>
    <row r="28" spans="1:12" ht="15" customHeight="1" x14ac:dyDescent="0.15">
      <c r="A28" s="120" t="s">
        <v>142</v>
      </c>
      <c r="B28" s="121">
        <v>1</v>
      </c>
      <c r="C28" s="121">
        <v>1</v>
      </c>
      <c r="D28" s="121">
        <v>1</v>
      </c>
      <c r="E28" s="121">
        <v>1</v>
      </c>
      <c r="F28" s="118">
        <v>1</v>
      </c>
      <c r="G28" s="118">
        <v>1</v>
      </c>
      <c r="H28" s="118">
        <v>1</v>
      </c>
      <c r="I28" s="118">
        <v>1</v>
      </c>
      <c r="J28" s="121">
        <v>1</v>
      </c>
      <c r="K28" s="121">
        <v>1</v>
      </c>
      <c r="L28" s="121">
        <v>1</v>
      </c>
    </row>
    <row r="29" spans="1:12" ht="15" customHeight="1" x14ac:dyDescent="0.15">
      <c r="A29" s="118" t="s">
        <v>143</v>
      </c>
      <c r="B29" s="121">
        <v>0.5</v>
      </c>
      <c r="C29" s="121">
        <v>0.5</v>
      </c>
      <c r="D29" s="121">
        <v>0.5</v>
      </c>
      <c r="E29" s="121">
        <v>0.5</v>
      </c>
      <c r="F29" s="121">
        <v>0.5</v>
      </c>
      <c r="G29" s="121">
        <v>0.5</v>
      </c>
      <c r="H29" s="121">
        <v>0.5</v>
      </c>
      <c r="I29" s="121">
        <v>0.5</v>
      </c>
      <c r="J29" s="121">
        <v>0.5</v>
      </c>
      <c r="K29" s="121">
        <v>0.5</v>
      </c>
      <c r="L29" s="121">
        <v>0.5</v>
      </c>
    </row>
    <row r="30" spans="1:12" ht="15" customHeight="1" x14ac:dyDescent="0.15">
      <c r="A30" s="118">
        <v>0</v>
      </c>
      <c r="B30" s="118">
        <v>0</v>
      </c>
      <c r="C30" s="118">
        <v>0</v>
      </c>
      <c r="D30" s="121">
        <v>0</v>
      </c>
      <c r="E30" s="121">
        <v>0</v>
      </c>
      <c r="F30" s="122"/>
      <c r="G30" s="117"/>
      <c r="H30" s="122"/>
      <c r="I30" s="122"/>
      <c r="J30" s="118">
        <v>0</v>
      </c>
      <c r="K30" s="121">
        <v>0</v>
      </c>
      <c r="L30" s="121">
        <v>0</v>
      </c>
    </row>
    <row r="31" spans="1:12" ht="15" customHeight="1" x14ac:dyDescent="0.15">
      <c r="A31" s="118" t="s">
        <v>145</v>
      </c>
      <c r="B31" s="122"/>
      <c r="C31" s="122"/>
      <c r="D31" s="122"/>
      <c r="E31" s="122"/>
      <c r="F31" s="122"/>
      <c r="G31" s="122"/>
      <c r="H31" s="122"/>
      <c r="I31" s="122"/>
      <c r="J31" s="118">
        <f>J7</f>
        <v>1</v>
      </c>
      <c r="K31" s="117"/>
      <c r="L31" s="125"/>
    </row>
  </sheetData>
  <sheetProtection algorithmName="SHA-512" hashValue="rfK9nR6BybusD7vKGaVwD0kTo6zZICetpZzOAWcF3CQmGtbHH1DhtvkxzOar7GVUTJjAAsfpHLOyeCECC+8XCg==" saltValue="ib59sHmmBR3n86vpwTbB7g=="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H10"/>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5" width="14.28515625" style="3" customWidth="1"/>
    <col min="6" max="8" width="16.7109375" style="3" customWidth="1"/>
    <col min="9" max="16384" width="11.42578125" style="3"/>
  </cols>
  <sheetData>
    <row r="1" spans="1:8" ht="29.1" customHeight="1" x14ac:dyDescent="0.2">
      <c r="A1" s="3" t="s">
        <v>179</v>
      </c>
      <c r="D1" s="18"/>
      <c r="E1" s="13"/>
      <c r="G1" s="5" t="s">
        <v>100</v>
      </c>
    </row>
    <row r="2" spans="1:8" ht="24" customHeight="1" x14ac:dyDescent="0.2">
      <c r="B2" s="20" t="b">
        <v>0</v>
      </c>
      <c r="C2" s="136" t="str">
        <f>IF(B2=TRUE,"Hier muss nichts ausgefüllt werden. Füllen Sie zunächst in den folgenden Tabellen die gelben Zellen aus. Kehren Sie dann zu dieser Tabelle zurück.","")</f>
        <v/>
      </c>
      <c r="D2" s="136"/>
      <c r="E2" s="136"/>
      <c r="F2" s="136"/>
      <c r="G2" s="136"/>
    </row>
    <row r="3" spans="1:8" ht="24" customHeight="1" x14ac:dyDescent="0.2">
      <c r="A3" s="21" t="s">
        <v>103</v>
      </c>
      <c r="B3" s="14" t="str">
        <f>IF(Inhaltsverzeichnis!$C$3="", "",Inhaltsverzeichnis!$C$3)</f>
        <v/>
      </c>
      <c r="C3" s="4"/>
      <c r="D3" s="4"/>
    </row>
    <row r="4" spans="1:8" s="17" customFormat="1" ht="29.1" customHeight="1" x14ac:dyDescent="0.2">
      <c r="A4" s="137" t="s">
        <v>292</v>
      </c>
      <c r="B4" s="138"/>
      <c r="C4" s="1" t="s">
        <v>286</v>
      </c>
      <c r="D4" s="1" t="s">
        <v>289</v>
      </c>
      <c r="E4" s="1" t="s">
        <v>291</v>
      </c>
      <c r="F4" s="132" t="s">
        <v>295</v>
      </c>
      <c r="G4" s="132"/>
      <c r="H4" s="132"/>
    </row>
    <row r="5" spans="1:8" s="17" customFormat="1" ht="29.1" customHeight="1" x14ac:dyDescent="0.2">
      <c r="A5" s="1" t="s">
        <v>96</v>
      </c>
      <c r="B5" s="1" t="s">
        <v>173</v>
      </c>
      <c r="C5" s="1" t="s">
        <v>148</v>
      </c>
      <c r="D5" s="1" t="s">
        <v>148</v>
      </c>
      <c r="E5" s="1" t="s">
        <v>148</v>
      </c>
      <c r="F5" s="1" t="s">
        <v>148</v>
      </c>
      <c r="G5" s="1" t="s">
        <v>294</v>
      </c>
      <c r="H5" s="1" t="s">
        <v>149</v>
      </c>
    </row>
    <row r="6" spans="1:8" ht="15" customHeight="1" x14ac:dyDescent="0.2">
      <c r="A6" s="12" t="s">
        <v>190</v>
      </c>
      <c r="B6" s="34">
        <v>13</v>
      </c>
      <c r="C6" s="33">
        <f>'Kal Unter Albertinsee Gesamt'!K7</f>
        <v>0</v>
      </c>
      <c r="D6" s="33">
        <f>'Kal Grund Albertinsee'!Q21</f>
        <v>0</v>
      </c>
      <c r="E6" s="35"/>
      <c r="F6" s="33">
        <f>SUM(C6:E6)</f>
        <v>0</v>
      </c>
      <c r="G6" s="33">
        <f>H6-F6</f>
        <v>0</v>
      </c>
      <c r="H6" s="33">
        <f>ROUND(F6*1.19,2)</f>
        <v>0</v>
      </c>
    </row>
    <row r="7" spans="1:8" ht="15" customHeight="1" x14ac:dyDescent="0.2">
      <c r="A7" s="12" t="s">
        <v>196</v>
      </c>
      <c r="B7" s="34">
        <v>13</v>
      </c>
      <c r="C7" s="33">
        <f ca="1">'Kal Unter ehem Rath Förd'!Q21</f>
        <v>0</v>
      </c>
      <c r="D7" s="33">
        <f>'Kal Grund ehem Rath Förd'!Q21</f>
        <v>0</v>
      </c>
      <c r="E7" s="33">
        <f>SUM('Kal Verbrauch Gesamt'!G5:G7)</f>
        <v>0</v>
      </c>
      <c r="F7" s="33">
        <f ca="1">SUM(C7:E7)</f>
        <v>0</v>
      </c>
      <c r="G7" s="33">
        <f ca="1">H7-F7</f>
        <v>0</v>
      </c>
      <c r="H7" s="33">
        <f ca="1">ROUND(F7*1.19,2)</f>
        <v>0</v>
      </c>
    </row>
    <row r="8" spans="1:8" ht="15" customHeight="1" x14ac:dyDescent="0.2">
      <c r="A8" s="12" t="s">
        <v>200</v>
      </c>
      <c r="B8" s="34">
        <v>13</v>
      </c>
      <c r="C8" s="33">
        <f ca="1">'Kal Unter JK Förderstedt'!Q21</f>
        <v>0</v>
      </c>
      <c r="D8" s="33">
        <f>'Kal Grund JK Förderstedt'!Q21</f>
        <v>0</v>
      </c>
      <c r="E8" s="35"/>
      <c r="F8" s="33">
        <f ca="1">SUM(C8:E8)</f>
        <v>0</v>
      </c>
      <c r="G8" s="33">
        <f ca="1">H8-F8</f>
        <v>0</v>
      </c>
      <c r="H8" s="33">
        <f ca="1">ROUND(F8*1.19,2)</f>
        <v>0</v>
      </c>
    </row>
    <row r="9" spans="1:8" ht="15" customHeight="1" x14ac:dyDescent="0.2">
      <c r="A9" s="12" t="s">
        <v>203</v>
      </c>
      <c r="B9" s="34">
        <v>13</v>
      </c>
      <c r="C9" s="33">
        <f ca="1">'Kal Unter Sport Förderst'!Q21</f>
        <v>0</v>
      </c>
      <c r="D9" s="33">
        <f>'Kal Grund Sport Förderst'!Q21</f>
        <v>0</v>
      </c>
      <c r="E9" s="35"/>
      <c r="F9" s="33">
        <f ca="1">SUM(C9:E9)</f>
        <v>0</v>
      </c>
      <c r="G9" s="33">
        <f ca="1">H9-F9</f>
        <v>0</v>
      </c>
      <c r="H9" s="33">
        <f ca="1">ROUND(F9*1.19,2)</f>
        <v>0</v>
      </c>
    </row>
    <row r="10" spans="1:8" ht="15" customHeight="1" x14ac:dyDescent="0.2">
      <c r="A10" s="133" t="s">
        <v>296</v>
      </c>
      <c r="B10" s="134"/>
      <c r="C10" s="135"/>
      <c r="D10" s="135"/>
      <c r="E10" s="135"/>
      <c r="F10" s="33">
        <f ca="1">ROUND(SUM(F6:F9),2)</f>
        <v>0</v>
      </c>
      <c r="G10" s="33">
        <f ca="1">ROUND(SUM(G6:G9),2)</f>
        <v>0</v>
      </c>
      <c r="H10" s="33">
        <f ca="1">ROUND(SUM(H6:H9),2)</f>
        <v>0</v>
      </c>
    </row>
  </sheetData>
  <sheetProtection algorithmName="SHA-512" hashValue="woAbuD/v8LyUQt6PV9RmIvhwVMR1Ksf8dMTIZcXSjnUjS/Pf1JFx5eL66hniG/YHrOAp3LW529LoBsUPGUcYZA==" saltValue="pjco5ARs+wECxonWqTUvNQ==" spinCount="100000" sheet="1" objects="1" scenarios="1"/>
  <mergeCells count="4">
    <mergeCell ref="F4:H4"/>
    <mergeCell ref="A10:E10"/>
    <mergeCell ref="C2:G2"/>
    <mergeCell ref="A4:B4"/>
  </mergeCells>
  <phoneticPr fontId="4" type="noConversion"/>
  <hyperlinks>
    <hyperlink ref="G1" location="Inhaltsverzeichnis!A1" display="Zurück zum Inhaltsverzeichnis" xr:uid="{246C2112-1105-4F1F-A2A3-764CFDCD446B}"/>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58"/>
  </sheetPr>
  <dimension ref="A1:F6"/>
  <sheetViews>
    <sheetView showGridLines="0" zoomScaleNormal="100" workbookViewId="0"/>
  </sheetViews>
  <sheetFormatPr baseColWidth="10" defaultColWidth="11.42578125" defaultRowHeight="15" customHeight="1" x14ac:dyDescent="0.2"/>
  <cols>
    <col min="1" max="1" width="25.7109375" style="3" customWidth="1"/>
    <col min="2" max="6" width="16.7109375" style="3" customWidth="1"/>
    <col min="7" max="16384" width="11.42578125" style="3"/>
  </cols>
  <sheetData>
    <row r="1" spans="1:6" ht="29.1" customHeight="1" x14ac:dyDescent="0.2">
      <c r="A1" s="3" t="s">
        <v>178</v>
      </c>
      <c r="E1" s="5" t="s">
        <v>100</v>
      </c>
      <c r="F1" s="18"/>
    </row>
    <row r="2" spans="1:6" ht="23.45" customHeight="1" x14ac:dyDescent="0.2">
      <c r="B2" s="20" t="b">
        <v>0</v>
      </c>
      <c r="C2" s="130" t="str">
        <f>IF(B2=TRUE,"Hier muss nichts ausgefüllt werden. Füllen Sie zunächst in den folgenden Tabellen die gelben Zellen aus. Kehren Sie dann zu dieser Tabelle zurück.","")</f>
        <v/>
      </c>
      <c r="D2" s="130"/>
      <c r="E2" s="130"/>
      <c r="F2" s="130"/>
    </row>
    <row r="3" spans="1:6" ht="23.45" customHeight="1" x14ac:dyDescent="0.2">
      <c r="A3" s="21" t="s">
        <v>103</v>
      </c>
      <c r="B3" s="14" t="str">
        <f>IF(Inhaltsverzeichnis!$C$3="", "",Inhaltsverzeichnis!$C$3)</f>
        <v/>
      </c>
    </row>
    <row r="4" spans="1:6" s="17" customFormat="1" ht="29.1" customHeight="1" x14ac:dyDescent="0.2">
      <c r="A4" s="139" t="s">
        <v>293</v>
      </c>
      <c r="B4" s="139"/>
      <c r="C4" s="139" t="s">
        <v>290</v>
      </c>
      <c r="D4" s="139"/>
      <c r="E4" s="139"/>
    </row>
    <row r="5" spans="1:6" s="17" customFormat="1" ht="29.1" customHeight="1" x14ac:dyDescent="0.2">
      <c r="A5" s="36" t="s">
        <v>96</v>
      </c>
      <c r="B5" s="36" t="s">
        <v>173</v>
      </c>
      <c r="C5" s="36" t="s">
        <v>148</v>
      </c>
      <c r="D5" s="36" t="s">
        <v>294</v>
      </c>
      <c r="E5" s="36" t="s">
        <v>149</v>
      </c>
    </row>
    <row r="6" spans="1:6" ht="15" customHeight="1" x14ac:dyDescent="0.2">
      <c r="A6" s="37" t="s">
        <v>196</v>
      </c>
      <c r="B6" s="39">
        <v>13</v>
      </c>
      <c r="C6" s="38">
        <f ca="1">'Kal Unter Bed ehem Rath Förd'!Q21</f>
        <v>0</v>
      </c>
      <c r="D6" s="38">
        <f ca="1">E6-C6</f>
        <v>0</v>
      </c>
      <c r="E6" s="38">
        <f ca="1">ROUND($C$6*1.19,2)</f>
        <v>0</v>
      </c>
    </row>
  </sheetData>
  <sheetProtection algorithmName="SHA-512" hashValue="QjIvyPNvhrm5IYibzdToUN9dRpD8/4Mt+sG6kYjJt/jFkHY8M9PY1APEqcCROcmRJP50JnKkMAPQZGs33uYRhg==" saltValue="1JuKEIlAk5pyDdiVS+vEYw==" spinCount="100000" sheet="1" objects="1" scenarios="1"/>
  <mergeCells count="3">
    <mergeCell ref="A4:B4"/>
    <mergeCell ref="C2:F2"/>
    <mergeCell ref="C4:E4"/>
  </mergeCells>
  <phoneticPr fontId="4" type="noConversion"/>
  <hyperlinks>
    <hyperlink ref="E1" location="Inhaltsverzeichnis!A1" display="Zurück zum Inhaltsverzeichnis" xr:uid="{F7F1DFC8-04FB-44F1-AB02-56EEF8BE5DA2}"/>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 (nach Bedarf)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Hinweis">
                <anchor moveWithCells="1">
                  <from>
                    <xdr:col>1</xdr:col>
                    <xdr:colOff>180975</xdr:colOff>
                    <xdr:row>1</xdr:row>
                    <xdr:rowOff>19050</xdr:rowOff>
                  </from>
                  <to>
                    <xdr:col>1</xdr:col>
                    <xdr:colOff>971550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61" t="str">
        <f ca="1">IF(H61&lt;&gt;"","","Bitte alle gelben Zellen ausfüllen.")</f>
        <v>Bitte alle gelben Zellen ausfüllen.</v>
      </c>
      <c r="D1" s="77" t="b">
        <v>0</v>
      </c>
      <c r="E1" s="130"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0"/>
      <c r="G1" s="130"/>
      <c r="H1" s="130"/>
      <c r="I1" s="130"/>
      <c r="K1" s="5" t="s">
        <v>100</v>
      </c>
    </row>
    <row r="2" spans="1:11" ht="33" customHeight="1" x14ac:dyDescent="0.2">
      <c r="A2" s="3" t="s">
        <v>103</v>
      </c>
      <c r="C2" s="3" t="str">
        <f>IF(Inhaltsverzeichnis!$C$3="", "",Inhaltsverzeichnis!$C$3)</f>
        <v/>
      </c>
      <c r="D2" s="20" t="b">
        <v>0</v>
      </c>
      <c r="E2" s="130"/>
      <c r="F2" s="130"/>
      <c r="G2" s="130"/>
      <c r="H2" s="130"/>
      <c r="I2" s="130"/>
    </row>
    <row r="3" spans="1:11" s="2" customFormat="1" ht="12.75" x14ac:dyDescent="0.2">
      <c r="A3" s="150" t="s">
        <v>102</v>
      </c>
      <c r="B3" s="150"/>
      <c r="C3" s="150"/>
      <c r="D3" s="150"/>
      <c r="E3" s="150"/>
      <c r="F3" s="150"/>
      <c r="G3" s="150"/>
      <c r="H3" s="150"/>
      <c r="I3" s="150"/>
    </row>
    <row r="4" spans="1:11" x14ac:dyDescent="0.2">
      <c r="A4" s="62"/>
      <c r="B4" s="62"/>
      <c r="C4" s="62"/>
      <c r="D4" s="62"/>
      <c r="E4" s="62"/>
      <c r="F4" s="62"/>
      <c r="G4" s="62"/>
      <c r="H4" s="62"/>
      <c r="I4" s="62"/>
    </row>
    <row r="5" spans="1:11" ht="15" customHeight="1" x14ac:dyDescent="0.2">
      <c r="A5" s="63" t="s">
        <v>1</v>
      </c>
      <c r="B5" s="63" t="s">
        <v>2</v>
      </c>
      <c r="C5" s="63"/>
      <c r="D5" s="63"/>
      <c r="E5" s="63"/>
      <c r="F5" s="64">
        <v>100</v>
      </c>
      <c r="G5" s="63" t="s">
        <v>3</v>
      </c>
      <c r="H5" s="7">
        <v>15</v>
      </c>
      <c r="I5" s="63" t="s">
        <v>4</v>
      </c>
      <c r="K5" s="65"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2"/>
      <c r="B6" s="62"/>
      <c r="C6" s="62"/>
      <c r="D6" s="62"/>
      <c r="E6" s="62"/>
      <c r="F6" s="66"/>
      <c r="G6" s="62"/>
      <c r="H6" s="66"/>
      <c r="I6" s="62"/>
    </row>
    <row r="7" spans="1:11" x14ac:dyDescent="0.2">
      <c r="A7" s="63" t="s">
        <v>5</v>
      </c>
      <c r="B7" s="63" t="s">
        <v>6</v>
      </c>
      <c r="C7" s="63"/>
      <c r="D7" s="63"/>
      <c r="E7" s="63"/>
      <c r="F7" s="67"/>
      <c r="G7" s="63"/>
      <c r="H7" s="67"/>
      <c r="I7" s="63"/>
    </row>
    <row r="8" spans="1:11" ht="14.25" x14ac:dyDescent="0.2">
      <c r="A8" s="62" t="s">
        <v>7</v>
      </c>
      <c r="B8" s="62" t="s">
        <v>8</v>
      </c>
      <c r="C8" s="62"/>
      <c r="D8" s="62"/>
      <c r="E8" s="62"/>
      <c r="F8" s="67"/>
      <c r="G8" s="67"/>
      <c r="H8" s="67"/>
      <c r="I8" s="67"/>
      <c r="K8" s="68"/>
    </row>
    <row r="9" spans="1:11" x14ac:dyDescent="0.2">
      <c r="A9" s="62" t="s">
        <v>9</v>
      </c>
      <c r="B9" s="62"/>
      <c r="C9" s="62" t="s">
        <v>10</v>
      </c>
      <c r="D9" s="62"/>
      <c r="E9" s="62"/>
      <c r="F9" s="8"/>
      <c r="G9" s="62" t="s">
        <v>3</v>
      </c>
      <c r="H9" s="69" t="str">
        <f>IF(F9="","",ROUND(F9/100*$H$5,2))</f>
        <v/>
      </c>
      <c r="I9" s="62" t="s">
        <v>4</v>
      </c>
      <c r="K9" s="65" t="str">
        <f>IF(F9="","Bitte ausfüllen!","")</f>
        <v>Bitte ausfüllen!</v>
      </c>
    </row>
    <row r="10" spans="1:11" x14ac:dyDescent="0.2">
      <c r="A10" s="62" t="s">
        <v>11</v>
      </c>
      <c r="B10" s="62"/>
      <c r="C10" s="62" t="s">
        <v>12</v>
      </c>
      <c r="D10" s="62"/>
      <c r="E10" s="62"/>
      <c r="F10" s="8"/>
      <c r="G10" s="62" t="s">
        <v>3</v>
      </c>
      <c r="H10" s="69" t="str">
        <f>IF(F10="","",ROUND(F10/100*$H$5,2))</f>
        <v/>
      </c>
      <c r="I10" s="62" t="s">
        <v>4</v>
      </c>
      <c r="K10" s="65" t="str">
        <f>IF(F10="","Bitte ausfüllen!","")</f>
        <v>Bitte ausfüllen!</v>
      </c>
    </row>
    <row r="11" spans="1:11" x14ac:dyDescent="0.2">
      <c r="A11" s="62" t="s">
        <v>13</v>
      </c>
      <c r="B11" s="62"/>
      <c r="C11" s="62" t="s">
        <v>14</v>
      </c>
      <c r="D11" s="62"/>
      <c r="E11" s="62"/>
      <c r="F11" s="8"/>
      <c r="G11" s="62" t="s">
        <v>3</v>
      </c>
      <c r="H11" s="69" t="str">
        <f>IF(F11="","",ROUND(F11/100*$H$5,2))</f>
        <v/>
      </c>
      <c r="I11" s="62" t="s">
        <v>4</v>
      </c>
      <c r="K11" s="65" t="str">
        <f>IF(F11="","Bitte ausfüllen!","")</f>
        <v>Bitte ausfüllen!</v>
      </c>
    </row>
    <row r="12" spans="1:11" x14ac:dyDescent="0.2">
      <c r="A12" s="62" t="s">
        <v>15</v>
      </c>
      <c r="B12" s="62"/>
      <c r="C12" s="62" t="s">
        <v>16</v>
      </c>
      <c r="D12" s="62"/>
      <c r="E12" s="62"/>
      <c r="F12" s="8"/>
      <c r="G12" s="62" t="s">
        <v>3</v>
      </c>
      <c r="H12" s="69" t="str">
        <f>IF(F12="","",ROUND(F12/100*$H$5,2))</f>
        <v/>
      </c>
      <c r="I12" s="62" t="s">
        <v>4</v>
      </c>
      <c r="K12" s="65" t="str">
        <f>IF(F12="","Bitte ausfüllen!","")</f>
        <v>Bitte ausfüllen!</v>
      </c>
    </row>
    <row r="13" spans="1:11" x14ac:dyDescent="0.2">
      <c r="A13" s="62" t="s">
        <v>17</v>
      </c>
      <c r="B13" s="62"/>
      <c r="C13" s="62" t="s">
        <v>18</v>
      </c>
      <c r="D13" s="62"/>
      <c r="E13" s="62"/>
      <c r="F13" s="8"/>
      <c r="G13" s="62" t="s">
        <v>3</v>
      </c>
      <c r="H13" s="69" t="str">
        <f>IF(F13="","",ROUND(F13/100*$H$5,2))</f>
        <v/>
      </c>
      <c r="I13" s="62" t="s">
        <v>4</v>
      </c>
      <c r="K13" s="65" t="str">
        <f>IF(F13="","Bitte ausfüllen!","")</f>
        <v>Bitte ausfüllen!</v>
      </c>
    </row>
    <row r="14" spans="1:11" x14ac:dyDescent="0.2">
      <c r="A14" s="63"/>
      <c r="B14" s="63" t="s">
        <v>19</v>
      </c>
      <c r="C14" s="63"/>
      <c r="D14" s="63"/>
      <c r="E14" s="63"/>
      <c r="F14" s="70">
        <f>IF(SUM(F9:F13)=0,0,SUM(F9:F13))</f>
        <v>0</v>
      </c>
      <c r="G14" s="63" t="s">
        <v>3</v>
      </c>
      <c r="H14" s="71" t="str">
        <f>IF(COUNTIF(F9:F13,"")&gt;0,"",SUM(H8:H13))</f>
        <v/>
      </c>
      <c r="I14" s="63" t="s">
        <v>4</v>
      </c>
      <c r="K14" s="65" t="str">
        <f>IF(H14="","Angaben offen!","")</f>
        <v>Angaben offen!</v>
      </c>
    </row>
    <row r="15" spans="1:11" x14ac:dyDescent="0.2">
      <c r="A15" s="62"/>
      <c r="B15" s="62"/>
      <c r="C15" s="62"/>
      <c r="D15" s="62"/>
      <c r="E15" s="62"/>
      <c r="F15" s="66"/>
      <c r="G15" s="62"/>
      <c r="H15" s="66"/>
      <c r="I15" s="62"/>
    </row>
    <row r="16" spans="1:11" x14ac:dyDescent="0.2">
      <c r="A16" s="63" t="s">
        <v>20</v>
      </c>
      <c r="B16" s="63" t="s">
        <v>21</v>
      </c>
      <c r="C16" s="63"/>
      <c r="D16" s="63"/>
      <c r="E16" s="63"/>
      <c r="F16" s="67"/>
      <c r="G16" s="63"/>
      <c r="H16" s="67"/>
      <c r="I16" s="63"/>
    </row>
    <row r="17" spans="1:11" ht="11.25" customHeight="1" x14ac:dyDescent="0.2">
      <c r="A17" s="62" t="s">
        <v>22</v>
      </c>
      <c r="B17" s="62" t="s">
        <v>120</v>
      </c>
      <c r="C17" s="62"/>
      <c r="D17" s="8">
        <f>D73+D77</f>
        <v>8.75</v>
      </c>
      <c r="E17" s="62" t="s">
        <v>3</v>
      </c>
      <c r="F17" s="66"/>
      <c r="G17" s="62"/>
      <c r="H17" s="66"/>
      <c r="I17" s="62"/>
      <c r="K17" s="65" t="str">
        <f ca="1">IF(D17&lt;(D73+D77),"Wert prüfen!",IF(H61="","Inhalt der gelben Zellen kann angepasst werden.",""))</f>
        <v>Inhalt der gelben Zellen kann angepasst werden.</v>
      </c>
    </row>
    <row r="18" spans="1:11" x14ac:dyDescent="0.2">
      <c r="A18" s="62"/>
      <c r="B18" s="62" t="s">
        <v>23</v>
      </c>
      <c r="C18" s="62"/>
      <c r="D18" s="72">
        <f>(D17/100)*$F$14</f>
        <v>0</v>
      </c>
      <c r="E18" s="62" t="s">
        <v>3</v>
      </c>
      <c r="F18" s="73">
        <f>IF(D18="","",D17+D18)</f>
        <v>8.75</v>
      </c>
      <c r="G18" s="62" t="s">
        <v>3</v>
      </c>
      <c r="H18" s="69">
        <f>IF(D18="","",ROUND(F18/100*$H$5,2))</f>
        <v>1.31</v>
      </c>
      <c r="I18" s="62" t="s">
        <v>4</v>
      </c>
      <c r="K18" s="65"/>
    </row>
    <row r="19" spans="1:11" ht="11.25" x14ac:dyDescent="0.2">
      <c r="A19" s="62" t="s">
        <v>24</v>
      </c>
      <c r="B19" s="62" t="s">
        <v>121</v>
      </c>
      <c r="C19" s="62"/>
      <c r="D19" s="8">
        <f>D74</f>
        <v>9.3000000000000007</v>
      </c>
      <c r="E19" s="62" t="s">
        <v>3</v>
      </c>
      <c r="F19" s="74"/>
      <c r="G19" s="62"/>
      <c r="H19" s="66"/>
      <c r="I19" s="62"/>
      <c r="K19" s="65" t="str">
        <f ca="1">IF(D19&lt;&gt;D74,"Wert prüfen!",IF(H61="","Inhalt der gelben Zellen kann angepasst werden.",""))</f>
        <v>Inhalt der gelben Zellen kann angepasst werden.</v>
      </c>
    </row>
    <row r="20" spans="1:11" ht="11.25" customHeight="1" x14ac:dyDescent="0.2">
      <c r="A20" s="62"/>
      <c r="B20" s="62" t="s">
        <v>25</v>
      </c>
      <c r="C20" s="62"/>
      <c r="D20" s="72">
        <f>(D19/100)*$F$14</f>
        <v>0</v>
      </c>
      <c r="E20" s="62" t="s">
        <v>3</v>
      </c>
      <c r="F20" s="73">
        <f>IF(D20="","",D19+D20)</f>
        <v>9.3000000000000007</v>
      </c>
      <c r="G20" s="62" t="s">
        <v>3</v>
      </c>
      <c r="H20" s="69">
        <f>IF(D20="","",ROUND(F20/100*$H$5,2))</f>
        <v>1.4</v>
      </c>
      <c r="I20" s="62" t="s">
        <v>4</v>
      </c>
      <c r="K20" s="65"/>
    </row>
    <row r="21" spans="1:11" ht="11.25" x14ac:dyDescent="0.2">
      <c r="A21" s="62" t="s">
        <v>26</v>
      </c>
      <c r="B21" s="62" t="s">
        <v>122</v>
      </c>
      <c r="C21" s="62"/>
      <c r="D21" s="8">
        <f>D75</f>
        <v>1.3</v>
      </c>
      <c r="E21" s="62" t="s">
        <v>3</v>
      </c>
      <c r="F21" s="74"/>
      <c r="G21" s="62"/>
      <c r="H21" s="66"/>
      <c r="I21" s="62"/>
      <c r="K21" s="65" t="str">
        <f ca="1">IF(D21&lt;&gt;D75,"Wert prüfen!",IF(H61="","Inhalt der gelben Zellen kann angepasst werden.",""))</f>
        <v>Inhalt der gelben Zellen kann angepasst werden.</v>
      </c>
    </row>
    <row r="22" spans="1:11" x14ac:dyDescent="0.2">
      <c r="A22" s="62"/>
      <c r="B22" s="62" t="s">
        <v>27</v>
      </c>
      <c r="C22" s="62"/>
      <c r="D22" s="72">
        <f>(D21/100)*$F$14</f>
        <v>0</v>
      </c>
      <c r="E22" s="62" t="s">
        <v>3</v>
      </c>
      <c r="F22" s="73">
        <f>IF(D22="","",D21+D22)</f>
        <v>1.3</v>
      </c>
      <c r="G22" s="62" t="s">
        <v>3</v>
      </c>
      <c r="H22" s="69">
        <f>IF(D22="","",ROUND(F22/100*$H$5,2))</f>
        <v>0.2</v>
      </c>
      <c r="I22" s="62" t="s">
        <v>4</v>
      </c>
      <c r="K22" s="65"/>
    </row>
    <row r="23" spans="1:11" ht="11.25" x14ac:dyDescent="0.2">
      <c r="A23" s="62" t="s">
        <v>28</v>
      </c>
      <c r="B23" s="62" t="s">
        <v>123</v>
      </c>
      <c r="C23" s="62"/>
      <c r="D23" s="8">
        <f>D76</f>
        <v>1.8</v>
      </c>
      <c r="E23" s="62" t="s">
        <v>3</v>
      </c>
      <c r="F23" s="74"/>
      <c r="G23" s="62"/>
      <c r="H23" s="66"/>
      <c r="I23" s="62"/>
      <c r="K23" s="65" t="str">
        <f ca="1">IF(D23&lt;&gt;D76,"Wert prüfen!",IF(H61="","Inhalt der gelben Zellen kann angepasst werden.",""))</f>
        <v>Inhalt der gelben Zellen kann angepasst werden.</v>
      </c>
    </row>
    <row r="24" spans="1:11" x14ac:dyDescent="0.2">
      <c r="A24" s="62"/>
      <c r="B24" s="62" t="s">
        <v>29</v>
      </c>
      <c r="C24" s="62"/>
      <c r="D24" s="72">
        <f>(D23/100)*$F$14</f>
        <v>0</v>
      </c>
      <c r="E24" s="62" t="s">
        <v>3</v>
      </c>
      <c r="F24" s="73">
        <f>IF(D24="","",D23+D24)</f>
        <v>1.8</v>
      </c>
      <c r="G24" s="62" t="s">
        <v>3</v>
      </c>
      <c r="H24" s="69">
        <f>IF(D24="","",ROUND(F24/100*$H$5,2))</f>
        <v>0.27</v>
      </c>
      <c r="I24" s="62" t="s">
        <v>4</v>
      </c>
      <c r="K24" s="65"/>
    </row>
    <row r="25" spans="1:11" ht="11.25" x14ac:dyDescent="0.2">
      <c r="A25" s="62" t="s">
        <v>30</v>
      </c>
      <c r="B25" s="62" t="s">
        <v>124</v>
      </c>
      <c r="C25" s="62"/>
      <c r="D25" s="8"/>
      <c r="E25" s="62" t="s">
        <v>3</v>
      </c>
      <c r="F25" s="74"/>
      <c r="G25" s="62"/>
      <c r="H25" s="66"/>
      <c r="I25" s="62"/>
      <c r="K25" s="65" t="str">
        <f>IF(D25="","Bitte ausfüllen!","")</f>
        <v>Bitte ausfüllen!</v>
      </c>
    </row>
    <row r="26" spans="1:11" x14ac:dyDescent="0.2">
      <c r="A26" s="62"/>
      <c r="B26" s="62" t="s">
        <v>31</v>
      </c>
      <c r="C26" s="62"/>
      <c r="D26" s="72">
        <f>(D25/100)*$F$14</f>
        <v>0</v>
      </c>
      <c r="E26" s="62" t="s">
        <v>3</v>
      </c>
      <c r="F26" s="73">
        <f>IF(D26="","",D25+D26)</f>
        <v>0</v>
      </c>
      <c r="G26" s="62" t="s">
        <v>3</v>
      </c>
      <c r="H26" s="69">
        <f>IF(D26="","",ROUND(F26/100*$H$5,2))</f>
        <v>0</v>
      </c>
      <c r="I26" s="62" t="s">
        <v>4</v>
      </c>
      <c r="K26" s="65"/>
    </row>
    <row r="27" spans="1:11" ht="11.25" x14ac:dyDescent="0.2">
      <c r="A27" s="62" t="s">
        <v>32</v>
      </c>
      <c r="B27" s="62" t="s">
        <v>125</v>
      </c>
      <c r="C27" s="62"/>
      <c r="D27" s="62"/>
      <c r="E27" s="62"/>
      <c r="F27" s="8"/>
      <c r="G27" s="62" t="s">
        <v>3</v>
      </c>
      <c r="H27" s="69" t="str">
        <f>IF(F27="","",ROUND(F27/100*$H$5,2))</f>
        <v/>
      </c>
      <c r="I27" s="62" t="s">
        <v>4</v>
      </c>
      <c r="K27" s="65" t="str">
        <f>IF(F27="","Bitte ausfüllen!","")</f>
        <v>Bitte ausfüllen!</v>
      </c>
    </row>
    <row r="28" spans="1:11" ht="11.25" x14ac:dyDescent="0.2">
      <c r="A28" s="62" t="s">
        <v>33</v>
      </c>
      <c r="B28" s="62" t="s">
        <v>126</v>
      </c>
      <c r="C28" s="62"/>
      <c r="D28" s="62"/>
      <c r="E28" s="62"/>
      <c r="F28" s="8">
        <f>D79</f>
        <v>0.15</v>
      </c>
      <c r="G28" s="62" t="s">
        <v>3</v>
      </c>
      <c r="H28" s="69">
        <f>IF(F28="","",ROUND(F28/100*$H$5,2))</f>
        <v>0.02</v>
      </c>
      <c r="I28" s="62" t="s">
        <v>4</v>
      </c>
      <c r="K28" s="65" t="str">
        <f ca="1">IF(F28&lt;&gt;D79,"Wert prüfen!",IF(H61="","Inhalt der gelben Zellen kann angepasst werden.",""))</f>
        <v>Inhalt der gelben Zellen kann angepasst werden.</v>
      </c>
    </row>
    <row r="29" spans="1:11" ht="23.45" customHeight="1" x14ac:dyDescent="0.2">
      <c r="A29" s="63"/>
      <c r="B29" s="152" t="s">
        <v>34</v>
      </c>
      <c r="C29" s="152"/>
      <c r="D29" s="63"/>
      <c r="E29" s="63"/>
      <c r="F29" s="70">
        <f>IF(SUM(F17:F28)=0,0,SUM(F17:F28)+F14)</f>
        <v>21.3</v>
      </c>
      <c r="G29" s="63" t="s">
        <v>3</v>
      </c>
      <c r="H29" s="71" t="str">
        <f>IF(OR(COUNTIF(D17:D26,"")&gt;0,COUNTIF(F27:F28,"")&gt;0),"",SUM(H17:H28)+H14)</f>
        <v/>
      </c>
      <c r="I29" s="63" t="s">
        <v>4</v>
      </c>
      <c r="K29" s="65" t="str">
        <f>IF(H29="","Angaben offen!","")</f>
        <v>Angaben offen!</v>
      </c>
    </row>
    <row r="30" spans="1:11" ht="5.45" customHeight="1" x14ac:dyDescent="0.2">
      <c r="A30" s="62"/>
      <c r="B30" s="62"/>
      <c r="C30" s="62"/>
      <c r="D30" s="62"/>
      <c r="E30" s="62"/>
      <c r="F30" s="66"/>
      <c r="G30" s="62"/>
      <c r="H30" s="66"/>
      <c r="I30" s="62"/>
    </row>
    <row r="31" spans="1:11" x14ac:dyDescent="0.2">
      <c r="A31" s="62"/>
      <c r="B31" s="63" t="s">
        <v>35</v>
      </c>
      <c r="C31" s="62"/>
      <c r="D31" s="62"/>
      <c r="E31" s="62"/>
      <c r="F31" s="66"/>
      <c r="G31" s="62"/>
      <c r="H31" s="66"/>
      <c r="I31" s="62"/>
    </row>
    <row r="32" spans="1:11" x14ac:dyDescent="0.2">
      <c r="A32" s="62" t="s">
        <v>36</v>
      </c>
      <c r="B32" s="62" t="s">
        <v>37</v>
      </c>
      <c r="C32" s="62"/>
      <c r="D32" s="62"/>
      <c r="E32" s="62"/>
      <c r="F32" s="8"/>
      <c r="G32" s="62" t="s">
        <v>3</v>
      </c>
      <c r="H32" s="69" t="str">
        <f>IF(F32="","",ROUND(F32/100*$H$5,2))</f>
        <v/>
      </c>
      <c r="I32" s="62" t="s">
        <v>4</v>
      </c>
      <c r="K32" s="65" t="str">
        <f>IF(F32="","Bitte ausfüllen!","")</f>
        <v>Bitte ausfüllen!</v>
      </c>
    </row>
    <row r="33" spans="1:11" x14ac:dyDescent="0.2">
      <c r="A33" s="62" t="s">
        <v>38</v>
      </c>
      <c r="B33" s="62" t="s">
        <v>39</v>
      </c>
      <c r="C33" s="62"/>
      <c r="D33" s="62"/>
      <c r="E33" s="62"/>
      <c r="F33" s="8"/>
      <c r="G33" s="62" t="s">
        <v>3</v>
      </c>
      <c r="H33" s="69" t="str">
        <f>IF(F33="","",ROUND(F33/100*$H$5,2))</f>
        <v/>
      </c>
      <c r="I33" s="62" t="s">
        <v>4</v>
      </c>
      <c r="K33" s="65" t="str">
        <f>IF(F33="","Bitte ausfüllen!","")</f>
        <v>Bitte ausfüllen!</v>
      </c>
    </row>
    <row r="34" spans="1:11" ht="22.15" customHeight="1" x14ac:dyDescent="0.2">
      <c r="A34" s="63"/>
      <c r="B34" s="152" t="s">
        <v>40</v>
      </c>
      <c r="C34" s="152"/>
      <c r="D34" s="63"/>
      <c r="E34" s="63"/>
      <c r="F34" s="70">
        <f>IF(SUM(F32:F33)=0,0,SUM(F32:F33)+F29)</f>
        <v>0</v>
      </c>
      <c r="G34" s="63" t="s">
        <v>3</v>
      </c>
      <c r="H34" s="71" t="str">
        <f>IF(COUNTIF(H32:H33,"")&gt;0,"",SUM(H32:H33)+H29)</f>
        <v/>
      </c>
      <c r="I34" s="63" t="s">
        <v>4</v>
      </c>
      <c r="K34" s="65" t="str">
        <f>IF(H34="","Angaben offen!","")</f>
        <v>Angaben offen!</v>
      </c>
    </row>
    <row r="35" spans="1:11" ht="5.45" customHeight="1" x14ac:dyDescent="0.2">
      <c r="A35" s="62"/>
      <c r="B35" s="62"/>
      <c r="C35" s="62"/>
      <c r="D35" s="62"/>
      <c r="E35" s="62"/>
      <c r="F35" s="66"/>
      <c r="G35" s="62"/>
      <c r="H35" s="66"/>
      <c r="I35" s="62"/>
    </row>
    <row r="36" spans="1:11" x14ac:dyDescent="0.2">
      <c r="A36" s="63" t="s">
        <v>41</v>
      </c>
      <c r="B36" s="63" t="s">
        <v>42</v>
      </c>
      <c r="C36" s="63"/>
      <c r="D36" s="63"/>
      <c r="E36" s="63"/>
      <c r="F36" s="67"/>
      <c r="G36" s="63"/>
      <c r="H36" s="67"/>
      <c r="I36" s="63"/>
    </row>
    <row r="37" spans="1:11" x14ac:dyDescent="0.2">
      <c r="A37" s="62" t="s">
        <v>43</v>
      </c>
      <c r="B37" s="62" t="s">
        <v>44</v>
      </c>
      <c r="C37" s="62"/>
      <c r="D37" s="62"/>
      <c r="E37" s="62"/>
      <c r="F37" s="66"/>
      <c r="G37" s="62"/>
      <c r="H37" s="66"/>
      <c r="I37" s="62"/>
    </row>
    <row r="38" spans="1:11" x14ac:dyDescent="0.2">
      <c r="A38" s="62"/>
      <c r="B38" s="62" t="s">
        <v>45</v>
      </c>
      <c r="C38" s="62"/>
      <c r="D38" s="62"/>
      <c r="E38" s="62"/>
      <c r="F38" s="8"/>
      <c r="G38" s="62" t="s">
        <v>3</v>
      </c>
      <c r="H38" s="69" t="str">
        <f>IF(F38="","",ROUND(F38/100*$H$5,2))</f>
        <v/>
      </c>
      <c r="I38" s="62" t="s">
        <v>4</v>
      </c>
      <c r="K38" s="65" t="str">
        <f>IF(F38="","Bitte ausfüllen!","")</f>
        <v>Bitte ausfüllen!</v>
      </c>
    </row>
    <row r="39" spans="1:11" x14ac:dyDescent="0.2">
      <c r="A39" s="62" t="s">
        <v>46</v>
      </c>
      <c r="B39" s="62" t="s">
        <v>47</v>
      </c>
      <c r="C39" s="62"/>
      <c r="D39" s="62"/>
      <c r="E39" s="62"/>
      <c r="F39" s="8"/>
      <c r="G39" s="62" t="s">
        <v>3</v>
      </c>
      <c r="H39" s="69" t="str">
        <f>IF(F39="","",ROUND(F39/100*$H$5,2))</f>
        <v/>
      </c>
      <c r="I39" s="62" t="s">
        <v>4</v>
      </c>
      <c r="K39" s="65" t="str">
        <f>IF(F39="","Bitte ausfüllen!","")</f>
        <v>Bitte ausfüllen!</v>
      </c>
    </row>
    <row r="40" spans="1:11" x14ac:dyDescent="0.2">
      <c r="A40" s="62" t="s">
        <v>48</v>
      </c>
      <c r="B40" s="62" t="s">
        <v>49</v>
      </c>
      <c r="C40" s="62"/>
      <c r="D40" s="62"/>
      <c r="E40" s="62"/>
      <c r="F40" s="8"/>
      <c r="G40" s="62" t="s">
        <v>3</v>
      </c>
      <c r="H40" s="69" t="str">
        <f>IF(F40="","",ROUND(F40/100*$H$5,2))</f>
        <v/>
      </c>
      <c r="I40" s="62" t="s">
        <v>4</v>
      </c>
      <c r="K40" s="65" t="str">
        <f>IF(F40="","Bitte ausfüllen!","")</f>
        <v>Bitte ausfüllen!</v>
      </c>
    </row>
    <row r="41" spans="1:11" x14ac:dyDescent="0.2">
      <c r="A41" s="62" t="s">
        <v>50</v>
      </c>
      <c r="B41" s="62" t="s">
        <v>51</v>
      </c>
      <c r="C41" s="62"/>
      <c r="D41" s="62"/>
      <c r="E41" s="62"/>
      <c r="F41" s="8"/>
      <c r="G41" s="62" t="s">
        <v>3</v>
      </c>
      <c r="H41" s="69" t="str">
        <f>IF(F41="","",ROUND(F41/100*$H$5,2))</f>
        <v/>
      </c>
      <c r="I41" s="62" t="s">
        <v>4</v>
      </c>
      <c r="K41" s="65" t="str">
        <f>IF(F41="","Bitte ausfüllen!","")</f>
        <v>Bitte ausfüllen!</v>
      </c>
    </row>
    <row r="42" spans="1:11" ht="23.45" customHeight="1" x14ac:dyDescent="0.2">
      <c r="A42" s="63"/>
      <c r="B42" s="152" t="s">
        <v>52</v>
      </c>
      <c r="C42" s="152"/>
      <c r="D42" s="63"/>
      <c r="E42" s="63"/>
      <c r="F42" s="70">
        <f>IF(SUM(F38:F41)=0,0,SUM(F38:F41))</f>
        <v>0</v>
      </c>
      <c r="G42" s="63" t="s">
        <v>3</v>
      </c>
      <c r="H42" s="71" t="str">
        <f>IF(COUNTIF(H38:H41,"")&gt;0,"",SUM(H38:H41))</f>
        <v/>
      </c>
      <c r="I42" s="63" t="s">
        <v>4</v>
      </c>
      <c r="K42" s="65" t="str">
        <f>IF(H42="","Angaben offen!","")</f>
        <v>Angaben offen!</v>
      </c>
    </row>
    <row r="43" spans="1:11" ht="5.45" customHeight="1" x14ac:dyDescent="0.2">
      <c r="A43" s="62"/>
      <c r="B43" s="62"/>
      <c r="C43" s="62"/>
      <c r="D43" s="62"/>
      <c r="E43" s="62"/>
      <c r="F43" s="66"/>
      <c r="G43" s="62"/>
      <c r="H43" s="66"/>
      <c r="I43" s="62"/>
    </row>
    <row r="44" spans="1:11" x14ac:dyDescent="0.2">
      <c r="A44" s="63" t="s">
        <v>53</v>
      </c>
      <c r="B44" s="63" t="s">
        <v>54</v>
      </c>
      <c r="C44" s="63"/>
      <c r="D44" s="63"/>
      <c r="E44" s="63"/>
      <c r="F44" s="63"/>
      <c r="G44" s="63"/>
      <c r="H44" s="63"/>
      <c r="I44" s="63"/>
    </row>
    <row r="45" spans="1:11" x14ac:dyDescent="0.2">
      <c r="A45" s="62" t="s">
        <v>55</v>
      </c>
      <c r="B45" s="62" t="s">
        <v>56</v>
      </c>
      <c r="C45" s="62"/>
      <c r="D45" s="62"/>
      <c r="E45" s="62"/>
      <c r="F45" s="62"/>
      <c r="G45" s="62"/>
      <c r="H45" s="62"/>
      <c r="I45" s="62"/>
    </row>
    <row r="46" spans="1:11" x14ac:dyDescent="0.2">
      <c r="A46" s="62" t="s">
        <v>57</v>
      </c>
      <c r="B46" s="62"/>
      <c r="C46" s="62" t="s">
        <v>58</v>
      </c>
      <c r="D46" s="62"/>
      <c r="E46" s="62"/>
      <c r="F46" s="8"/>
      <c r="G46" s="62" t="s">
        <v>3</v>
      </c>
      <c r="H46" s="69" t="str">
        <f>IF(F46="","",ROUND(F46/100*$H$5,2))</f>
        <v/>
      </c>
      <c r="I46" s="62" t="s">
        <v>4</v>
      </c>
      <c r="K46" s="65" t="str">
        <f>IF(F46="","Bitte ausfüllen!","")</f>
        <v>Bitte ausfüllen!</v>
      </c>
    </row>
    <row r="47" spans="1:11" x14ac:dyDescent="0.2">
      <c r="A47" s="62" t="s">
        <v>59</v>
      </c>
      <c r="B47" s="62"/>
      <c r="C47" s="62" t="s">
        <v>119</v>
      </c>
      <c r="D47" s="62"/>
      <c r="E47" s="62"/>
      <c r="F47" s="8"/>
      <c r="G47" s="62" t="s">
        <v>3</v>
      </c>
      <c r="H47" s="69" t="str">
        <f>IF(F47="","",ROUND(F47/100*$H$5,2))</f>
        <v/>
      </c>
      <c r="I47" s="62" t="s">
        <v>4</v>
      </c>
      <c r="K47" s="65" t="str">
        <f>IF(F47="","Bitte ausfüllen!","")</f>
        <v>Bitte ausfüllen!</v>
      </c>
    </row>
    <row r="48" spans="1:11" x14ac:dyDescent="0.2">
      <c r="A48" s="62" t="s">
        <v>60</v>
      </c>
      <c r="B48" s="62" t="s">
        <v>61</v>
      </c>
      <c r="C48" s="62"/>
      <c r="D48" s="62"/>
      <c r="E48" s="62"/>
      <c r="F48" s="8"/>
      <c r="G48" s="62" t="s">
        <v>3</v>
      </c>
      <c r="H48" s="69" t="str">
        <f>IF(F48="","",ROUND(F48/100*$H$5,2))</f>
        <v/>
      </c>
      <c r="I48" s="62" t="s">
        <v>4</v>
      </c>
      <c r="K48" s="65" t="str">
        <f>IF(F48="","Bitte ausfüllen!","")</f>
        <v>Bitte ausfüllen!</v>
      </c>
    </row>
    <row r="49" spans="1:11" x14ac:dyDescent="0.2">
      <c r="A49" s="62" t="s">
        <v>62</v>
      </c>
      <c r="B49" s="62" t="s">
        <v>63</v>
      </c>
      <c r="C49" s="62"/>
      <c r="D49" s="62"/>
      <c r="E49" s="62"/>
      <c r="F49" s="62"/>
      <c r="G49" s="62"/>
      <c r="H49" s="62"/>
      <c r="I49" s="62"/>
    </row>
    <row r="50" spans="1:11" x14ac:dyDescent="0.2">
      <c r="A50" s="62" t="s">
        <v>64</v>
      </c>
      <c r="B50" s="62"/>
      <c r="C50" s="62" t="s">
        <v>65</v>
      </c>
      <c r="D50" s="62"/>
      <c r="E50" s="62"/>
      <c r="F50" s="8"/>
      <c r="G50" s="62" t="s">
        <v>3</v>
      </c>
      <c r="H50" s="69" t="str">
        <f t="shared" ref="H50:H56" si="0">IF(F50="","",ROUND(F50/100*$H$5,2))</f>
        <v/>
      </c>
      <c r="I50" s="62" t="s">
        <v>4</v>
      </c>
      <c r="K50" s="65" t="str">
        <f t="shared" ref="K50:K56" si="1">IF(F50="","Bitte ausfüllen!","")</f>
        <v>Bitte ausfüllen!</v>
      </c>
    </row>
    <row r="51" spans="1:11" x14ac:dyDescent="0.2">
      <c r="A51" s="62" t="s">
        <v>66</v>
      </c>
      <c r="B51" s="62"/>
      <c r="C51" s="62" t="s">
        <v>67</v>
      </c>
      <c r="D51" s="62"/>
      <c r="E51" s="62"/>
      <c r="F51" s="8"/>
      <c r="G51" s="62" t="s">
        <v>3</v>
      </c>
      <c r="H51" s="69" t="str">
        <f t="shared" si="0"/>
        <v/>
      </c>
      <c r="I51" s="62" t="s">
        <v>4</v>
      </c>
      <c r="K51" s="65" t="str">
        <f t="shared" si="1"/>
        <v>Bitte ausfüllen!</v>
      </c>
    </row>
    <row r="52" spans="1:11" x14ac:dyDescent="0.2">
      <c r="A52" s="62" t="s">
        <v>68</v>
      </c>
      <c r="B52" s="62" t="s">
        <v>69</v>
      </c>
      <c r="C52" s="62"/>
      <c r="D52" s="62"/>
      <c r="E52" s="62"/>
      <c r="F52" s="8"/>
      <c r="G52" s="62" t="s">
        <v>3</v>
      </c>
      <c r="H52" s="69" t="str">
        <f t="shared" si="0"/>
        <v/>
      </c>
      <c r="I52" s="62" t="s">
        <v>4</v>
      </c>
      <c r="K52" s="65" t="str">
        <f t="shared" si="1"/>
        <v>Bitte ausfüllen!</v>
      </c>
    </row>
    <row r="53" spans="1:11" x14ac:dyDescent="0.2">
      <c r="A53" s="62" t="s">
        <v>70</v>
      </c>
      <c r="B53" s="62" t="s">
        <v>71</v>
      </c>
      <c r="C53" s="62"/>
      <c r="D53" s="62"/>
      <c r="E53" s="62"/>
      <c r="F53" s="8"/>
      <c r="G53" s="62" t="s">
        <v>3</v>
      </c>
      <c r="H53" s="69" t="str">
        <f t="shared" si="0"/>
        <v/>
      </c>
      <c r="I53" s="62" t="s">
        <v>4</v>
      </c>
      <c r="K53" s="65" t="str">
        <f t="shared" si="1"/>
        <v>Bitte ausfüllen!</v>
      </c>
    </row>
    <row r="54" spans="1:11" x14ac:dyDescent="0.2">
      <c r="A54" s="62" t="s">
        <v>72</v>
      </c>
      <c r="B54" s="62" t="s">
        <v>73</v>
      </c>
      <c r="C54" s="62"/>
      <c r="D54" s="62"/>
      <c r="E54" s="62"/>
      <c r="F54" s="8"/>
      <c r="G54" s="62" t="s">
        <v>3</v>
      </c>
      <c r="H54" s="69" t="str">
        <f t="shared" si="0"/>
        <v/>
      </c>
      <c r="I54" s="62" t="s">
        <v>4</v>
      </c>
      <c r="K54" s="65" t="str">
        <f t="shared" si="1"/>
        <v>Bitte ausfüllen!</v>
      </c>
    </row>
    <row r="55" spans="1:11" x14ac:dyDescent="0.2">
      <c r="A55" s="62" t="s">
        <v>74</v>
      </c>
      <c r="B55" s="62" t="s">
        <v>75</v>
      </c>
      <c r="C55" s="62"/>
      <c r="D55" s="62"/>
      <c r="E55" s="62"/>
      <c r="F55" s="8"/>
      <c r="G55" s="62" t="s">
        <v>3</v>
      </c>
      <c r="H55" s="69" t="str">
        <f t="shared" si="0"/>
        <v/>
      </c>
      <c r="I55" s="62" t="s">
        <v>4</v>
      </c>
      <c r="K55" s="65" t="str">
        <f t="shared" si="1"/>
        <v>Bitte ausfüllen!</v>
      </c>
    </row>
    <row r="56" spans="1:11" x14ac:dyDescent="0.2">
      <c r="A56" s="62" t="s">
        <v>76</v>
      </c>
      <c r="B56" s="62" t="s">
        <v>77</v>
      </c>
      <c r="C56" s="62"/>
      <c r="D56" s="62"/>
      <c r="E56" s="62"/>
      <c r="F56" s="8"/>
      <c r="G56" s="62" t="s">
        <v>3</v>
      </c>
      <c r="H56" s="69" t="str">
        <f t="shared" si="0"/>
        <v/>
      </c>
      <c r="I56" s="62" t="s">
        <v>4</v>
      </c>
      <c r="K56" s="65" t="str">
        <f t="shared" si="1"/>
        <v>Bitte ausfüllen!</v>
      </c>
    </row>
    <row r="57" spans="1:11" ht="23.45" customHeight="1" x14ac:dyDescent="0.2">
      <c r="A57" s="63"/>
      <c r="B57" s="152" t="s">
        <v>78</v>
      </c>
      <c r="C57" s="152"/>
      <c r="D57" s="63"/>
      <c r="E57" s="63"/>
      <c r="F57" s="70">
        <f>IF(SUM(F45:F56)=0,0,SUM(F45:F56))</f>
        <v>0</v>
      </c>
      <c r="G57" s="63" t="s">
        <v>3</v>
      </c>
      <c r="H57" s="71" t="str">
        <f>IF(COUNTIF(H46:H56,"")&gt;1,"",SUM(H46:H56))</f>
        <v/>
      </c>
      <c r="I57" s="63" t="s">
        <v>4</v>
      </c>
      <c r="K57" s="65" t="str">
        <f>IF(H57="","Angaben offen!","")</f>
        <v>Angaben offen!</v>
      </c>
    </row>
    <row r="58" spans="1:11" ht="6.6" customHeight="1" x14ac:dyDescent="0.2">
      <c r="A58" s="62"/>
      <c r="B58" s="62"/>
      <c r="C58" s="62"/>
      <c r="D58" s="62"/>
      <c r="E58" s="62"/>
      <c r="F58" s="66"/>
      <c r="G58" s="62"/>
      <c r="H58" s="66"/>
      <c r="I58" s="62"/>
    </row>
    <row r="59" spans="1:11" x14ac:dyDescent="0.2">
      <c r="A59" s="63" t="s">
        <v>79</v>
      </c>
      <c r="B59" s="151" t="s">
        <v>80</v>
      </c>
      <c r="C59" s="151"/>
      <c r="D59" s="63"/>
      <c r="E59" s="63"/>
      <c r="F59" s="75">
        <f>IF(AND(F34=""),0,F34+F42+F57+F5)</f>
        <v>100</v>
      </c>
      <c r="G59" s="63" t="s">
        <v>3</v>
      </c>
      <c r="H59" s="67" t="str">
        <f>IF(H57="","",H34+H42+H57+H5)</f>
        <v/>
      </c>
      <c r="I59" s="63" t="s">
        <v>4</v>
      </c>
    </row>
    <row r="60" spans="1:11" x14ac:dyDescent="0.2">
      <c r="A60" s="63" t="s">
        <v>81</v>
      </c>
      <c r="B60" s="63" t="s">
        <v>82</v>
      </c>
      <c r="C60" s="63"/>
      <c r="D60" s="63"/>
      <c r="E60" s="63"/>
      <c r="F60" s="8"/>
      <c r="G60" s="63" t="s">
        <v>3</v>
      </c>
      <c r="H60" s="71" t="str">
        <f>IF(F60="","",ROUND(F60/100*H59,2))</f>
        <v/>
      </c>
      <c r="I60" s="63" t="s">
        <v>4</v>
      </c>
      <c r="K60" s="65" t="str">
        <f>IF(F60="","Bitte ausfüllen!","")</f>
        <v>Bitte ausfüllen!</v>
      </c>
    </row>
    <row r="61" spans="1:11" x14ac:dyDescent="0.2">
      <c r="A61" s="63"/>
      <c r="B61" s="63" t="s">
        <v>83</v>
      </c>
      <c r="C61" s="63"/>
      <c r="D61" s="63"/>
      <c r="E61" s="63"/>
      <c r="F61" s="70">
        <f ca="1">IF(H61="",0,H61/H5*100)</f>
        <v>0</v>
      </c>
      <c r="G61" s="63" t="s">
        <v>3</v>
      </c>
      <c r="H61" s="71" t="str">
        <f ca="1">IF(SUM(COUNTIF(INDIRECT({"H5","F9:F13","D17:D26","F27:F28","F32:F33","F38:F41","F46:F48","F50:F56","F60","H65:H68"}),""))&gt;0,"",H59+H60)</f>
        <v/>
      </c>
      <c r="I61" s="63" t="s">
        <v>4</v>
      </c>
      <c r="K61" s="65" t="str">
        <f ca="1">IF(SUM(COUNTIF(INDIRECT({"H5","F9:F13","D17:D26","F27:F28","F32:F33","F38:F41","F46:F48","F50:F56","F60","H65:H68"}),""))&gt;0,SUM(COUNTIF(INDIRECT({"H5","F9:F13","D17:D26","F27:F28","F32:F33","F38:F41","F46:F48","F50:F56","F60","H65:H68"}),"")) &amp;" Zelle(n) ohne Wert!","")</f>
        <v>28 Zelle(n) ohne Wert!</v>
      </c>
    </row>
    <row r="62" spans="1:11" x14ac:dyDescent="0.2">
      <c r="A62" s="62"/>
      <c r="B62" s="62" t="s">
        <v>84</v>
      </c>
      <c r="C62" s="62"/>
      <c r="D62" s="62"/>
      <c r="E62" s="62"/>
      <c r="F62" s="70">
        <f ca="1">IF(F61=0,0,F61-F5)</f>
        <v>0</v>
      </c>
      <c r="G62" s="62" t="s">
        <v>3</v>
      </c>
      <c r="H62" s="62"/>
      <c r="I62" s="62"/>
      <c r="K62" s="65" t="str">
        <f ca="1">IF(F62&lt;70,"Bitte prüfen gemäß Aufforderung!","")</f>
        <v>Bitte prüfen gemäß Aufforderung!</v>
      </c>
    </row>
    <row r="63" spans="1:11" ht="5.45" customHeight="1" x14ac:dyDescent="0.2">
      <c r="A63" s="62"/>
      <c r="B63" s="63"/>
      <c r="C63" s="62"/>
      <c r="D63" s="62"/>
      <c r="E63" s="62"/>
      <c r="F63" s="75"/>
      <c r="G63" s="62"/>
      <c r="H63" s="67"/>
    </row>
    <row r="64" spans="1:11" x14ac:dyDescent="0.2">
      <c r="B64" s="63" t="s">
        <v>85</v>
      </c>
      <c r="D64" s="63"/>
      <c r="E64" s="63"/>
      <c r="G64" s="63"/>
      <c r="H64" s="67" t="s">
        <v>86</v>
      </c>
      <c r="I64" s="63"/>
    </row>
    <row r="65" spans="1:15" x14ac:dyDescent="0.2">
      <c r="B65" s="62" t="s">
        <v>87</v>
      </c>
      <c r="D65" s="62"/>
      <c r="E65" s="62"/>
      <c r="G65" s="76"/>
      <c r="H65" s="9"/>
      <c r="I65" s="76"/>
      <c r="K65" s="65" t="str">
        <f>IF(H65="","Bitte ausfüllen!","")</f>
        <v>Bitte ausfüllen!</v>
      </c>
    </row>
    <row r="66" spans="1:15" x14ac:dyDescent="0.2">
      <c r="B66" s="62" t="s">
        <v>88</v>
      </c>
      <c r="D66" s="62"/>
      <c r="E66" s="62"/>
      <c r="G66" s="76"/>
      <c r="H66" s="10"/>
      <c r="I66" s="76"/>
      <c r="K66" s="65" t="str">
        <f>IF(H66="","Bitte ausfüllen!","")</f>
        <v>Bitte ausfüllen!</v>
      </c>
    </row>
    <row r="67" spans="1:15" x14ac:dyDescent="0.2">
      <c r="B67" s="62" t="s">
        <v>89</v>
      </c>
      <c r="D67" s="62"/>
      <c r="E67" s="62"/>
      <c r="G67" s="76"/>
      <c r="H67" s="11"/>
      <c r="I67" s="76"/>
      <c r="K67" s="65" t="str">
        <f>IF(H67="","Bitte ausfüllen!","")</f>
        <v>Bitte ausfüllen!</v>
      </c>
    </row>
    <row r="68" spans="1:15" x14ac:dyDescent="0.2">
      <c r="B68" s="62" t="s">
        <v>90</v>
      </c>
      <c r="D68" s="62"/>
      <c r="E68" s="62"/>
      <c r="G68" s="76"/>
      <c r="H68" s="10"/>
      <c r="I68" s="76"/>
      <c r="K68" s="65" t="str">
        <f>IF(H68="","Bitte ausfüllen!","")</f>
        <v>Bitte ausfüllen!</v>
      </c>
    </row>
    <row r="69" spans="1:15" ht="5.45" customHeight="1" x14ac:dyDescent="0.2"/>
    <row r="70" spans="1:15" ht="5.45" customHeight="1" x14ac:dyDescent="0.2">
      <c r="C70" s="45"/>
      <c r="D70" s="4"/>
    </row>
    <row r="71" spans="1:15" ht="15.95" customHeight="1" x14ac:dyDescent="0.2">
      <c r="A71" s="142" t="s">
        <v>187</v>
      </c>
      <c r="B71" s="142"/>
      <c r="C71" s="142"/>
      <c r="D71" s="142" t="s">
        <v>188</v>
      </c>
      <c r="F71" s="144" t="s">
        <v>132</v>
      </c>
      <c r="G71" s="145"/>
      <c r="H71" s="146"/>
      <c r="L71" s="26"/>
      <c r="M71" s="26"/>
      <c r="N71" s="26"/>
      <c r="O71" s="26"/>
    </row>
    <row r="72" spans="1:15" ht="15.95" customHeight="1" x14ac:dyDescent="0.2">
      <c r="A72" s="143"/>
      <c r="B72" s="143"/>
      <c r="C72" s="143"/>
      <c r="D72" s="143"/>
      <c r="F72" s="147"/>
      <c r="G72" s="148"/>
      <c r="H72" s="149"/>
      <c r="I72" s="63"/>
      <c r="J72" s="63"/>
      <c r="K72" s="63"/>
      <c r="L72" s="26"/>
      <c r="M72" s="26"/>
      <c r="N72" s="26"/>
      <c r="O72" s="26"/>
    </row>
    <row r="73" spans="1:15" ht="19.899999999999999" customHeight="1" x14ac:dyDescent="0.2">
      <c r="A73" s="140">
        <v>1</v>
      </c>
      <c r="B73" s="140"/>
      <c r="C73" s="12" t="s">
        <v>127</v>
      </c>
      <c r="D73" s="48">
        <v>7.3</v>
      </c>
      <c r="F73" s="141" t="s">
        <v>353</v>
      </c>
      <c r="G73" s="141"/>
      <c r="H73" s="141"/>
    </row>
    <row r="74" spans="1:15" ht="19.899999999999999" customHeight="1" x14ac:dyDescent="0.2">
      <c r="A74" s="140">
        <v>2</v>
      </c>
      <c r="B74" s="140"/>
      <c r="C74" s="12" t="s">
        <v>128</v>
      </c>
      <c r="D74" s="48">
        <v>9.3000000000000007</v>
      </c>
    </row>
    <row r="75" spans="1:15" ht="25.5" customHeight="1" x14ac:dyDescent="0.2">
      <c r="A75" s="140">
        <v>3</v>
      </c>
      <c r="B75" s="140"/>
      <c r="C75" s="12" t="s">
        <v>129</v>
      </c>
      <c r="D75" s="48">
        <v>1.3</v>
      </c>
    </row>
    <row r="76" spans="1:15" ht="25.5" customHeight="1" x14ac:dyDescent="0.2">
      <c r="A76" s="140">
        <v>4</v>
      </c>
      <c r="B76" s="140"/>
      <c r="C76" s="12" t="s">
        <v>130</v>
      </c>
      <c r="D76" s="48">
        <f>IF( F73="Sachsen",1.3,1.8)</f>
        <v>1.8</v>
      </c>
    </row>
    <row r="77" spans="1:15" ht="31.5" x14ac:dyDescent="0.2">
      <c r="A77" s="140">
        <v>5</v>
      </c>
      <c r="B77" s="140"/>
      <c r="C77" s="12" t="s">
        <v>189</v>
      </c>
      <c r="D77" s="48">
        <v>1.45</v>
      </c>
    </row>
    <row r="78" spans="1:15" ht="25.5" customHeight="1" x14ac:dyDescent="0.2">
      <c r="A78" s="140">
        <v>6</v>
      </c>
      <c r="B78" s="140"/>
      <c r="C78" s="12" t="s">
        <v>117</v>
      </c>
      <c r="D78" s="48"/>
    </row>
    <row r="79" spans="1:15" ht="25.5" customHeight="1" x14ac:dyDescent="0.2">
      <c r="A79" s="140">
        <v>7</v>
      </c>
      <c r="B79" s="140"/>
      <c r="C79" s="12" t="s">
        <v>131</v>
      </c>
      <c r="D79" s="48">
        <v>0.15</v>
      </c>
    </row>
  </sheetData>
  <sheetProtection algorithmName="SHA-512" hashValue="FRSbxTzeHyx+TR6M5Pm+thjUxj3ZFWhCAo05xEHoyTmt4KtnYMA7KT+sVnDO4/E5V2w/NB9+1htCE6UUYW8zOA==" saltValue="l4AAPSvve4CF3/vaSJwHAQ=="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4"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61" t="str">
        <f ca="1">IF(H61&lt;&gt;"","","Bitte alle gelben Zellen ausfüllen.")</f>
        <v>Bitte alle gelben Zellen ausfüllen.</v>
      </c>
      <c r="D1" s="20" t="b">
        <v>0</v>
      </c>
      <c r="E1" s="130"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0"/>
      <c r="G1" s="130"/>
      <c r="H1" s="130"/>
      <c r="I1" s="130"/>
      <c r="K1" s="5" t="s">
        <v>100</v>
      </c>
    </row>
    <row r="2" spans="1:11" ht="34.5" customHeight="1" x14ac:dyDescent="0.2">
      <c r="A2" s="3" t="s">
        <v>103</v>
      </c>
      <c r="C2" s="4" t="str">
        <f>IF(Inhaltsverzeichnis!$C$3="", "",Inhaltsverzeichnis!$C$3)</f>
        <v/>
      </c>
      <c r="D2" s="20" t="b">
        <v>0</v>
      </c>
      <c r="E2" s="130"/>
      <c r="F2" s="130"/>
      <c r="G2" s="130"/>
      <c r="H2" s="130"/>
      <c r="I2" s="130"/>
    </row>
    <row r="3" spans="1:11" s="2" customFormat="1" ht="12.75" x14ac:dyDescent="0.2">
      <c r="A3" s="150" t="s">
        <v>101</v>
      </c>
      <c r="B3" s="150"/>
      <c r="C3" s="150"/>
      <c r="D3" s="150"/>
      <c r="E3" s="150"/>
      <c r="F3" s="150"/>
      <c r="G3" s="150"/>
      <c r="H3" s="150"/>
      <c r="I3" s="150"/>
    </row>
    <row r="4" spans="1:11" x14ac:dyDescent="0.2">
      <c r="A4" s="62"/>
      <c r="B4" s="62"/>
      <c r="C4" s="62"/>
      <c r="D4" s="62"/>
      <c r="E4" s="62"/>
      <c r="F4" s="62"/>
      <c r="G4" s="62"/>
      <c r="H4" s="62"/>
      <c r="I4" s="62"/>
    </row>
    <row r="5" spans="1:11" ht="15" customHeight="1" x14ac:dyDescent="0.2">
      <c r="A5" s="63" t="s">
        <v>1</v>
      </c>
      <c r="B5" s="63" t="s">
        <v>2</v>
      </c>
      <c r="C5" s="63"/>
      <c r="D5" s="63"/>
      <c r="E5" s="63"/>
      <c r="F5" s="64">
        <v>100</v>
      </c>
      <c r="G5" s="63" t="s">
        <v>3</v>
      </c>
      <c r="H5" s="7">
        <v>15</v>
      </c>
      <c r="I5" s="63" t="s">
        <v>4</v>
      </c>
      <c r="K5" s="65"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2"/>
      <c r="B6" s="62"/>
      <c r="C6" s="62"/>
      <c r="D6" s="62"/>
      <c r="E6" s="62"/>
      <c r="F6" s="66"/>
      <c r="G6" s="62"/>
      <c r="H6" s="66"/>
      <c r="I6" s="62"/>
    </row>
    <row r="7" spans="1:11" x14ac:dyDescent="0.2">
      <c r="A7" s="63" t="s">
        <v>5</v>
      </c>
      <c r="B7" s="63" t="s">
        <v>6</v>
      </c>
      <c r="C7" s="63"/>
      <c r="D7" s="63"/>
      <c r="E7" s="63"/>
      <c r="F7" s="67"/>
      <c r="G7" s="63"/>
      <c r="H7" s="67"/>
      <c r="I7" s="63"/>
    </row>
    <row r="8" spans="1:11" ht="14.25" x14ac:dyDescent="0.2">
      <c r="A8" s="62" t="s">
        <v>7</v>
      </c>
      <c r="B8" s="62" t="s">
        <v>8</v>
      </c>
      <c r="C8" s="62"/>
      <c r="D8" s="62"/>
      <c r="E8" s="62"/>
      <c r="F8" s="67"/>
      <c r="G8" s="67"/>
      <c r="H8" s="67"/>
      <c r="I8" s="67"/>
      <c r="K8" s="68"/>
    </row>
    <row r="9" spans="1:11" x14ac:dyDescent="0.2">
      <c r="A9" s="62" t="s">
        <v>9</v>
      </c>
      <c r="B9" s="62"/>
      <c r="C9" s="62" t="s">
        <v>10</v>
      </c>
      <c r="D9" s="62"/>
      <c r="E9" s="62"/>
      <c r="F9" s="8"/>
      <c r="G9" s="62" t="s">
        <v>3</v>
      </c>
      <c r="H9" s="69" t="str">
        <f>IF(F9="","",ROUND(F9/100*$H$5,2))</f>
        <v/>
      </c>
      <c r="I9" s="62" t="s">
        <v>4</v>
      </c>
      <c r="K9" s="65" t="str">
        <f>IF(F9="","Bitte ausfüllen!","")</f>
        <v>Bitte ausfüllen!</v>
      </c>
    </row>
    <row r="10" spans="1:11" x14ac:dyDescent="0.2">
      <c r="A10" s="62" t="s">
        <v>11</v>
      </c>
      <c r="B10" s="62"/>
      <c r="C10" s="62" t="s">
        <v>12</v>
      </c>
      <c r="D10" s="62"/>
      <c r="E10" s="62"/>
      <c r="F10" s="8"/>
      <c r="G10" s="62" t="s">
        <v>3</v>
      </c>
      <c r="H10" s="69" t="str">
        <f>IF(F10="","",ROUND(F10/100*$H$5,2))</f>
        <v/>
      </c>
      <c r="I10" s="62" t="s">
        <v>4</v>
      </c>
      <c r="K10" s="65" t="str">
        <f>IF(F10="","Bitte ausfüllen!","")</f>
        <v>Bitte ausfüllen!</v>
      </c>
    </row>
    <row r="11" spans="1:11" x14ac:dyDescent="0.2">
      <c r="A11" s="62" t="s">
        <v>13</v>
      </c>
      <c r="B11" s="62"/>
      <c r="C11" s="62" t="s">
        <v>14</v>
      </c>
      <c r="D11" s="62"/>
      <c r="E11" s="62"/>
      <c r="F11" s="8"/>
      <c r="G11" s="62" t="s">
        <v>3</v>
      </c>
      <c r="H11" s="69" t="str">
        <f>IF(F11="","",ROUND(F11/100*$H$5,2))</f>
        <v/>
      </c>
      <c r="I11" s="62" t="s">
        <v>4</v>
      </c>
      <c r="K11" s="65" t="str">
        <f>IF(F11="","Bitte ausfüllen!","")</f>
        <v>Bitte ausfüllen!</v>
      </c>
    </row>
    <row r="12" spans="1:11" x14ac:dyDescent="0.2">
      <c r="A12" s="62" t="s">
        <v>15</v>
      </c>
      <c r="B12" s="62"/>
      <c r="C12" s="62" t="s">
        <v>16</v>
      </c>
      <c r="D12" s="62"/>
      <c r="E12" s="62"/>
      <c r="F12" s="8"/>
      <c r="G12" s="62" t="s">
        <v>3</v>
      </c>
      <c r="H12" s="69" t="str">
        <f>IF(F12="","",ROUND(F12/100*$H$5,2))</f>
        <v/>
      </c>
      <c r="I12" s="62" t="s">
        <v>4</v>
      </c>
      <c r="K12" s="65" t="str">
        <f>IF(F12="","Bitte ausfüllen!","")</f>
        <v>Bitte ausfüllen!</v>
      </c>
    </row>
    <row r="13" spans="1:11" x14ac:dyDescent="0.2">
      <c r="A13" s="62" t="s">
        <v>17</v>
      </c>
      <c r="B13" s="62"/>
      <c r="C13" s="62" t="s">
        <v>18</v>
      </c>
      <c r="D13" s="62"/>
      <c r="E13" s="62"/>
      <c r="F13" s="8"/>
      <c r="G13" s="62" t="s">
        <v>3</v>
      </c>
      <c r="H13" s="69" t="str">
        <f>IF(F13="","",ROUND(F13/100*$H$5,2))</f>
        <v/>
      </c>
      <c r="I13" s="62" t="s">
        <v>4</v>
      </c>
      <c r="K13" s="65" t="str">
        <f>IF(F13="","Bitte ausfüllen!","")</f>
        <v>Bitte ausfüllen!</v>
      </c>
    </row>
    <row r="14" spans="1:11" x14ac:dyDescent="0.2">
      <c r="A14" s="63"/>
      <c r="B14" s="63" t="s">
        <v>19</v>
      </c>
      <c r="C14" s="63"/>
      <c r="D14" s="63"/>
      <c r="E14" s="63"/>
      <c r="F14" s="70">
        <f>IF(SUM(F9:F13)=0,0,SUM(F9:F13))</f>
        <v>0</v>
      </c>
      <c r="G14" s="63" t="s">
        <v>3</v>
      </c>
      <c r="H14" s="71" t="str">
        <f>IF(COUNTIF(F9:F13,"")&gt;0,"",SUM(H8:H13))</f>
        <v/>
      </c>
      <c r="I14" s="63" t="s">
        <v>4</v>
      </c>
      <c r="K14" s="65" t="str">
        <f>IF(H14="","Angaben offen!","")</f>
        <v>Angaben offen!</v>
      </c>
    </row>
    <row r="15" spans="1:11" x14ac:dyDescent="0.2">
      <c r="A15" s="62"/>
      <c r="B15" s="62"/>
      <c r="C15" s="62"/>
      <c r="D15" s="62"/>
      <c r="E15" s="62"/>
      <c r="F15" s="66"/>
      <c r="G15" s="62"/>
      <c r="H15" s="66"/>
      <c r="I15" s="62"/>
    </row>
    <row r="16" spans="1:11" x14ac:dyDescent="0.2">
      <c r="A16" s="63" t="s">
        <v>20</v>
      </c>
      <c r="B16" s="63" t="s">
        <v>21</v>
      </c>
      <c r="C16" s="63"/>
      <c r="D16" s="63"/>
      <c r="E16" s="63"/>
      <c r="F16" s="67"/>
      <c r="G16" s="63"/>
      <c r="H16" s="67"/>
      <c r="I16" s="63"/>
    </row>
    <row r="17" spans="1:14" ht="11.25" x14ac:dyDescent="0.2">
      <c r="A17" s="62" t="s">
        <v>22</v>
      </c>
      <c r="B17" s="62" t="s">
        <v>120</v>
      </c>
      <c r="C17" s="62"/>
      <c r="D17" s="8">
        <f>D73+D77</f>
        <v>8.75</v>
      </c>
      <c r="E17" s="62" t="s">
        <v>3</v>
      </c>
      <c r="F17" s="66"/>
      <c r="G17" s="62"/>
      <c r="H17" s="66"/>
      <c r="I17" s="62"/>
      <c r="K17" s="65" t="str">
        <f ca="1">IF(D17&lt;(D73+D77),"Wert prüfen!",IF(H61="","Inhalt der gelben Zellen kann angepasst werden.",""))</f>
        <v>Inhalt der gelben Zellen kann angepasst werden.</v>
      </c>
    </row>
    <row r="18" spans="1:14" x14ac:dyDescent="0.2">
      <c r="A18" s="62"/>
      <c r="B18" s="62" t="s">
        <v>23</v>
      </c>
      <c r="C18" s="62"/>
      <c r="D18" s="72">
        <f>(D17/100)*$F$14</f>
        <v>0</v>
      </c>
      <c r="E18" s="62" t="s">
        <v>3</v>
      </c>
      <c r="F18" s="73">
        <f>IF(D18="","",D17+D18)</f>
        <v>8.75</v>
      </c>
      <c r="G18" s="62" t="s">
        <v>3</v>
      </c>
      <c r="H18" s="69">
        <f>IF(D18="","",ROUND(F18/100*$H$5,2))</f>
        <v>1.31</v>
      </c>
      <c r="I18" s="62" t="s">
        <v>4</v>
      </c>
      <c r="K18" s="65"/>
    </row>
    <row r="19" spans="1:14" ht="11.25" x14ac:dyDescent="0.2">
      <c r="A19" s="62" t="s">
        <v>24</v>
      </c>
      <c r="B19" s="62" t="s">
        <v>121</v>
      </c>
      <c r="C19" s="62"/>
      <c r="D19" s="8">
        <f>D74</f>
        <v>9.3000000000000007</v>
      </c>
      <c r="E19" s="62" t="s">
        <v>3</v>
      </c>
      <c r="F19" s="74"/>
      <c r="G19" s="62"/>
      <c r="H19" s="66"/>
      <c r="I19" s="62"/>
      <c r="K19" s="65" t="str">
        <f ca="1">IF(D19&lt;&gt;D74,"Wert prüfen!",IF(H61="","Inhalt der gelben Zellen kann angepasst werden.",""))</f>
        <v>Inhalt der gelben Zellen kann angepasst werden.</v>
      </c>
    </row>
    <row r="20" spans="1:14" x14ac:dyDescent="0.2">
      <c r="A20" s="62"/>
      <c r="B20" s="62" t="s">
        <v>25</v>
      </c>
      <c r="C20" s="62"/>
      <c r="D20" s="72">
        <f>(D19/100)*$F$14</f>
        <v>0</v>
      </c>
      <c r="E20" s="62" t="s">
        <v>3</v>
      </c>
      <c r="F20" s="73">
        <f>IF(D20="","",D19+D20)</f>
        <v>9.3000000000000007</v>
      </c>
      <c r="G20" s="62" t="s">
        <v>3</v>
      </c>
      <c r="H20" s="69">
        <f>IF(D20="","",ROUND(F20/100*$H$5,2))</f>
        <v>1.4</v>
      </c>
      <c r="I20" s="62" t="s">
        <v>4</v>
      </c>
      <c r="K20" s="65"/>
    </row>
    <row r="21" spans="1:14" ht="11.25" x14ac:dyDescent="0.2">
      <c r="A21" s="62" t="s">
        <v>26</v>
      </c>
      <c r="B21" s="62" t="s">
        <v>122</v>
      </c>
      <c r="C21" s="62"/>
      <c r="D21" s="8">
        <f>D75</f>
        <v>1.3</v>
      </c>
      <c r="E21" s="62" t="s">
        <v>3</v>
      </c>
      <c r="F21" s="74"/>
      <c r="G21" s="62"/>
      <c r="H21" s="66"/>
      <c r="I21" s="62"/>
      <c r="K21" s="65" t="str">
        <f ca="1">IF(D21&lt;&gt;D75,"Wert prüfen!",IF(H61="","Inhalt der gelben Zellen kann angepasst werden.",""))</f>
        <v>Inhalt der gelben Zellen kann angepasst werden.</v>
      </c>
    </row>
    <row r="22" spans="1:14" x14ac:dyDescent="0.2">
      <c r="A22" s="62"/>
      <c r="B22" s="62" t="s">
        <v>27</v>
      </c>
      <c r="C22" s="62"/>
      <c r="D22" s="72">
        <f>(D21/100)*$F$14</f>
        <v>0</v>
      </c>
      <c r="E22" s="62" t="s">
        <v>3</v>
      </c>
      <c r="F22" s="73">
        <f>IF(D22="","",D21+D22)</f>
        <v>1.3</v>
      </c>
      <c r="G22" s="62" t="s">
        <v>3</v>
      </c>
      <c r="H22" s="69">
        <f>IF(D22="","",ROUND(F22/100*$H$5,2))</f>
        <v>0.2</v>
      </c>
      <c r="I22" s="62" t="s">
        <v>4</v>
      </c>
      <c r="K22" s="65"/>
    </row>
    <row r="23" spans="1:14" ht="11.25" x14ac:dyDescent="0.2">
      <c r="A23" s="62" t="s">
        <v>28</v>
      </c>
      <c r="B23" s="62" t="s">
        <v>123</v>
      </c>
      <c r="C23" s="62"/>
      <c r="D23" s="8">
        <f>D76</f>
        <v>1.8</v>
      </c>
      <c r="E23" s="62" t="s">
        <v>3</v>
      </c>
      <c r="F23" s="74"/>
      <c r="G23" s="62"/>
      <c r="H23" s="66"/>
      <c r="I23" s="62"/>
      <c r="K23" s="65" t="str">
        <f ca="1">IF(D23&lt;&gt;D76,"Wert prüfen!",IF(H61="","Inhalt der gelben Zellen kann angepasst werden.",""))</f>
        <v>Inhalt der gelben Zellen kann angepasst werden.</v>
      </c>
      <c r="L23" s="19"/>
      <c r="M23" s="19"/>
      <c r="N23" s="19"/>
    </row>
    <row r="24" spans="1:14" x14ac:dyDescent="0.2">
      <c r="A24" s="62"/>
      <c r="B24" s="62" t="s">
        <v>29</v>
      </c>
      <c r="C24" s="62"/>
      <c r="D24" s="72">
        <f>(D23/100)*$F$14</f>
        <v>0</v>
      </c>
      <c r="E24" s="62" t="s">
        <v>3</v>
      </c>
      <c r="F24" s="73">
        <f>IF(D24="","",D23+D24)</f>
        <v>1.8</v>
      </c>
      <c r="G24" s="62" t="s">
        <v>3</v>
      </c>
      <c r="H24" s="69">
        <f>IF(D24="","",ROUND(F24/100*$H$5,2))</f>
        <v>0.27</v>
      </c>
      <c r="I24" s="62" t="s">
        <v>4</v>
      </c>
      <c r="K24" s="65"/>
    </row>
    <row r="25" spans="1:14" ht="11.25" x14ac:dyDescent="0.2">
      <c r="A25" s="62" t="s">
        <v>30</v>
      </c>
      <c r="B25" s="62" t="s">
        <v>124</v>
      </c>
      <c r="C25" s="62"/>
      <c r="D25" s="8"/>
      <c r="E25" s="62" t="s">
        <v>3</v>
      </c>
      <c r="F25" s="74"/>
      <c r="G25" s="62"/>
      <c r="H25" s="66"/>
      <c r="I25" s="62"/>
      <c r="K25" s="65" t="str">
        <f>IF(D25="","Bitte ausfüllen!","")</f>
        <v>Bitte ausfüllen!</v>
      </c>
    </row>
    <row r="26" spans="1:14" x14ac:dyDescent="0.2">
      <c r="A26" s="62"/>
      <c r="B26" s="62" t="s">
        <v>31</v>
      </c>
      <c r="C26" s="62"/>
      <c r="D26" s="72">
        <f>(D25/100)*$F$14</f>
        <v>0</v>
      </c>
      <c r="E26" s="62" t="s">
        <v>3</v>
      </c>
      <c r="F26" s="73">
        <f>IF(D26="","",D25+D26)</f>
        <v>0</v>
      </c>
      <c r="G26" s="62" t="s">
        <v>3</v>
      </c>
      <c r="H26" s="69">
        <f>IF(D26="","",ROUND(F26/100*$H$5,2))</f>
        <v>0</v>
      </c>
      <c r="I26" s="62" t="s">
        <v>4</v>
      </c>
      <c r="K26" s="65"/>
    </row>
    <row r="27" spans="1:14" ht="11.25" x14ac:dyDescent="0.2">
      <c r="A27" s="62" t="s">
        <v>32</v>
      </c>
      <c r="B27" s="62" t="s">
        <v>125</v>
      </c>
      <c r="C27" s="62"/>
      <c r="D27" s="62"/>
      <c r="E27" s="62"/>
      <c r="F27" s="8"/>
      <c r="G27" s="62" t="s">
        <v>3</v>
      </c>
      <c r="H27" s="69" t="str">
        <f>IF(F27="","",ROUND(F27/100*$H$5,2))</f>
        <v/>
      </c>
      <c r="I27" s="62" t="s">
        <v>4</v>
      </c>
      <c r="K27" s="65" t="str">
        <f>IF(F27="","Bitte ausfüllen!","")</f>
        <v>Bitte ausfüllen!</v>
      </c>
    </row>
    <row r="28" spans="1:14" ht="11.25" x14ac:dyDescent="0.2">
      <c r="A28" s="62" t="s">
        <v>33</v>
      </c>
      <c r="B28" s="62" t="s">
        <v>126</v>
      </c>
      <c r="C28" s="62"/>
      <c r="D28" s="62"/>
      <c r="E28" s="62"/>
      <c r="F28" s="8">
        <f>D79</f>
        <v>0.15</v>
      </c>
      <c r="G28" s="62" t="s">
        <v>3</v>
      </c>
      <c r="H28" s="69">
        <f>IF(F28="","",ROUND(F28/100*$H$5,2))</f>
        <v>0.02</v>
      </c>
      <c r="I28" s="62" t="s">
        <v>4</v>
      </c>
      <c r="K28" s="65" t="str">
        <f ca="1">IF(F28&lt;&gt;D79,"Wert prüfen!",IF(H61="","Inhalt der gelben Zellen kann angepasst werden.",""))</f>
        <v>Inhalt der gelben Zellen kann angepasst werden.</v>
      </c>
    </row>
    <row r="29" spans="1:14" ht="25.5" customHeight="1" x14ac:dyDescent="0.2">
      <c r="A29" s="63"/>
      <c r="B29" s="152" t="s">
        <v>34</v>
      </c>
      <c r="C29" s="152"/>
      <c r="D29" s="63"/>
      <c r="E29" s="63"/>
      <c r="F29" s="70">
        <f>IF(SUM(F17:F28)=0,0,SUM(F17:F28)+F14)</f>
        <v>21.3</v>
      </c>
      <c r="G29" s="63" t="s">
        <v>3</v>
      </c>
      <c r="H29" s="71" t="str">
        <f>IF(OR(COUNTIF(D17:D26,"")&gt;0,COUNTIF(F27:F28,"")&gt;0),"",SUM(H17:H28)+H14)</f>
        <v/>
      </c>
      <c r="I29" s="63" t="s">
        <v>4</v>
      </c>
      <c r="K29" s="65" t="str">
        <f>IF(H29="","Angaben offen!","")</f>
        <v>Angaben offen!</v>
      </c>
    </row>
    <row r="30" spans="1:14" x14ac:dyDescent="0.2">
      <c r="A30" s="62"/>
      <c r="B30" s="62"/>
      <c r="C30" s="62"/>
      <c r="D30" s="62"/>
      <c r="E30" s="62"/>
      <c r="F30" s="66"/>
      <c r="G30" s="62"/>
      <c r="H30" s="66"/>
      <c r="I30" s="62"/>
    </row>
    <row r="31" spans="1:14" x14ac:dyDescent="0.2">
      <c r="A31" s="62"/>
      <c r="B31" s="63" t="s">
        <v>35</v>
      </c>
      <c r="C31" s="62"/>
      <c r="D31" s="62"/>
      <c r="E31" s="62"/>
      <c r="F31" s="66"/>
      <c r="G31" s="62"/>
      <c r="H31" s="66"/>
      <c r="I31" s="62"/>
    </row>
    <row r="32" spans="1:14" x14ac:dyDescent="0.2">
      <c r="A32" s="62" t="s">
        <v>36</v>
      </c>
      <c r="B32" s="62" t="s">
        <v>37</v>
      </c>
      <c r="C32" s="62"/>
      <c r="D32" s="62"/>
      <c r="E32" s="62"/>
      <c r="F32" s="8"/>
      <c r="G32" s="62" t="s">
        <v>3</v>
      </c>
      <c r="H32" s="69" t="str">
        <f>IF(F32="","",ROUND(F32/100*$H$5,2))</f>
        <v/>
      </c>
      <c r="I32" s="62" t="s">
        <v>4</v>
      </c>
      <c r="K32" s="65" t="str">
        <f>IF(F32="","Bitte ausfüllen!","")</f>
        <v>Bitte ausfüllen!</v>
      </c>
    </row>
    <row r="33" spans="1:11" x14ac:dyDescent="0.2">
      <c r="A33" s="62" t="s">
        <v>38</v>
      </c>
      <c r="B33" s="62" t="s">
        <v>39</v>
      </c>
      <c r="C33" s="62"/>
      <c r="D33" s="62"/>
      <c r="E33" s="62"/>
      <c r="F33" s="8"/>
      <c r="G33" s="62" t="s">
        <v>3</v>
      </c>
      <c r="H33" s="69" t="str">
        <f>IF(F33="","",ROUND(F33/100*$H$5,2))</f>
        <v/>
      </c>
      <c r="I33" s="62" t="s">
        <v>4</v>
      </c>
      <c r="K33" s="65" t="str">
        <f>IF(F33="","Bitte ausfüllen!","")</f>
        <v>Bitte ausfüllen!</v>
      </c>
    </row>
    <row r="34" spans="1:11" ht="25.5" customHeight="1" x14ac:dyDescent="0.2">
      <c r="A34" s="63"/>
      <c r="B34" s="152" t="s">
        <v>40</v>
      </c>
      <c r="C34" s="152"/>
      <c r="D34" s="63"/>
      <c r="E34" s="63"/>
      <c r="F34" s="70">
        <f>IF(SUM(F32:F33)=0,0,SUM(F32:F33)+F29)</f>
        <v>0</v>
      </c>
      <c r="G34" s="63" t="s">
        <v>3</v>
      </c>
      <c r="H34" s="71" t="str">
        <f>IF(COUNTIF(H32:H33,"")&gt;0,"",SUM(H32:H33)+H29)</f>
        <v/>
      </c>
      <c r="I34" s="63" t="s">
        <v>4</v>
      </c>
      <c r="K34" s="65" t="str">
        <f>IF(H34="","Angaben offen!","")</f>
        <v>Angaben offen!</v>
      </c>
    </row>
    <row r="35" spans="1:11" x14ac:dyDescent="0.2">
      <c r="A35" s="62"/>
      <c r="B35" s="62"/>
      <c r="C35" s="62"/>
      <c r="D35" s="62"/>
      <c r="E35" s="62"/>
      <c r="F35" s="66"/>
      <c r="G35" s="62"/>
      <c r="H35" s="66"/>
      <c r="I35" s="62"/>
    </row>
    <row r="36" spans="1:11" x14ac:dyDescent="0.2">
      <c r="A36" s="63" t="s">
        <v>41</v>
      </c>
      <c r="B36" s="63" t="s">
        <v>42</v>
      </c>
      <c r="C36" s="63"/>
      <c r="D36" s="63"/>
      <c r="E36" s="63"/>
      <c r="F36" s="67"/>
      <c r="G36" s="63"/>
      <c r="H36" s="67"/>
      <c r="I36" s="63"/>
    </row>
    <row r="37" spans="1:11" x14ac:dyDescent="0.2">
      <c r="A37" s="62" t="s">
        <v>43</v>
      </c>
      <c r="B37" s="62" t="s">
        <v>44</v>
      </c>
      <c r="C37" s="62"/>
      <c r="D37" s="62"/>
      <c r="E37" s="62"/>
      <c r="F37" s="66"/>
      <c r="G37" s="62"/>
      <c r="H37" s="66"/>
      <c r="I37" s="62"/>
    </row>
    <row r="38" spans="1:11" x14ac:dyDescent="0.2">
      <c r="A38" s="62"/>
      <c r="B38" s="62" t="s">
        <v>45</v>
      </c>
      <c r="C38" s="62"/>
      <c r="D38" s="62"/>
      <c r="E38" s="62"/>
      <c r="F38" s="8"/>
      <c r="G38" s="62" t="s">
        <v>3</v>
      </c>
      <c r="H38" s="69" t="str">
        <f>IF(F38="","",ROUND(F38/100*$H$5,2))</f>
        <v/>
      </c>
      <c r="I38" s="62" t="s">
        <v>4</v>
      </c>
      <c r="K38" s="65" t="str">
        <f>IF(F38="","Bitte ausfüllen!","")</f>
        <v>Bitte ausfüllen!</v>
      </c>
    </row>
    <row r="39" spans="1:11" x14ac:dyDescent="0.2">
      <c r="A39" s="62" t="s">
        <v>46</v>
      </c>
      <c r="B39" s="62" t="s">
        <v>47</v>
      </c>
      <c r="C39" s="62"/>
      <c r="D39" s="62"/>
      <c r="E39" s="62"/>
      <c r="F39" s="8"/>
      <c r="G39" s="62" t="s">
        <v>3</v>
      </c>
      <c r="H39" s="69" t="str">
        <f>IF(F39="","",ROUND(F39/100*$H$5,2))</f>
        <v/>
      </c>
      <c r="I39" s="62" t="s">
        <v>4</v>
      </c>
      <c r="K39" s="65" t="str">
        <f>IF(F39="","Bitte ausfüllen!","")</f>
        <v>Bitte ausfüllen!</v>
      </c>
    </row>
    <row r="40" spans="1:11" x14ac:dyDescent="0.2">
      <c r="A40" s="62" t="s">
        <v>48</v>
      </c>
      <c r="B40" s="62" t="s">
        <v>49</v>
      </c>
      <c r="C40" s="62"/>
      <c r="D40" s="62"/>
      <c r="E40" s="62"/>
      <c r="F40" s="8"/>
      <c r="G40" s="62" t="s">
        <v>3</v>
      </c>
      <c r="H40" s="69" t="str">
        <f>IF(F40="","",ROUND(F40/100*$H$5,2))</f>
        <v/>
      </c>
      <c r="I40" s="62" t="s">
        <v>4</v>
      </c>
      <c r="K40" s="65" t="str">
        <f>IF(F40="","Bitte ausfüllen!","")</f>
        <v>Bitte ausfüllen!</v>
      </c>
    </row>
    <row r="41" spans="1:11" x14ac:dyDescent="0.2">
      <c r="A41" s="62" t="s">
        <v>50</v>
      </c>
      <c r="B41" s="62" t="s">
        <v>51</v>
      </c>
      <c r="C41" s="62"/>
      <c r="D41" s="62"/>
      <c r="E41" s="62"/>
      <c r="F41" s="8"/>
      <c r="G41" s="62" t="s">
        <v>3</v>
      </c>
      <c r="H41" s="69" t="str">
        <f>IF(F41="","",ROUND(F41/100*$H$5,2))</f>
        <v/>
      </c>
      <c r="I41" s="62" t="s">
        <v>4</v>
      </c>
      <c r="K41" s="65" t="str">
        <f>IF(F41="","Bitte ausfüllen!","")</f>
        <v>Bitte ausfüllen!</v>
      </c>
    </row>
    <row r="42" spans="1:11" ht="25.5" customHeight="1" x14ac:dyDescent="0.2">
      <c r="A42" s="63"/>
      <c r="B42" s="152" t="s">
        <v>52</v>
      </c>
      <c r="C42" s="152"/>
      <c r="D42" s="63"/>
      <c r="E42" s="63"/>
      <c r="F42" s="70">
        <f>IF(SUM(F38:F41)=0,0,SUM(F38:F41))</f>
        <v>0</v>
      </c>
      <c r="G42" s="63" t="s">
        <v>3</v>
      </c>
      <c r="H42" s="71" t="str">
        <f>IF(COUNTIF(H38:H41,"")&gt;0,"",SUM(H38:H41))</f>
        <v/>
      </c>
      <c r="I42" s="63" t="s">
        <v>4</v>
      </c>
      <c r="K42" s="65" t="str">
        <f>IF(H42="","Angaben offen!","")</f>
        <v>Angaben offen!</v>
      </c>
    </row>
    <row r="43" spans="1:11" x14ac:dyDescent="0.2">
      <c r="A43" s="62"/>
      <c r="B43" s="62"/>
      <c r="C43" s="62"/>
      <c r="D43" s="62"/>
      <c r="E43" s="62"/>
      <c r="F43" s="66"/>
      <c r="G43" s="62"/>
      <c r="H43" s="66"/>
      <c r="I43" s="62"/>
    </row>
    <row r="44" spans="1:11" x14ac:dyDescent="0.2">
      <c r="A44" s="63" t="s">
        <v>53</v>
      </c>
      <c r="B44" s="63" t="s">
        <v>54</v>
      </c>
      <c r="C44" s="63"/>
      <c r="D44" s="63"/>
      <c r="E44" s="63"/>
      <c r="F44" s="63"/>
      <c r="G44" s="63"/>
      <c r="H44" s="63"/>
      <c r="I44" s="63"/>
    </row>
    <row r="45" spans="1:11" x14ac:dyDescent="0.2">
      <c r="A45" s="62" t="s">
        <v>55</v>
      </c>
      <c r="B45" s="62" t="s">
        <v>56</v>
      </c>
      <c r="C45" s="62"/>
      <c r="D45" s="62"/>
      <c r="E45" s="62"/>
      <c r="F45" s="62"/>
      <c r="G45" s="62"/>
      <c r="H45" s="62"/>
      <c r="I45" s="62"/>
    </row>
    <row r="46" spans="1:11" x14ac:dyDescent="0.2">
      <c r="A46" s="62" t="s">
        <v>57</v>
      </c>
      <c r="B46" s="62"/>
      <c r="C46" s="62" t="s">
        <v>58</v>
      </c>
      <c r="D46" s="62"/>
      <c r="E46" s="62"/>
      <c r="F46" s="8"/>
      <c r="G46" s="62" t="s">
        <v>3</v>
      </c>
      <c r="H46" s="69" t="str">
        <f>IF(F46="","",ROUND(F46/100*$H$5,2))</f>
        <v/>
      </c>
      <c r="I46" s="62" t="s">
        <v>4</v>
      </c>
      <c r="K46" s="65" t="str">
        <f>IF(F46="","Bitte ausfüllen!","")</f>
        <v>Bitte ausfüllen!</v>
      </c>
    </row>
    <row r="47" spans="1:11" x14ac:dyDescent="0.2">
      <c r="A47" s="62" t="s">
        <v>59</v>
      </c>
      <c r="B47" s="62"/>
      <c r="C47" s="62" t="s">
        <v>119</v>
      </c>
      <c r="D47" s="62"/>
      <c r="E47" s="62"/>
      <c r="F47" s="8"/>
      <c r="G47" s="62" t="s">
        <v>3</v>
      </c>
      <c r="H47" s="69" t="str">
        <f>IF(F47="","",ROUND(F47/100*$H$5,2))</f>
        <v/>
      </c>
      <c r="I47" s="62" t="s">
        <v>4</v>
      </c>
      <c r="K47" s="65" t="str">
        <f>IF(F47="","Bitte ausfüllen!","")</f>
        <v>Bitte ausfüllen!</v>
      </c>
    </row>
    <row r="48" spans="1:11" x14ac:dyDescent="0.2">
      <c r="A48" s="62" t="s">
        <v>60</v>
      </c>
      <c r="B48" s="62" t="s">
        <v>61</v>
      </c>
      <c r="C48" s="62"/>
      <c r="D48" s="62"/>
      <c r="E48" s="62"/>
      <c r="F48" s="8"/>
      <c r="G48" s="62" t="s">
        <v>3</v>
      </c>
      <c r="H48" s="69" t="str">
        <f>IF(F48="","",ROUND(F48/100*$H$5,2))</f>
        <v/>
      </c>
      <c r="I48" s="62" t="s">
        <v>4</v>
      </c>
      <c r="K48" s="65" t="str">
        <f>IF(F48="","Bitte ausfüllen!","")</f>
        <v>Bitte ausfüllen!</v>
      </c>
    </row>
    <row r="49" spans="1:11" x14ac:dyDescent="0.2">
      <c r="A49" s="62" t="s">
        <v>62</v>
      </c>
      <c r="B49" s="62" t="s">
        <v>63</v>
      </c>
      <c r="C49" s="62"/>
      <c r="D49" s="62"/>
      <c r="E49" s="62"/>
      <c r="F49" s="62"/>
      <c r="G49" s="62"/>
      <c r="H49" s="62"/>
      <c r="I49" s="62"/>
    </row>
    <row r="50" spans="1:11" x14ac:dyDescent="0.2">
      <c r="A50" s="62" t="s">
        <v>64</v>
      </c>
      <c r="B50" s="62"/>
      <c r="C50" s="62" t="s">
        <v>65</v>
      </c>
      <c r="D50" s="62"/>
      <c r="E50" s="62"/>
      <c r="F50" s="8"/>
      <c r="G50" s="62" t="s">
        <v>3</v>
      </c>
      <c r="H50" s="69" t="str">
        <f t="shared" ref="H50:H56" si="0">IF(F50="","",ROUND(F50/100*$H$5,2))</f>
        <v/>
      </c>
      <c r="I50" s="62" t="s">
        <v>4</v>
      </c>
      <c r="K50" s="65" t="str">
        <f t="shared" ref="K50:K56" si="1">IF(F50="","Bitte ausfüllen!","")</f>
        <v>Bitte ausfüllen!</v>
      </c>
    </row>
    <row r="51" spans="1:11" x14ac:dyDescent="0.2">
      <c r="A51" s="62" t="s">
        <v>66</v>
      </c>
      <c r="B51" s="62"/>
      <c r="C51" s="62" t="s">
        <v>67</v>
      </c>
      <c r="D51" s="62"/>
      <c r="E51" s="62"/>
      <c r="F51" s="8"/>
      <c r="G51" s="62" t="s">
        <v>3</v>
      </c>
      <c r="H51" s="69" t="str">
        <f t="shared" si="0"/>
        <v/>
      </c>
      <c r="I51" s="62" t="s">
        <v>4</v>
      </c>
      <c r="K51" s="65" t="str">
        <f t="shared" si="1"/>
        <v>Bitte ausfüllen!</v>
      </c>
    </row>
    <row r="52" spans="1:11" x14ac:dyDescent="0.2">
      <c r="A52" s="62" t="s">
        <v>68</v>
      </c>
      <c r="B52" s="62" t="s">
        <v>69</v>
      </c>
      <c r="C52" s="62"/>
      <c r="D52" s="62"/>
      <c r="E52" s="62"/>
      <c r="F52" s="8"/>
      <c r="G52" s="62" t="s">
        <v>3</v>
      </c>
      <c r="H52" s="69" t="str">
        <f t="shared" si="0"/>
        <v/>
      </c>
      <c r="I52" s="62" t="s">
        <v>4</v>
      </c>
      <c r="K52" s="65" t="str">
        <f t="shared" si="1"/>
        <v>Bitte ausfüllen!</v>
      </c>
    </row>
    <row r="53" spans="1:11" x14ac:dyDescent="0.2">
      <c r="A53" s="62" t="s">
        <v>70</v>
      </c>
      <c r="B53" s="62" t="s">
        <v>71</v>
      </c>
      <c r="C53" s="62"/>
      <c r="D53" s="62"/>
      <c r="E53" s="62"/>
      <c r="F53" s="8"/>
      <c r="G53" s="62" t="s">
        <v>3</v>
      </c>
      <c r="H53" s="69" t="str">
        <f t="shared" si="0"/>
        <v/>
      </c>
      <c r="I53" s="62" t="s">
        <v>4</v>
      </c>
      <c r="K53" s="65" t="str">
        <f t="shared" si="1"/>
        <v>Bitte ausfüllen!</v>
      </c>
    </row>
    <row r="54" spans="1:11" x14ac:dyDescent="0.2">
      <c r="A54" s="62" t="s">
        <v>72</v>
      </c>
      <c r="B54" s="62" t="s">
        <v>73</v>
      </c>
      <c r="C54" s="62"/>
      <c r="D54" s="62"/>
      <c r="E54" s="62"/>
      <c r="F54" s="8"/>
      <c r="G54" s="62" t="s">
        <v>3</v>
      </c>
      <c r="H54" s="69" t="str">
        <f t="shared" si="0"/>
        <v/>
      </c>
      <c r="I54" s="62" t="s">
        <v>4</v>
      </c>
      <c r="K54" s="65" t="str">
        <f t="shared" si="1"/>
        <v>Bitte ausfüllen!</v>
      </c>
    </row>
    <row r="55" spans="1:11" x14ac:dyDescent="0.2">
      <c r="A55" s="62" t="s">
        <v>74</v>
      </c>
      <c r="B55" s="62" t="s">
        <v>75</v>
      </c>
      <c r="C55" s="62"/>
      <c r="D55" s="62"/>
      <c r="E55" s="62"/>
      <c r="F55" s="8"/>
      <c r="G55" s="62" t="s">
        <v>3</v>
      </c>
      <c r="H55" s="69" t="str">
        <f t="shared" si="0"/>
        <v/>
      </c>
      <c r="I55" s="62" t="s">
        <v>4</v>
      </c>
      <c r="K55" s="65" t="str">
        <f t="shared" si="1"/>
        <v>Bitte ausfüllen!</v>
      </c>
    </row>
    <row r="56" spans="1:11" x14ac:dyDescent="0.2">
      <c r="A56" s="62" t="s">
        <v>76</v>
      </c>
      <c r="B56" s="62" t="s">
        <v>77</v>
      </c>
      <c r="C56" s="62"/>
      <c r="D56" s="62"/>
      <c r="E56" s="62"/>
      <c r="F56" s="8"/>
      <c r="G56" s="62" t="s">
        <v>3</v>
      </c>
      <c r="H56" s="69" t="str">
        <f t="shared" si="0"/>
        <v/>
      </c>
      <c r="I56" s="62" t="s">
        <v>4</v>
      </c>
      <c r="K56" s="65" t="str">
        <f t="shared" si="1"/>
        <v>Bitte ausfüllen!</v>
      </c>
    </row>
    <row r="57" spans="1:11" ht="25.5" customHeight="1" x14ac:dyDescent="0.2">
      <c r="A57" s="63"/>
      <c r="B57" s="152" t="s">
        <v>78</v>
      </c>
      <c r="C57" s="152"/>
      <c r="D57" s="63"/>
      <c r="E57" s="63"/>
      <c r="F57" s="70">
        <f>IF(SUM(F45:F56)=0,0,SUM(F45:F56))</f>
        <v>0</v>
      </c>
      <c r="G57" s="63" t="s">
        <v>3</v>
      </c>
      <c r="H57" s="71" t="str">
        <f>IF(COUNTIF(H46:H56,"")&gt;1,"",SUM(H46:H56))</f>
        <v/>
      </c>
      <c r="I57" s="63" t="s">
        <v>4</v>
      </c>
      <c r="K57" s="65" t="str">
        <f>IF(H57="","Angaben offen!","")</f>
        <v>Angaben offen!</v>
      </c>
    </row>
    <row r="58" spans="1:11" x14ac:dyDescent="0.2">
      <c r="A58" s="62"/>
      <c r="B58" s="62"/>
      <c r="C58" s="62"/>
      <c r="D58" s="62"/>
      <c r="E58" s="62"/>
      <c r="F58" s="66"/>
      <c r="G58" s="62"/>
      <c r="H58" s="66"/>
      <c r="I58" s="62"/>
    </row>
    <row r="59" spans="1:11" x14ac:dyDescent="0.2">
      <c r="A59" s="63" t="s">
        <v>79</v>
      </c>
      <c r="B59" s="151" t="s">
        <v>80</v>
      </c>
      <c r="C59" s="151"/>
      <c r="D59" s="63"/>
      <c r="E59" s="63"/>
      <c r="F59" s="75">
        <f>IF(AND(F34=""),0,F34+F42+F57+F5)</f>
        <v>100</v>
      </c>
      <c r="G59" s="63" t="s">
        <v>3</v>
      </c>
      <c r="H59" s="67" t="str">
        <f>IF(H57="","",H34+H42+H57+H5)</f>
        <v/>
      </c>
      <c r="I59" s="63" t="s">
        <v>4</v>
      </c>
    </row>
    <row r="60" spans="1:11" x14ac:dyDescent="0.2">
      <c r="A60" s="63" t="s">
        <v>81</v>
      </c>
      <c r="B60" s="63" t="s">
        <v>82</v>
      </c>
      <c r="C60" s="63"/>
      <c r="D60" s="63"/>
      <c r="E60" s="63"/>
      <c r="F60" s="8"/>
      <c r="G60" s="63" t="s">
        <v>3</v>
      </c>
      <c r="H60" s="71" t="str">
        <f>IF(F60="","",ROUND(F60/100*H59,2))</f>
        <v/>
      </c>
      <c r="I60" s="63" t="s">
        <v>4</v>
      </c>
      <c r="K60" s="65" t="str">
        <f>IF(F60="","Bitte ausfüllen!","")</f>
        <v>Bitte ausfüllen!</v>
      </c>
    </row>
    <row r="61" spans="1:11" x14ac:dyDescent="0.2">
      <c r="A61" s="63"/>
      <c r="B61" s="63" t="s">
        <v>83</v>
      </c>
      <c r="C61" s="63"/>
      <c r="D61" s="63"/>
      <c r="E61" s="63"/>
      <c r="F61" s="70">
        <f ca="1">IF(H61="",0,H61/H5*100)</f>
        <v>0</v>
      </c>
      <c r="G61" s="63" t="s">
        <v>3</v>
      </c>
      <c r="H61" s="71" t="str">
        <f ca="1">IF(SUM(COUNTIF(INDIRECT({"H5","F9:F13","D17:D26","F27:F28","F32:F33","F38:F41","F46:F48","F50:F56","F60","H65:H68"}),""))&gt;0,"",H59+H60)</f>
        <v/>
      </c>
      <c r="I61" s="63" t="s">
        <v>4</v>
      </c>
      <c r="K61" s="65" t="str">
        <f ca="1">IF(SUM(COUNTIF(INDIRECT({"H5","F9:F13","D17:D26","F27:F28","F32:F33","F38:F41","F46:F48","F50:F56","F60","H65:H68"}),""))&gt;0,SUM(COUNTIF(INDIRECT({"H5","F9:F13","D17:D26","F27:F28","F32:F33","F38:F41","F46:F48","F50:F56","F60","H65:H68"}),"")) &amp;" Zelle(n) ohne Wert!","")</f>
        <v>28 Zelle(n) ohne Wert!</v>
      </c>
    </row>
    <row r="62" spans="1:11" x14ac:dyDescent="0.2">
      <c r="A62" s="62"/>
      <c r="B62" s="62" t="s">
        <v>84</v>
      </c>
      <c r="C62" s="62"/>
      <c r="D62" s="62"/>
      <c r="E62" s="62"/>
      <c r="F62" s="70">
        <f ca="1">IF(F61=0,0,F61-F5)</f>
        <v>0</v>
      </c>
      <c r="G62" s="62" t="s">
        <v>3</v>
      </c>
      <c r="H62" s="62"/>
      <c r="I62" s="62"/>
      <c r="K62" s="65" t="str">
        <f ca="1">IF(F62&lt;70,"Bitte prüfen gemäß Aufforderung!","")</f>
        <v>Bitte prüfen gemäß Aufforderung!</v>
      </c>
    </row>
    <row r="63" spans="1:11" x14ac:dyDescent="0.2">
      <c r="A63" s="62"/>
      <c r="B63" s="62"/>
      <c r="C63" s="62"/>
      <c r="D63" s="62"/>
      <c r="E63" s="62"/>
      <c r="F63" s="62"/>
      <c r="G63" s="62"/>
      <c r="H63" s="62"/>
      <c r="I63" s="62"/>
    </row>
    <row r="64" spans="1:11" x14ac:dyDescent="0.2">
      <c r="B64" s="63" t="s">
        <v>85</v>
      </c>
      <c r="D64" s="63"/>
      <c r="E64" s="63"/>
      <c r="G64" s="63"/>
      <c r="H64" s="67" t="s">
        <v>86</v>
      </c>
    </row>
    <row r="65" spans="1:11" x14ac:dyDescent="0.2">
      <c r="B65" s="62" t="s">
        <v>87</v>
      </c>
      <c r="D65" s="62"/>
      <c r="E65" s="62"/>
      <c r="G65" s="76"/>
      <c r="H65" s="9"/>
      <c r="K65" s="65" t="str">
        <f>IF(H65="","Bitte ausfüllen!","")</f>
        <v>Bitte ausfüllen!</v>
      </c>
    </row>
    <row r="66" spans="1:11" x14ac:dyDescent="0.2">
      <c r="B66" s="62" t="s">
        <v>88</v>
      </c>
      <c r="D66" s="62"/>
      <c r="E66" s="62"/>
      <c r="G66" s="76"/>
      <c r="H66" s="10"/>
      <c r="K66" s="65" t="str">
        <f>IF(H66="","Bitte ausfüllen!","")</f>
        <v>Bitte ausfüllen!</v>
      </c>
    </row>
    <row r="67" spans="1:11" x14ac:dyDescent="0.2">
      <c r="B67" s="62" t="s">
        <v>89</v>
      </c>
      <c r="D67" s="62"/>
      <c r="E67" s="62"/>
      <c r="G67" s="76"/>
      <c r="H67" s="11"/>
      <c r="K67" s="65" t="str">
        <f>IF(H67="","Bitte ausfüllen!","")</f>
        <v>Bitte ausfüllen!</v>
      </c>
    </row>
    <row r="68" spans="1:11" x14ac:dyDescent="0.2">
      <c r="B68" s="62" t="s">
        <v>90</v>
      </c>
      <c r="D68" s="62"/>
      <c r="E68" s="62"/>
      <c r="G68" s="76"/>
      <c r="H68" s="10"/>
      <c r="K68" s="65" t="str">
        <f>IF(H68="","Bitte ausfüllen!","")</f>
        <v>Bitte ausfüllen!</v>
      </c>
    </row>
    <row r="70" spans="1:11" x14ac:dyDescent="0.2">
      <c r="C70" s="45"/>
      <c r="D70" s="4"/>
    </row>
    <row r="71" spans="1:11" ht="15.95" customHeight="1" x14ac:dyDescent="0.2">
      <c r="A71" s="142" t="s">
        <v>187</v>
      </c>
      <c r="B71" s="142"/>
      <c r="C71" s="142"/>
      <c r="D71" s="142" t="s">
        <v>188</v>
      </c>
      <c r="F71" s="144" t="s">
        <v>132</v>
      </c>
      <c r="G71" s="145"/>
      <c r="H71" s="146"/>
    </row>
    <row r="72" spans="1:11" ht="15.95" customHeight="1" x14ac:dyDescent="0.2">
      <c r="A72" s="143"/>
      <c r="B72" s="143"/>
      <c r="C72" s="143"/>
      <c r="D72" s="143"/>
      <c r="F72" s="147"/>
      <c r="G72" s="148"/>
      <c r="H72" s="149"/>
      <c r="I72" s="63"/>
      <c r="J72" s="63"/>
      <c r="K72" s="63"/>
    </row>
    <row r="73" spans="1:11" ht="19.899999999999999" customHeight="1" x14ac:dyDescent="0.2">
      <c r="A73" s="140">
        <v>1</v>
      </c>
      <c r="B73" s="140"/>
      <c r="C73" s="12" t="s">
        <v>127</v>
      </c>
      <c r="D73" s="48">
        <v>7.3</v>
      </c>
      <c r="F73" s="141" t="s">
        <v>353</v>
      </c>
      <c r="G73" s="141"/>
      <c r="H73" s="141"/>
    </row>
    <row r="74" spans="1:11" ht="19.899999999999999" customHeight="1" x14ac:dyDescent="0.2">
      <c r="A74" s="140">
        <v>2</v>
      </c>
      <c r="B74" s="140"/>
      <c r="C74" s="12" t="s">
        <v>128</v>
      </c>
      <c r="D74" s="48">
        <v>9.3000000000000007</v>
      </c>
    </row>
    <row r="75" spans="1:11" ht="24" customHeight="1" x14ac:dyDescent="0.2">
      <c r="A75" s="140">
        <v>3</v>
      </c>
      <c r="B75" s="140"/>
      <c r="C75" s="12" t="s">
        <v>129</v>
      </c>
      <c r="D75" s="48">
        <v>1.3</v>
      </c>
    </row>
    <row r="76" spans="1:11" ht="24" customHeight="1" x14ac:dyDescent="0.2">
      <c r="A76" s="140">
        <v>4</v>
      </c>
      <c r="B76" s="140"/>
      <c r="C76" s="12" t="s">
        <v>130</v>
      </c>
      <c r="D76" s="48">
        <f>IF( F73="Sachsen",1.3,1.8)</f>
        <v>1.8</v>
      </c>
    </row>
    <row r="77" spans="1:11" ht="31.5" x14ac:dyDescent="0.2">
      <c r="A77" s="140">
        <v>5</v>
      </c>
      <c r="B77" s="140"/>
      <c r="C77" s="12" t="s">
        <v>189</v>
      </c>
      <c r="D77" s="48">
        <v>1.45</v>
      </c>
    </row>
    <row r="78" spans="1:11" ht="24" customHeight="1" x14ac:dyDescent="0.2">
      <c r="A78" s="140">
        <v>6</v>
      </c>
      <c r="B78" s="140"/>
      <c r="C78" s="12" t="s">
        <v>117</v>
      </c>
      <c r="D78" s="48"/>
    </row>
    <row r="79" spans="1:11" ht="24" customHeight="1" x14ac:dyDescent="0.2">
      <c r="A79" s="140">
        <v>7</v>
      </c>
      <c r="B79" s="140"/>
      <c r="C79" s="12" t="s">
        <v>131</v>
      </c>
      <c r="D79" s="48">
        <v>0.15</v>
      </c>
    </row>
  </sheetData>
  <sheetProtection algorithmName="SHA-512" hashValue="vZnRs41M7rrbx+2rPxSB29DRVybRu6bStxHB6YcZ4PC18iLOjAXxvJw4T1JgZoNWtc7YgN06ZXz5A8NHh8kOjw==" saltValue="SELKKnS7wfFrgSC9x+cTTA=="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4"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B883D-1E11-4636-8057-B573FC230C4A}">
  <sheetPr>
    <tabColor rgb="FF85E8FF"/>
  </sheetPr>
  <dimension ref="A1:L38"/>
  <sheetViews>
    <sheetView showGridLines="0" zoomScaleNormal="100" workbookViewId="0"/>
  </sheetViews>
  <sheetFormatPr baseColWidth="10" defaultRowHeight="10.5" x14ac:dyDescent="0.2"/>
  <cols>
    <col min="1" max="1" width="34.140625" style="197" customWidth="1"/>
    <col min="2" max="2" width="15.5703125" style="197" customWidth="1"/>
    <col min="3" max="3" width="18.28515625" style="197" customWidth="1"/>
    <col min="4" max="4" width="11.28515625" style="197" customWidth="1"/>
    <col min="5" max="5" width="13.28515625" style="197" customWidth="1"/>
    <col min="6" max="6" width="15.7109375" style="197" customWidth="1"/>
    <col min="7" max="7" width="18.5703125" style="197" customWidth="1"/>
    <col min="8" max="8" width="12.28515625" style="197" customWidth="1"/>
    <col min="9" max="9" width="15.7109375" style="197" customWidth="1"/>
    <col min="10" max="10" width="18.5703125" style="197" customWidth="1"/>
    <col min="11" max="11" width="13.5703125" style="197" customWidth="1"/>
    <col min="12" max="12" width="72.5703125" style="197" customWidth="1"/>
    <col min="13" max="20" width="11.42578125" style="197"/>
    <col min="21" max="22" width="0" style="197" hidden="1" customWidth="1"/>
    <col min="23" max="16384" width="11.42578125" style="197"/>
  </cols>
  <sheetData>
    <row r="1" spans="1:12" ht="24.95" customHeight="1" x14ac:dyDescent="0.2">
      <c r="A1" s="14" t="s">
        <v>302</v>
      </c>
      <c r="I1" s="30" t="s">
        <v>100</v>
      </c>
    </row>
    <row r="2" spans="1:12" ht="24.95" customHeight="1" x14ac:dyDescent="0.2">
      <c r="A2" s="14" t="s">
        <v>103</v>
      </c>
      <c r="B2" s="4" t="str">
        <f>IF(Inhaltsverzeichnis!$C$3="", "",Inhaltsverzeichnis!$C$3)</f>
        <v/>
      </c>
      <c r="G2" s="198"/>
      <c r="H2" s="78" t="s">
        <v>173</v>
      </c>
      <c r="I2" s="153" t="s">
        <v>191</v>
      </c>
      <c r="J2" s="154"/>
      <c r="K2" s="155"/>
      <c r="L2" s="14"/>
    </row>
    <row r="3" spans="1:12" ht="38.1" customHeight="1" x14ac:dyDescent="0.2">
      <c r="A3" s="199" t="s">
        <v>303</v>
      </c>
      <c r="B3" s="200" t="b">
        <v>0</v>
      </c>
      <c r="C3" s="201" t="str">
        <f>IF(B3=TRUE,"Bitte tragen Sie Ihre Werte in die gelben Zellen ein. "&amp; "Die rot markierten Informationen sind nur zur Unterstützung. Sie zeigen an, wenn gelbe Zellen in dieser Tabelle nicht ausgefüllt sind. "&amp;"Wenn keine rote Schrift mehr angezeigt wird, ist alles ausgefüllt.","")</f>
        <v/>
      </c>
      <c r="D3" s="201"/>
      <c r="E3" s="201"/>
      <c r="F3" s="201"/>
      <c r="G3" s="202"/>
      <c r="H3" s="79" t="s">
        <v>171</v>
      </c>
      <c r="I3" s="156" t="s">
        <v>192</v>
      </c>
      <c r="J3" s="157"/>
      <c r="K3" s="155"/>
      <c r="L3" s="14"/>
    </row>
    <row r="4" spans="1:12" ht="20.100000000000001" customHeight="1" x14ac:dyDescent="0.2">
      <c r="A4" s="158" t="s">
        <v>304</v>
      </c>
      <c r="B4" s="159"/>
      <c r="C4" s="159"/>
      <c r="D4" s="159"/>
      <c r="E4" s="159"/>
      <c r="F4" s="160"/>
      <c r="G4" s="203"/>
      <c r="H4" s="79" t="s">
        <v>152</v>
      </c>
      <c r="I4" s="156" t="s">
        <v>193</v>
      </c>
      <c r="J4" s="157"/>
      <c r="K4" s="155"/>
      <c r="L4" s="14"/>
    </row>
    <row r="5" spans="1:12" ht="38.1" customHeight="1" x14ac:dyDescent="0.2">
      <c r="A5" s="80" t="s">
        <v>305</v>
      </c>
      <c r="B5" s="81" t="s">
        <v>306</v>
      </c>
      <c r="C5" s="81" t="s">
        <v>307</v>
      </c>
      <c r="D5" s="81" t="s">
        <v>308</v>
      </c>
      <c r="E5" s="81" t="s">
        <v>309</v>
      </c>
      <c r="F5" s="81" t="s">
        <v>310</v>
      </c>
      <c r="H5" s="82" t="s">
        <v>153</v>
      </c>
      <c r="I5" s="153" t="s">
        <v>194</v>
      </c>
      <c r="J5" s="154"/>
      <c r="K5" s="155"/>
      <c r="L5" s="14"/>
    </row>
    <row r="6" spans="1:12" ht="38.1" customHeight="1" x14ac:dyDescent="0.2">
      <c r="A6" s="80" t="s">
        <v>311</v>
      </c>
      <c r="B6" s="81" t="s">
        <v>312</v>
      </c>
      <c r="C6" s="81" t="s">
        <v>311</v>
      </c>
      <c r="D6" s="81" t="s">
        <v>311</v>
      </c>
      <c r="E6" s="81" t="s">
        <v>311</v>
      </c>
      <c r="F6" s="81" t="s">
        <v>313</v>
      </c>
      <c r="H6" s="82" t="s">
        <v>154</v>
      </c>
      <c r="I6" s="153" t="s">
        <v>195</v>
      </c>
      <c r="J6" s="154"/>
      <c r="K6" s="155"/>
      <c r="L6" s="14"/>
    </row>
    <row r="7" spans="1:12" ht="30" customHeight="1" x14ac:dyDescent="0.2">
      <c r="A7" s="83">
        <f t="shared" ref="A7:F7" si="0">ROUND(SUM(A8:A8),2)</f>
        <v>0</v>
      </c>
      <c r="B7" s="84">
        <f t="shared" si="0"/>
        <v>0</v>
      </c>
      <c r="C7" s="85">
        <f t="shared" si="0"/>
        <v>0</v>
      </c>
      <c r="D7" s="85">
        <f t="shared" si="0"/>
        <v>0</v>
      </c>
      <c r="E7" s="85">
        <f t="shared" si="0"/>
        <v>0</v>
      </c>
      <c r="F7" s="84">
        <f t="shared" si="0"/>
        <v>0</v>
      </c>
      <c r="H7" s="161" t="s">
        <v>314</v>
      </c>
      <c r="I7" s="162"/>
      <c r="J7" s="163"/>
      <c r="K7" s="84">
        <f>$F$7+$K$14</f>
        <v>0</v>
      </c>
      <c r="L7" s="14" t="s">
        <v>315</v>
      </c>
    </row>
    <row r="8" spans="1:12" ht="15" customHeight="1" x14ac:dyDescent="0.2">
      <c r="A8" s="204"/>
      <c r="B8" s="205"/>
      <c r="C8" s="205"/>
      <c r="D8" s="205"/>
      <c r="E8" s="205"/>
      <c r="F8" s="206">
        <f>$D$12*(SUM(A8:E8))</f>
        <v>0</v>
      </c>
      <c r="L8" s="86" t="str">
        <f>IF(A8="","Wert Bereitstellung und Vorhaltung der erforderlichen Geräte und Maschinen eintragen.",IF(B8="","Wert Personalbereitstellung eintragen.",IF(C8="","Wert Sonstige Kosten eintragen.",IF(D8="","Wert Haftungsübernahme eintragen.",IF(E8="","Wert Versicherungsprämien eintragen.","")))))</f>
        <v>Wert Bereitstellung und Vorhaltung der erforderlichen Geräte und Maschinen eintragen.</v>
      </c>
    </row>
    <row r="9" spans="1:12" ht="15" customHeight="1" x14ac:dyDescent="0.2">
      <c r="C9" s="87"/>
      <c r="D9" s="87"/>
      <c r="L9" s="197" t="str">
        <f t="shared" ref="L9:L14" si="1">IF($A$9="","")</f>
        <v/>
      </c>
    </row>
    <row r="10" spans="1:12" ht="20.100000000000001" customHeight="1" x14ac:dyDescent="0.2">
      <c r="A10" s="164" t="s">
        <v>316</v>
      </c>
      <c r="B10" s="159"/>
      <c r="C10" s="159"/>
      <c r="D10" s="159"/>
      <c r="E10" s="159"/>
      <c r="F10" s="159"/>
      <c r="G10" s="159"/>
      <c r="H10" s="159"/>
      <c r="I10" s="159"/>
      <c r="J10" s="159"/>
      <c r="K10" s="160"/>
      <c r="L10" s="197" t="str">
        <f t="shared" si="1"/>
        <v/>
      </c>
    </row>
    <row r="11" spans="1:12" s="14" customFormat="1" ht="20.100000000000001" customHeight="1" x14ac:dyDescent="0.2">
      <c r="A11" s="165" t="s">
        <v>317</v>
      </c>
      <c r="B11" s="165" t="s">
        <v>95</v>
      </c>
      <c r="C11" s="168" t="s">
        <v>318</v>
      </c>
      <c r="D11" s="169"/>
      <c r="E11" s="162" t="s">
        <v>319</v>
      </c>
      <c r="F11" s="162"/>
      <c r="G11" s="163"/>
      <c r="H11" s="161" t="s">
        <v>320</v>
      </c>
      <c r="I11" s="162"/>
      <c r="J11" s="163"/>
      <c r="K11" s="170" t="s">
        <v>321</v>
      </c>
      <c r="L11" s="197" t="str">
        <f t="shared" si="1"/>
        <v/>
      </c>
    </row>
    <row r="12" spans="1:12" s="14" customFormat="1" ht="45" customHeight="1" thickBot="1" x14ac:dyDescent="0.25">
      <c r="A12" s="166"/>
      <c r="B12" s="166"/>
      <c r="C12" s="88" t="s">
        <v>322</v>
      </c>
      <c r="D12" s="89">
        <v>4</v>
      </c>
      <c r="E12" s="164" t="s">
        <v>323</v>
      </c>
      <c r="F12" s="160"/>
      <c r="G12" s="90" t="s">
        <v>324</v>
      </c>
      <c r="H12" s="164" t="s">
        <v>325</v>
      </c>
      <c r="I12" s="160"/>
      <c r="J12" s="90" t="s">
        <v>324</v>
      </c>
      <c r="K12" s="171"/>
      <c r="L12" s="197" t="str">
        <f t="shared" si="1"/>
        <v/>
      </c>
    </row>
    <row r="13" spans="1:12" s="14" customFormat="1" ht="38.25" customHeight="1" x14ac:dyDescent="0.2">
      <c r="A13" s="167"/>
      <c r="B13" s="167"/>
      <c r="C13" s="91" t="s">
        <v>326</v>
      </c>
      <c r="D13" s="91" t="s">
        <v>327</v>
      </c>
      <c r="E13" s="92" t="s">
        <v>328</v>
      </c>
      <c r="F13" s="81" t="s">
        <v>329</v>
      </c>
      <c r="G13" s="172" t="s">
        <v>330</v>
      </c>
      <c r="H13" s="81" t="s">
        <v>328</v>
      </c>
      <c r="I13" s="81" t="s">
        <v>329</v>
      </c>
      <c r="J13" s="172" t="s">
        <v>330</v>
      </c>
      <c r="K13" s="81" t="s">
        <v>313</v>
      </c>
      <c r="L13" s="197" t="str">
        <f t="shared" si="1"/>
        <v/>
      </c>
    </row>
    <row r="14" spans="1:12" s="14" customFormat="1" ht="30" customHeight="1" x14ac:dyDescent="0.2">
      <c r="A14" s="93" t="s">
        <v>118</v>
      </c>
      <c r="B14" s="94"/>
      <c r="C14" s="91"/>
      <c r="D14" s="91"/>
      <c r="E14" s="85">
        <f>ROUND(SUM(E15:E32),2)</f>
        <v>87.3</v>
      </c>
      <c r="F14" s="84">
        <f>ROUND(SUM(F15:F32),2)</f>
        <v>0</v>
      </c>
      <c r="G14" s="173"/>
      <c r="H14" s="84">
        <f>ROUND(SUM(H15:H32),2)</f>
        <v>87.3</v>
      </c>
      <c r="I14" s="84">
        <f>ROUND(SUM(I15:I32),2)</f>
        <v>0</v>
      </c>
      <c r="J14" s="173"/>
      <c r="K14" s="84">
        <f>ROUND(SUM(K15:K32),2)</f>
        <v>0</v>
      </c>
      <c r="L14" s="197" t="str">
        <f t="shared" si="1"/>
        <v/>
      </c>
    </row>
    <row r="15" spans="1:12" ht="15" customHeight="1" x14ac:dyDescent="0.2">
      <c r="A15" s="207" t="s">
        <v>209</v>
      </c>
      <c r="B15" s="208" t="s">
        <v>210</v>
      </c>
      <c r="C15" s="209" t="s">
        <v>331</v>
      </c>
      <c r="D15" s="209">
        <v>7</v>
      </c>
      <c r="E15" s="210">
        <v>4.0999999999999996</v>
      </c>
      <c r="F15" s="205"/>
      <c r="G15" s="211">
        <v>16.5</v>
      </c>
      <c r="H15" s="210">
        <v>4.0999999999999996</v>
      </c>
      <c r="I15" s="205"/>
      <c r="J15" s="211">
        <v>4.25</v>
      </c>
      <c r="K15" s="206">
        <f t="shared" ref="K15:K32" si="2">(F15*G15)+(I15*J15)</f>
        <v>0</v>
      </c>
      <c r="L15" s="86" t="str">
        <f>IF(F15="","Wert pro Einsatz an Werktagen eintragen.",IF(I15="","Wert pro Einsatz an Sonn- und Feiertagen eintragen.",""))</f>
        <v>Wert pro Einsatz an Werktagen eintragen.</v>
      </c>
    </row>
    <row r="16" spans="1:12" ht="15" customHeight="1" x14ac:dyDescent="0.2">
      <c r="A16" s="207" t="s">
        <v>211</v>
      </c>
      <c r="B16" s="208" t="s">
        <v>210</v>
      </c>
      <c r="C16" s="209" t="s">
        <v>331</v>
      </c>
      <c r="D16" s="209">
        <v>7</v>
      </c>
      <c r="E16" s="210">
        <v>5</v>
      </c>
      <c r="F16" s="205"/>
      <c r="G16" s="211">
        <v>16.5</v>
      </c>
      <c r="H16" s="210">
        <v>5</v>
      </c>
      <c r="I16" s="205"/>
      <c r="J16" s="211">
        <v>4.25</v>
      </c>
      <c r="K16" s="206">
        <f t="shared" si="2"/>
        <v>0</v>
      </c>
      <c r="L16" s="86" t="str">
        <f t="shared" ref="L16:L32" si="3">IF(F16="","Wert pro Einsatz an Werktagen eintragen.",IF(I16="","Wert pro Einsatz an Sonn- und Feiertagen eintragen.",""))</f>
        <v>Wert pro Einsatz an Werktagen eintragen.</v>
      </c>
    </row>
    <row r="17" spans="1:12" ht="15" customHeight="1" x14ac:dyDescent="0.2">
      <c r="A17" s="207" t="s">
        <v>212</v>
      </c>
      <c r="B17" s="208" t="s">
        <v>210</v>
      </c>
      <c r="C17" s="209" t="s">
        <v>331</v>
      </c>
      <c r="D17" s="209">
        <v>7</v>
      </c>
      <c r="E17" s="210">
        <v>2.2000000000000002</v>
      </c>
      <c r="F17" s="205"/>
      <c r="G17" s="211">
        <v>16.5</v>
      </c>
      <c r="H17" s="210">
        <v>2.2000000000000002</v>
      </c>
      <c r="I17" s="205"/>
      <c r="J17" s="211">
        <v>4.25</v>
      </c>
      <c r="K17" s="206">
        <f t="shared" si="2"/>
        <v>0</v>
      </c>
      <c r="L17" s="86" t="str">
        <f t="shared" si="3"/>
        <v>Wert pro Einsatz an Werktagen eintragen.</v>
      </c>
    </row>
    <row r="18" spans="1:12" ht="15" customHeight="1" x14ac:dyDescent="0.2">
      <c r="A18" s="207" t="s">
        <v>213</v>
      </c>
      <c r="B18" s="208" t="s">
        <v>210</v>
      </c>
      <c r="C18" s="209" t="s">
        <v>331</v>
      </c>
      <c r="D18" s="209">
        <v>7</v>
      </c>
      <c r="E18" s="210">
        <v>4.5</v>
      </c>
      <c r="F18" s="205"/>
      <c r="G18" s="211">
        <v>16.5</v>
      </c>
      <c r="H18" s="210">
        <v>4.5</v>
      </c>
      <c r="I18" s="205"/>
      <c r="J18" s="211">
        <v>4.25</v>
      </c>
      <c r="K18" s="206">
        <f t="shared" si="2"/>
        <v>0</v>
      </c>
      <c r="L18" s="86" t="str">
        <f t="shared" si="3"/>
        <v>Wert pro Einsatz an Werktagen eintragen.</v>
      </c>
    </row>
    <row r="19" spans="1:12" ht="15" customHeight="1" x14ac:dyDescent="0.2">
      <c r="A19" s="207" t="s">
        <v>214</v>
      </c>
      <c r="B19" s="208" t="s">
        <v>210</v>
      </c>
      <c r="C19" s="209" t="s">
        <v>331</v>
      </c>
      <c r="D19" s="209">
        <v>7</v>
      </c>
      <c r="E19" s="210">
        <v>5.6</v>
      </c>
      <c r="F19" s="205"/>
      <c r="G19" s="211">
        <v>16.5</v>
      </c>
      <c r="H19" s="210">
        <v>5.6</v>
      </c>
      <c r="I19" s="205"/>
      <c r="J19" s="211">
        <v>4.25</v>
      </c>
      <c r="K19" s="206">
        <f t="shared" si="2"/>
        <v>0</v>
      </c>
      <c r="L19" s="86" t="str">
        <f t="shared" si="3"/>
        <v>Wert pro Einsatz an Werktagen eintragen.</v>
      </c>
    </row>
    <row r="20" spans="1:12" ht="15" customHeight="1" x14ac:dyDescent="0.2">
      <c r="A20" s="212" t="s">
        <v>215</v>
      </c>
      <c r="B20" s="213" t="s">
        <v>210</v>
      </c>
      <c r="C20" s="214" t="s">
        <v>331</v>
      </c>
      <c r="D20" s="214">
        <v>7</v>
      </c>
      <c r="E20" s="215">
        <v>7.7</v>
      </c>
      <c r="F20" s="216"/>
      <c r="G20" s="217">
        <v>16.5</v>
      </c>
      <c r="H20" s="215">
        <v>7.7</v>
      </c>
      <c r="I20" s="216"/>
      <c r="J20" s="217">
        <v>4.25</v>
      </c>
      <c r="K20" s="215">
        <f t="shared" si="2"/>
        <v>0</v>
      </c>
      <c r="L20" s="95" t="str">
        <f t="shared" si="3"/>
        <v>Wert pro Einsatz an Werktagen eintragen.</v>
      </c>
    </row>
    <row r="21" spans="1:12" ht="15" customHeight="1" x14ac:dyDescent="0.2">
      <c r="A21" s="212" t="s">
        <v>209</v>
      </c>
      <c r="B21" s="213" t="s">
        <v>210</v>
      </c>
      <c r="C21" s="214" t="s">
        <v>332</v>
      </c>
      <c r="D21" s="214">
        <v>14</v>
      </c>
      <c r="E21" s="215">
        <v>4.0999999999999996</v>
      </c>
      <c r="F21" s="216"/>
      <c r="G21" s="217">
        <v>118</v>
      </c>
      <c r="H21" s="215">
        <v>4.0999999999999996</v>
      </c>
      <c r="I21" s="216"/>
      <c r="J21" s="217">
        <v>21</v>
      </c>
      <c r="K21" s="215">
        <f t="shared" si="2"/>
        <v>0</v>
      </c>
      <c r="L21" s="95" t="str">
        <f t="shared" si="3"/>
        <v>Wert pro Einsatz an Werktagen eintragen.</v>
      </c>
    </row>
    <row r="22" spans="1:12" ht="15" customHeight="1" x14ac:dyDescent="0.2">
      <c r="A22" s="212" t="s">
        <v>211</v>
      </c>
      <c r="B22" s="213" t="s">
        <v>210</v>
      </c>
      <c r="C22" s="214" t="s">
        <v>332</v>
      </c>
      <c r="D22" s="214">
        <v>14</v>
      </c>
      <c r="E22" s="215">
        <v>5</v>
      </c>
      <c r="F22" s="216"/>
      <c r="G22" s="217">
        <v>118</v>
      </c>
      <c r="H22" s="215">
        <v>5</v>
      </c>
      <c r="I22" s="216"/>
      <c r="J22" s="217">
        <v>21</v>
      </c>
      <c r="K22" s="218">
        <f t="shared" si="2"/>
        <v>0</v>
      </c>
      <c r="L22" s="95" t="str">
        <f t="shared" si="3"/>
        <v>Wert pro Einsatz an Werktagen eintragen.</v>
      </c>
    </row>
    <row r="23" spans="1:12" ht="15" customHeight="1" x14ac:dyDescent="0.2">
      <c r="A23" s="212" t="s">
        <v>212</v>
      </c>
      <c r="B23" s="213" t="s">
        <v>210</v>
      </c>
      <c r="C23" s="214" t="s">
        <v>332</v>
      </c>
      <c r="D23" s="214">
        <v>14</v>
      </c>
      <c r="E23" s="215">
        <v>2.2000000000000002</v>
      </c>
      <c r="F23" s="216"/>
      <c r="G23" s="217">
        <v>118</v>
      </c>
      <c r="H23" s="215">
        <v>2.2000000000000002</v>
      </c>
      <c r="I23" s="216"/>
      <c r="J23" s="217">
        <v>21</v>
      </c>
      <c r="K23" s="218">
        <f t="shared" si="2"/>
        <v>0</v>
      </c>
      <c r="L23" s="95" t="str">
        <f t="shared" si="3"/>
        <v>Wert pro Einsatz an Werktagen eintragen.</v>
      </c>
    </row>
    <row r="24" spans="1:12" ht="15" customHeight="1" x14ac:dyDescent="0.2">
      <c r="A24" s="212" t="s">
        <v>213</v>
      </c>
      <c r="B24" s="213" t="s">
        <v>210</v>
      </c>
      <c r="C24" s="214" t="s">
        <v>332</v>
      </c>
      <c r="D24" s="214">
        <v>14</v>
      </c>
      <c r="E24" s="215">
        <v>4.5</v>
      </c>
      <c r="F24" s="216"/>
      <c r="G24" s="217">
        <v>118</v>
      </c>
      <c r="H24" s="215">
        <v>4.5</v>
      </c>
      <c r="I24" s="216"/>
      <c r="J24" s="217">
        <v>21</v>
      </c>
      <c r="K24" s="218">
        <f t="shared" si="2"/>
        <v>0</v>
      </c>
      <c r="L24" s="95" t="str">
        <f t="shared" si="3"/>
        <v>Wert pro Einsatz an Werktagen eintragen.</v>
      </c>
    </row>
    <row r="25" spans="1:12" ht="15" customHeight="1" x14ac:dyDescent="0.2">
      <c r="A25" s="212" t="s">
        <v>214</v>
      </c>
      <c r="B25" s="213" t="s">
        <v>210</v>
      </c>
      <c r="C25" s="214" t="s">
        <v>332</v>
      </c>
      <c r="D25" s="214">
        <v>14</v>
      </c>
      <c r="E25" s="215">
        <v>5.6</v>
      </c>
      <c r="F25" s="216"/>
      <c r="G25" s="217">
        <v>118</v>
      </c>
      <c r="H25" s="215">
        <v>5.6</v>
      </c>
      <c r="I25" s="216"/>
      <c r="J25" s="217">
        <v>21</v>
      </c>
      <c r="K25" s="218">
        <f t="shared" si="2"/>
        <v>0</v>
      </c>
      <c r="L25" s="95" t="str">
        <f t="shared" si="3"/>
        <v>Wert pro Einsatz an Werktagen eintragen.</v>
      </c>
    </row>
    <row r="26" spans="1:12" ht="15" customHeight="1" x14ac:dyDescent="0.2">
      <c r="A26" s="212" t="s">
        <v>215</v>
      </c>
      <c r="B26" s="213" t="s">
        <v>210</v>
      </c>
      <c r="C26" s="214" t="s">
        <v>332</v>
      </c>
      <c r="D26" s="214">
        <v>14</v>
      </c>
      <c r="E26" s="215">
        <v>7.7</v>
      </c>
      <c r="F26" s="216"/>
      <c r="G26" s="217">
        <v>118</v>
      </c>
      <c r="H26" s="215">
        <v>7.7</v>
      </c>
      <c r="I26" s="216"/>
      <c r="J26" s="217">
        <v>21</v>
      </c>
      <c r="K26" s="218">
        <f t="shared" si="2"/>
        <v>0</v>
      </c>
      <c r="L26" s="95" t="str">
        <f t="shared" si="3"/>
        <v>Wert pro Einsatz an Werktagen eintragen.</v>
      </c>
    </row>
    <row r="27" spans="1:12" ht="15" customHeight="1" x14ac:dyDescent="0.2">
      <c r="A27" s="212" t="s">
        <v>209</v>
      </c>
      <c r="B27" s="213" t="s">
        <v>210</v>
      </c>
      <c r="C27" s="214" t="s">
        <v>333</v>
      </c>
      <c r="D27" s="214">
        <v>7</v>
      </c>
      <c r="E27" s="215">
        <v>4.0999999999999996</v>
      </c>
      <c r="F27" s="216"/>
      <c r="G27" s="217">
        <v>16.5</v>
      </c>
      <c r="H27" s="215">
        <v>4.0999999999999996</v>
      </c>
      <c r="I27" s="216"/>
      <c r="J27" s="217">
        <v>2.25</v>
      </c>
      <c r="K27" s="218">
        <f t="shared" si="2"/>
        <v>0</v>
      </c>
      <c r="L27" s="95" t="str">
        <f t="shared" si="3"/>
        <v>Wert pro Einsatz an Werktagen eintragen.</v>
      </c>
    </row>
    <row r="28" spans="1:12" ht="15" customHeight="1" x14ac:dyDescent="0.2">
      <c r="A28" s="212" t="s">
        <v>211</v>
      </c>
      <c r="B28" s="213" t="s">
        <v>210</v>
      </c>
      <c r="C28" s="214" t="s">
        <v>333</v>
      </c>
      <c r="D28" s="214">
        <v>7</v>
      </c>
      <c r="E28" s="215">
        <v>5</v>
      </c>
      <c r="F28" s="216"/>
      <c r="G28" s="217">
        <v>16.5</v>
      </c>
      <c r="H28" s="215">
        <v>5</v>
      </c>
      <c r="I28" s="216"/>
      <c r="J28" s="217">
        <v>2.25</v>
      </c>
      <c r="K28" s="218">
        <f t="shared" si="2"/>
        <v>0</v>
      </c>
      <c r="L28" s="95" t="str">
        <f t="shared" si="3"/>
        <v>Wert pro Einsatz an Werktagen eintragen.</v>
      </c>
    </row>
    <row r="29" spans="1:12" ht="15" customHeight="1" x14ac:dyDescent="0.2">
      <c r="A29" s="212" t="s">
        <v>212</v>
      </c>
      <c r="B29" s="213" t="s">
        <v>210</v>
      </c>
      <c r="C29" s="214" t="s">
        <v>333</v>
      </c>
      <c r="D29" s="214">
        <v>7</v>
      </c>
      <c r="E29" s="215">
        <v>2.2000000000000002</v>
      </c>
      <c r="F29" s="216"/>
      <c r="G29" s="217">
        <v>16.5</v>
      </c>
      <c r="H29" s="215">
        <v>2.2000000000000002</v>
      </c>
      <c r="I29" s="216"/>
      <c r="J29" s="217">
        <v>2.25</v>
      </c>
      <c r="K29" s="218">
        <f t="shared" si="2"/>
        <v>0</v>
      </c>
      <c r="L29" s="95" t="str">
        <f t="shared" si="3"/>
        <v>Wert pro Einsatz an Werktagen eintragen.</v>
      </c>
    </row>
    <row r="30" spans="1:12" ht="15" customHeight="1" x14ac:dyDescent="0.2">
      <c r="A30" s="212" t="s">
        <v>213</v>
      </c>
      <c r="B30" s="213" t="s">
        <v>210</v>
      </c>
      <c r="C30" s="214" t="s">
        <v>333</v>
      </c>
      <c r="D30" s="214">
        <v>7</v>
      </c>
      <c r="E30" s="215">
        <v>4.5</v>
      </c>
      <c r="F30" s="216"/>
      <c r="G30" s="217">
        <v>16.5</v>
      </c>
      <c r="H30" s="215">
        <v>4.5</v>
      </c>
      <c r="I30" s="216"/>
      <c r="J30" s="217">
        <v>2.25</v>
      </c>
      <c r="K30" s="218">
        <f t="shared" si="2"/>
        <v>0</v>
      </c>
      <c r="L30" s="95" t="str">
        <f t="shared" si="3"/>
        <v>Wert pro Einsatz an Werktagen eintragen.</v>
      </c>
    </row>
    <row r="31" spans="1:12" ht="15" customHeight="1" x14ac:dyDescent="0.2">
      <c r="A31" s="212" t="s">
        <v>214</v>
      </c>
      <c r="B31" s="213" t="s">
        <v>210</v>
      </c>
      <c r="C31" s="214" t="s">
        <v>333</v>
      </c>
      <c r="D31" s="214">
        <v>7</v>
      </c>
      <c r="E31" s="215">
        <v>5.6</v>
      </c>
      <c r="F31" s="216"/>
      <c r="G31" s="217">
        <v>16.5</v>
      </c>
      <c r="H31" s="215">
        <v>5.6</v>
      </c>
      <c r="I31" s="216"/>
      <c r="J31" s="217">
        <v>2.25</v>
      </c>
      <c r="K31" s="218">
        <f t="shared" si="2"/>
        <v>0</v>
      </c>
      <c r="L31" s="95" t="str">
        <f t="shared" si="3"/>
        <v>Wert pro Einsatz an Werktagen eintragen.</v>
      </c>
    </row>
    <row r="32" spans="1:12" ht="15" customHeight="1" x14ac:dyDescent="0.2">
      <c r="A32" s="212" t="s">
        <v>215</v>
      </c>
      <c r="B32" s="213" t="s">
        <v>210</v>
      </c>
      <c r="C32" s="214" t="s">
        <v>333</v>
      </c>
      <c r="D32" s="214">
        <v>7</v>
      </c>
      <c r="E32" s="215">
        <v>7.7</v>
      </c>
      <c r="F32" s="216"/>
      <c r="G32" s="217">
        <v>16.5</v>
      </c>
      <c r="H32" s="215">
        <v>7.7</v>
      </c>
      <c r="I32" s="216"/>
      <c r="J32" s="217">
        <v>2.25</v>
      </c>
      <c r="K32" s="218">
        <f t="shared" si="2"/>
        <v>0</v>
      </c>
      <c r="L32" s="95" t="str">
        <f t="shared" si="3"/>
        <v>Wert pro Einsatz an Werktagen eintragen.</v>
      </c>
    </row>
    <row r="33" spans="1:12" ht="15" customHeight="1" x14ac:dyDescent="0.2">
      <c r="A33" s="219"/>
      <c r="B33" s="220"/>
      <c r="C33" s="221"/>
      <c r="D33" s="222"/>
      <c r="E33" s="222"/>
      <c r="F33" s="222"/>
      <c r="G33" s="223"/>
      <c r="H33" s="223"/>
      <c r="I33" s="223"/>
      <c r="J33" s="223"/>
      <c r="K33" s="224"/>
      <c r="L33" s="225"/>
    </row>
    <row r="34" spans="1:12" ht="15" customHeight="1" x14ac:dyDescent="0.2">
      <c r="A34" s="128" t="s">
        <v>334</v>
      </c>
      <c r="B34" s="129" t="s">
        <v>335</v>
      </c>
      <c r="C34" s="226"/>
      <c r="D34" s="227"/>
      <c r="E34" s="227"/>
      <c r="F34" s="227"/>
      <c r="G34" s="228"/>
      <c r="H34" s="228"/>
      <c r="I34" s="228"/>
      <c r="J34" s="228"/>
      <c r="K34" s="229"/>
      <c r="L34" s="225"/>
    </row>
    <row r="35" spans="1:12" ht="15" customHeight="1" x14ac:dyDescent="0.2">
      <c r="A35" s="212" t="s">
        <v>336</v>
      </c>
      <c r="B35" s="230" t="s">
        <v>337</v>
      </c>
      <c r="C35" s="231" t="s">
        <v>338</v>
      </c>
      <c r="D35" s="231"/>
      <c r="E35" s="231"/>
      <c r="F35" s="231"/>
      <c r="G35" s="232"/>
      <c r="H35" s="232"/>
      <c r="I35" s="232"/>
      <c r="J35" s="232"/>
      <c r="K35" s="232"/>
      <c r="L35" s="225"/>
    </row>
    <row r="36" spans="1:12" ht="15" customHeight="1" x14ac:dyDescent="0.2">
      <c r="A36" s="212" t="s">
        <v>339</v>
      </c>
      <c r="B36" s="230" t="s">
        <v>340</v>
      </c>
      <c r="C36" s="231" t="s">
        <v>341</v>
      </c>
      <c r="D36" s="231"/>
      <c r="E36" s="231"/>
      <c r="F36" s="231"/>
      <c r="G36" s="232"/>
      <c r="H36" s="232"/>
      <c r="I36" s="232"/>
      <c r="J36" s="232"/>
      <c r="K36" s="232"/>
      <c r="L36" s="225"/>
    </row>
    <row r="37" spans="1:12" ht="15" customHeight="1" x14ac:dyDescent="0.2">
      <c r="A37" s="212" t="s">
        <v>342</v>
      </c>
      <c r="B37" s="230" t="s">
        <v>343</v>
      </c>
      <c r="C37" s="231" t="s">
        <v>344</v>
      </c>
      <c r="D37" s="231"/>
      <c r="E37" s="231"/>
      <c r="F37" s="231"/>
      <c r="G37" s="232"/>
      <c r="H37" s="232"/>
      <c r="I37" s="232"/>
      <c r="J37" s="232"/>
      <c r="K37" s="232"/>
      <c r="L37" s="225"/>
    </row>
    <row r="38" spans="1:12" ht="15" customHeight="1" x14ac:dyDescent="0.2">
      <c r="A38" s="212" t="s">
        <v>345</v>
      </c>
      <c r="B38" s="230" t="s">
        <v>346</v>
      </c>
      <c r="C38" s="231" t="s">
        <v>347</v>
      </c>
      <c r="D38" s="231"/>
      <c r="E38" s="231"/>
      <c r="F38" s="231"/>
      <c r="G38" s="232"/>
      <c r="H38" s="232"/>
      <c r="I38" s="232"/>
      <c r="J38" s="232"/>
      <c r="K38" s="232"/>
      <c r="L38" s="225"/>
    </row>
  </sheetData>
  <sheetProtection algorithmName="SHA-512" hashValue="FpPSLU/Rb8kao880I+VeX7zGK5A2THFyf1d5XOSkDKjwroZmpw/y/fazG85RpkQtNpRNs2g4vPFYQcUZ0t0cVg==" saltValue="4vgWEM4V8RY308ZMYFN5bw==" spinCount="100000" sheet="1" objects="1" scenarios="1"/>
  <mergeCells count="23">
    <mergeCell ref="C38:K38"/>
    <mergeCell ref="H12:I12"/>
    <mergeCell ref="G13:G14"/>
    <mergeCell ref="J13:J14"/>
    <mergeCell ref="C35:K35"/>
    <mergeCell ref="C36:K36"/>
    <mergeCell ref="C37:K37"/>
    <mergeCell ref="I6:K6"/>
    <mergeCell ref="H7:J7"/>
    <mergeCell ref="A10:K10"/>
    <mergeCell ref="A11:A13"/>
    <mergeCell ref="B11:B13"/>
    <mergeCell ref="C11:D11"/>
    <mergeCell ref="E11:G11"/>
    <mergeCell ref="H11:J11"/>
    <mergeCell ref="K11:K12"/>
    <mergeCell ref="E12:F12"/>
    <mergeCell ref="I5:K5"/>
    <mergeCell ref="I2:K2"/>
    <mergeCell ref="C3:G3"/>
    <mergeCell ref="I3:K3"/>
    <mergeCell ref="A4:F4"/>
    <mergeCell ref="I4:K4"/>
  </mergeCells>
  <conditionalFormatting sqref="L8 L15:L32">
    <cfRule type="containsText" dxfId="120" priority="1" operator="containsText" text="Wert pro Einsatz an Sonn- und Feiertagen eintragen.">
      <formula>NOT(ISERROR(SEARCH("Wert pro Einsatz an Sonn- und Feiertagen eintragen.",L8)))</formula>
    </cfRule>
    <cfRule type="containsText" dxfId="119" priority="2" operator="containsText" text="Wert pro Einsatz an Werktagen eintragen.">
      <formula>NOT(ISERROR(SEARCH("Wert pro Einsatz an Werktagen eintragen.",L8)))</formula>
    </cfRule>
    <cfRule type="containsText" dxfId="118" priority="3" operator="containsText" text="Wert Sonstige Kosten eintragen.">
      <formula>NOT(ISERROR(SEARCH("Wert Sonstige Kosten eintragen.",L8)))</formula>
    </cfRule>
    <cfRule type="containsText" dxfId="117" priority="4" operator="containsText" text="Wert Haftungsübernahme eintragen.">
      <formula>NOT(ISERROR(SEARCH("Wert Haftungsübernahme eintragen.",L8)))</formula>
    </cfRule>
    <cfRule type="containsText" dxfId="116" priority="5" operator="containsText" text="Wert Versicherungsprämien eintragen.">
      <formula>NOT(ISERROR(SEARCH("Wert Versicherungsprämien eintragen.",L8)))</formula>
    </cfRule>
    <cfRule type="containsText" dxfId="115" priority="6" operator="containsText" text="Wert Entfernung und fachgerechte Entsorgung des Streugutes eintragen.">
      <formula>NOT(ISERROR(SEARCH("Wert Entfernung und fachgerechte Entsorgung des Streugutes eintragen.",L8)))</formula>
    </cfRule>
    <cfRule type="containsText" dxfId="114" priority="7" operator="containsText" text="Wert Personalbereitstellung eintragen.">
      <formula>NOT(ISERROR(SEARCH("Wert Personalbereitstellung eintragen.",L8)))</formula>
    </cfRule>
    <cfRule type="containsText" dxfId="113" priority="8" operator="containsText" text="Wert Bereitstellung und Vorhaltung der erforderlichen Geräte und Maschinen eintragen.">
      <formula>NOT(ISERROR(SEARCH("Wert Bereitstellung und Vorhaltung der erforderlichen Geräte und Maschinen eintragen.",L8)))</formula>
    </cfRule>
  </conditionalFormatting>
  <hyperlinks>
    <hyperlink ref="I1" location="Inhaltsverzeichnis!A1" display="Zurück zum Inhaltsverzeichnis" xr:uid="{5D3F0AA3-39CD-48DD-9A2C-A389DE2851C1}"/>
  </hyperlinks>
  <printOptions horizontalCentered="1"/>
  <pageMargins left="0.78740157480314965" right="0.78740157480314965" top="0.98425196850393704" bottom="0.98425196850393704" header="0.51181102362204722" footer="0.51181102362204722"/>
  <pageSetup paperSize="9" scale="60" firstPageNumber="3" orientation="landscape" r:id="rId1"/>
  <headerFooter alignWithMargins="0">
    <oddHeader>&amp;L&amp;F</oddHeader>
    <oddFooter>&amp;LSalzstadt Staßfurt&amp;CSeite &amp;P von &amp;N&amp;RKal Unter Albertinsee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Check Box 1">
              <controlPr locked="0" defaultSize="0" autoFill="0" autoLine="0" autoPict="0" altText="Hinweis">
                <anchor moveWithCells="1">
                  <from>
                    <xdr:col>1</xdr:col>
                    <xdr:colOff>142875</xdr:colOff>
                    <xdr:row>2</xdr:row>
                    <xdr:rowOff>85725</xdr:rowOff>
                  </from>
                  <to>
                    <xdr:col>1</xdr:col>
                    <xdr:colOff>933450</xdr:colOff>
                    <xdr:row>2</xdr:row>
                    <xdr:rowOff>333375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7322-BF4A-4467-89B8-F91398CC65C8}">
  <sheetPr codeName="Tabelle36">
    <tabColor indexed="40"/>
  </sheetPr>
  <dimension ref="A1:X27"/>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76" t="s">
        <v>150</v>
      </c>
      <c r="B2" s="177"/>
      <c r="C2" s="177"/>
      <c r="D2" s="177"/>
      <c r="E2" s="178"/>
      <c r="G2" s="179" t="s">
        <v>163</v>
      </c>
      <c r="H2" s="179" t="s">
        <v>155</v>
      </c>
      <c r="I2" s="179" t="s">
        <v>156</v>
      </c>
      <c r="J2" s="179" t="s">
        <v>175</v>
      </c>
      <c r="M2" s="77"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4" customHeight="1" x14ac:dyDescent="0.2">
      <c r="A3" s="97" t="s">
        <v>158</v>
      </c>
      <c r="B3" s="98"/>
      <c r="C3" s="98"/>
      <c r="D3" s="98"/>
      <c r="E3" s="99"/>
      <c r="G3" s="180"/>
      <c r="H3" s="180"/>
      <c r="I3" s="180"/>
      <c r="J3" s="180"/>
      <c r="M3" s="77" t="b">
        <v>0</v>
      </c>
      <c r="N3" s="130"/>
      <c r="O3" s="130"/>
      <c r="P3" s="130"/>
      <c r="Q3" s="130"/>
    </row>
    <row r="4" spans="1:22" ht="18.600000000000001" customHeight="1" x14ac:dyDescent="0.2">
      <c r="A4" s="174" t="s">
        <v>91</v>
      </c>
      <c r="B4" s="184" t="str">
        <f>IF(Inhaltsverzeichnis!C3="","",Inhaltsverzeichnis!C3)</f>
        <v/>
      </c>
      <c r="C4" s="185"/>
      <c r="D4" s="185"/>
      <c r="E4" s="186"/>
      <c r="G4" s="96" t="s">
        <v>218</v>
      </c>
      <c r="H4" s="100"/>
      <c r="I4" s="101">
        <f ca="1">SUMIF('Kal Grund Albertinsee'!J22:M27,$G$4,'Kal Grund Albertinsee'!M22:M27)</f>
        <v>13.3</v>
      </c>
      <c r="J4" s="54">
        <f>COUNTIFS('Kal Grund Albertinsee'!J22:M27,$G$4)</f>
        <v>2</v>
      </c>
      <c r="M4" s="77" t="b">
        <v>0</v>
      </c>
      <c r="N4" s="130"/>
      <c r="O4" s="130"/>
      <c r="P4" s="130"/>
      <c r="Q4" s="130"/>
      <c r="U4" s="96" t="s">
        <v>218</v>
      </c>
      <c r="V4" s="3">
        <v>12.75</v>
      </c>
    </row>
    <row r="5" spans="1:22" ht="15" customHeight="1" x14ac:dyDescent="0.2">
      <c r="A5" s="175"/>
      <c r="B5" s="187"/>
      <c r="C5" s="188"/>
      <c r="D5" s="188"/>
      <c r="E5" s="189"/>
      <c r="G5" s="96" t="s">
        <v>216</v>
      </c>
      <c r="H5" s="100"/>
      <c r="I5" s="101">
        <f ca="1">SUMIF('Kal Grund Albertinsee'!J22:M27,$G$5,'Kal Grund Albertinsee'!M22:M27)</f>
        <v>13.6</v>
      </c>
      <c r="J5" s="54">
        <f>COUNTIFS('Kal Grund Albertinsee'!J22:M27,$G$5)</f>
        <v>3</v>
      </c>
      <c r="M5" s="77" t="b">
        <v>0</v>
      </c>
      <c r="N5" s="130"/>
      <c r="O5" s="130"/>
      <c r="P5" s="130"/>
      <c r="Q5" s="130"/>
      <c r="U5" s="96" t="s">
        <v>216</v>
      </c>
      <c r="V5" s="3">
        <v>10.25</v>
      </c>
    </row>
    <row r="6" spans="1:22" ht="15" customHeight="1" x14ac:dyDescent="0.2">
      <c r="A6" s="102" t="s">
        <v>173</v>
      </c>
      <c r="B6" s="153" t="s">
        <v>191</v>
      </c>
      <c r="C6" s="190"/>
      <c r="D6" s="190"/>
      <c r="E6" s="191"/>
      <c r="G6" s="96" t="s">
        <v>217</v>
      </c>
      <c r="H6" s="100"/>
      <c r="I6" s="101">
        <f ca="1">SUMIF('Kal Grund Albertinsee'!J22:M27,$G$6,'Kal Grund Albertinsee'!M22:M27)</f>
        <v>2.2000000000000002</v>
      </c>
      <c r="J6" s="54">
        <f>COUNTIFS('Kal Grund Albertinsee'!J22:M27,$G$6)</f>
        <v>1</v>
      </c>
      <c r="U6" s="96" t="s">
        <v>217</v>
      </c>
      <c r="V6" s="3">
        <v>16.25</v>
      </c>
    </row>
    <row r="7" spans="1:22" ht="15" customHeight="1" x14ac:dyDescent="0.2">
      <c r="A7" s="103" t="s">
        <v>171</v>
      </c>
      <c r="B7" s="192" t="s">
        <v>192</v>
      </c>
      <c r="C7" s="190"/>
      <c r="D7" s="190"/>
      <c r="E7" s="191"/>
    </row>
    <row r="8" spans="1:22" ht="15" customHeight="1" x14ac:dyDescent="0.2">
      <c r="A8" s="103" t="s">
        <v>172</v>
      </c>
      <c r="B8" s="153"/>
      <c r="C8" s="190"/>
      <c r="D8" s="190"/>
      <c r="E8" s="191"/>
      <c r="L8" s="104" t="str">
        <f>IF(N14&gt;0,"Ihre Eintragungen der Leistungswerte liegen weit über den Erfahrungswerten aus der Preisschätzung.","")</f>
        <v/>
      </c>
    </row>
    <row r="9" spans="1:22" ht="15" customHeight="1" x14ac:dyDescent="0.2">
      <c r="A9" s="102" t="s">
        <v>170</v>
      </c>
      <c r="B9" s="193" t="s">
        <v>190</v>
      </c>
      <c r="C9" s="190"/>
      <c r="D9" s="190"/>
      <c r="E9" s="191"/>
      <c r="L9" s="104" t="str">
        <f>IF(N14&gt;0,"Bitte prüfen Sie diese.","")</f>
        <v/>
      </c>
    </row>
    <row r="10" spans="1:22" ht="15" customHeight="1" x14ac:dyDescent="0.2">
      <c r="A10" s="103" t="s">
        <v>152</v>
      </c>
      <c r="B10" s="153" t="s">
        <v>193</v>
      </c>
      <c r="C10" s="190"/>
      <c r="D10" s="190"/>
      <c r="E10" s="191"/>
      <c r="L10" s="104" t="str">
        <f>IF(N14&gt;0,"Beachten Sie, dass Sie frei in der Kalkulation dieser Leistungswerte sind und wir durch den Hinweis","")</f>
        <v/>
      </c>
    </row>
    <row r="11" spans="1:22" ht="15" customHeight="1" x14ac:dyDescent="0.2">
      <c r="A11" s="103" t="s">
        <v>153</v>
      </c>
      <c r="B11" s="194" t="s">
        <v>194</v>
      </c>
      <c r="C11" s="190"/>
      <c r="D11" s="190"/>
      <c r="E11" s="191"/>
      <c r="L11" s="104" t="str">
        <f>IF(N14&gt;0,"lediglich Fehleingaben vermeiden wollen.","")</f>
        <v/>
      </c>
    </row>
    <row r="12" spans="1:22" ht="15" customHeight="1" x14ac:dyDescent="0.2">
      <c r="A12" s="103" t="s">
        <v>154</v>
      </c>
      <c r="B12" s="153" t="s">
        <v>195</v>
      </c>
      <c r="C12" s="190"/>
      <c r="D12" s="190"/>
      <c r="E12" s="191"/>
    </row>
    <row r="13" spans="1:22" ht="15" customHeight="1" x14ac:dyDescent="0.2">
      <c r="A13" s="103" t="s">
        <v>157</v>
      </c>
      <c r="B13" s="181" t="str">
        <f>HYPERLINK("http://maps.google.de/maps?hl=de&amp;bav=on.2,or.r_qf.&amp;bvm=bv.44770516,d.Yms&amp;biw=1395&amp;bih=916&amp;um=1&amp;ie=UTF-8&amp;q="&amp;B7&amp;"+"&amp;B8&amp;"+"&amp;B10&amp;"+"&amp;B11&amp;"+"&amp;B12&amp;"","In Google-Maps anzeigen (wenn Internet verfügbar)")</f>
        <v>In Google-Maps anzeigen (wenn Internet verfügbar)</v>
      </c>
      <c r="C13" s="182"/>
      <c r="D13" s="182"/>
      <c r="E13" s="183"/>
    </row>
    <row r="14" spans="1:22" ht="15" customHeight="1" x14ac:dyDescent="0.2">
      <c r="N14" s="105">
        <f>COUNTIF(X22:X$27,1)</f>
        <v>0</v>
      </c>
      <c r="O14" s="3" t="str">
        <f>IF(N14&gt;0,"Wert(e) prüfen.","")</f>
        <v/>
      </c>
      <c r="S14" s="106">
        <f>IF(COUNTA($S$22:$S$27)-COUNTBLANK($S$22:$S$27)=0,"",COUNTA($S$22:$S$27)-COUNTBLANK($S$22:$S$27))</f>
        <v>6</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107" t="s">
        <v>118</v>
      </c>
      <c r="B21" s="12"/>
      <c r="C21" s="12"/>
      <c r="D21" s="12"/>
      <c r="E21" s="12"/>
      <c r="F21" s="12"/>
      <c r="G21" s="108">
        <f>SUM($G$22:$G$27)</f>
        <v>29.099999999999998</v>
      </c>
      <c r="H21" s="108">
        <f>SUM($H$22:$H$27)</f>
        <v>0</v>
      </c>
      <c r="I21" s="108">
        <f>SUM($I$22:$I$27)</f>
        <v>0</v>
      </c>
      <c r="J21" s="33"/>
      <c r="K21" s="33"/>
      <c r="L21" s="109">
        <f>MAX(L22:L27)</f>
        <v>1</v>
      </c>
      <c r="M21" s="108">
        <f>SUM($M$22:$M$27)</f>
        <v>29.099999999999998</v>
      </c>
      <c r="N21" s="33"/>
      <c r="O21" s="33"/>
      <c r="P21" s="108">
        <f>SUM($P$22:$P$27)</f>
        <v>0</v>
      </c>
      <c r="Q21" s="108">
        <f>SUM($Q$22:$Q$27)</f>
        <v>0</v>
      </c>
      <c r="R21" s="108">
        <f>ROUND(IF(Q21=0,0,Q21/L21),2)</f>
        <v>0</v>
      </c>
    </row>
    <row r="22" spans="1:24" ht="15" customHeight="1" x14ac:dyDescent="0.2">
      <c r="A22" s="96">
        <v>1</v>
      </c>
      <c r="B22" s="110"/>
      <c r="C22" s="111" t="s">
        <v>208</v>
      </c>
      <c r="D22" s="111"/>
      <c r="E22" s="111" t="s">
        <v>209</v>
      </c>
      <c r="F22" s="111" t="s">
        <v>210</v>
      </c>
      <c r="G22" s="112">
        <v>4.0999999999999996</v>
      </c>
      <c r="H22" s="112"/>
      <c r="I22" s="112"/>
      <c r="J22" s="96" t="s">
        <v>216</v>
      </c>
      <c r="K22" s="96" t="s">
        <v>142</v>
      </c>
      <c r="L22" s="33">
        <f>VLOOKUP(K22,Reinigungstage!A10:F31,6,FALSE)</f>
        <v>1</v>
      </c>
      <c r="M22" s="33">
        <f t="shared" ref="M22:M27" si="0">ROUND(IF(L22=0,0,L22*G22),2)</f>
        <v>4.0999999999999996</v>
      </c>
      <c r="N22" s="113">
        <f t="shared" ref="N22:N27" si="1">VLOOKUP(J22,$G$4:$H$6,2,FALSE)</f>
        <v>0</v>
      </c>
      <c r="O22" s="33">
        <f ca="1">IF('SVS GrundRG'!H61="",0,'SVS GrundRG'!H61)</f>
        <v>0</v>
      </c>
      <c r="P22" s="33">
        <f t="shared" ref="P22:P27" si="2">ROUND(IF(N22=0,0,M22/N22),2)</f>
        <v>0</v>
      </c>
      <c r="Q22" s="33">
        <f t="shared" ref="Q22:Q27" si="3">ROUND(IF(P22=0,0,P22*O22),2)</f>
        <v>0</v>
      </c>
      <c r="R22" s="33">
        <f t="shared" ref="R22:R27" si="4">ROUND(IF(P22=0,0,Q22/L22),2)</f>
        <v>0</v>
      </c>
      <c r="S22" s="3" t="str">
        <f t="shared" ref="S22:S27" si="5">IF(M22=0,"",IF(N22=0,"Leistungswert eintragen",IF(O22=0,"SVS prüfen","")))</f>
        <v>Leistungswert eintragen</v>
      </c>
      <c r="U22" s="3">
        <f t="shared" ref="U22:U27" si="6">VLOOKUP(J22,$U$4:$V$6,2,FALSE)</f>
        <v>10.25</v>
      </c>
      <c r="V22" s="3">
        <f t="shared" ref="V22:V27" si="7">U22*30%</f>
        <v>3.0749999999999997</v>
      </c>
      <c r="W22" s="3">
        <f t="shared" ref="W22:W27" si="8">SUM(U22:V22)</f>
        <v>13.324999999999999</v>
      </c>
      <c r="X22" s="3" t="str">
        <f t="shared" ref="X22:X27" si="9">IF(N22=0,"",IF(W22&lt;N22,1,IF(W22&gt;=N22,0,"")))</f>
        <v/>
      </c>
    </row>
    <row r="23" spans="1:24" ht="15" customHeight="1" x14ac:dyDescent="0.2">
      <c r="A23" s="96">
        <v>2</v>
      </c>
      <c r="B23" s="110"/>
      <c r="C23" s="111" t="s">
        <v>208</v>
      </c>
      <c r="D23" s="111"/>
      <c r="E23" s="111" t="s">
        <v>211</v>
      </c>
      <c r="F23" s="111" t="s">
        <v>210</v>
      </c>
      <c r="G23" s="112">
        <v>5</v>
      </c>
      <c r="H23" s="112"/>
      <c r="I23" s="112"/>
      <c r="J23" s="96" t="s">
        <v>216</v>
      </c>
      <c r="K23" s="96" t="s">
        <v>142</v>
      </c>
      <c r="L23" s="33">
        <f>VLOOKUP(K23,Reinigungstage!A10:F31,6,FALSE)</f>
        <v>1</v>
      </c>
      <c r="M23" s="33">
        <f t="shared" si="0"/>
        <v>5</v>
      </c>
      <c r="N23" s="113">
        <f t="shared" si="1"/>
        <v>0</v>
      </c>
      <c r="O23" s="33">
        <f ca="1">IF('SVS GrundRG'!H61="",0,'SVS GrundRG'!H61)</f>
        <v>0</v>
      </c>
      <c r="P23" s="33">
        <f t="shared" si="2"/>
        <v>0</v>
      </c>
      <c r="Q23" s="33">
        <f t="shared" si="3"/>
        <v>0</v>
      </c>
      <c r="R23" s="33">
        <f t="shared" si="4"/>
        <v>0</v>
      </c>
      <c r="S23" s="3" t="str">
        <f t="shared" si="5"/>
        <v>Leistungswert eintragen</v>
      </c>
      <c r="U23" s="3">
        <f t="shared" si="6"/>
        <v>10.25</v>
      </c>
      <c r="V23" s="3">
        <f t="shared" si="7"/>
        <v>3.0749999999999997</v>
      </c>
      <c r="W23" s="3">
        <f t="shared" si="8"/>
        <v>13.324999999999999</v>
      </c>
      <c r="X23" s="3" t="str">
        <f t="shared" si="9"/>
        <v/>
      </c>
    </row>
    <row r="24" spans="1:24" ht="15" customHeight="1" x14ac:dyDescent="0.2">
      <c r="A24" s="96">
        <v>3</v>
      </c>
      <c r="B24" s="110"/>
      <c r="C24" s="111" t="s">
        <v>208</v>
      </c>
      <c r="D24" s="111"/>
      <c r="E24" s="111" t="s">
        <v>212</v>
      </c>
      <c r="F24" s="111" t="s">
        <v>210</v>
      </c>
      <c r="G24" s="112">
        <v>2.2000000000000002</v>
      </c>
      <c r="H24" s="112"/>
      <c r="I24" s="112"/>
      <c r="J24" s="96" t="s">
        <v>217</v>
      </c>
      <c r="K24" s="96" t="s">
        <v>142</v>
      </c>
      <c r="L24" s="33">
        <f>VLOOKUP(K24,Reinigungstage!A10:F31,6,FALSE)</f>
        <v>1</v>
      </c>
      <c r="M24" s="33">
        <f t="shared" si="0"/>
        <v>2.2000000000000002</v>
      </c>
      <c r="N24" s="113">
        <f t="shared" si="1"/>
        <v>0</v>
      </c>
      <c r="O24" s="33">
        <f ca="1">IF('SVS GrundRG'!H61="",0,'SVS GrundRG'!H61)</f>
        <v>0</v>
      </c>
      <c r="P24" s="33">
        <f t="shared" si="2"/>
        <v>0</v>
      </c>
      <c r="Q24" s="33">
        <f t="shared" si="3"/>
        <v>0</v>
      </c>
      <c r="R24" s="33">
        <f t="shared" si="4"/>
        <v>0</v>
      </c>
      <c r="S24" s="3" t="str">
        <f t="shared" si="5"/>
        <v>Leistungswert eintragen</v>
      </c>
      <c r="U24" s="3">
        <f t="shared" si="6"/>
        <v>16.25</v>
      </c>
      <c r="V24" s="3">
        <f t="shared" si="7"/>
        <v>4.875</v>
      </c>
      <c r="W24" s="3">
        <f t="shared" si="8"/>
        <v>21.125</v>
      </c>
      <c r="X24" s="3" t="str">
        <f t="shared" si="9"/>
        <v/>
      </c>
    </row>
    <row r="25" spans="1:24" ht="15" customHeight="1" x14ac:dyDescent="0.2">
      <c r="A25" s="96">
        <v>4</v>
      </c>
      <c r="B25" s="110"/>
      <c r="C25" s="111" t="s">
        <v>208</v>
      </c>
      <c r="D25" s="111"/>
      <c r="E25" s="111" t="s">
        <v>213</v>
      </c>
      <c r="F25" s="111" t="s">
        <v>210</v>
      </c>
      <c r="G25" s="112">
        <v>4.5</v>
      </c>
      <c r="H25" s="112"/>
      <c r="I25" s="112"/>
      <c r="J25" s="96" t="s">
        <v>216</v>
      </c>
      <c r="K25" s="96" t="s">
        <v>142</v>
      </c>
      <c r="L25" s="33">
        <f>VLOOKUP(K25,Reinigungstage!A10:F31,6,FALSE)</f>
        <v>1</v>
      </c>
      <c r="M25" s="33">
        <f t="shared" si="0"/>
        <v>4.5</v>
      </c>
      <c r="N25" s="113">
        <f t="shared" si="1"/>
        <v>0</v>
      </c>
      <c r="O25" s="33">
        <f ca="1">IF('SVS GrundRG'!H61="",0,'SVS GrundRG'!H61)</f>
        <v>0</v>
      </c>
      <c r="P25" s="33">
        <f t="shared" si="2"/>
        <v>0</v>
      </c>
      <c r="Q25" s="33">
        <f t="shared" si="3"/>
        <v>0</v>
      </c>
      <c r="R25" s="33">
        <f t="shared" si="4"/>
        <v>0</v>
      </c>
      <c r="S25" s="3" t="str">
        <f t="shared" si="5"/>
        <v>Leistungswert eintragen</v>
      </c>
      <c r="U25" s="3">
        <f t="shared" si="6"/>
        <v>10.25</v>
      </c>
      <c r="V25" s="3">
        <f t="shared" si="7"/>
        <v>3.0749999999999997</v>
      </c>
      <c r="W25" s="3">
        <f t="shared" si="8"/>
        <v>13.324999999999999</v>
      </c>
      <c r="X25" s="3" t="str">
        <f t="shared" si="9"/>
        <v/>
      </c>
    </row>
    <row r="26" spans="1:24" ht="15" customHeight="1" x14ac:dyDescent="0.2">
      <c r="A26" s="96">
        <v>5</v>
      </c>
      <c r="B26" s="110"/>
      <c r="C26" s="111" t="s">
        <v>208</v>
      </c>
      <c r="D26" s="111"/>
      <c r="E26" s="111" t="s">
        <v>214</v>
      </c>
      <c r="F26" s="111" t="s">
        <v>210</v>
      </c>
      <c r="G26" s="112">
        <v>5.6</v>
      </c>
      <c r="H26" s="112"/>
      <c r="I26" s="112"/>
      <c r="J26" s="96" t="s">
        <v>218</v>
      </c>
      <c r="K26" s="96" t="s">
        <v>142</v>
      </c>
      <c r="L26" s="33">
        <f>VLOOKUP(K26,Reinigungstage!A10:F31,6,FALSE)</f>
        <v>1</v>
      </c>
      <c r="M26" s="33">
        <f t="shared" si="0"/>
        <v>5.6</v>
      </c>
      <c r="N26" s="113">
        <f t="shared" si="1"/>
        <v>0</v>
      </c>
      <c r="O26" s="33">
        <f ca="1">IF('SVS GrundRG'!H61="",0,'SVS GrundRG'!H61)</f>
        <v>0</v>
      </c>
      <c r="P26" s="33">
        <f t="shared" si="2"/>
        <v>0</v>
      </c>
      <c r="Q26" s="33">
        <f t="shared" si="3"/>
        <v>0</v>
      </c>
      <c r="R26" s="33">
        <f t="shared" si="4"/>
        <v>0</v>
      </c>
      <c r="S26" s="3" t="str">
        <f t="shared" si="5"/>
        <v>Leistungswert eintragen</v>
      </c>
      <c r="U26" s="3">
        <f t="shared" si="6"/>
        <v>12.75</v>
      </c>
      <c r="V26" s="3">
        <f t="shared" si="7"/>
        <v>3.8249999999999997</v>
      </c>
      <c r="W26" s="3">
        <f t="shared" si="8"/>
        <v>16.574999999999999</v>
      </c>
      <c r="X26" s="3" t="str">
        <f t="shared" si="9"/>
        <v/>
      </c>
    </row>
    <row r="27" spans="1:24" ht="15" customHeight="1" x14ac:dyDescent="0.2">
      <c r="A27" s="96">
        <v>6</v>
      </c>
      <c r="B27" s="110"/>
      <c r="C27" s="111" t="s">
        <v>208</v>
      </c>
      <c r="D27" s="111"/>
      <c r="E27" s="111" t="s">
        <v>215</v>
      </c>
      <c r="F27" s="111" t="s">
        <v>210</v>
      </c>
      <c r="G27" s="112">
        <v>7.7</v>
      </c>
      <c r="H27" s="112"/>
      <c r="I27" s="112"/>
      <c r="J27" s="96" t="s">
        <v>218</v>
      </c>
      <c r="K27" s="96" t="s">
        <v>142</v>
      </c>
      <c r="L27" s="33">
        <f>VLOOKUP(K27,Reinigungstage!A10:F31,6,FALSE)</f>
        <v>1</v>
      </c>
      <c r="M27" s="33">
        <f t="shared" si="0"/>
        <v>7.7</v>
      </c>
      <c r="N27" s="113">
        <f t="shared" si="1"/>
        <v>0</v>
      </c>
      <c r="O27" s="33">
        <f ca="1">IF('SVS GrundRG'!H61="",0,'SVS GrundRG'!H61)</f>
        <v>0</v>
      </c>
      <c r="P27" s="33">
        <f t="shared" si="2"/>
        <v>0</v>
      </c>
      <c r="Q27" s="33">
        <f t="shared" si="3"/>
        <v>0</v>
      </c>
      <c r="R27" s="33">
        <f t="shared" si="4"/>
        <v>0</v>
      </c>
      <c r="S27" s="3" t="str">
        <f t="shared" si="5"/>
        <v>Leistungswert eintragen</v>
      </c>
      <c r="U27" s="3">
        <f t="shared" si="6"/>
        <v>12.75</v>
      </c>
      <c r="V27" s="3">
        <f t="shared" si="7"/>
        <v>3.8249999999999997</v>
      </c>
      <c r="W27" s="3">
        <f t="shared" si="8"/>
        <v>16.574999999999999</v>
      </c>
      <c r="X27" s="3" t="str">
        <f t="shared" si="9"/>
        <v/>
      </c>
    </row>
  </sheetData>
  <sheetProtection algorithmName="SHA-512" hashValue="IKZbtWk3fXZqrRjF9RZx4Ll250oWO7Q5oRQ2eLrBALzMyVGKBh0EIgh4LC5FAvlq3T/hNQhiBOya7kwE6L5epQ==" saltValue="fdy1TeSRKqwQ18FHa3mJww==" spinCount="100000" sheet="1" objects="1" scenarios="1"/>
  <sortState xmlns:xlrd2="http://schemas.microsoft.com/office/spreadsheetml/2017/richdata2" ref="U4:U6">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1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11" priority="5" operator="containsText" text="Bitte prüfen Sie diese.">
      <formula>NOT(ISERROR(SEARCH("Bitte prüfen Sie diese.",L9)))</formula>
    </cfRule>
  </conditionalFormatting>
  <conditionalFormatting sqref="L10">
    <cfRule type="containsText" dxfId="11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09" priority="3" operator="containsText" text="lediglich Fehleingaben vermeiden wollen.">
      <formula>NOT(ISERROR(SEARCH("lediglich Fehleingaben vermeiden wollen.",L11)))</formula>
    </cfRule>
  </conditionalFormatting>
  <conditionalFormatting sqref="M11">
    <cfRule type="containsText" dxfId="10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7" priority="7" operator="containsText" text="für die Objektart prüfen.">
      <formula>NOT(ISERROR(SEARCH("für die Objektart prüfen.",M12)))</formula>
    </cfRule>
  </conditionalFormatting>
  <conditionalFormatting sqref="N13">
    <cfRule type="expression" dxfId="106" priority="2" stopIfTrue="1">
      <formula>N13=0</formula>
    </cfRule>
  </conditionalFormatting>
  <conditionalFormatting sqref="N14">
    <cfRule type="expression" dxfId="105" priority="1">
      <formula>N14=0</formula>
    </cfRule>
  </conditionalFormatting>
  <conditionalFormatting sqref="N22:N27">
    <cfRule type="expression" dxfId="104" priority="11">
      <formula>X22=0</formula>
    </cfRule>
    <cfRule type="expression" dxfId="103" priority="12" stopIfTrue="1">
      <formula>X22=1</formula>
    </cfRule>
  </conditionalFormatting>
  <conditionalFormatting sqref="O13">
    <cfRule type="containsText" dxfId="10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01" priority="9" operator="containsText" text="Wert(e) prüfen.">
      <formula>NOT(ISERROR(SEARCH("Wert(e) prüfen.",O14)))</formula>
    </cfRule>
  </conditionalFormatting>
  <conditionalFormatting sqref="S22:S27">
    <cfRule type="containsText" dxfId="100" priority="13" stopIfTrue="1" operator="containsText" text="SVS prüfen">
      <formula>NOT(ISERROR(SEARCH("SVS prüfen",S22)))</formula>
    </cfRule>
    <cfRule type="containsText" dxfId="99" priority="14" stopIfTrue="1" operator="containsText" text="Leistungswert eintragen">
      <formula>NOT(ISERROR(SEARCH("Leistungswert eintragen",S22)))</formula>
    </cfRule>
  </conditionalFormatting>
  <hyperlinks>
    <hyperlink ref="M1" location="Inhaltsverzeichnis!A1" display="Zurück zum Inhaltsverzeichnis" xr:uid="{B750E5E2-B9C4-4B1F-991C-1C6E730C5706}"/>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Albertinsee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0594"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0595"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0596"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EF77D-27EB-436E-AD7D-800B8BF3DE77}">
  <sheetPr codeName="Tabelle33">
    <tabColor indexed="40"/>
  </sheetPr>
  <dimension ref="A1:V48"/>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11.42578125" style="3" hidden="1" customWidth="1"/>
    <col min="22" max="22" width="0" style="3" hidden="1" customWidth="1"/>
    <col min="23" max="16384" width="11.42578125" style="3" hidden="1"/>
  </cols>
  <sheetData>
    <row r="1" spans="1:22" ht="15" customHeight="1" x14ac:dyDescent="0.2">
      <c r="M1" s="5" t="s">
        <v>100</v>
      </c>
    </row>
    <row r="2" spans="1:22" ht="21" customHeight="1" x14ac:dyDescent="0.2">
      <c r="A2" s="176" t="s">
        <v>150</v>
      </c>
      <c r="B2" s="177"/>
      <c r="C2" s="177"/>
      <c r="D2" s="177" t="b">
        <v>0</v>
      </c>
      <c r="E2" s="178"/>
      <c r="G2" s="179" t="s">
        <v>163</v>
      </c>
      <c r="H2" s="179" t="s">
        <v>155</v>
      </c>
      <c r="I2" s="179" t="s">
        <v>156</v>
      </c>
      <c r="J2" s="179" t="s">
        <v>175</v>
      </c>
      <c r="M2" s="20"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1" customHeight="1" x14ac:dyDescent="0.2">
      <c r="A3" s="97" t="s">
        <v>151</v>
      </c>
      <c r="B3" s="98"/>
      <c r="C3" s="98"/>
      <c r="D3" s="98"/>
      <c r="E3" s="99"/>
      <c r="G3" s="180"/>
      <c r="H3" s="180" t="b">
        <v>0</v>
      </c>
      <c r="I3" s="180"/>
      <c r="J3" s="180"/>
      <c r="M3" s="20" t="b">
        <v>0</v>
      </c>
      <c r="N3" s="130"/>
      <c r="O3" s="130"/>
      <c r="P3" s="130"/>
      <c r="Q3" s="130"/>
    </row>
    <row r="4" spans="1:22" ht="15" customHeight="1" x14ac:dyDescent="0.2">
      <c r="A4" s="174" t="s">
        <v>91</v>
      </c>
      <c r="B4" s="184" t="str">
        <f>IF(Inhaltsverzeichnis!C3="","",Inhaltsverzeichnis!C3)</f>
        <v/>
      </c>
      <c r="C4" s="185"/>
      <c r="D4" s="185"/>
      <c r="E4" s="186"/>
      <c r="G4" s="96" t="s">
        <v>238</v>
      </c>
      <c r="H4" s="100"/>
      <c r="I4" s="101">
        <f ca="1">SUMIF('Kal Unter ehem Rath Förd'!J22:M48,$G$4,'Kal Unter ehem Rath Förd'!M22:M48)</f>
        <v>8683.7000000000007</v>
      </c>
      <c r="J4" s="54">
        <f>COUNTIFS('Kal Unter ehem Rath Förd'!J22:M48,$G$4)</f>
        <v>7</v>
      </c>
      <c r="M4" s="20" t="b">
        <v>0</v>
      </c>
      <c r="N4" s="130"/>
      <c r="O4" s="130"/>
      <c r="P4" s="130"/>
      <c r="Q4" s="130"/>
      <c r="U4" s="96" t="s">
        <v>238</v>
      </c>
      <c r="V4" s="3">
        <v>168.75</v>
      </c>
    </row>
    <row r="5" spans="1:22" ht="15" customHeight="1" x14ac:dyDescent="0.2">
      <c r="A5" s="175"/>
      <c r="B5" s="187"/>
      <c r="C5" s="188"/>
      <c r="D5" s="188"/>
      <c r="E5" s="189"/>
      <c r="G5" s="96" t="s">
        <v>218</v>
      </c>
      <c r="H5" s="100"/>
      <c r="I5" s="101">
        <f ca="1">SUMIF('Kal Unter ehem Rath Förd'!J22:M48,$G$5,'Kal Unter ehem Rath Förd'!M22:M48)</f>
        <v>1052.4000000000001</v>
      </c>
      <c r="J5" s="54">
        <f>COUNTIFS('Kal Unter ehem Rath Förd'!J22:M48,$G$5)</f>
        <v>1</v>
      </c>
      <c r="M5" s="20" t="b">
        <v>0</v>
      </c>
      <c r="N5" s="130"/>
      <c r="O5" s="130"/>
      <c r="P5" s="130"/>
      <c r="Q5" s="130"/>
      <c r="U5" s="96" t="s">
        <v>218</v>
      </c>
      <c r="V5" s="3">
        <v>140</v>
      </c>
    </row>
    <row r="6" spans="1:22" ht="15" customHeight="1" x14ac:dyDescent="0.2">
      <c r="A6" s="102" t="s">
        <v>173</v>
      </c>
      <c r="B6" s="153" t="s">
        <v>191</v>
      </c>
      <c r="C6" s="190"/>
      <c r="D6" s="190"/>
      <c r="E6" s="191"/>
      <c r="G6" s="96" t="s">
        <v>216</v>
      </c>
      <c r="H6" s="100"/>
      <c r="I6" s="101">
        <f ca="1">SUMIF('Kal Unter ehem Rath Förd'!J22:M48,$G$6,'Kal Unter ehem Rath Förd'!M22:M48)</f>
        <v>3135.28</v>
      </c>
      <c r="J6" s="54">
        <f>COUNTIFS('Kal Unter ehem Rath Förd'!J22:M48,$G$6)</f>
        <v>3</v>
      </c>
      <c r="U6" s="96" t="s">
        <v>216</v>
      </c>
      <c r="V6" s="3">
        <v>63.75</v>
      </c>
    </row>
    <row r="7" spans="1:22" ht="15" customHeight="1" x14ac:dyDescent="0.2">
      <c r="A7" s="103" t="s">
        <v>171</v>
      </c>
      <c r="B7" s="192" t="s">
        <v>197</v>
      </c>
      <c r="C7" s="190"/>
      <c r="D7" s="190"/>
      <c r="E7" s="191"/>
      <c r="G7" s="96" t="s">
        <v>263</v>
      </c>
      <c r="H7" s="100"/>
      <c r="I7" s="101">
        <f ca="1">SUMIF('Kal Unter ehem Rath Förd'!J22:M48,$G$7,'Kal Unter ehem Rath Förd'!M22:M48)</f>
        <v>2273.16</v>
      </c>
      <c r="J7" s="54">
        <f>COUNTIFS('Kal Unter ehem Rath Förd'!J22:M48,$G$7)</f>
        <v>6</v>
      </c>
      <c r="U7" s="96" t="s">
        <v>263</v>
      </c>
      <c r="V7" s="3">
        <v>262.5</v>
      </c>
    </row>
    <row r="8" spans="1:22" ht="15" customHeight="1" x14ac:dyDescent="0.2">
      <c r="A8" s="103" t="s">
        <v>172</v>
      </c>
      <c r="B8" s="153"/>
      <c r="C8" s="190"/>
      <c r="D8" s="190"/>
      <c r="E8" s="191"/>
      <c r="G8" s="96" t="s">
        <v>262</v>
      </c>
      <c r="H8" s="100"/>
      <c r="I8" s="101">
        <f ca="1">SUMIF('Kal Unter ehem Rath Förd'!J22:M48,$G$8,'Kal Unter ehem Rath Förd'!M22:M48)</f>
        <v>9005.36</v>
      </c>
      <c r="J8" s="54">
        <f>COUNTIFS('Kal Unter ehem Rath Förd'!J22:M48,$G$8)</f>
        <v>4</v>
      </c>
      <c r="U8" s="96" t="s">
        <v>262</v>
      </c>
      <c r="V8" s="3">
        <v>138.75</v>
      </c>
    </row>
    <row r="9" spans="1:22" ht="15" customHeight="1" x14ac:dyDescent="0.2">
      <c r="A9" s="102" t="s">
        <v>170</v>
      </c>
      <c r="B9" s="193" t="s">
        <v>196</v>
      </c>
      <c r="C9" s="190"/>
      <c r="D9" s="190"/>
      <c r="E9" s="191"/>
      <c r="G9" s="96" t="s">
        <v>217</v>
      </c>
      <c r="H9" s="100"/>
      <c r="I9" s="101">
        <f ca="1">SUMIF('Kal Unter ehem Rath Förd'!J22:M48,$G$9,'Kal Unter ehem Rath Förd'!M22:M48)</f>
        <v>1851.8700000000001</v>
      </c>
      <c r="J9" s="54">
        <f>COUNTIFS('Kal Unter ehem Rath Förd'!J22:M48,$G$9)</f>
        <v>3</v>
      </c>
      <c r="U9" s="96" t="s">
        <v>217</v>
      </c>
      <c r="V9" s="3">
        <v>300</v>
      </c>
    </row>
    <row r="10" spans="1:22" ht="15" customHeight="1" x14ac:dyDescent="0.2">
      <c r="A10" s="103" t="s">
        <v>152</v>
      </c>
      <c r="B10" s="153" t="s">
        <v>198</v>
      </c>
      <c r="C10" s="190"/>
      <c r="D10" s="190"/>
      <c r="E10" s="191"/>
      <c r="G10" s="96" t="s">
        <v>264</v>
      </c>
      <c r="H10" s="100"/>
      <c r="I10" s="101">
        <f ca="1">SUMIF('Kal Unter ehem Rath Förd'!J22:M48,$G$10,'Kal Unter ehem Rath Förd'!M22:M48)</f>
        <v>1974.5600000000002</v>
      </c>
      <c r="J10" s="54">
        <f>COUNTIFS('Kal Unter ehem Rath Förd'!J22:M48,$G$10)</f>
        <v>3</v>
      </c>
      <c r="U10" s="96" t="s">
        <v>264</v>
      </c>
      <c r="V10" s="3">
        <v>88.75</v>
      </c>
    </row>
    <row r="11" spans="1:22" ht="15" customHeight="1" x14ac:dyDescent="0.2">
      <c r="A11" s="103" t="s">
        <v>153</v>
      </c>
      <c r="B11" s="194" t="s">
        <v>194</v>
      </c>
      <c r="C11" s="190"/>
      <c r="D11" s="190"/>
      <c r="E11" s="191"/>
      <c r="M11" s="3" t="str">
        <f>IF(N13&gt;0,"Bitte die Leistungswerte im Leistungsverzeichnis/ Tabellenblatt Leistungsrichtwerte","")</f>
        <v/>
      </c>
    </row>
    <row r="12" spans="1:22" ht="15" customHeight="1" x14ac:dyDescent="0.2">
      <c r="A12" s="103" t="s">
        <v>154</v>
      </c>
      <c r="B12" s="153" t="s">
        <v>199</v>
      </c>
      <c r="C12" s="190"/>
      <c r="D12" s="190"/>
      <c r="E12" s="191"/>
      <c r="M12" s="3" t="str">
        <f>IF(N13&gt;0,"für die Objektart prüfen.","")</f>
        <v/>
      </c>
    </row>
    <row r="13" spans="1:22" ht="15" customHeight="1" x14ac:dyDescent="0.2">
      <c r="A13" s="103" t="s">
        <v>157</v>
      </c>
      <c r="B13" s="181" t="str">
        <f>HYPERLINK("http://maps.google.de/maps?hl=de&amp;bav=on.2,or.r_qf.&amp;bvm=bv.44770516,d.Yms&amp;biw=1395&amp;bih=916&amp;um=1&amp;ie=UTF-8&amp;q="&amp;B7&amp;"+"&amp;B8&amp;"+"&amp;B10&amp;"+"&amp;B11&amp;"+"&amp;B12&amp;"","In Google-Maps anzeigen (wenn Internet verfügbar)")</f>
        <v>In Google-Maps anzeigen (wenn Internet verfügbar)</v>
      </c>
      <c r="C13" s="182"/>
      <c r="D13" s="182"/>
      <c r="E13" s="183"/>
      <c r="N13" s="105">
        <f>COUNTIF(V22:V$48,1)</f>
        <v>0</v>
      </c>
      <c r="O13" s="3" t="str">
        <f>IF(N13&gt;0,"Wert(e) überschritten, bitte mit dem Angebot plausibel darlegen.","")</f>
        <v/>
      </c>
    </row>
    <row r="14" spans="1:22" ht="15" customHeight="1" x14ac:dyDescent="0.2">
      <c r="N14" s="114">
        <f>COUNTIF(V22:V$48,0)</f>
        <v>27</v>
      </c>
      <c r="O14" s="3" t="str">
        <f>IF(N14&gt;0,"Wert(e) korrekt","")</f>
        <v>Wert(e) korrekt</v>
      </c>
      <c r="T14" s="106">
        <f>IF(COUNTA($T$22:$T$48)-COUNTBLANK($T$22:$T$48)=0,"",COUNTA($T$22:$T$48)-COUNTBLANK($T$22:$T$48))</f>
        <v>21</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107" t="s">
        <v>118</v>
      </c>
      <c r="B21" s="12"/>
      <c r="C21" s="12"/>
      <c r="D21" s="12"/>
      <c r="E21" s="12"/>
      <c r="F21" s="12"/>
      <c r="G21" s="108">
        <f>SUM($G$22:$G$48)</f>
        <v>659.13000000000011</v>
      </c>
      <c r="H21" s="108">
        <f>SUM($H$22:$H$48)</f>
        <v>0</v>
      </c>
      <c r="I21" s="108">
        <f>SUM($I$22:$I$48)</f>
        <v>0</v>
      </c>
      <c r="J21" s="33"/>
      <c r="K21" s="33"/>
      <c r="L21" s="109">
        <f>MAX(L22:L48)</f>
        <v>104.91</v>
      </c>
      <c r="M21" s="108">
        <f>SUM($M$22:$M$48)</f>
        <v>27976.33</v>
      </c>
      <c r="N21" s="33"/>
      <c r="O21" s="33"/>
      <c r="P21" s="108">
        <f>SUM($P$22:$P$48)</f>
        <v>0</v>
      </c>
      <c r="Q21" s="108">
        <f ca="1">SUM($Q$22:$Q$48)</f>
        <v>0</v>
      </c>
      <c r="R21" s="108">
        <f>ROUND(IF(L21=0,0,P21/L21),2)</f>
        <v>0</v>
      </c>
      <c r="S21" s="108">
        <f ca="1">ROUND(IF(L21=0,0,Q21/L21),2)</f>
        <v>0</v>
      </c>
    </row>
    <row r="22" spans="1:22" ht="15" customHeight="1" x14ac:dyDescent="0.2">
      <c r="A22" s="96">
        <v>1</v>
      </c>
      <c r="B22" s="110"/>
      <c r="C22" s="111" t="s">
        <v>219</v>
      </c>
      <c r="D22" s="111"/>
      <c r="E22" s="111" t="s">
        <v>220</v>
      </c>
      <c r="F22" s="111" t="s">
        <v>221</v>
      </c>
      <c r="G22" s="112">
        <v>24.16</v>
      </c>
      <c r="H22" s="112"/>
      <c r="I22" s="112"/>
      <c r="J22" s="96" t="s">
        <v>262</v>
      </c>
      <c r="K22" s="96" t="s">
        <v>136</v>
      </c>
      <c r="L22" s="33">
        <f>VLOOKUP(K22,Reinigungstage!A10:C31,3,FALSE)</f>
        <v>12</v>
      </c>
      <c r="M22" s="33">
        <f t="shared" ref="M22:M48" si="0">ROUND(IF(L22=0,0,L22*G22),2)</f>
        <v>289.92</v>
      </c>
      <c r="N22" s="113">
        <f t="shared" ref="N22:N48" si="1">VLOOKUP(J22,$G$4:$H$10,2,FALSE)</f>
        <v>0</v>
      </c>
      <c r="O22" s="33">
        <f ca="1">IF('SVS UnterhaltsRG'!H61="",0,'SVS UnterhaltsRG'!H61)</f>
        <v>0</v>
      </c>
      <c r="P22" s="33">
        <f t="shared" ref="P22:P48" si="2">ROUND(IF(N22=0,0,M22/N22),2)</f>
        <v>0</v>
      </c>
      <c r="Q22" s="33">
        <f t="shared" ref="Q22:Q48" ca="1" si="3">IF(M22=0,0,IF(O22="",0,ROUND(P22*O22,2)))</f>
        <v>0</v>
      </c>
      <c r="R22" s="33">
        <f t="shared" ref="R22:R48" si="4">ROUND(IF(P22=0,0,P22/L22),2)</f>
        <v>0</v>
      </c>
      <c r="S22" s="33">
        <f t="shared" ref="S22:S48" ca="1" si="5">ROUND(IF(Q22=0,0,Q22/L22),2)</f>
        <v>0</v>
      </c>
      <c r="T22" s="3" t="str">
        <f t="shared" ref="T22:T48" si="6">IF(M22=0,"",IF(N22=0,"Leistungswert eintragen",IF(O22=0,"SVS prüfen","")))</f>
        <v>Leistungswert eintragen</v>
      </c>
      <c r="U22" s="3">
        <f t="shared" ref="U22:U48" si="7">VLOOKUP(J22,$U$4:$V$10,2,FALSE)</f>
        <v>138.75</v>
      </c>
      <c r="V22" s="3">
        <f t="shared" ref="V22:V48" si="8">IF(M22=0,0,IF(U22&lt;N22,1,IF(U22&gt;=N22,0,"")))</f>
        <v>0</v>
      </c>
    </row>
    <row r="23" spans="1:22" ht="15" customHeight="1" x14ac:dyDescent="0.2">
      <c r="A23" s="96">
        <v>2</v>
      </c>
      <c r="B23" s="110"/>
      <c r="C23" s="111" t="s">
        <v>219</v>
      </c>
      <c r="D23" s="111"/>
      <c r="E23" s="111" t="s">
        <v>222</v>
      </c>
      <c r="F23" s="111" t="s">
        <v>223</v>
      </c>
      <c r="G23" s="112">
        <v>0</v>
      </c>
      <c r="H23" s="112"/>
      <c r="I23" s="112"/>
      <c r="J23" s="96" t="s">
        <v>263</v>
      </c>
      <c r="K23" s="112">
        <v>0</v>
      </c>
      <c r="L23" s="33">
        <f>VLOOKUP(K23,Reinigungstage!A10:C31,3,FALSE)</f>
        <v>0</v>
      </c>
      <c r="M23" s="33">
        <f t="shared" si="0"/>
        <v>0</v>
      </c>
      <c r="N23" s="113">
        <f t="shared" si="1"/>
        <v>0</v>
      </c>
      <c r="O23" s="33">
        <f ca="1">IF('SVS UnterhaltsRG'!H61="",0,'SVS UnterhaltsRG'!H61)</f>
        <v>0</v>
      </c>
      <c r="P23" s="33">
        <f t="shared" si="2"/>
        <v>0</v>
      </c>
      <c r="Q23" s="33">
        <f t="shared" si="3"/>
        <v>0</v>
      </c>
      <c r="R23" s="33">
        <f t="shared" si="4"/>
        <v>0</v>
      </c>
      <c r="S23" s="33">
        <f t="shared" si="5"/>
        <v>0</v>
      </c>
      <c r="T23" s="3" t="str">
        <f t="shared" si="6"/>
        <v/>
      </c>
      <c r="U23" s="3">
        <f t="shared" si="7"/>
        <v>262.5</v>
      </c>
      <c r="V23" s="3">
        <f t="shared" si="8"/>
        <v>0</v>
      </c>
    </row>
    <row r="24" spans="1:22" ht="15" customHeight="1" x14ac:dyDescent="0.2">
      <c r="A24" s="96">
        <v>3</v>
      </c>
      <c r="B24" s="110" t="s">
        <v>224</v>
      </c>
      <c r="C24" s="111" t="s">
        <v>225</v>
      </c>
      <c r="D24" s="111"/>
      <c r="E24" s="111" t="s">
        <v>226</v>
      </c>
      <c r="F24" s="111" t="s">
        <v>227</v>
      </c>
      <c r="G24" s="112">
        <v>87.7</v>
      </c>
      <c r="H24" s="112"/>
      <c r="I24" s="112"/>
      <c r="J24" s="96" t="s">
        <v>218</v>
      </c>
      <c r="K24" s="96" t="s">
        <v>136</v>
      </c>
      <c r="L24" s="33">
        <f>VLOOKUP(K24,Reinigungstage!A10:C31,3,FALSE)</f>
        <v>12</v>
      </c>
      <c r="M24" s="33">
        <f t="shared" si="0"/>
        <v>1052.4000000000001</v>
      </c>
      <c r="N24" s="113">
        <f t="shared" si="1"/>
        <v>0</v>
      </c>
      <c r="O24" s="33">
        <f ca="1">IF('SVS UnterhaltsRG'!H61="",0,'SVS UnterhaltsRG'!H61)</f>
        <v>0</v>
      </c>
      <c r="P24" s="33">
        <f t="shared" si="2"/>
        <v>0</v>
      </c>
      <c r="Q24" s="33">
        <f t="shared" ca="1" si="3"/>
        <v>0</v>
      </c>
      <c r="R24" s="33">
        <f t="shared" si="4"/>
        <v>0</v>
      </c>
      <c r="S24" s="33">
        <f t="shared" ca="1" si="5"/>
        <v>0</v>
      </c>
      <c r="T24" s="3" t="str">
        <f t="shared" si="6"/>
        <v>Leistungswert eintragen</v>
      </c>
      <c r="U24" s="3">
        <f t="shared" si="7"/>
        <v>140</v>
      </c>
      <c r="V24" s="3">
        <f t="shared" si="8"/>
        <v>0</v>
      </c>
    </row>
    <row r="25" spans="1:22" ht="15" customHeight="1" x14ac:dyDescent="0.2">
      <c r="A25" s="96">
        <v>4</v>
      </c>
      <c r="B25" s="110" t="s">
        <v>228</v>
      </c>
      <c r="C25" s="111" t="s">
        <v>225</v>
      </c>
      <c r="D25" s="111"/>
      <c r="E25" s="111" t="s">
        <v>229</v>
      </c>
      <c r="F25" s="111" t="s">
        <v>230</v>
      </c>
      <c r="G25" s="112">
        <v>16.399999999999999</v>
      </c>
      <c r="H25" s="112"/>
      <c r="I25" s="112"/>
      <c r="J25" s="96" t="s">
        <v>264</v>
      </c>
      <c r="K25" s="96" t="s">
        <v>135</v>
      </c>
      <c r="L25" s="33">
        <f>VLOOKUP(K25,Reinigungstage!A10:C31,3,FALSE)</f>
        <v>24</v>
      </c>
      <c r="M25" s="33">
        <f t="shared" si="0"/>
        <v>393.6</v>
      </c>
      <c r="N25" s="113">
        <f t="shared" si="1"/>
        <v>0</v>
      </c>
      <c r="O25" s="33">
        <f ca="1">IF('SVS UnterhaltsRG'!H61="",0,'SVS UnterhaltsRG'!H61)</f>
        <v>0</v>
      </c>
      <c r="P25" s="33">
        <f t="shared" si="2"/>
        <v>0</v>
      </c>
      <c r="Q25" s="33">
        <f t="shared" ca="1" si="3"/>
        <v>0</v>
      </c>
      <c r="R25" s="33">
        <f t="shared" si="4"/>
        <v>0</v>
      </c>
      <c r="S25" s="33">
        <f t="shared" ca="1" si="5"/>
        <v>0</v>
      </c>
      <c r="T25" s="3" t="str">
        <f t="shared" si="6"/>
        <v>Leistungswert eintragen</v>
      </c>
      <c r="U25" s="3">
        <f t="shared" si="7"/>
        <v>88.75</v>
      </c>
      <c r="V25" s="3">
        <f t="shared" si="8"/>
        <v>0</v>
      </c>
    </row>
    <row r="26" spans="1:22" ht="15" customHeight="1" x14ac:dyDescent="0.2">
      <c r="A26" s="96">
        <v>5</v>
      </c>
      <c r="B26" s="110" t="s">
        <v>231</v>
      </c>
      <c r="C26" s="111" t="s">
        <v>225</v>
      </c>
      <c r="D26" s="111"/>
      <c r="E26" s="111" t="s">
        <v>232</v>
      </c>
      <c r="F26" s="111" t="s">
        <v>221</v>
      </c>
      <c r="G26" s="112">
        <v>5.6</v>
      </c>
      <c r="H26" s="112"/>
      <c r="I26" s="112"/>
      <c r="J26" s="96" t="s">
        <v>217</v>
      </c>
      <c r="K26" s="96" t="s">
        <v>136</v>
      </c>
      <c r="L26" s="33">
        <f>VLOOKUP(K26,Reinigungstage!A10:C31,3,FALSE)</f>
        <v>12</v>
      </c>
      <c r="M26" s="33">
        <f t="shared" si="0"/>
        <v>67.2</v>
      </c>
      <c r="N26" s="113">
        <f t="shared" si="1"/>
        <v>0</v>
      </c>
      <c r="O26" s="33">
        <f ca="1">IF('SVS UnterhaltsRG'!H61="",0,'SVS UnterhaltsRG'!H61)</f>
        <v>0</v>
      </c>
      <c r="P26" s="33">
        <f t="shared" si="2"/>
        <v>0</v>
      </c>
      <c r="Q26" s="33">
        <f t="shared" ca="1" si="3"/>
        <v>0</v>
      </c>
      <c r="R26" s="33">
        <f t="shared" si="4"/>
        <v>0</v>
      </c>
      <c r="S26" s="33">
        <f t="shared" ca="1" si="5"/>
        <v>0</v>
      </c>
      <c r="T26" s="3" t="str">
        <f t="shared" si="6"/>
        <v>Leistungswert eintragen</v>
      </c>
      <c r="U26" s="3">
        <f t="shared" si="7"/>
        <v>300</v>
      </c>
      <c r="V26" s="3">
        <f t="shared" si="8"/>
        <v>0</v>
      </c>
    </row>
    <row r="27" spans="1:22" ht="15" customHeight="1" x14ac:dyDescent="0.2">
      <c r="A27" s="96">
        <v>6</v>
      </c>
      <c r="B27" s="110" t="s">
        <v>233</v>
      </c>
      <c r="C27" s="111" t="s">
        <v>225</v>
      </c>
      <c r="D27" s="111"/>
      <c r="E27" s="111" t="s">
        <v>232</v>
      </c>
      <c r="F27" s="111" t="s">
        <v>221</v>
      </c>
      <c r="G27" s="112">
        <v>5.52</v>
      </c>
      <c r="H27" s="112"/>
      <c r="I27" s="112"/>
      <c r="J27" s="96" t="s">
        <v>217</v>
      </c>
      <c r="K27" s="96" t="s">
        <v>136</v>
      </c>
      <c r="L27" s="33">
        <f>VLOOKUP(K27,Reinigungstage!A10:C31,3,FALSE)</f>
        <v>12</v>
      </c>
      <c r="M27" s="33">
        <f t="shared" si="0"/>
        <v>66.239999999999995</v>
      </c>
      <c r="N27" s="113">
        <f t="shared" si="1"/>
        <v>0</v>
      </c>
      <c r="O27" s="33">
        <f ca="1">IF('SVS UnterhaltsRG'!H61="",0,'SVS UnterhaltsRG'!H61)</f>
        <v>0</v>
      </c>
      <c r="P27" s="33">
        <f t="shared" si="2"/>
        <v>0</v>
      </c>
      <c r="Q27" s="33">
        <f t="shared" ca="1" si="3"/>
        <v>0</v>
      </c>
      <c r="R27" s="33">
        <f t="shared" si="4"/>
        <v>0</v>
      </c>
      <c r="S27" s="33">
        <f t="shared" ca="1" si="5"/>
        <v>0</v>
      </c>
      <c r="T27" s="3" t="str">
        <f t="shared" si="6"/>
        <v>Leistungswert eintragen</v>
      </c>
      <c r="U27" s="3">
        <f t="shared" si="7"/>
        <v>300</v>
      </c>
      <c r="V27" s="3">
        <f t="shared" si="8"/>
        <v>0</v>
      </c>
    </row>
    <row r="28" spans="1:22" ht="15" customHeight="1" x14ac:dyDescent="0.2">
      <c r="A28" s="96">
        <v>7</v>
      </c>
      <c r="B28" s="110"/>
      <c r="C28" s="111" t="s">
        <v>225</v>
      </c>
      <c r="D28" s="111"/>
      <c r="E28" s="111" t="s">
        <v>234</v>
      </c>
      <c r="F28" s="111" t="s">
        <v>221</v>
      </c>
      <c r="G28" s="112">
        <v>16.66</v>
      </c>
      <c r="H28" s="112"/>
      <c r="I28" s="112"/>
      <c r="J28" s="96" t="s">
        <v>216</v>
      </c>
      <c r="K28" s="96" t="s">
        <v>135</v>
      </c>
      <c r="L28" s="33">
        <f>VLOOKUP(K28,Reinigungstage!A10:C31,3,FALSE)</f>
        <v>24</v>
      </c>
      <c r="M28" s="33">
        <f t="shared" si="0"/>
        <v>399.84</v>
      </c>
      <c r="N28" s="113">
        <f t="shared" si="1"/>
        <v>0</v>
      </c>
      <c r="O28" s="33">
        <f ca="1">IF('SVS UnterhaltsRG'!H61="",0,'SVS UnterhaltsRG'!H61)</f>
        <v>0</v>
      </c>
      <c r="P28" s="33">
        <f t="shared" si="2"/>
        <v>0</v>
      </c>
      <c r="Q28" s="33">
        <f t="shared" ca="1" si="3"/>
        <v>0</v>
      </c>
      <c r="R28" s="33">
        <f t="shared" si="4"/>
        <v>0</v>
      </c>
      <c r="S28" s="33">
        <f t="shared" ca="1" si="5"/>
        <v>0</v>
      </c>
      <c r="T28" s="3" t="str">
        <f t="shared" si="6"/>
        <v>Leistungswert eintragen</v>
      </c>
      <c r="U28" s="3">
        <f t="shared" si="7"/>
        <v>63.75</v>
      </c>
      <c r="V28" s="3">
        <f t="shared" si="8"/>
        <v>0</v>
      </c>
    </row>
    <row r="29" spans="1:22" ht="15" customHeight="1" x14ac:dyDescent="0.2">
      <c r="A29" s="96">
        <v>8</v>
      </c>
      <c r="B29" s="110"/>
      <c r="C29" s="111" t="s">
        <v>225</v>
      </c>
      <c r="D29" s="111"/>
      <c r="E29" s="111" t="s">
        <v>220</v>
      </c>
      <c r="F29" s="111" t="s">
        <v>221</v>
      </c>
      <c r="G29" s="112">
        <v>32.22</v>
      </c>
      <c r="H29" s="112"/>
      <c r="I29" s="112"/>
      <c r="J29" s="96" t="s">
        <v>262</v>
      </c>
      <c r="K29" s="96" t="s">
        <v>136</v>
      </c>
      <c r="L29" s="33">
        <f>VLOOKUP(K29,Reinigungstage!A10:C31,3,FALSE)</f>
        <v>12</v>
      </c>
      <c r="M29" s="33">
        <f t="shared" si="0"/>
        <v>386.64</v>
      </c>
      <c r="N29" s="113">
        <f t="shared" si="1"/>
        <v>0</v>
      </c>
      <c r="O29" s="33">
        <f ca="1">IF('SVS UnterhaltsRG'!H61="",0,'SVS UnterhaltsRG'!H61)</f>
        <v>0</v>
      </c>
      <c r="P29" s="33">
        <f t="shared" si="2"/>
        <v>0</v>
      </c>
      <c r="Q29" s="33">
        <f t="shared" ca="1" si="3"/>
        <v>0</v>
      </c>
      <c r="R29" s="33">
        <f t="shared" si="4"/>
        <v>0</v>
      </c>
      <c r="S29" s="33">
        <f t="shared" ca="1" si="5"/>
        <v>0</v>
      </c>
      <c r="T29" s="3" t="str">
        <f t="shared" si="6"/>
        <v>Leistungswert eintragen</v>
      </c>
      <c r="U29" s="3">
        <f t="shared" si="7"/>
        <v>138.75</v>
      </c>
      <c r="V29" s="3">
        <f t="shared" si="8"/>
        <v>0</v>
      </c>
    </row>
    <row r="30" spans="1:22" ht="15" customHeight="1" x14ac:dyDescent="0.2">
      <c r="A30" s="96">
        <v>9</v>
      </c>
      <c r="B30" s="110"/>
      <c r="C30" s="111" t="s">
        <v>225</v>
      </c>
      <c r="D30" s="111"/>
      <c r="E30" s="111" t="s">
        <v>235</v>
      </c>
      <c r="F30" s="111" t="s">
        <v>223</v>
      </c>
      <c r="G30" s="112">
        <v>0</v>
      </c>
      <c r="H30" s="112"/>
      <c r="I30" s="112"/>
      <c r="J30" s="96" t="s">
        <v>263</v>
      </c>
      <c r="K30" s="112">
        <v>0</v>
      </c>
      <c r="L30" s="33">
        <f>VLOOKUP(K30,Reinigungstage!A10:C31,3,FALSE)</f>
        <v>0</v>
      </c>
      <c r="M30" s="33">
        <f t="shared" si="0"/>
        <v>0</v>
      </c>
      <c r="N30" s="113">
        <f t="shared" si="1"/>
        <v>0</v>
      </c>
      <c r="O30" s="33">
        <f ca="1">IF('SVS UnterhaltsRG'!H61="",0,'SVS UnterhaltsRG'!H61)</f>
        <v>0</v>
      </c>
      <c r="P30" s="33">
        <f t="shared" si="2"/>
        <v>0</v>
      </c>
      <c r="Q30" s="33">
        <f t="shared" si="3"/>
        <v>0</v>
      </c>
      <c r="R30" s="33">
        <f t="shared" si="4"/>
        <v>0</v>
      </c>
      <c r="S30" s="33">
        <f t="shared" si="5"/>
        <v>0</v>
      </c>
      <c r="T30" s="3" t="str">
        <f t="shared" si="6"/>
        <v/>
      </c>
      <c r="U30" s="3">
        <f t="shared" si="7"/>
        <v>262.5</v>
      </c>
      <c r="V30" s="3">
        <f t="shared" si="8"/>
        <v>0</v>
      </c>
    </row>
    <row r="31" spans="1:22" ht="15" customHeight="1" x14ac:dyDescent="0.2">
      <c r="A31" s="96">
        <v>10</v>
      </c>
      <c r="B31" s="110" t="s">
        <v>236</v>
      </c>
      <c r="C31" s="111" t="s">
        <v>237</v>
      </c>
      <c r="D31" s="111"/>
      <c r="E31" s="111" t="s">
        <v>238</v>
      </c>
      <c r="F31" s="111" t="s">
        <v>230</v>
      </c>
      <c r="G31" s="112">
        <v>15.5</v>
      </c>
      <c r="H31" s="112"/>
      <c r="I31" s="112"/>
      <c r="J31" s="96" t="s">
        <v>238</v>
      </c>
      <c r="K31" s="112">
        <v>2</v>
      </c>
      <c r="L31" s="33">
        <f>VLOOKUP(K31,Reinigungstage!A10:C31,3,FALSE)</f>
        <v>104.91</v>
      </c>
      <c r="M31" s="33">
        <f t="shared" si="0"/>
        <v>1626.11</v>
      </c>
      <c r="N31" s="113">
        <f t="shared" si="1"/>
        <v>0</v>
      </c>
      <c r="O31" s="33">
        <f ca="1">IF('SVS UnterhaltsRG'!H61="",0,'SVS UnterhaltsRG'!H61)</f>
        <v>0</v>
      </c>
      <c r="P31" s="33">
        <f t="shared" si="2"/>
        <v>0</v>
      </c>
      <c r="Q31" s="33">
        <f t="shared" ca="1" si="3"/>
        <v>0</v>
      </c>
      <c r="R31" s="33">
        <f t="shared" si="4"/>
        <v>0</v>
      </c>
      <c r="S31" s="33">
        <f t="shared" ca="1" si="5"/>
        <v>0</v>
      </c>
      <c r="T31" s="3" t="str">
        <f t="shared" si="6"/>
        <v>Leistungswert eintragen</v>
      </c>
      <c r="U31" s="3">
        <f t="shared" si="7"/>
        <v>168.75</v>
      </c>
      <c r="V31" s="3">
        <f t="shared" si="8"/>
        <v>0</v>
      </c>
    </row>
    <row r="32" spans="1:22" ht="15" customHeight="1" x14ac:dyDescent="0.2">
      <c r="A32" s="96">
        <v>11</v>
      </c>
      <c r="B32" s="110" t="s">
        <v>239</v>
      </c>
      <c r="C32" s="111" t="s">
        <v>237</v>
      </c>
      <c r="D32" s="111"/>
      <c r="E32" s="111" t="s">
        <v>238</v>
      </c>
      <c r="F32" s="111" t="s">
        <v>230</v>
      </c>
      <c r="G32" s="112">
        <v>9.41</v>
      </c>
      <c r="H32" s="112"/>
      <c r="I32" s="112"/>
      <c r="J32" s="96" t="s">
        <v>238</v>
      </c>
      <c r="K32" s="112">
        <v>2</v>
      </c>
      <c r="L32" s="33">
        <f>VLOOKUP(K32,Reinigungstage!A10:C31,3,FALSE)</f>
        <v>104.91</v>
      </c>
      <c r="M32" s="33">
        <f t="shared" si="0"/>
        <v>987.2</v>
      </c>
      <c r="N32" s="113">
        <f t="shared" si="1"/>
        <v>0</v>
      </c>
      <c r="O32" s="33">
        <f ca="1">IF('SVS UnterhaltsRG'!H61="",0,'SVS UnterhaltsRG'!H61)</f>
        <v>0</v>
      </c>
      <c r="P32" s="33">
        <f t="shared" si="2"/>
        <v>0</v>
      </c>
      <c r="Q32" s="33">
        <f t="shared" ca="1" si="3"/>
        <v>0</v>
      </c>
      <c r="R32" s="33">
        <f t="shared" si="4"/>
        <v>0</v>
      </c>
      <c r="S32" s="33">
        <f t="shared" ca="1" si="5"/>
        <v>0</v>
      </c>
      <c r="T32" s="3" t="str">
        <f t="shared" si="6"/>
        <v>Leistungswert eintragen</v>
      </c>
      <c r="U32" s="3">
        <f t="shared" si="7"/>
        <v>168.75</v>
      </c>
      <c r="V32" s="3">
        <f t="shared" si="8"/>
        <v>0</v>
      </c>
    </row>
    <row r="33" spans="1:22" ht="15" customHeight="1" x14ac:dyDescent="0.2">
      <c r="A33" s="96">
        <v>12</v>
      </c>
      <c r="B33" s="110" t="s">
        <v>240</v>
      </c>
      <c r="C33" s="111" t="s">
        <v>237</v>
      </c>
      <c r="D33" s="111"/>
      <c r="E33" s="111" t="s">
        <v>238</v>
      </c>
      <c r="F33" s="111" t="s">
        <v>230</v>
      </c>
      <c r="G33" s="112">
        <v>17.64</v>
      </c>
      <c r="H33" s="112"/>
      <c r="I33" s="112"/>
      <c r="J33" s="96" t="s">
        <v>238</v>
      </c>
      <c r="K33" s="112">
        <v>2</v>
      </c>
      <c r="L33" s="33">
        <f>VLOOKUP(K33,Reinigungstage!A10:C31,3,FALSE)</f>
        <v>104.91</v>
      </c>
      <c r="M33" s="33">
        <f t="shared" si="0"/>
        <v>1850.61</v>
      </c>
      <c r="N33" s="113">
        <f t="shared" si="1"/>
        <v>0</v>
      </c>
      <c r="O33" s="33">
        <f ca="1">IF('SVS UnterhaltsRG'!H61="",0,'SVS UnterhaltsRG'!H61)</f>
        <v>0</v>
      </c>
      <c r="P33" s="33">
        <f t="shared" si="2"/>
        <v>0</v>
      </c>
      <c r="Q33" s="33">
        <f t="shared" ca="1" si="3"/>
        <v>0</v>
      </c>
      <c r="R33" s="33">
        <f t="shared" si="4"/>
        <v>0</v>
      </c>
      <c r="S33" s="33">
        <f t="shared" ca="1" si="5"/>
        <v>0</v>
      </c>
      <c r="T33" s="3" t="str">
        <f t="shared" si="6"/>
        <v>Leistungswert eintragen</v>
      </c>
      <c r="U33" s="3">
        <f t="shared" si="7"/>
        <v>168.75</v>
      </c>
      <c r="V33" s="3">
        <f t="shared" si="8"/>
        <v>0</v>
      </c>
    </row>
    <row r="34" spans="1:22" ht="15" customHeight="1" x14ac:dyDescent="0.2">
      <c r="A34" s="96">
        <v>13</v>
      </c>
      <c r="B34" s="110" t="s">
        <v>241</v>
      </c>
      <c r="C34" s="111" t="s">
        <v>242</v>
      </c>
      <c r="D34" s="111"/>
      <c r="E34" s="111" t="s">
        <v>238</v>
      </c>
      <c r="F34" s="111" t="s">
        <v>227</v>
      </c>
      <c r="G34" s="112">
        <v>28.08</v>
      </c>
      <c r="H34" s="112"/>
      <c r="I34" s="112"/>
      <c r="J34" s="96" t="s">
        <v>238</v>
      </c>
      <c r="K34" s="112">
        <v>1</v>
      </c>
      <c r="L34" s="33">
        <f>VLOOKUP(K34,Reinigungstage!A10:C31,3,FALSE)</f>
        <v>52.45</v>
      </c>
      <c r="M34" s="33">
        <f t="shared" si="0"/>
        <v>1472.8</v>
      </c>
      <c r="N34" s="113">
        <f t="shared" si="1"/>
        <v>0</v>
      </c>
      <c r="O34" s="33">
        <f ca="1">IF('SVS UnterhaltsRG'!H61="",0,'SVS UnterhaltsRG'!H61)</f>
        <v>0</v>
      </c>
      <c r="P34" s="33">
        <f t="shared" si="2"/>
        <v>0</v>
      </c>
      <c r="Q34" s="33">
        <f t="shared" ca="1" si="3"/>
        <v>0</v>
      </c>
      <c r="R34" s="33">
        <f t="shared" si="4"/>
        <v>0</v>
      </c>
      <c r="S34" s="33">
        <f t="shared" ca="1" si="5"/>
        <v>0</v>
      </c>
      <c r="T34" s="3" t="str">
        <f t="shared" si="6"/>
        <v>Leistungswert eintragen</v>
      </c>
      <c r="U34" s="3">
        <f t="shared" si="7"/>
        <v>168.75</v>
      </c>
      <c r="V34" s="3">
        <f t="shared" si="8"/>
        <v>0</v>
      </c>
    </row>
    <row r="35" spans="1:22" ht="15" customHeight="1" x14ac:dyDescent="0.2">
      <c r="A35" s="96">
        <v>14</v>
      </c>
      <c r="B35" s="110" t="s">
        <v>243</v>
      </c>
      <c r="C35" s="111" t="s">
        <v>242</v>
      </c>
      <c r="D35" s="111"/>
      <c r="E35" s="111" t="s">
        <v>238</v>
      </c>
      <c r="F35" s="111" t="s">
        <v>230</v>
      </c>
      <c r="G35" s="112">
        <v>16.600000000000001</v>
      </c>
      <c r="H35" s="112"/>
      <c r="I35" s="112"/>
      <c r="J35" s="96" t="s">
        <v>238</v>
      </c>
      <c r="K35" s="112">
        <v>2</v>
      </c>
      <c r="L35" s="33">
        <f>VLOOKUP(K35,Reinigungstage!A10:C31,3,FALSE)</f>
        <v>104.91</v>
      </c>
      <c r="M35" s="33">
        <f t="shared" si="0"/>
        <v>1741.51</v>
      </c>
      <c r="N35" s="113">
        <f t="shared" si="1"/>
        <v>0</v>
      </c>
      <c r="O35" s="33">
        <f ca="1">IF('SVS UnterhaltsRG'!H61="",0,'SVS UnterhaltsRG'!H61)</f>
        <v>0</v>
      </c>
      <c r="P35" s="33">
        <f t="shared" si="2"/>
        <v>0</v>
      </c>
      <c r="Q35" s="33">
        <f t="shared" ca="1" si="3"/>
        <v>0</v>
      </c>
      <c r="R35" s="33">
        <f t="shared" si="4"/>
        <v>0</v>
      </c>
      <c r="S35" s="33">
        <f t="shared" ca="1" si="5"/>
        <v>0</v>
      </c>
      <c r="T35" s="3" t="str">
        <f t="shared" si="6"/>
        <v>Leistungswert eintragen</v>
      </c>
      <c r="U35" s="3">
        <f t="shared" si="7"/>
        <v>168.75</v>
      </c>
      <c r="V35" s="3">
        <f t="shared" si="8"/>
        <v>0</v>
      </c>
    </row>
    <row r="36" spans="1:22" ht="15" customHeight="1" x14ac:dyDescent="0.2">
      <c r="A36" s="96">
        <v>15</v>
      </c>
      <c r="B36" s="110" t="s">
        <v>244</v>
      </c>
      <c r="C36" s="111" t="s">
        <v>237</v>
      </c>
      <c r="D36" s="111"/>
      <c r="E36" s="111" t="s">
        <v>229</v>
      </c>
      <c r="F36" s="111" t="s">
        <v>221</v>
      </c>
      <c r="G36" s="112">
        <v>10.94</v>
      </c>
      <c r="H36" s="112"/>
      <c r="I36" s="112"/>
      <c r="J36" s="96" t="s">
        <v>264</v>
      </c>
      <c r="K36" s="112">
        <v>2</v>
      </c>
      <c r="L36" s="33">
        <f>VLOOKUP(K36,Reinigungstage!A10:C31,3,FALSE)</f>
        <v>104.91</v>
      </c>
      <c r="M36" s="33">
        <f t="shared" si="0"/>
        <v>1147.72</v>
      </c>
      <c r="N36" s="113">
        <f t="shared" si="1"/>
        <v>0</v>
      </c>
      <c r="O36" s="33">
        <f ca="1">IF('SVS UnterhaltsRG'!H61="",0,'SVS UnterhaltsRG'!H61)</f>
        <v>0</v>
      </c>
      <c r="P36" s="33">
        <f t="shared" si="2"/>
        <v>0</v>
      </c>
      <c r="Q36" s="33">
        <f t="shared" ca="1" si="3"/>
        <v>0</v>
      </c>
      <c r="R36" s="33">
        <f t="shared" si="4"/>
        <v>0</v>
      </c>
      <c r="S36" s="33">
        <f t="shared" ca="1" si="5"/>
        <v>0</v>
      </c>
      <c r="T36" s="3" t="str">
        <f t="shared" si="6"/>
        <v>Leistungswert eintragen</v>
      </c>
      <c r="U36" s="3">
        <f t="shared" si="7"/>
        <v>88.75</v>
      </c>
      <c r="V36" s="3">
        <f t="shared" si="8"/>
        <v>0</v>
      </c>
    </row>
    <row r="37" spans="1:22" ht="15" customHeight="1" x14ac:dyDescent="0.2">
      <c r="A37" s="96">
        <v>16</v>
      </c>
      <c r="B37" s="110" t="s">
        <v>245</v>
      </c>
      <c r="C37" s="111" t="s">
        <v>237</v>
      </c>
      <c r="D37" s="111"/>
      <c r="E37" s="111" t="s">
        <v>246</v>
      </c>
      <c r="F37" s="111" t="s">
        <v>221</v>
      </c>
      <c r="G37" s="112">
        <v>16.61</v>
      </c>
      <c r="H37" s="112"/>
      <c r="I37" s="112"/>
      <c r="J37" s="96" t="s">
        <v>216</v>
      </c>
      <c r="K37" s="112">
        <v>2</v>
      </c>
      <c r="L37" s="33">
        <f>VLOOKUP(K37,Reinigungstage!A10:C31,3,FALSE)</f>
        <v>104.91</v>
      </c>
      <c r="M37" s="33">
        <f t="shared" si="0"/>
        <v>1742.56</v>
      </c>
      <c r="N37" s="113">
        <f t="shared" si="1"/>
        <v>0</v>
      </c>
      <c r="O37" s="33">
        <f ca="1">IF('SVS UnterhaltsRG'!H61="",0,'SVS UnterhaltsRG'!H61)</f>
        <v>0</v>
      </c>
      <c r="P37" s="33">
        <f t="shared" si="2"/>
        <v>0</v>
      </c>
      <c r="Q37" s="33">
        <f t="shared" ca="1" si="3"/>
        <v>0</v>
      </c>
      <c r="R37" s="33">
        <f t="shared" si="4"/>
        <v>0</v>
      </c>
      <c r="S37" s="33">
        <f t="shared" ca="1" si="5"/>
        <v>0</v>
      </c>
      <c r="T37" s="3" t="str">
        <f t="shared" si="6"/>
        <v>Leistungswert eintragen</v>
      </c>
      <c r="U37" s="3">
        <f t="shared" si="7"/>
        <v>63.75</v>
      </c>
      <c r="V37" s="3">
        <f t="shared" si="8"/>
        <v>0</v>
      </c>
    </row>
    <row r="38" spans="1:22" ht="15" customHeight="1" x14ac:dyDescent="0.2">
      <c r="A38" s="96">
        <v>17</v>
      </c>
      <c r="B38" s="110"/>
      <c r="C38" s="111" t="s">
        <v>237</v>
      </c>
      <c r="D38" s="111"/>
      <c r="E38" s="111" t="s">
        <v>220</v>
      </c>
      <c r="F38" s="111" t="s">
        <v>221</v>
      </c>
      <c r="G38" s="112">
        <v>36.22</v>
      </c>
      <c r="H38" s="112"/>
      <c r="I38" s="112"/>
      <c r="J38" s="96" t="s">
        <v>262</v>
      </c>
      <c r="K38" s="112">
        <v>2</v>
      </c>
      <c r="L38" s="33">
        <f>VLOOKUP(K38,Reinigungstage!A10:C31,3,FALSE)</f>
        <v>104.91</v>
      </c>
      <c r="M38" s="33">
        <f t="shared" si="0"/>
        <v>3799.84</v>
      </c>
      <c r="N38" s="113">
        <f t="shared" si="1"/>
        <v>0</v>
      </c>
      <c r="O38" s="33">
        <f ca="1">IF('SVS UnterhaltsRG'!H61="",0,'SVS UnterhaltsRG'!H61)</f>
        <v>0</v>
      </c>
      <c r="P38" s="33">
        <f t="shared" si="2"/>
        <v>0</v>
      </c>
      <c r="Q38" s="33">
        <f t="shared" ca="1" si="3"/>
        <v>0</v>
      </c>
      <c r="R38" s="33">
        <f t="shared" si="4"/>
        <v>0</v>
      </c>
      <c r="S38" s="33">
        <f t="shared" ca="1" si="5"/>
        <v>0</v>
      </c>
      <c r="T38" s="3" t="str">
        <f t="shared" si="6"/>
        <v>Leistungswert eintragen</v>
      </c>
      <c r="U38" s="3">
        <f t="shared" si="7"/>
        <v>138.75</v>
      </c>
      <c r="V38" s="3">
        <f t="shared" si="8"/>
        <v>0</v>
      </c>
    </row>
    <row r="39" spans="1:22" ht="15" customHeight="1" x14ac:dyDescent="0.2">
      <c r="A39" s="96">
        <v>18</v>
      </c>
      <c r="B39" s="110"/>
      <c r="C39" s="111" t="s">
        <v>237</v>
      </c>
      <c r="D39" s="111"/>
      <c r="E39" s="111" t="s">
        <v>247</v>
      </c>
      <c r="F39" s="111" t="s">
        <v>223</v>
      </c>
      <c r="G39" s="112">
        <v>0</v>
      </c>
      <c r="H39" s="112"/>
      <c r="I39" s="112"/>
      <c r="J39" s="96" t="s">
        <v>263</v>
      </c>
      <c r="K39" s="112">
        <v>0</v>
      </c>
      <c r="L39" s="33">
        <f>VLOOKUP(K39,Reinigungstage!A10:C31,3,FALSE)</f>
        <v>0</v>
      </c>
      <c r="M39" s="33">
        <f t="shared" si="0"/>
        <v>0</v>
      </c>
      <c r="N39" s="113">
        <f t="shared" si="1"/>
        <v>0</v>
      </c>
      <c r="O39" s="33">
        <f ca="1">IF('SVS UnterhaltsRG'!H61="",0,'SVS UnterhaltsRG'!H61)</f>
        <v>0</v>
      </c>
      <c r="P39" s="33">
        <f t="shared" si="2"/>
        <v>0</v>
      </c>
      <c r="Q39" s="33">
        <f t="shared" si="3"/>
        <v>0</v>
      </c>
      <c r="R39" s="33">
        <f t="shared" si="4"/>
        <v>0</v>
      </c>
      <c r="S39" s="33">
        <f t="shared" si="5"/>
        <v>0</v>
      </c>
      <c r="T39" s="3" t="str">
        <f t="shared" si="6"/>
        <v/>
      </c>
      <c r="U39" s="3">
        <f t="shared" si="7"/>
        <v>262.5</v>
      </c>
      <c r="V39" s="3">
        <f t="shared" si="8"/>
        <v>0</v>
      </c>
    </row>
    <row r="40" spans="1:22" ht="15" customHeight="1" x14ac:dyDescent="0.2">
      <c r="A40" s="96">
        <v>19</v>
      </c>
      <c r="B40" s="110" t="s">
        <v>248</v>
      </c>
      <c r="C40" s="111" t="s">
        <v>208</v>
      </c>
      <c r="D40" s="111"/>
      <c r="E40" s="111" t="s">
        <v>249</v>
      </c>
      <c r="F40" s="111" t="s">
        <v>230</v>
      </c>
      <c r="G40" s="112">
        <v>19.170000000000002</v>
      </c>
      <c r="H40" s="112"/>
      <c r="I40" s="112"/>
      <c r="J40" s="96" t="s">
        <v>238</v>
      </c>
      <c r="K40" s="112">
        <v>1</v>
      </c>
      <c r="L40" s="33">
        <f>VLOOKUP(K40,Reinigungstage!A10:C31,3,FALSE)</f>
        <v>52.45</v>
      </c>
      <c r="M40" s="33">
        <f t="shared" si="0"/>
        <v>1005.47</v>
      </c>
      <c r="N40" s="113">
        <f t="shared" si="1"/>
        <v>0</v>
      </c>
      <c r="O40" s="33">
        <f ca="1">IF('SVS UnterhaltsRG'!H61="",0,'SVS UnterhaltsRG'!H61)</f>
        <v>0</v>
      </c>
      <c r="P40" s="33">
        <f t="shared" si="2"/>
        <v>0</v>
      </c>
      <c r="Q40" s="33">
        <f t="shared" ca="1" si="3"/>
        <v>0</v>
      </c>
      <c r="R40" s="33">
        <f t="shared" si="4"/>
        <v>0</v>
      </c>
      <c r="S40" s="33">
        <f t="shared" ca="1" si="5"/>
        <v>0</v>
      </c>
      <c r="T40" s="3" t="str">
        <f t="shared" si="6"/>
        <v>Leistungswert eintragen</v>
      </c>
      <c r="U40" s="3">
        <f t="shared" si="7"/>
        <v>168.75</v>
      </c>
      <c r="V40" s="3">
        <f t="shared" si="8"/>
        <v>0</v>
      </c>
    </row>
    <row r="41" spans="1:22" ht="15" customHeight="1" x14ac:dyDescent="0.2">
      <c r="A41" s="96">
        <v>20</v>
      </c>
      <c r="B41" s="110" t="s">
        <v>250</v>
      </c>
      <c r="C41" s="111" t="s">
        <v>208</v>
      </c>
      <c r="D41" s="111"/>
      <c r="E41" s="111" t="s">
        <v>251</v>
      </c>
      <c r="F41" s="111" t="s">
        <v>230</v>
      </c>
      <c r="G41" s="112">
        <v>24.53</v>
      </c>
      <c r="H41" s="112"/>
      <c r="I41" s="112"/>
      <c r="J41" s="96" t="s">
        <v>238</v>
      </c>
      <c r="K41" s="112">
        <v>0</v>
      </c>
      <c r="L41" s="33">
        <f>VLOOKUP(K41,Reinigungstage!A10:C31,3,FALSE)</f>
        <v>0</v>
      </c>
      <c r="M41" s="33">
        <f t="shared" si="0"/>
        <v>0</v>
      </c>
      <c r="N41" s="113">
        <f t="shared" si="1"/>
        <v>0</v>
      </c>
      <c r="O41" s="33">
        <f ca="1">IF('SVS UnterhaltsRG'!H61="",0,'SVS UnterhaltsRG'!H61)</f>
        <v>0</v>
      </c>
      <c r="P41" s="33">
        <f t="shared" si="2"/>
        <v>0</v>
      </c>
      <c r="Q41" s="33">
        <f t="shared" si="3"/>
        <v>0</v>
      </c>
      <c r="R41" s="33">
        <f t="shared" si="4"/>
        <v>0</v>
      </c>
      <c r="S41" s="33">
        <f t="shared" si="5"/>
        <v>0</v>
      </c>
      <c r="T41" s="3" t="str">
        <f t="shared" si="6"/>
        <v/>
      </c>
      <c r="U41" s="3">
        <f t="shared" si="7"/>
        <v>168.75</v>
      </c>
      <c r="V41" s="3">
        <f t="shared" si="8"/>
        <v>0</v>
      </c>
    </row>
    <row r="42" spans="1:22" ht="15" customHeight="1" x14ac:dyDescent="0.2">
      <c r="A42" s="96">
        <v>21</v>
      </c>
      <c r="B42" s="110"/>
      <c r="C42" s="111" t="s">
        <v>208</v>
      </c>
      <c r="D42" s="111"/>
      <c r="E42" s="111" t="s">
        <v>220</v>
      </c>
      <c r="F42" s="111" t="s">
        <v>221</v>
      </c>
      <c r="G42" s="112">
        <v>43.17</v>
      </c>
      <c r="H42" s="112"/>
      <c r="I42" s="112"/>
      <c r="J42" s="96" t="s">
        <v>262</v>
      </c>
      <c r="K42" s="112">
        <v>2</v>
      </c>
      <c r="L42" s="33">
        <f>VLOOKUP(K42,Reinigungstage!A10:C31,3,FALSE)</f>
        <v>104.91</v>
      </c>
      <c r="M42" s="33">
        <f t="shared" si="0"/>
        <v>4528.96</v>
      </c>
      <c r="N42" s="113">
        <f t="shared" si="1"/>
        <v>0</v>
      </c>
      <c r="O42" s="33">
        <f ca="1">IF('SVS UnterhaltsRG'!H61="",0,'SVS UnterhaltsRG'!H61)</f>
        <v>0</v>
      </c>
      <c r="P42" s="33">
        <f t="shared" si="2"/>
        <v>0</v>
      </c>
      <c r="Q42" s="33">
        <f t="shared" ca="1" si="3"/>
        <v>0</v>
      </c>
      <c r="R42" s="33">
        <f t="shared" si="4"/>
        <v>0</v>
      </c>
      <c r="S42" s="33">
        <f t="shared" ca="1" si="5"/>
        <v>0</v>
      </c>
      <c r="T42" s="3" t="str">
        <f t="shared" si="6"/>
        <v>Leistungswert eintragen</v>
      </c>
      <c r="U42" s="3">
        <f t="shared" si="7"/>
        <v>138.75</v>
      </c>
      <c r="V42" s="3">
        <f t="shared" si="8"/>
        <v>0</v>
      </c>
    </row>
    <row r="43" spans="1:22" ht="15" customHeight="1" x14ac:dyDescent="0.2">
      <c r="A43" s="96">
        <v>22</v>
      </c>
      <c r="B43" s="110" t="s">
        <v>252</v>
      </c>
      <c r="C43" s="111" t="s">
        <v>208</v>
      </c>
      <c r="D43" s="111"/>
      <c r="E43" s="111" t="s">
        <v>253</v>
      </c>
      <c r="F43" s="111" t="s">
        <v>230</v>
      </c>
      <c r="G43" s="112">
        <v>16.38</v>
      </c>
      <c r="H43" s="112"/>
      <c r="I43" s="112"/>
      <c r="J43" s="96" t="s">
        <v>217</v>
      </c>
      <c r="K43" s="112">
        <v>2</v>
      </c>
      <c r="L43" s="33">
        <f>VLOOKUP(K43,Reinigungstage!A10:C31,3,FALSE)</f>
        <v>104.91</v>
      </c>
      <c r="M43" s="33">
        <f t="shared" si="0"/>
        <v>1718.43</v>
      </c>
      <c r="N43" s="113">
        <f t="shared" si="1"/>
        <v>0</v>
      </c>
      <c r="O43" s="33">
        <f ca="1">IF('SVS UnterhaltsRG'!H61="",0,'SVS UnterhaltsRG'!H61)</f>
        <v>0</v>
      </c>
      <c r="P43" s="33">
        <f t="shared" si="2"/>
        <v>0</v>
      </c>
      <c r="Q43" s="33">
        <f t="shared" ca="1" si="3"/>
        <v>0</v>
      </c>
      <c r="R43" s="33">
        <f t="shared" si="4"/>
        <v>0</v>
      </c>
      <c r="S43" s="33">
        <f t="shared" ca="1" si="5"/>
        <v>0</v>
      </c>
      <c r="T43" s="3" t="str">
        <f t="shared" si="6"/>
        <v>Leistungswert eintragen</v>
      </c>
      <c r="U43" s="3">
        <f t="shared" si="7"/>
        <v>300</v>
      </c>
      <c r="V43" s="3">
        <f t="shared" si="8"/>
        <v>0</v>
      </c>
    </row>
    <row r="44" spans="1:22" ht="21" x14ac:dyDescent="0.2">
      <c r="A44" s="96">
        <v>23</v>
      </c>
      <c r="B44" s="110" t="s">
        <v>254</v>
      </c>
      <c r="C44" s="111" t="s">
        <v>208</v>
      </c>
      <c r="D44" s="111"/>
      <c r="E44" s="111" t="s">
        <v>216</v>
      </c>
      <c r="F44" s="111" t="s">
        <v>221</v>
      </c>
      <c r="G44" s="112">
        <v>18.93</v>
      </c>
      <c r="H44" s="112"/>
      <c r="I44" s="112"/>
      <c r="J44" s="96" t="s">
        <v>216</v>
      </c>
      <c r="K44" s="112">
        <v>1</v>
      </c>
      <c r="L44" s="33">
        <f>VLOOKUP(K44,Reinigungstage!A10:C31,3,FALSE)</f>
        <v>52.45</v>
      </c>
      <c r="M44" s="33">
        <f t="shared" si="0"/>
        <v>992.88</v>
      </c>
      <c r="N44" s="113">
        <f t="shared" si="1"/>
        <v>0</v>
      </c>
      <c r="O44" s="33">
        <f ca="1">IF('SVS UnterhaltsRG'!H61="",0,'SVS UnterhaltsRG'!H61)</f>
        <v>0</v>
      </c>
      <c r="P44" s="33">
        <f t="shared" si="2"/>
        <v>0</v>
      </c>
      <c r="Q44" s="33">
        <f t="shared" ca="1" si="3"/>
        <v>0</v>
      </c>
      <c r="R44" s="33">
        <f t="shared" si="4"/>
        <v>0</v>
      </c>
      <c r="S44" s="33">
        <f t="shared" ca="1" si="5"/>
        <v>0</v>
      </c>
      <c r="T44" s="3" t="str">
        <f t="shared" si="6"/>
        <v>Leistungswert eintragen</v>
      </c>
      <c r="U44" s="3">
        <f t="shared" si="7"/>
        <v>63.75</v>
      </c>
      <c r="V44" s="3">
        <f t="shared" si="8"/>
        <v>0</v>
      </c>
    </row>
    <row r="45" spans="1:22" ht="15" customHeight="1" x14ac:dyDescent="0.2">
      <c r="A45" s="96">
        <v>24</v>
      </c>
      <c r="B45" s="110" t="s">
        <v>255</v>
      </c>
      <c r="C45" s="111" t="s">
        <v>208</v>
      </c>
      <c r="D45" s="111"/>
      <c r="E45" s="111" t="s">
        <v>229</v>
      </c>
      <c r="F45" s="111" t="s">
        <v>230</v>
      </c>
      <c r="G45" s="112">
        <v>8.26</v>
      </c>
      <c r="H45" s="112"/>
      <c r="I45" s="112"/>
      <c r="J45" s="96" t="s">
        <v>264</v>
      </c>
      <c r="K45" s="112">
        <v>1</v>
      </c>
      <c r="L45" s="33">
        <f>VLOOKUP(K45,Reinigungstage!A10:C31,3,FALSE)</f>
        <v>52.45</v>
      </c>
      <c r="M45" s="33">
        <f t="shared" si="0"/>
        <v>433.24</v>
      </c>
      <c r="N45" s="113">
        <f t="shared" si="1"/>
        <v>0</v>
      </c>
      <c r="O45" s="33">
        <f ca="1">IF('SVS UnterhaltsRG'!H61="",0,'SVS UnterhaltsRG'!H61)</f>
        <v>0</v>
      </c>
      <c r="P45" s="33">
        <f t="shared" si="2"/>
        <v>0</v>
      </c>
      <c r="Q45" s="33">
        <f t="shared" ca="1" si="3"/>
        <v>0</v>
      </c>
      <c r="R45" s="33">
        <f t="shared" si="4"/>
        <v>0</v>
      </c>
      <c r="S45" s="33">
        <f t="shared" ca="1" si="5"/>
        <v>0</v>
      </c>
      <c r="T45" s="3" t="str">
        <f t="shared" si="6"/>
        <v>Leistungswert eintragen</v>
      </c>
      <c r="U45" s="3">
        <f t="shared" si="7"/>
        <v>88.75</v>
      </c>
      <c r="V45" s="3">
        <f t="shared" si="8"/>
        <v>0</v>
      </c>
    </row>
    <row r="46" spans="1:22" ht="15" customHeight="1" x14ac:dyDescent="0.2">
      <c r="A46" s="96">
        <v>25</v>
      </c>
      <c r="B46" s="110"/>
      <c r="C46" s="111" t="s">
        <v>208</v>
      </c>
      <c r="D46" s="111"/>
      <c r="E46" s="111" t="s">
        <v>256</v>
      </c>
      <c r="F46" s="111" t="s">
        <v>223</v>
      </c>
      <c r="G46" s="112">
        <v>0</v>
      </c>
      <c r="H46" s="112"/>
      <c r="I46" s="112"/>
      <c r="J46" s="96" t="s">
        <v>263</v>
      </c>
      <c r="K46" s="112">
        <v>0</v>
      </c>
      <c r="L46" s="33">
        <f>VLOOKUP(K46,Reinigungstage!A10:C31,3,FALSE)</f>
        <v>0</v>
      </c>
      <c r="M46" s="33">
        <f t="shared" si="0"/>
        <v>0</v>
      </c>
      <c r="N46" s="113">
        <f t="shared" si="1"/>
        <v>0</v>
      </c>
      <c r="O46" s="33">
        <f ca="1">IF('SVS UnterhaltsRG'!H61="",0,'SVS UnterhaltsRG'!H61)</f>
        <v>0</v>
      </c>
      <c r="P46" s="33">
        <f t="shared" si="2"/>
        <v>0</v>
      </c>
      <c r="Q46" s="33">
        <f t="shared" si="3"/>
        <v>0</v>
      </c>
      <c r="R46" s="33">
        <f t="shared" si="4"/>
        <v>0</v>
      </c>
      <c r="S46" s="33">
        <f t="shared" si="5"/>
        <v>0</v>
      </c>
      <c r="T46" s="3" t="str">
        <f t="shared" si="6"/>
        <v/>
      </c>
      <c r="U46" s="3">
        <f t="shared" si="7"/>
        <v>262.5</v>
      </c>
      <c r="V46" s="3">
        <f t="shared" si="8"/>
        <v>0</v>
      </c>
    </row>
    <row r="47" spans="1:22" ht="15" customHeight="1" x14ac:dyDescent="0.2">
      <c r="A47" s="96">
        <v>26</v>
      </c>
      <c r="B47" s="110"/>
      <c r="C47" s="111"/>
      <c r="D47" s="111"/>
      <c r="E47" s="111" t="s">
        <v>257</v>
      </c>
      <c r="F47" s="111" t="s">
        <v>223</v>
      </c>
      <c r="G47" s="112">
        <v>0</v>
      </c>
      <c r="H47" s="112"/>
      <c r="I47" s="112"/>
      <c r="J47" s="96" t="s">
        <v>263</v>
      </c>
      <c r="K47" s="112">
        <v>0</v>
      </c>
      <c r="L47" s="33">
        <f>VLOOKUP(K47,Reinigungstage!A10:C31,3,FALSE)</f>
        <v>0</v>
      </c>
      <c r="M47" s="33">
        <f t="shared" si="0"/>
        <v>0</v>
      </c>
      <c r="N47" s="113">
        <f t="shared" si="1"/>
        <v>0</v>
      </c>
      <c r="O47" s="33">
        <f ca="1">IF('SVS UnterhaltsRG'!H61="",0,'SVS UnterhaltsRG'!H61)</f>
        <v>0</v>
      </c>
      <c r="P47" s="33">
        <f t="shared" si="2"/>
        <v>0</v>
      </c>
      <c r="Q47" s="33">
        <f t="shared" si="3"/>
        <v>0</v>
      </c>
      <c r="R47" s="33">
        <f t="shared" si="4"/>
        <v>0</v>
      </c>
      <c r="S47" s="33">
        <f t="shared" si="5"/>
        <v>0</v>
      </c>
      <c r="T47" s="3" t="str">
        <f t="shared" si="6"/>
        <v/>
      </c>
      <c r="U47" s="3">
        <f t="shared" si="7"/>
        <v>262.5</v>
      </c>
      <c r="V47" s="3">
        <f t="shared" si="8"/>
        <v>0</v>
      </c>
    </row>
    <row r="48" spans="1:22" ht="15" customHeight="1" x14ac:dyDescent="0.2">
      <c r="A48" s="96">
        <v>27</v>
      </c>
      <c r="B48" s="110"/>
      <c r="C48" s="111" t="s">
        <v>258</v>
      </c>
      <c r="D48" s="111" t="s">
        <v>259</v>
      </c>
      <c r="E48" s="111" t="s">
        <v>260</v>
      </c>
      <c r="F48" s="111" t="s">
        <v>261</v>
      </c>
      <c r="G48" s="112">
        <v>189.43</v>
      </c>
      <c r="H48" s="112"/>
      <c r="I48" s="112"/>
      <c r="J48" s="96" t="s">
        <v>263</v>
      </c>
      <c r="K48" s="96" t="s">
        <v>136</v>
      </c>
      <c r="L48" s="33">
        <f>VLOOKUP(K48,Reinigungstage!A10:C31,3,FALSE)</f>
        <v>12</v>
      </c>
      <c r="M48" s="33">
        <f t="shared" si="0"/>
        <v>2273.16</v>
      </c>
      <c r="N48" s="113">
        <f t="shared" si="1"/>
        <v>0</v>
      </c>
      <c r="O48" s="33">
        <f ca="1">IF('SVS UnterhaltsRG'!H61="",0,'SVS UnterhaltsRG'!H61)</f>
        <v>0</v>
      </c>
      <c r="P48" s="33">
        <f t="shared" si="2"/>
        <v>0</v>
      </c>
      <c r="Q48" s="33">
        <f t="shared" ca="1" si="3"/>
        <v>0</v>
      </c>
      <c r="R48" s="33">
        <f t="shared" si="4"/>
        <v>0</v>
      </c>
      <c r="S48" s="33">
        <f t="shared" ca="1" si="5"/>
        <v>0</v>
      </c>
      <c r="T48" s="3" t="str">
        <f t="shared" si="6"/>
        <v>Leistungswert eintragen</v>
      </c>
      <c r="U48" s="3">
        <f t="shared" si="7"/>
        <v>262.5</v>
      </c>
      <c r="V48" s="3">
        <f t="shared" si="8"/>
        <v>0</v>
      </c>
    </row>
  </sheetData>
  <sheetProtection algorithmName="SHA-512" hashValue="uJKv/6uD6rrPnuFuHZmgSdGrwgXnOt/Nbi2IlE8AfVGgxy6VmPGe44Iyr6R+Fhsuir+10rtnyn6xO2tRozmk8Q==" saltValue="53lAwi3H1vL2fYLc58PPdw=="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9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97" priority="5" operator="containsText" text="Bitte prüfen Sie diese.">
      <formula>NOT(ISERROR(SEARCH("Bitte prüfen Sie diese.",L9)))</formula>
    </cfRule>
  </conditionalFormatting>
  <conditionalFormatting sqref="L10">
    <cfRule type="containsText" dxfId="9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95" priority="3" operator="containsText" text="lediglich Fehleingaben vermeiden wollen.">
      <formula>NOT(ISERROR(SEARCH("lediglich Fehleingaben vermeiden wollen.",L11)))</formula>
    </cfRule>
  </conditionalFormatting>
  <conditionalFormatting sqref="M11">
    <cfRule type="containsText" dxfId="9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3" priority="7" operator="containsText" text="für die Objektart prüfen.">
      <formula>NOT(ISERROR(SEARCH("für die Objektart prüfen.",M12)))</formula>
    </cfRule>
  </conditionalFormatting>
  <conditionalFormatting sqref="N13">
    <cfRule type="expression" dxfId="92" priority="2" stopIfTrue="1">
      <formula>N13=0</formula>
    </cfRule>
  </conditionalFormatting>
  <conditionalFormatting sqref="N14">
    <cfRule type="expression" dxfId="91" priority="1">
      <formula>N14=0</formula>
    </cfRule>
  </conditionalFormatting>
  <conditionalFormatting sqref="N22:N48">
    <cfRule type="expression" dxfId="90" priority="11">
      <formula>V22=0</formula>
    </cfRule>
    <cfRule type="expression" dxfId="89" priority="12" stopIfTrue="1">
      <formula>V22=1</formula>
    </cfRule>
  </conditionalFormatting>
  <conditionalFormatting sqref="O13">
    <cfRule type="containsText" dxfId="8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87" priority="9" operator="containsText" text="Wert(e) prüfen.">
      <formula>NOT(ISERROR(SEARCH("Wert(e) prüfen.",O14)))</formula>
    </cfRule>
  </conditionalFormatting>
  <conditionalFormatting sqref="T22:T48">
    <cfRule type="containsText" dxfId="86" priority="13" stopIfTrue="1" operator="containsText" text="SVS prüfen">
      <formula>NOT(ISERROR(SEARCH("SVS prüfen",T22)))</formula>
    </cfRule>
    <cfRule type="containsText" dxfId="85" priority="14" stopIfTrue="1" operator="containsText" text="Leistungswert eintragen">
      <formula>NOT(ISERROR(SEARCH("Leistungswert eintragen",T22)))</formula>
    </cfRule>
  </conditionalFormatting>
  <hyperlinks>
    <hyperlink ref="M1" location="Inhaltsverzeichnis!A1" display="Zurück zum Inhaltsverzeichnis" xr:uid="{89E2F588-A0AB-4A4B-84AE-63ED8628ABC7}"/>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ehem Rath Förd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25DA-1A9A-4C14-959E-F0E17ABA0171}">
  <sheetPr codeName="Tabelle37">
    <tabColor indexed="40"/>
  </sheetPr>
  <dimension ref="A1:X42"/>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855468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76" t="s">
        <v>150</v>
      </c>
      <c r="B2" s="177"/>
      <c r="C2" s="177"/>
      <c r="D2" s="177"/>
      <c r="E2" s="178"/>
      <c r="G2" s="179" t="s">
        <v>163</v>
      </c>
      <c r="H2" s="179" t="s">
        <v>155</v>
      </c>
      <c r="I2" s="179" t="s">
        <v>156</v>
      </c>
      <c r="J2" s="179" t="s">
        <v>175</v>
      </c>
      <c r="M2" s="77"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4" customHeight="1" x14ac:dyDescent="0.2">
      <c r="A3" s="97" t="s">
        <v>158</v>
      </c>
      <c r="B3" s="98"/>
      <c r="C3" s="98"/>
      <c r="D3" s="98"/>
      <c r="E3" s="99"/>
      <c r="G3" s="180"/>
      <c r="H3" s="180"/>
      <c r="I3" s="180"/>
      <c r="J3" s="180"/>
      <c r="M3" s="77" t="b">
        <v>0</v>
      </c>
      <c r="N3" s="130"/>
      <c r="O3" s="130"/>
      <c r="P3" s="130"/>
      <c r="Q3" s="130"/>
    </row>
    <row r="4" spans="1:22" ht="18.600000000000001" customHeight="1" x14ac:dyDescent="0.2">
      <c r="A4" s="174" t="s">
        <v>91</v>
      </c>
      <c r="B4" s="184" t="str">
        <f>IF(Inhaltsverzeichnis!C3="","",Inhaltsverzeichnis!C3)</f>
        <v/>
      </c>
      <c r="C4" s="185"/>
      <c r="D4" s="185"/>
      <c r="E4" s="186"/>
      <c r="G4" s="96" t="s">
        <v>238</v>
      </c>
      <c r="H4" s="100"/>
      <c r="I4" s="101">
        <f ca="1">SUMIF('Kal Grund ehem Rath Förd'!J22:M42,$G$4,'Kal Grund ehem Rath Förd'!M22:M42)</f>
        <v>130.93</v>
      </c>
      <c r="J4" s="54">
        <f>COUNTIFS('Kal Grund ehem Rath Förd'!J22:M42,$G$4)</f>
        <v>7</v>
      </c>
      <c r="M4" s="77" t="b">
        <v>0</v>
      </c>
      <c r="N4" s="130"/>
      <c r="O4" s="130"/>
      <c r="P4" s="130"/>
      <c r="Q4" s="130"/>
      <c r="U4" s="96" t="s">
        <v>238</v>
      </c>
      <c r="V4" s="3">
        <v>11.88</v>
      </c>
    </row>
    <row r="5" spans="1:22" ht="15" customHeight="1" x14ac:dyDescent="0.2">
      <c r="A5" s="175"/>
      <c r="B5" s="187"/>
      <c r="C5" s="188"/>
      <c r="D5" s="188"/>
      <c r="E5" s="189"/>
      <c r="G5" s="96" t="s">
        <v>218</v>
      </c>
      <c r="H5" s="100"/>
      <c r="I5" s="101">
        <f ca="1">SUMIF('Kal Grund ehem Rath Förd'!J22:M42,$G$5,'Kal Grund ehem Rath Förd'!M22:M42)</f>
        <v>87.7</v>
      </c>
      <c r="J5" s="54">
        <f>COUNTIFS('Kal Grund ehem Rath Förd'!J22:M42,$G$5)</f>
        <v>1</v>
      </c>
      <c r="M5" s="77" t="b">
        <v>0</v>
      </c>
      <c r="N5" s="130"/>
      <c r="O5" s="130"/>
      <c r="P5" s="130"/>
      <c r="Q5" s="130"/>
      <c r="U5" s="96" t="s">
        <v>218</v>
      </c>
      <c r="V5" s="3">
        <v>12.75</v>
      </c>
    </row>
    <row r="6" spans="1:22" ht="15" customHeight="1" x14ac:dyDescent="0.2">
      <c r="A6" s="102" t="s">
        <v>173</v>
      </c>
      <c r="B6" s="153" t="s">
        <v>191</v>
      </c>
      <c r="C6" s="190"/>
      <c r="D6" s="190"/>
      <c r="E6" s="191"/>
      <c r="G6" s="96" t="s">
        <v>216</v>
      </c>
      <c r="H6" s="100"/>
      <c r="I6" s="101">
        <f ca="1">SUMIF('Kal Grund ehem Rath Förd'!J22:M42,$G$6,'Kal Grund ehem Rath Förd'!M22:M42)</f>
        <v>52.199999999999996</v>
      </c>
      <c r="J6" s="54">
        <f>COUNTIFS('Kal Grund ehem Rath Förd'!J22:M42,$G$6)</f>
        <v>3</v>
      </c>
      <c r="U6" s="96" t="s">
        <v>216</v>
      </c>
      <c r="V6" s="3">
        <v>10.25</v>
      </c>
    </row>
    <row r="7" spans="1:22" ht="15" customHeight="1" x14ac:dyDescent="0.2">
      <c r="A7" s="103" t="s">
        <v>171</v>
      </c>
      <c r="B7" s="192" t="s">
        <v>197</v>
      </c>
      <c r="C7" s="190"/>
      <c r="D7" s="190"/>
      <c r="E7" s="191"/>
      <c r="G7" s="96" t="s">
        <v>262</v>
      </c>
      <c r="H7" s="100"/>
      <c r="I7" s="101">
        <f ca="1">SUMIF('Kal Grund ehem Rath Förd'!J22:M42,$G$7,'Kal Grund ehem Rath Förd'!M22:M42)</f>
        <v>135.76999999999998</v>
      </c>
      <c r="J7" s="54">
        <f>COUNTIFS('Kal Grund ehem Rath Förd'!J22:M42,$G$7)</f>
        <v>4</v>
      </c>
      <c r="U7" s="96" t="s">
        <v>263</v>
      </c>
      <c r="V7" s="3">
        <v>15.88</v>
      </c>
    </row>
    <row r="8" spans="1:22" ht="15" customHeight="1" x14ac:dyDescent="0.2">
      <c r="A8" s="103" t="s">
        <v>172</v>
      </c>
      <c r="B8" s="153"/>
      <c r="C8" s="190"/>
      <c r="D8" s="190"/>
      <c r="E8" s="191"/>
      <c r="G8" s="96" t="s">
        <v>217</v>
      </c>
      <c r="H8" s="100"/>
      <c r="I8" s="101">
        <f ca="1">SUMIF('Kal Grund ehem Rath Förd'!J22:M42,$G$8,'Kal Grund ehem Rath Förd'!M22:M42)</f>
        <v>27.5</v>
      </c>
      <c r="J8" s="54">
        <f>COUNTIFS('Kal Grund ehem Rath Förd'!J22:M42,$G$8)</f>
        <v>3</v>
      </c>
      <c r="L8" s="104" t="str">
        <f>IF(N14&gt;0,"Ihre Eintragungen der Leistungswerte liegen weit über den Erfahrungswerten aus der Preisschätzung.","")</f>
        <v/>
      </c>
      <c r="U8" s="96" t="s">
        <v>262</v>
      </c>
      <c r="V8" s="3">
        <v>15.38</v>
      </c>
    </row>
    <row r="9" spans="1:22" ht="15" customHeight="1" x14ac:dyDescent="0.2">
      <c r="A9" s="102" t="s">
        <v>170</v>
      </c>
      <c r="B9" s="193" t="s">
        <v>196</v>
      </c>
      <c r="C9" s="190"/>
      <c r="D9" s="190"/>
      <c r="E9" s="191"/>
      <c r="G9" s="96" t="s">
        <v>264</v>
      </c>
      <c r="H9" s="100"/>
      <c r="I9" s="101">
        <f ca="1">SUMIF('Kal Grund ehem Rath Förd'!J22:M42,$G$9,'Kal Grund ehem Rath Förd'!M22:M42)</f>
        <v>35.599999999999994</v>
      </c>
      <c r="J9" s="54">
        <f>COUNTIFS('Kal Grund ehem Rath Förd'!J22:M42,$G$9)</f>
        <v>3</v>
      </c>
      <c r="L9" s="104" t="str">
        <f>IF(N14&gt;0,"Bitte prüfen Sie diese.","")</f>
        <v/>
      </c>
      <c r="U9" s="96" t="s">
        <v>217</v>
      </c>
      <c r="V9" s="3">
        <v>16.25</v>
      </c>
    </row>
    <row r="10" spans="1:22" ht="15" customHeight="1" x14ac:dyDescent="0.2">
      <c r="A10" s="103" t="s">
        <v>152</v>
      </c>
      <c r="B10" s="153" t="s">
        <v>198</v>
      </c>
      <c r="C10" s="190"/>
      <c r="D10" s="190"/>
      <c r="E10" s="191"/>
      <c r="L10" s="104" t="str">
        <f>IF(N14&gt;0,"Beachten Sie, dass Sie frei in der Kalkulation dieser Leistungswerte sind und wir durch den Hinweis","")</f>
        <v/>
      </c>
      <c r="U10" s="96" t="s">
        <v>264</v>
      </c>
      <c r="V10" s="3">
        <v>15.38</v>
      </c>
    </row>
    <row r="11" spans="1:22" ht="15" customHeight="1" x14ac:dyDescent="0.2">
      <c r="A11" s="103" t="s">
        <v>153</v>
      </c>
      <c r="B11" s="194" t="s">
        <v>194</v>
      </c>
      <c r="C11" s="190"/>
      <c r="D11" s="190"/>
      <c r="E11" s="191"/>
      <c r="L11" s="104" t="str">
        <f>IF(N14&gt;0,"lediglich Fehleingaben vermeiden wollen.","")</f>
        <v/>
      </c>
    </row>
    <row r="12" spans="1:22" ht="15" customHeight="1" x14ac:dyDescent="0.2">
      <c r="A12" s="103" t="s">
        <v>154</v>
      </c>
      <c r="B12" s="153" t="s">
        <v>199</v>
      </c>
      <c r="C12" s="190"/>
      <c r="D12" s="190"/>
      <c r="E12" s="191"/>
    </row>
    <row r="13" spans="1:22" ht="15" customHeight="1" x14ac:dyDescent="0.2">
      <c r="A13" s="103" t="s">
        <v>157</v>
      </c>
      <c r="B13" s="181" t="str">
        <f>HYPERLINK("http://maps.google.de/maps?hl=de&amp;bav=on.2,or.r_qf.&amp;bvm=bv.44770516,d.Yms&amp;biw=1395&amp;bih=916&amp;um=1&amp;ie=UTF-8&amp;q="&amp;B7&amp;"+"&amp;B8&amp;"+"&amp;B10&amp;"+"&amp;B11&amp;"+"&amp;B12&amp;"","In Google-Maps anzeigen (wenn Internet verfügbar)")</f>
        <v>In Google-Maps anzeigen (wenn Internet verfügbar)</v>
      </c>
      <c r="C13" s="182"/>
      <c r="D13" s="182"/>
      <c r="E13" s="183"/>
    </row>
    <row r="14" spans="1:22" ht="15" customHeight="1" x14ac:dyDescent="0.2">
      <c r="N14" s="105">
        <f>COUNTIF(X22:X$42,1)</f>
        <v>0</v>
      </c>
      <c r="O14" s="3" t="str">
        <f>IF(N14&gt;0,"Wert(e) prüfen.","")</f>
        <v/>
      </c>
      <c r="S14" s="106">
        <f>IF(COUNTA($S$22:$S$42)-COUNTBLANK($S$22:$S$42)=0,"",COUNTA($S$22:$S$42)-COUNTBLANK($S$22:$S$42))</f>
        <v>21</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107" t="s">
        <v>118</v>
      </c>
      <c r="B21" s="12"/>
      <c r="C21" s="12"/>
      <c r="D21" s="12"/>
      <c r="E21" s="12"/>
      <c r="F21" s="12"/>
      <c r="G21" s="108">
        <f>SUM($G$22:$G$42)</f>
        <v>469.70000000000005</v>
      </c>
      <c r="H21" s="108">
        <f>SUM($H$22:$H$42)</f>
        <v>0</v>
      </c>
      <c r="I21" s="108">
        <f>SUM($I$22:$I$42)</f>
        <v>0</v>
      </c>
      <c r="J21" s="33"/>
      <c r="K21" s="33"/>
      <c r="L21" s="109">
        <f>MAX(L22:L42)</f>
        <v>1</v>
      </c>
      <c r="M21" s="108">
        <f>SUM($M$22:$M$42)</f>
        <v>469.70000000000005</v>
      </c>
      <c r="N21" s="33"/>
      <c r="O21" s="33"/>
      <c r="P21" s="108">
        <f>SUM($P$22:$P$42)</f>
        <v>0</v>
      </c>
      <c r="Q21" s="108">
        <f>SUM($Q$22:$Q$42)</f>
        <v>0</v>
      </c>
      <c r="R21" s="108">
        <f>ROUND(IF(Q21=0,0,Q21/L21),2)</f>
        <v>0</v>
      </c>
    </row>
    <row r="22" spans="1:24" ht="15" customHeight="1" x14ac:dyDescent="0.2">
      <c r="A22" s="96">
        <v>1</v>
      </c>
      <c r="B22" s="110"/>
      <c r="C22" s="111" t="s">
        <v>219</v>
      </c>
      <c r="D22" s="111"/>
      <c r="E22" s="111" t="s">
        <v>220</v>
      </c>
      <c r="F22" s="111" t="s">
        <v>221</v>
      </c>
      <c r="G22" s="112">
        <v>24.16</v>
      </c>
      <c r="H22" s="112"/>
      <c r="I22" s="112"/>
      <c r="J22" s="96" t="s">
        <v>262</v>
      </c>
      <c r="K22" s="96" t="s">
        <v>142</v>
      </c>
      <c r="L22" s="33">
        <f>VLOOKUP(K22,Reinigungstage!A10:G31,7,FALSE)</f>
        <v>1</v>
      </c>
      <c r="M22" s="33">
        <f t="shared" ref="M22:M42" si="0">ROUND(IF(L22=0,0,L22*G22),2)</f>
        <v>24.16</v>
      </c>
      <c r="N22" s="113">
        <f t="shared" ref="N22:N42" si="1">VLOOKUP(J22,$G$4:$H$9,2,FALSE)</f>
        <v>0</v>
      </c>
      <c r="O22" s="33">
        <f ca="1">IF('SVS GrundRG'!H61="",0,'SVS GrundRG'!H61)</f>
        <v>0</v>
      </c>
      <c r="P22" s="33">
        <f t="shared" ref="P22:P42" si="2">ROUND(IF(N22=0,0,M22/N22),2)</f>
        <v>0</v>
      </c>
      <c r="Q22" s="33">
        <f t="shared" ref="Q22:Q42" si="3">ROUND(IF(P22=0,0,P22*O22),2)</f>
        <v>0</v>
      </c>
      <c r="R22" s="33">
        <f t="shared" ref="R22:R42" si="4">ROUND(IF(P22=0,0,Q22/L22),2)</f>
        <v>0</v>
      </c>
      <c r="S22" s="3" t="str">
        <f t="shared" ref="S22:S42" si="5">IF(M22=0,"",IF(N22=0,"Leistungswert eintragen",IF(O22=0,"SVS prüfen","")))</f>
        <v>Leistungswert eintragen</v>
      </c>
      <c r="U22" s="3">
        <f t="shared" ref="U22:U42" si="6">VLOOKUP(J22,$U$4:$V$10,2,FALSE)</f>
        <v>15.38</v>
      </c>
      <c r="V22" s="3">
        <f t="shared" ref="V22:V42" si="7">U22*30%</f>
        <v>4.6139999999999999</v>
      </c>
      <c r="W22" s="3">
        <f t="shared" ref="W22:W42" si="8">SUM(U22:V22)</f>
        <v>19.994</v>
      </c>
      <c r="X22" s="3" t="str">
        <f t="shared" ref="X22:X42" si="9">IF(N22=0,"",IF(W22&lt;N22,1,IF(W22&gt;=N22,0,"")))</f>
        <v/>
      </c>
    </row>
    <row r="23" spans="1:24" ht="15" customHeight="1" x14ac:dyDescent="0.2">
      <c r="A23" s="96">
        <v>2</v>
      </c>
      <c r="B23" s="110" t="s">
        <v>224</v>
      </c>
      <c r="C23" s="111" t="s">
        <v>225</v>
      </c>
      <c r="D23" s="111"/>
      <c r="E23" s="111" t="s">
        <v>226</v>
      </c>
      <c r="F23" s="111" t="s">
        <v>227</v>
      </c>
      <c r="G23" s="112">
        <v>87.7</v>
      </c>
      <c r="H23" s="112"/>
      <c r="I23" s="112"/>
      <c r="J23" s="96" t="s">
        <v>218</v>
      </c>
      <c r="K23" s="96" t="s">
        <v>142</v>
      </c>
      <c r="L23" s="33">
        <f>VLOOKUP(K23,Reinigungstage!A10:G31,7,FALSE)</f>
        <v>1</v>
      </c>
      <c r="M23" s="33">
        <f t="shared" si="0"/>
        <v>87.7</v>
      </c>
      <c r="N23" s="113">
        <f t="shared" si="1"/>
        <v>0</v>
      </c>
      <c r="O23" s="33">
        <f ca="1">IF('SVS GrundRG'!H61="",0,'SVS GrundRG'!H61)</f>
        <v>0</v>
      </c>
      <c r="P23" s="33">
        <f t="shared" si="2"/>
        <v>0</v>
      </c>
      <c r="Q23" s="33">
        <f t="shared" si="3"/>
        <v>0</v>
      </c>
      <c r="R23" s="33">
        <f t="shared" si="4"/>
        <v>0</v>
      </c>
      <c r="S23" s="3" t="str">
        <f t="shared" si="5"/>
        <v>Leistungswert eintragen</v>
      </c>
      <c r="U23" s="3">
        <f t="shared" si="6"/>
        <v>12.75</v>
      </c>
      <c r="V23" s="3">
        <f t="shared" si="7"/>
        <v>3.8249999999999997</v>
      </c>
      <c r="W23" s="3">
        <f t="shared" si="8"/>
        <v>16.574999999999999</v>
      </c>
      <c r="X23" s="3" t="str">
        <f t="shared" si="9"/>
        <v/>
      </c>
    </row>
    <row r="24" spans="1:24" ht="15" customHeight="1" x14ac:dyDescent="0.2">
      <c r="A24" s="96">
        <v>3</v>
      </c>
      <c r="B24" s="110" t="s">
        <v>228</v>
      </c>
      <c r="C24" s="111" t="s">
        <v>225</v>
      </c>
      <c r="D24" s="111"/>
      <c r="E24" s="111" t="s">
        <v>229</v>
      </c>
      <c r="F24" s="111" t="s">
        <v>230</v>
      </c>
      <c r="G24" s="112">
        <v>16.399999999999999</v>
      </c>
      <c r="H24" s="112"/>
      <c r="I24" s="112"/>
      <c r="J24" s="96" t="s">
        <v>264</v>
      </c>
      <c r="K24" s="96" t="s">
        <v>142</v>
      </c>
      <c r="L24" s="33">
        <f>VLOOKUP(K24,Reinigungstage!A10:G31,7,FALSE)</f>
        <v>1</v>
      </c>
      <c r="M24" s="33">
        <f t="shared" si="0"/>
        <v>16.399999999999999</v>
      </c>
      <c r="N24" s="113">
        <f t="shared" si="1"/>
        <v>0</v>
      </c>
      <c r="O24" s="33">
        <f ca="1">IF('SVS GrundRG'!H61="",0,'SVS GrundRG'!H61)</f>
        <v>0</v>
      </c>
      <c r="P24" s="33">
        <f t="shared" si="2"/>
        <v>0</v>
      </c>
      <c r="Q24" s="33">
        <f t="shared" si="3"/>
        <v>0</v>
      </c>
      <c r="R24" s="33">
        <f t="shared" si="4"/>
        <v>0</v>
      </c>
      <c r="S24" s="3" t="str">
        <f t="shared" si="5"/>
        <v>Leistungswert eintragen</v>
      </c>
      <c r="U24" s="3">
        <f t="shared" si="6"/>
        <v>15.38</v>
      </c>
      <c r="V24" s="3">
        <f t="shared" si="7"/>
        <v>4.6139999999999999</v>
      </c>
      <c r="W24" s="3">
        <f t="shared" si="8"/>
        <v>19.994</v>
      </c>
      <c r="X24" s="3" t="str">
        <f t="shared" si="9"/>
        <v/>
      </c>
    </row>
    <row r="25" spans="1:24" ht="15" customHeight="1" x14ac:dyDescent="0.2">
      <c r="A25" s="96">
        <v>4</v>
      </c>
      <c r="B25" s="110" t="s">
        <v>231</v>
      </c>
      <c r="C25" s="111" t="s">
        <v>225</v>
      </c>
      <c r="D25" s="111"/>
      <c r="E25" s="111" t="s">
        <v>232</v>
      </c>
      <c r="F25" s="111" t="s">
        <v>221</v>
      </c>
      <c r="G25" s="112">
        <v>5.6</v>
      </c>
      <c r="H25" s="112"/>
      <c r="I25" s="112"/>
      <c r="J25" s="96" t="s">
        <v>217</v>
      </c>
      <c r="K25" s="96" t="s">
        <v>142</v>
      </c>
      <c r="L25" s="33">
        <f>VLOOKUP(K25,Reinigungstage!A10:G31,7,FALSE)</f>
        <v>1</v>
      </c>
      <c r="M25" s="33">
        <f t="shared" si="0"/>
        <v>5.6</v>
      </c>
      <c r="N25" s="113">
        <f t="shared" si="1"/>
        <v>0</v>
      </c>
      <c r="O25" s="33">
        <f ca="1">IF('SVS GrundRG'!H61="",0,'SVS GrundRG'!H61)</f>
        <v>0</v>
      </c>
      <c r="P25" s="33">
        <f t="shared" si="2"/>
        <v>0</v>
      </c>
      <c r="Q25" s="33">
        <f t="shared" si="3"/>
        <v>0</v>
      </c>
      <c r="R25" s="33">
        <f t="shared" si="4"/>
        <v>0</v>
      </c>
      <c r="S25" s="3" t="str">
        <f t="shared" si="5"/>
        <v>Leistungswert eintragen</v>
      </c>
      <c r="U25" s="3">
        <f t="shared" si="6"/>
        <v>16.25</v>
      </c>
      <c r="V25" s="3">
        <f t="shared" si="7"/>
        <v>4.875</v>
      </c>
      <c r="W25" s="3">
        <f t="shared" si="8"/>
        <v>21.125</v>
      </c>
      <c r="X25" s="3" t="str">
        <f t="shared" si="9"/>
        <v/>
      </c>
    </row>
    <row r="26" spans="1:24" ht="15" customHeight="1" x14ac:dyDescent="0.2">
      <c r="A26" s="96">
        <v>5</v>
      </c>
      <c r="B26" s="110" t="s">
        <v>233</v>
      </c>
      <c r="C26" s="111" t="s">
        <v>225</v>
      </c>
      <c r="D26" s="111"/>
      <c r="E26" s="111" t="s">
        <v>232</v>
      </c>
      <c r="F26" s="111" t="s">
        <v>221</v>
      </c>
      <c r="G26" s="112">
        <v>5.52</v>
      </c>
      <c r="H26" s="112"/>
      <c r="I26" s="112"/>
      <c r="J26" s="96" t="s">
        <v>217</v>
      </c>
      <c r="K26" s="96" t="s">
        <v>142</v>
      </c>
      <c r="L26" s="33">
        <f>VLOOKUP(K26,Reinigungstage!A10:G31,7,FALSE)</f>
        <v>1</v>
      </c>
      <c r="M26" s="33">
        <f t="shared" si="0"/>
        <v>5.52</v>
      </c>
      <c r="N26" s="113">
        <f t="shared" si="1"/>
        <v>0</v>
      </c>
      <c r="O26" s="33">
        <f ca="1">IF('SVS GrundRG'!H61="",0,'SVS GrundRG'!H61)</f>
        <v>0</v>
      </c>
      <c r="P26" s="33">
        <f t="shared" si="2"/>
        <v>0</v>
      </c>
      <c r="Q26" s="33">
        <f t="shared" si="3"/>
        <v>0</v>
      </c>
      <c r="R26" s="33">
        <f t="shared" si="4"/>
        <v>0</v>
      </c>
      <c r="S26" s="3" t="str">
        <f t="shared" si="5"/>
        <v>Leistungswert eintragen</v>
      </c>
      <c r="U26" s="3">
        <f t="shared" si="6"/>
        <v>16.25</v>
      </c>
      <c r="V26" s="3">
        <f t="shared" si="7"/>
        <v>4.875</v>
      </c>
      <c r="W26" s="3">
        <f t="shared" si="8"/>
        <v>21.125</v>
      </c>
      <c r="X26" s="3" t="str">
        <f t="shared" si="9"/>
        <v/>
      </c>
    </row>
    <row r="27" spans="1:24" ht="15" customHeight="1" x14ac:dyDescent="0.2">
      <c r="A27" s="96">
        <v>6</v>
      </c>
      <c r="B27" s="110"/>
      <c r="C27" s="111" t="s">
        <v>225</v>
      </c>
      <c r="D27" s="111"/>
      <c r="E27" s="111" t="s">
        <v>234</v>
      </c>
      <c r="F27" s="111" t="s">
        <v>221</v>
      </c>
      <c r="G27" s="112">
        <v>16.66</v>
      </c>
      <c r="H27" s="112"/>
      <c r="I27" s="112"/>
      <c r="J27" s="96" t="s">
        <v>216</v>
      </c>
      <c r="K27" s="96" t="s">
        <v>142</v>
      </c>
      <c r="L27" s="33">
        <f>VLOOKUP(K27,Reinigungstage!A10:G31,7,FALSE)</f>
        <v>1</v>
      </c>
      <c r="M27" s="33">
        <f t="shared" si="0"/>
        <v>16.66</v>
      </c>
      <c r="N27" s="113">
        <f t="shared" si="1"/>
        <v>0</v>
      </c>
      <c r="O27" s="33">
        <f ca="1">IF('SVS GrundRG'!H61="",0,'SVS GrundRG'!H61)</f>
        <v>0</v>
      </c>
      <c r="P27" s="33">
        <f t="shared" si="2"/>
        <v>0</v>
      </c>
      <c r="Q27" s="33">
        <f t="shared" si="3"/>
        <v>0</v>
      </c>
      <c r="R27" s="33">
        <f t="shared" si="4"/>
        <v>0</v>
      </c>
      <c r="S27" s="3" t="str">
        <f t="shared" si="5"/>
        <v>Leistungswert eintragen</v>
      </c>
      <c r="U27" s="3">
        <f t="shared" si="6"/>
        <v>10.25</v>
      </c>
      <c r="V27" s="3">
        <f t="shared" si="7"/>
        <v>3.0749999999999997</v>
      </c>
      <c r="W27" s="3">
        <f t="shared" si="8"/>
        <v>13.324999999999999</v>
      </c>
      <c r="X27" s="3" t="str">
        <f t="shared" si="9"/>
        <v/>
      </c>
    </row>
    <row r="28" spans="1:24" ht="15" customHeight="1" x14ac:dyDescent="0.2">
      <c r="A28" s="96">
        <v>7</v>
      </c>
      <c r="B28" s="110"/>
      <c r="C28" s="111" t="s">
        <v>225</v>
      </c>
      <c r="D28" s="111"/>
      <c r="E28" s="111" t="s">
        <v>220</v>
      </c>
      <c r="F28" s="111" t="s">
        <v>221</v>
      </c>
      <c r="G28" s="112">
        <v>32.22</v>
      </c>
      <c r="H28" s="112"/>
      <c r="I28" s="112"/>
      <c r="J28" s="96" t="s">
        <v>262</v>
      </c>
      <c r="K28" s="96" t="s">
        <v>142</v>
      </c>
      <c r="L28" s="33">
        <f>VLOOKUP(K28,Reinigungstage!A10:G31,7,FALSE)</f>
        <v>1</v>
      </c>
      <c r="M28" s="33">
        <f t="shared" si="0"/>
        <v>32.22</v>
      </c>
      <c r="N28" s="113">
        <f t="shared" si="1"/>
        <v>0</v>
      </c>
      <c r="O28" s="33">
        <f ca="1">IF('SVS GrundRG'!H61="",0,'SVS GrundRG'!H61)</f>
        <v>0</v>
      </c>
      <c r="P28" s="33">
        <f t="shared" si="2"/>
        <v>0</v>
      </c>
      <c r="Q28" s="33">
        <f t="shared" si="3"/>
        <v>0</v>
      </c>
      <c r="R28" s="33">
        <f t="shared" si="4"/>
        <v>0</v>
      </c>
      <c r="S28" s="3" t="str">
        <f t="shared" si="5"/>
        <v>Leistungswert eintragen</v>
      </c>
      <c r="U28" s="3">
        <f t="shared" si="6"/>
        <v>15.38</v>
      </c>
      <c r="V28" s="3">
        <f t="shared" si="7"/>
        <v>4.6139999999999999</v>
      </c>
      <c r="W28" s="3">
        <f t="shared" si="8"/>
        <v>19.994</v>
      </c>
      <c r="X28" s="3" t="str">
        <f t="shared" si="9"/>
        <v/>
      </c>
    </row>
    <row r="29" spans="1:24" ht="15" customHeight="1" x14ac:dyDescent="0.2">
      <c r="A29" s="96">
        <v>8</v>
      </c>
      <c r="B29" s="110" t="s">
        <v>236</v>
      </c>
      <c r="C29" s="111" t="s">
        <v>237</v>
      </c>
      <c r="D29" s="111"/>
      <c r="E29" s="111" t="s">
        <v>238</v>
      </c>
      <c r="F29" s="111" t="s">
        <v>230</v>
      </c>
      <c r="G29" s="112">
        <v>15.5</v>
      </c>
      <c r="H29" s="112"/>
      <c r="I29" s="112"/>
      <c r="J29" s="96" t="s">
        <v>238</v>
      </c>
      <c r="K29" s="96" t="s">
        <v>142</v>
      </c>
      <c r="L29" s="33">
        <f>VLOOKUP(K29,Reinigungstage!A10:G31,7,FALSE)</f>
        <v>1</v>
      </c>
      <c r="M29" s="33">
        <f t="shared" si="0"/>
        <v>15.5</v>
      </c>
      <c r="N29" s="113">
        <f t="shared" si="1"/>
        <v>0</v>
      </c>
      <c r="O29" s="33">
        <f ca="1">IF('SVS GrundRG'!H61="",0,'SVS GrundRG'!H61)</f>
        <v>0</v>
      </c>
      <c r="P29" s="33">
        <f t="shared" si="2"/>
        <v>0</v>
      </c>
      <c r="Q29" s="33">
        <f t="shared" si="3"/>
        <v>0</v>
      </c>
      <c r="R29" s="33">
        <f t="shared" si="4"/>
        <v>0</v>
      </c>
      <c r="S29" s="3" t="str">
        <f t="shared" si="5"/>
        <v>Leistungswert eintragen</v>
      </c>
      <c r="U29" s="3">
        <f t="shared" si="6"/>
        <v>11.88</v>
      </c>
      <c r="V29" s="3">
        <f t="shared" si="7"/>
        <v>3.5640000000000001</v>
      </c>
      <c r="W29" s="3">
        <f t="shared" si="8"/>
        <v>15.444000000000001</v>
      </c>
      <c r="X29" s="3" t="str">
        <f t="shared" si="9"/>
        <v/>
      </c>
    </row>
    <row r="30" spans="1:24" ht="15" customHeight="1" x14ac:dyDescent="0.2">
      <c r="A30" s="96">
        <v>9</v>
      </c>
      <c r="B30" s="110" t="s">
        <v>239</v>
      </c>
      <c r="C30" s="111" t="s">
        <v>237</v>
      </c>
      <c r="D30" s="111"/>
      <c r="E30" s="111" t="s">
        <v>238</v>
      </c>
      <c r="F30" s="111" t="s">
        <v>230</v>
      </c>
      <c r="G30" s="112">
        <v>9.41</v>
      </c>
      <c r="H30" s="112"/>
      <c r="I30" s="112"/>
      <c r="J30" s="96" t="s">
        <v>238</v>
      </c>
      <c r="K30" s="96" t="s">
        <v>142</v>
      </c>
      <c r="L30" s="33">
        <f>VLOOKUP(K30,Reinigungstage!A10:G31,7,FALSE)</f>
        <v>1</v>
      </c>
      <c r="M30" s="33">
        <f t="shared" si="0"/>
        <v>9.41</v>
      </c>
      <c r="N30" s="113">
        <f t="shared" si="1"/>
        <v>0</v>
      </c>
      <c r="O30" s="33">
        <f ca="1">IF('SVS GrundRG'!H61="",0,'SVS GrundRG'!H61)</f>
        <v>0</v>
      </c>
      <c r="P30" s="33">
        <f t="shared" si="2"/>
        <v>0</v>
      </c>
      <c r="Q30" s="33">
        <f t="shared" si="3"/>
        <v>0</v>
      </c>
      <c r="R30" s="33">
        <f t="shared" si="4"/>
        <v>0</v>
      </c>
      <c r="S30" s="3" t="str">
        <f t="shared" si="5"/>
        <v>Leistungswert eintragen</v>
      </c>
      <c r="U30" s="3">
        <f t="shared" si="6"/>
        <v>11.88</v>
      </c>
      <c r="V30" s="3">
        <f t="shared" si="7"/>
        <v>3.5640000000000001</v>
      </c>
      <c r="W30" s="3">
        <f t="shared" si="8"/>
        <v>15.444000000000001</v>
      </c>
      <c r="X30" s="3" t="str">
        <f t="shared" si="9"/>
        <v/>
      </c>
    </row>
    <row r="31" spans="1:24" ht="15" customHeight="1" x14ac:dyDescent="0.2">
      <c r="A31" s="96">
        <v>10</v>
      </c>
      <c r="B31" s="110" t="s">
        <v>240</v>
      </c>
      <c r="C31" s="111" t="s">
        <v>237</v>
      </c>
      <c r="D31" s="111"/>
      <c r="E31" s="111" t="s">
        <v>238</v>
      </c>
      <c r="F31" s="111" t="s">
        <v>230</v>
      </c>
      <c r="G31" s="112">
        <v>17.64</v>
      </c>
      <c r="H31" s="112"/>
      <c r="I31" s="112"/>
      <c r="J31" s="96" t="s">
        <v>238</v>
      </c>
      <c r="K31" s="96" t="s">
        <v>142</v>
      </c>
      <c r="L31" s="33">
        <f>VLOOKUP(K31,Reinigungstage!A10:G31,7,FALSE)</f>
        <v>1</v>
      </c>
      <c r="M31" s="33">
        <f t="shared" si="0"/>
        <v>17.64</v>
      </c>
      <c r="N31" s="113">
        <f t="shared" si="1"/>
        <v>0</v>
      </c>
      <c r="O31" s="33">
        <f ca="1">IF('SVS GrundRG'!H61="",0,'SVS GrundRG'!H61)</f>
        <v>0</v>
      </c>
      <c r="P31" s="33">
        <f t="shared" si="2"/>
        <v>0</v>
      </c>
      <c r="Q31" s="33">
        <f t="shared" si="3"/>
        <v>0</v>
      </c>
      <c r="R31" s="33">
        <f t="shared" si="4"/>
        <v>0</v>
      </c>
      <c r="S31" s="3" t="str">
        <f t="shared" si="5"/>
        <v>Leistungswert eintragen</v>
      </c>
      <c r="U31" s="3">
        <f t="shared" si="6"/>
        <v>11.88</v>
      </c>
      <c r="V31" s="3">
        <f t="shared" si="7"/>
        <v>3.5640000000000001</v>
      </c>
      <c r="W31" s="3">
        <f t="shared" si="8"/>
        <v>15.444000000000001</v>
      </c>
      <c r="X31" s="3" t="str">
        <f t="shared" si="9"/>
        <v/>
      </c>
    </row>
    <row r="32" spans="1:24" ht="15" customHeight="1" x14ac:dyDescent="0.2">
      <c r="A32" s="96">
        <v>11</v>
      </c>
      <c r="B32" s="110" t="s">
        <v>241</v>
      </c>
      <c r="C32" s="111" t="s">
        <v>242</v>
      </c>
      <c r="D32" s="111"/>
      <c r="E32" s="111" t="s">
        <v>238</v>
      </c>
      <c r="F32" s="111" t="s">
        <v>227</v>
      </c>
      <c r="G32" s="112">
        <v>28.08</v>
      </c>
      <c r="H32" s="112"/>
      <c r="I32" s="112"/>
      <c r="J32" s="96" t="s">
        <v>238</v>
      </c>
      <c r="K32" s="96" t="s">
        <v>142</v>
      </c>
      <c r="L32" s="33">
        <f>VLOOKUP(K32,Reinigungstage!A10:G31,7,FALSE)</f>
        <v>1</v>
      </c>
      <c r="M32" s="33">
        <f t="shared" si="0"/>
        <v>28.08</v>
      </c>
      <c r="N32" s="113">
        <f t="shared" si="1"/>
        <v>0</v>
      </c>
      <c r="O32" s="33">
        <f ca="1">IF('SVS GrundRG'!H61="",0,'SVS GrundRG'!H61)</f>
        <v>0</v>
      </c>
      <c r="P32" s="33">
        <f t="shared" si="2"/>
        <v>0</v>
      </c>
      <c r="Q32" s="33">
        <f t="shared" si="3"/>
        <v>0</v>
      </c>
      <c r="R32" s="33">
        <f t="shared" si="4"/>
        <v>0</v>
      </c>
      <c r="S32" s="3" t="str">
        <f t="shared" si="5"/>
        <v>Leistungswert eintragen</v>
      </c>
      <c r="U32" s="3">
        <f t="shared" si="6"/>
        <v>11.88</v>
      </c>
      <c r="V32" s="3">
        <f t="shared" si="7"/>
        <v>3.5640000000000001</v>
      </c>
      <c r="W32" s="3">
        <f t="shared" si="8"/>
        <v>15.444000000000001</v>
      </c>
      <c r="X32" s="3" t="str">
        <f t="shared" si="9"/>
        <v/>
      </c>
    </row>
    <row r="33" spans="1:24" ht="15" customHeight="1" x14ac:dyDescent="0.2">
      <c r="A33" s="96">
        <v>12</v>
      </c>
      <c r="B33" s="110" t="s">
        <v>243</v>
      </c>
      <c r="C33" s="111" t="s">
        <v>242</v>
      </c>
      <c r="D33" s="111"/>
      <c r="E33" s="111" t="s">
        <v>238</v>
      </c>
      <c r="F33" s="111" t="s">
        <v>230</v>
      </c>
      <c r="G33" s="112">
        <v>16.600000000000001</v>
      </c>
      <c r="H33" s="112"/>
      <c r="I33" s="112"/>
      <c r="J33" s="96" t="s">
        <v>238</v>
      </c>
      <c r="K33" s="96" t="s">
        <v>142</v>
      </c>
      <c r="L33" s="33">
        <f>VLOOKUP(K33,Reinigungstage!A10:G31,7,FALSE)</f>
        <v>1</v>
      </c>
      <c r="M33" s="33">
        <f t="shared" si="0"/>
        <v>16.600000000000001</v>
      </c>
      <c r="N33" s="113">
        <f t="shared" si="1"/>
        <v>0</v>
      </c>
      <c r="O33" s="33">
        <f ca="1">IF('SVS GrundRG'!H61="",0,'SVS GrundRG'!H61)</f>
        <v>0</v>
      </c>
      <c r="P33" s="33">
        <f t="shared" si="2"/>
        <v>0</v>
      </c>
      <c r="Q33" s="33">
        <f t="shared" si="3"/>
        <v>0</v>
      </c>
      <c r="R33" s="33">
        <f t="shared" si="4"/>
        <v>0</v>
      </c>
      <c r="S33" s="3" t="str">
        <f t="shared" si="5"/>
        <v>Leistungswert eintragen</v>
      </c>
      <c r="U33" s="3">
        <f t="shared" si="6"/>
        <v>11.88</v>
      </c>
      <c r="V33" s="3">
        <f t="shared" si="7"/>
        <v>3.5640000000000001</v>
      </c>
      <c r="W33" s="3">
        <f t="shared" si="8"/>
        <v>15.444000000000001</v>
      </c>
      <c r="X33" s="3" t="str">
        <f t="shared" si="9"/>
        <v/>
      </c>
    </row>
    <row r="34" spans="1:24" ht="15" customHeight="1" x14ac:dyDescent="0.2">
      <c r="A34" s="96">
        <v>13</v>
      </c>
      <c r="B34" s="110" t="s">
        <v>244</v>
      </c>
      <c r="C34" s="111" t="s">
        <v>237</v>
      </c>
      <c r="D34" s="111"/>
      <c r="E34" s="111" t="s">
        <v>229</v>
      </c>
      <c r="F34" s="111" t="s">
        <v>221</v>
      </c>
      <c r="G34" s="112">
        <v>10.94</v>
      </c>
      <c r="H34" s="112"/>
      <c r="I34" s="112"/>
      <c r="J34" s="96" t="s">
        <v>264</v>
      </c>
      <c r="K34" s="96" t="s">
        <v>142</v>
      </c>
      <c r="L34" s="33">
        <f>VLOOKUP(K34,Reinigungstage!A10:G31,7,FALSE)</f>
        <v>1</v>
      </c>
      <c r="M34" s="33">
        <f t="shared" si="0"/>
        <v>10.94</v>
      </c>
      <c r="N34" s="113">
        <f t="shared" si="1"/>
        <v>0</v>
      </c>
      <c r="O34" s="33">
        <f ca="1">IF('SVS GrundRG'!H61="",0,'SVS GrundRG'!H61)</f>
        <v>0</v>
      </c>
      <c r="P34" s="33">
        <f t="shared" si="2"/>
        <v>0</v>
      </c>
      <c r="Q34" s="33">
        <f t="shared" si="3"/>
        <v>0</v>
      </c>
      <c r="R34" s="33">
        <f t="shared" si="4"/>
        <v>0</v>
      </c>
      <c r="S34" s="3" t="str">
        <f t="shared" si="5"/>
        <v>Leistungswert eintragen</v>
      </c>
      <c r="U34" s="3">
        <f t="shared" si="6"/>
        <v>15.38</v>
      </c>
      <c r="V34" s="3">
        <f t="shared" si="7"/>
        <v>4.6139999999999999</v>
      </c>
      <c r="W34" s="3">
        <f t="shared" si="8"/>
        <v>19.994</v>
      </c>
      <c r="X34" s="3" t="str">
        <f t="shared" si="9"/>
        <v/>
      </c>
    </row>
    <row r="35" spans="1:24" ht="15" customHeight="1" x14ac:dyDescent="0.2">
      <c r="A35" s="96">
        <v>14</v>
      </c>
      <c r="B35" s="110" t="s">
        <v>245</v>
      </c>
      <c r="C35" s="111" t="s">
        <v>237</v>
      </c>
      <c r="D35" s="111"/>
      <c r="E35" s="111" t="s">
        <v>246</v>
      </c>
      <c r="F35" s="111" t="s">
        <v>221</v>
      </c>
      <c r="G35" s="112">
        <v>16.61</v>
      </c>
      <c r="H35" s="112"/>
      <c r="I35" s="112"/>
      <c r="J35" s="96" t="s">
        <v>216</v>
      </c>
      <c r="K35" s="96" t="s">
        <v>142</v>
      </c>
      <c r="L35" s="33">
        <f>VLOOKUP(K35,Reinigungstage!A10:G31,7,FALSE)</f>
        <v>1</v>
      </c>
      <c r="M35" s="33">
        <f t="shared" si="0"/>
        <v>16.61</v>
      </c>
      <c r="N35" s="113">
        <f t="shared" si="1"/>
        <v>0</v>
      </c>
      <c r="O35" s="33">
        <f ca="1">IF('SVS GrundRG'!H61="",0,'SVS GrundRG'!H61)</f>
        <v>0</v>
      </c>
      <c r="P35" s="33">
        <f t="shared" si="2"/>
        <v>0</v>
      </c>
      <c r="Q35" s="33">
        <f t="shared" si="3"/>
        <v>0</v>
      </c>
      <c r="R35" s="33">
        <f t="shared" si="4"/>
        <v>0</v>
      </c>
      <c r="S35" s="3" t="str">
        <f t="shared" si="5"/>
        <v>Leistungswert eintragen</v>
      </c>
      <c r="U35" s="3">
        <f t="shared" si="6"/>
        <v>10.25</v>
      </c>
      <c r="V35" s="3">
        <f t="shared" si="7"/>
        <v>3.0749999999999997</v>
      </c>
      <c r="W35" s="3">
        <f t="shared" si="8"/>
        <v>13.324999999999999</v>
      </c>
      <c r="X35" s="3" t="str">
        <f t="shared" si="9"/>
        <v/>
      </c>
    </row>
    <row r="36" spans="1:24" ht="15" customHeight="1" x14ac:dyDescent="0.2">
      <c r="A36" s="96">
        <v>15</v>
      </c>
      <c r="B36" s="110"/>
      <c r="C36" s="111" t="s">
        <v>237</v>
      </c>
      <c r="D36" s="111"/>
      <c r="E36" s="111" t="s">
        <v>220</v>
      </c>
      <c r="F36" s="111" t="s">
        <v>221</v>
      </c>
      <c r="G36" s="112">
        <v>36.22</v>
      </c>
      <c r="H36" s="112"/>
      <c r="I36" s="112"/>
      <c r="J36" s="96" t="s">
        <v>262</v>
      </c>
      <c r="K36" s="96" t="s">
        <v>142</v>
      </c>
      <c r="L36" s="33">
        <f>VLOOKUP(K36,Reinigungstage!A10:G31,7,FALSE)</f>
        <v>1</v>
      </c>
      <c r="M36" s="33">
        <f t="shared" si="0"/>
        <v>36.22</v>
      </c>
      <c r="N36" s="113">
        <f t="shared" si="1"/>
        <v>0</v>
      </c>
      <c r="O36" s="33">
        <f ca="1">IF('SVS GrundRG'!H61="",0,'SVS GrundRG'!H61)</f>
        <v>0</v>
      </c>
      <c r="P36" s="33">
        <f t="shared" si="2"/>
        <v>0</v>
      </c>
      <c r="Q36" s="33">
        <f t="shared" si="3"/>
        <v>0</v>
      </c>
      <c r="R36" s="33">
        <f t="shared" si="4"/>
        <v>0</v>
      </c>
      <c r="S36" s="3" t="str">
        <f t="shared" si="5"/>
        <v>Leistungswert eintragen</v>
      </c>
      <c r="U36" s="3">
        <f t="shared" si="6"/>
        <v>15.38</v>
      </c>
      <c r="V36" s="3">
        <f t="shared" si="7"/>
        <v>4.6139999999999999</v>
      </c>
      <c r="W36" s="3">
        <f t="shared" si="8"/>
        <v>19.994</v>
      </c>
      <c r="X36" s="3" t="str">
        <f t="shared" si="9"/>
        <v/>
      </c>
    </row>
    <row r="37" spans="1:24" ht="15" customHeight="1" x14ac:dyDescent="0.2">
      <c r="A37" s="96">
        <v>16</v>
      </c>
      <c r="B37" s="110" t="s">
        <v>248</v>
      </c>
      <c r="C37" s="111" t="s">
        <v>208</v>
      </c>
      <c r="D37" s="111"/>
      <c r="E37" s="111" t="s">
        <v>249</v>
      </c>
      <c r="F37" s="111" t="s">
        <v>230</v>
      </c>
      <c r="G37" s="112">
        <v>19.170000000000002</v>
      </c>
      <c r="H37" s="112"/>
      <c r="I37" s="112"/>
      <c r="J37" s="96" t="s">
        <v>238</v>
      </c>
      <c r="K37" s="96" t="s">
        <v>142</v>
      </c>
      <c r="L37" s="33">
        <f>VLOOKUP(K37,Reinigungstage!A10:G31,7,FALSE)</f>
        <v>1</v>
      </c>
      <c r="M37" s="33">
        <f t="shared" si="0"/>
        <v>19.170000000000002</v>
      </c>
      <c r="N37" s="113">
        <f t="shared" si="1"/>
        <v>0</v>
      </c>
      <c r="O37" s="33">
        <f ca="1">IF('SVS GrundRG'!H61="",0,'SVS GrundRG'!H61)</f>
        <v>0</v>
      </c>
      <c r="P37" s="33">
        <f t="shared" si="2"/>
        <v>0</v>
      </c>
      <c r="Q37" s="33">
        <f t="shared" si="3"/>
        <v>0</v>
      </c>
      <c r="R37" s="33">
        <f t="shared" si="4"/>
        <v>0</v>
      </c>
      <c r="S37" s="3" t="str">
        <f t="shared" si="5"/>
        <v>Leistungswert eintragen</v>
      </c>
      <c r="U37" s="3">
        <f t="shared" si="6"/>
        <v>11.88</v>
      </c>
      <c r="V37" s="3">
        <f t="shared" si="7"/>
        <v>3.5640000000000001</v>
      </c>
      <c r="W37" s="3">
        <f t="shared" si="8"/>
        <v>15.444000000000001</v>
      </c>
      <c r="X37" s="3" t="str">
        <f t="shared" si="9"/>
        <v/>
      </c>
    </row>
    <row r="38" spans="1:24" ht="15" customHeight="1" x14ac:dyDescent="0.2">
      <c r="A38" s="96">
        <v>17</v>
      </c>
      <c r="B38" s="110" t="s">
        <v>250</v>
      </c>
      <c r="C38" s="111" t="s">
        <v>208</v>
      </c>
      <c r="D38" s="111"/>
      <c r="E38" s="111" t="s">
        <v>251</v>
      </c>
      <c r="F38" s="111" t="s">
        <v>230</v>
      </c>
      <c r="G38" s="112">
        <v>24.53</v>
      </c>
      <c r="H38" s="112"/>
      <c r="I38" s="112"/>
      <c r="J38" s="96" t="s">
        <v>238</v>
      </c>
      <c r="K38" s="96" t="s">
        <v>142</v>
      </c>
      <c r="L38" s="33">
        <f>VLOOKUP(K38,Reinigungstage!A10:G31,7,FALSE)</f>
        <v>1</v>
      </c>
      <c r="M38" s="33">
        <f t="shared" si="0"/>
        <v>24.53</v>
      </c>
      <c r="N38" s="113">
        <f t="shared" si="1"/>
        <v>0</v>
      </c>
      <c r="O38" s="33">
        <f ca="1">IF('SVS GrundRG'!H61="",0,'SVS GrundRG'!H61)</f>
        <v>0</v>
      </c>
      <c r="P38" s="33">
        <f t="shared" si="2"/>
        <v>0</v>
      </c>
      <c r="Q38" s="33">
        <f t="shared" si="3"/>
        <v>0</v>
      </c>
      <c r="R38" s="33">
        <f t="shared" si="4"/>
        <v>0</v>
      </c>
      <c r="S38" s="3" t="str">
        <f t="shared" si="5"/>
        <v>Leistungswert eintragen</v>
      </c>
      <c r="U38" s="3">
        <f t="shared" si="6"/>
        <v>11.88</v>
      </c>
      <c r="V38" s="3">
        <f t="shared" si="7"/>
        <v>3.5640000000000001</v>
      </c>
      <c r="W38" s="3">
        <f t="shared" si="8"/>
        <v>15.444000000000001</v>
      </c>
      <c r="X38" s="3" t="str">
        <f t="shared" si="9"/>
        <v/>
      </c>
    </row>
    <row r="39" spans="1:24" ht="15" customHeight="1" x14ac:dyDescent="0.2">
      <c r="A39" s="96">
        <v>18</v>
      </c>
      <c r="B39" s="110"/>
      <c r="C39" s="111" t="s">
        <v>208</v>
      </c>
      <c r="D39" s="111"/>
      <c r="E39" s="111" t="s">
        <v>220</v>
      </c>
      <c r="F39" s="111" t="s">
        <v>221</v>
      </c>
      <c r="G39" s="112">
        <v>43.17</v>
      </c>
      <c r="H39" s="112"/>
      <c r="I39" s="112"/>
      <c r="J39" s="96" t="s">
        <v>262</v>
      </c>
      <c r="K39" s="96" t="s">
        <v>142</v>
      </c>
      <c r="L39" s="33">
        <f>VLOOKUP(K39,Reinigungstage!A10:G31,7,FALSE)</f>
        <v>1</v>
      </c>
      <c r="M39" s="33">
        <f t="shared" si="0"/>
        <v>43.17</v>
      </c>
      <c r="N39" s="113">
        <f t="shared" si="1"/>
        <v>0</v>
      </c>
      <c r="O39" s="33">
        <f ca="1">IF('SVS GrundRG'!H61="",0,'SVS GrundRG'!H61)</f>
        <v>0</v>
      </c>
      <c r="P39" s="33">
        <f t="shared" si="2"/>
        <v>0</v>
      </c>
      <c r="Q39" s="33">
        <f t="shared" si="3"/>
        <v>0</v>
      </c>
      <c r="R39" s="33">
        <f t="shared" si="4"/>
        <v>0</v>
      </c>
      <c r="S39" s="3" t="str">
        <f t="shared" si="5"/>
        <v>Leistungswert eintragen</v>
      </c>
      <c r="U39" s="3">
        <f t="shared" si="6"/>
        <v>15.38</v>
      </c>
      <c r="V39" s="3">
        <f t="shared" si="7"/>
        <v>4.6139999999999999</v>
      </c>
      <c r="W39" s="3">
        <f t="shared" si="8"/>
        <v>19.994</v>
      </c>
      <c r="X39" s="3" t="str">
        <f t="shared" si="9"/>
        <v/>
      </c>
    </row>
    <row r="40" spans="1:24" ht="15" customHeight="1" x14ac:dyDescent="0.2">
      <c r="A40" s="96">
        <v>19</v>
      </c>
      <c r="B40" s="110" t="s">
        <v>252</v>
      </c>
      <c r="C40" s="111" t="s">
        <v>208</v>
      </c>
      <c r="D40" s="111"/>
      <c r="E40" s="111" t="s">
        <v>253</v>
      </c>
      <c r="F40" s="111" t="s">
        <v>230</v>
      </c>
      <c r="G40" s="112">
        <v>16.38</v>
      </c>
      <c r="H40" s="112"/>
      <c r="I40" s="112"/>
      <c r="J40" s="96" t="s">
        <v>217</v>
      </c>
      <c r="K40" s="96" t="s">
        <v>142</v>
      </c>
      <c r="L40" s="33">
        <f>VLOOKUP(K40,Reinigungstage!A10:G31,7,FALSE)</f>
        <v>1</v>
      </c>
      <c r="M40" s="33">
        <f t="shared" si="0"/>
        <v>16.38</v>
      </c>
      <c r="N40" s="113">
        <f t="shared" si="1"/>
        <v>0</v>
      </c>
      <c r="O40" s="33">
        <f ca="1">IF('SVS GrundRG'!H61="",0,'SVS GrundRG'!H61)</f>
        <v>0</v>
      </c>
      <c r="P40" s="33">
        <f t="shared" si="2"/>
        <v>0</v>
      </c>
      <c r="Q40" s="33">
        <f t="shared" si="3"/>
        <v>0</v>
      </c>
      <c r="R40" s="33">
        <f t="shared" si="4"/>
        <v>0</v>
      </c>
      <c r="S40" s="3" t="str">
        <f t="shared" si="5"/>
        <v>Leistungswert eintragen</v>
      </c>
      <c r="U40" s="3">
        <f t="shared" si="6"/>
        <v>16.25</v>
      </c>
      <c r="V40" s="3">
        <f t="shared" si="7"/>
        <v>4.875</v>
      </c>
      <c r="W40" s="3">
        <f t="shared" si="8"/>
        <v>21.125</v>
      </c>
      <c r="X40" s="3" t="str">
        <f t="shared" si="9"/>
        <v/>
      </c>
    </row>
    <row r="41" spans="1:24" ht="21" x14ac:dyDescent="0.2">
      <c r="A41" s="96">
        <v>20</v>
      </c>
      <c r="B41" s="110" t="s">
        <v>254</v>
      </c>
      <c r="C41" s="111" t="s">
        <v>208</v>
      </c>
      <c r="D41" s="111"/>
      <c r="E41" s="111" t="s">
        <v>216</v>
      </c>
      <c r="F41" s="111" t="s">
        <v>221</v>
      </c>
      <c r="G41" s="112">
        <v>18.93</v>
      </c>
      <c r="H41" s="112"/>
      <c r="I41" s="112"/>
      <c r="J41" s="96" t="s">
        <v>216</v>
      </c>
      <c r="K41" s="96" t="s">
        <v>142</v>
      </c>
      <c r="L41" s="33">
        <f>VLOOKUP(K41,Reinigungstage!A10:G31,7,FALSE)</f>
        <v>1</v>
      </c>
      <c r="M41" s="33">
        <f t="shared" si="0"/>
        <v>18.93</v>
      </c>
      <c r="N41" s="113">
        <f t="shared" si="1"/>
        <v>0</v>
      </c>
      <c r="O41" s="33">
        <f ca="1">IF('SVS GrundRG'!H61="",0,'SVS GrundRG'!H61)</f>
        <v>0</v>
      </c>
      <c r="P41" s="33">
        <f t="shared" si="2"/>
        <v>0</v>
      </c>
      <c r="Q41" s="33">
        <f t="shared" si="3"/>
        <v>0</v>
      </c>
      <c r="R41" s="33">
        <f t="shared" si="4"/>
        <v>0</v>
      </c>
      <c r="S41" s="3" t="str">
        <f t="shared" si="5"/>
        <v>Leistungswert eintragen</v>
      </c>
      <c r="U41" s="3">
        <f t="shared" si="6"/>
        <v>10.25</v>
      </c>
      <c r="V41" s="3">
        <f t="shared" si="7"/>
        <v>3.0749999999999997</v>
      </c>
      <c r="W41" s="3">
        <f t="shared" si="8"/>
        <v>13.324999999999999</v>
      </c>
      <c r="X41" s="3" t="str">
        <f t="shared" si="9"/>
        <v/>
      </c>
    </row>
    <row r="42" spans="1:24" ht="15" customHeight="1" x14ac:dyDescent="0.2">
      <c r="A42" s="96">
        <v>21</v>
      </c>
      <c r="B42" s="110" t="s">
        <v>255</v>
      </c>
      <c r="C42" s="111" t="s">
        <v>208</v>
      </c>
      <c r="D42" s="111"/>
      <c r="E42" s="111" t="s">
        <v>229</v>
      </c>
      <c r="F42" s="111" t="s">
        <v>230</v>
      </c>
      <c r="G42" s="112">
        <v>8.26</v>
      </c>
      <c r="H42" s="112"/>
      <c r="I42" s="112"/>
      <c r="J42" s="96" t="s">
        <v>264</v>
      </c>
      <c r="K42" s="96" t="s">
        <v>142</v>
      </c>
      <c r="L42" s="33">
        <f>VLOOKUP(K42,Reinigungstage!A10:G31,7,FALSE)</f>
        <v>1</v>
      </c>
      <c r="M42" s="33">
        <f t="shared" si="0"/>
        <v>8.26</v>
      </c>
      <c r="N42" s="113">
        <f t="shared" si="1"/>
        <v>0</v>
      </c>
      <c r="O42" s="33">
        <f ca="1">IF('SVS GrundRG'!H61="",0,'SVS GrundRG'!H61)</f>
        <v>0</v>
      </c>
      <c r="P42" s="33">
        <f t="shared" si="2"/>
        <v>0</v>
      </c>
      <c r="Q42" s="33">
        <f t="shared" si="3"/>
        <v>0</v>
      </c>
      <c r="R42" s="33">
        <f t="shared" si="4"/>
        <v>0</v>
      </c>
      <c r="S42" s="3" t="str">
        <f t="shared" si="5"/>
        <v>Leistungswert eintragen</v>
      </c>
      <c r="U42" s="3">
        <f t="shared" si="6"/>
        <v>15.38</v>
      </c>
      <c r="V42" s="3">
        <f t="shared" si="7"/>
        <v>4.6139999999999999</v>
      </c>
      <c r="W42" s="3">
        <f t="shared" si="8"/>
        <v>19.994</v>
      </c>
      <c r="X42" s="3" t="str">
        <f t="shared" si="9"/>
        <v/>
      </c>
    </row>
  </sheetData>
  <sheetProtection algorithmName="SHA-512" hashValue="+Q6j1RJxPPfRjJr4ftPPTdQibQvQma/H8M2JBz+k0dn18SJY36CAJaSW9ZfEQH1f4rt7klMoDyY/vRsgupJJPA==" saltValue="RnHIpZEwFHRkeRxvgDtpqw=="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8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83" priority="5" operator="containsText" text="Bitte prüfen Sie diese.">
      <formula>NOT(ISERROR(SEARCH("Bitte prüfen Sie diese.",L9)))</formula>
    </cfRule>
  </conditionalFormatting>
  <conditionalFormatting sqref="L10">
    <cfRule type="containsText" dxfId="8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81" priority="3" operator="containsText" text="lediglich Fehleingaben vermeiden wollen.">
      <formula>NOT(ISERROR(SEARCH("lediglich Fehleingaben vermeiden wollen.",L11)))</formula>
    </cfRule>
  </conditionalFormatting>
  <conditionalFormatting sqref="M11">
    <cfRule type="containsText" dxfId="8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79" priority="7" operator="containsText" text="für die Objektart prüfen.">
      <formula>NOT(ISERROR(SEARCH("für die Objektart prüfen.",M12)))</formula>
    </cfRule>
  </conditionalFormatting>
  <conditionalFormatting sqref="N13">
    <cfRule type="expression" dxfId="78" priority="2" stopIfTrue="1">
      <formula>N13=0</formula>
    </cfRule>
  </conditionalFormatting>
  <conditionalFormatting sqref="N14">
    <cfRule type="expression" dxfId="77" priority="1">
      <formula>N14=0</formula>
    </cfRule>
  </conditionalFormatting>
  <conditionalFormatting sqref="N22:N42">
    <cfRule type="expression" dxfId="76" priority="11">
      <formula>X22=0</formula>
    </cfRule>
    <cfRule type="expression" dxfId="75" priority="12" stopIfTrue="1">
      <formula>X22=1</formula>
    </cfRule>
  </conditionalFormatting>
  <conditionalFormatting sqref="O13">
    <cfRule type="containsText" dxfId="7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73" priority="9" operator="containsText" text="Wert(e) prüfen.">
      <formula>NOT(ISERROR(SEARCH("Wert(e) prüfen.",O14)))</formula>
    </cfRule>
  </conditionalFormatting>
  <conditionalFormatting sqref="S22:S42">
    <cfRule type="containsText" dxfId="72" priority="13" stopIfTrue="1" operator="containsText" text="SVS prüfen">
      <formula>NOT(ISERROR(SEARCH("SVS prüfen",S22)))</formula>
    </cfRule>
    <cfRule type="containsText" dxfId="71" priority="14" stopIfTrue="1" operator="containsText" text="Leistungswert eintragen">
      <formula>NOT(ISERROR(SEARCH("Leistungswert eintragen",S22)))</formula>
    </cfRule>
  </conditionalFormatting>
  <hyperlinks>
    <hyperlink ref="M1" location="Inhaltsverzeichnis!A1" display="Zurück zum Inhaltsverzeichnis" xr:uid="{D880E3B6-3E5C-43D0-8769-1DF5BECA3539}"/>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ehem Rath Förd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1618"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1619"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1620"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Props1.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26</vt:i4>
      </vt:variant>
    </vt:vector>
  </HeadingPairs>
  <TitlesOfParts>
    <vt:vector size="42" baseType="lpstr">
      <vt:lpstr>Inhaltsverzeichnis</vt:lpstr>
      <vt:lpstr>Preisübersicht</vt:lpstr>
      <vt:lpstr>Preisübersicht (nach Bedarf)</vt:lpstr>
      <vt:lpstr>SVS UnterhaltsRG</vt:lpstr>
      <vt:lpstr>SVS GrundRG</vt:lpstr>
      <vt:lpstr>Kal Unter Albertinsee Gesamt</vt:lpstr>
      <vt:lpstr>Kal Grund Albertinsee</vt:lpstr>
      <vt:lpstr>Kal Unter ehem Rath Förd</vt:lpstr>
      <vt:lpstr>Kal Grund ehem Rath Förd</vt:lpstr>
      <vt:lpstr>Kal Unter Bed ehem Rath Förd</vt:lpstr>
      <vt:lpstr>Kal Unter JK Förderstedt</vt:lpstr>
      <vt:lpstr>Kal Grund JK Förderstedt</vt:lpstr>
      <vt:lpstr>Kal Unter Sport Förderst</vt:lpstr>
      <vt:lpstr>Kal Grund Sport Förderst</vt:lpstr>
      <vt:lpstr>Kal Verbrauch Gesamt</vt:lpstr>
      <vt:lpstr>Reinigungstage</vt:lpstr>
      <vt:lpstr>Inhaltsverzeichnis!Druckbereich</vt:lpstr>
      <vt:lpstr>'Kal Grund Albertinsee'!Druckbereich</vt:lpstr>
      <vt:lpstr>'Kal Grund ehem Rath Förd'!Druckbereich</vt:lpstr>
      <vt:lpstr>'Kal Grund JK Förderstedt'!Druckbereich</vt:lpstr>
      <vt:lpstr>'Kal Grund Sport Förderst'!Druckbereich</vt:lpstr>
      <vt:lpstr>'Kal Unter Albertinsee Gesamt'!Druckbereich</vt:lpstr>
      <vt:lpstr>'Kal Unter Bed ehem Rath Förd'!Druckbereich</vt:lpstr>
      <vt:lpstr>'Kal Unter ehem Rath Förd'!Druckbereich</vt:lpstr>
      <vt:lpstr>'Kal Unter JK Förderstedt'!Druckbereich</vt:lpstr>
      <vt:lpstr>'Kal Unter Sport Förderst'!Druckbereich</vt:lpstr>
      <vt:lpstr>'Kal Verbrauch Gesamt'!Druckbereich</vt:lpstr>
      <vt:lpstr>Preisübersicht!Druckbereich</vt:lpstr>
      <vt:lpstr>'Preisübersicht (nach Bedarf)'!Druckbereich</vt:lpstr>
      <vt:lpstr>'SVS GrundRG'!Druckbereich</vt:lpstr>
      <vt:lpstr>'SVS UnterhaltsRG'!Druckbereich</vt:lpstr>
      <vt:lpstr>'Kal Grund Albertinsee'!Drucktitel</vt:lpstr>
      <vt:lpstr>'Kal Grund ehem Rath Förd'!Drucktitel</vt:lpstr>
      <vt:lpstr>'Kal Grund JK Förderstedt'!Drucktitel</vt:lpstr>
      <vt:lpstr>'Kal Grund Sport Förderst'!Drucktitel</vt:lpstr>
      <vt:lpstr>'Kal Unter Albertinsee Gesamt'!Drucktitel</vt:lpstr>
      <vt:lpstr>'Kal Unter Bed ehem Rath Förd'!Drucktitel</vt:lpstr>
      <vt:lpstr>'Kal Unter ehem Rath Förd'!Drucktitel</vt:lpstr>
      <vt:lpstr>'Kal Unter JK Förderstedt'!Drucktitel</vt:lpstr>
      <vt:lpstr>'Kal Unter Sport Förderst'!Drucktitel</vt:lpstr>
      <vt:lpstr>Preisübersicht!Drucktitel</vt:lpstr>
      <vt:lpstr>'Preisübersicht (nach Bedarf)'!Drucktitel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2026-03-12T12:26:22Z</cp:lastPrinted>
  <dcterms:created xsi:type="dcterms:W3CDTF">2012-06-08T19:50:39Z</dcterms:created>
  <dcterms:modified xsi:type="dcterms:W3CDTF">2026-03-24T10:31:46Z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