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9.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0.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1.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2.xml" ContentType="application/vnd.openxmlformats-officedocument.drawing+xml"/>
  <Override PartName="/xl/ctrlProps/ctrlProp32.xml" ContentType="application/vnd.ms-excel.controlproperties+xml"/>
  <Override PartName="/xl/drawings/drawing13.xml" ContentType="application/vnd.openxmlformats-officedocument.drawing+xml"/>
  <Override PartName="/xl/ctrlProps/ctrlProp33.xml" ContentType="application/vnd.ms-excel.controlproperties+xml"/>
  <Override PartName="/xl/drawings/drawing14.xml" ContentType="application/vnd.openxmlformats-officedocument.drawing+xml"/>
  <Override PartName="/xl/ctrlProps/ctrlProp34.xml" ContentType="application/vnd.ms-excel.controlproperties+xml"/>
  <Override PartName="/xl/drawings/drawing15.xml" ContentType="application/vnd.openxmlformats-officedocument.drawing+xml"/>
  <Override PartName="/xl/ctrlProps/ctrlProp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3024EC98-BFE0-42FB-8B68-997F3D2B0D83}" xr6:coauthVersionLast="47" xr6:coauthVersionMax="47" xr10:uidLastSave="{00000000-0000-0000-0000-000000000000}"/>
  <workbookProtection workbookAlgorithmName="SHA-512" workbookHashValue="xi+v+I+cUNDWxlEI6iqbWQyCkWXwjqbcFN/Sw/rT9OuZvQoUx95W6a5ZOxsdA3Vj9Its3WwF+0Ha4JaXaACrFA==" workbookSaltValue="eW4eZb6b06pQtlmVmgwRcw=="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Preisübersicht (nach Bedarf)" sheetId="23" r:id="rId3"/>
    <sheet name="SVS UnterhaltsRG" sheetId="38" r:id="rId4"/>
    <sheet name="SVS GrundRG" sheetId="29" r:id="rId5"/>
    <sheet name="SVS Wirtschaft" sheetId="51" r:id="rId6"/>
    <sheet name="Kal Unter Kita Spatzen" sheetId="62" r:id="rId7"/>
    <sheet name="Kal Grund Kita Spatzen" sheetId="64" r:id="rId8"/>
    <sheet name="Kal Unter Bed Kita Spatzen" sheetId="66" r:id="rId9"/>
    <sheet name="Kal Unter Kita Winnie P" sheetId="63" r:id="rId10"/>
    <sheet name="Kal Grund Kita Winnie P" sheetId="65" r:id="rId11"/>
    <sheet name="Kal Verbrauch Gesamt" sheetId="26" r:id="rId12"/>
    <sheet name="Kal Wirtschaft Gesamt" sheetId="24" r:id="rId13"/>
    <sheet name="Kal Wirtschaft Bed" sheetId="67" r:id="rId14"/>
    <sheet name="Reinigungstage" sheetId="46" r:id="rId15"/>
  </sheets>
  <definedNames>
    <definedName name="berAuftragskosten" localSheetId="7">SVS #REF!</definedName>
    <definedName name="berAuftragskosten" localSheetId="10">SVS #REF!</definedName>
    <definedName name="berAuftragskosten" localSheetId="8">SVS #REF!</definedName>
    <definedName name="berAuftragskosten" localSheetId="6">SVS #REF!</definedName>
    <definedName name="berAuftragskosten" localSheetId="9">SVS #REF!</definedName>
    <definedName name="berAuftragskosten" localSheetId="13">SVS #REF!</definedName>
    <definedName name="berAuftragskosten">SVS #REF!</definedName>
    <definedName name="BereichSVSGrundWC">#REF!</definedName>
    <definedName name="berRGTageObjekt">#REF!</definedName>
    <definedName name="_xlnm.Print_Area" localSheetId="0">Inhaltsverzeichnis!$A$1:$M$23</definedName>
    <definedName name="_xlnm.Print_Area" localSheetId="7">'Kal Grund Kita Spatzen'!$A$1:$R$40</definedName>
    <definedName name="_xlnm.Print_Area" localSheetId="10">'Kal Grund Kita Winnie P'!$A$1:$R$33</definedName>
    <definedName name="_xlnm.Print_Area" localSheetId="8">'Kal Unter Bed Kita Spatzen'!$A$1:$S$25</definedName>
    <definedName name="_xlnm.Print_Area" localSheetId="6">'Kal Unter Kita Spatzen'!$A$1:$S$43</definedName>
    <definedName name="_xlnm.Print_Area" localSheetId="9">'Kal Unter Kita Winnie P'!$A$1:$S$38</definedName>
    <definedName name="_xlnm.Print_Area" localSheetId="11">'Kal Verbrauch Gesamt'!$A$1:$G$25</definedName>
    <definedName name="_xlnm.Print_Area" localSheetId="13">'Kal Wirtschaft Bed'!$A$1:$J$10</definedName>
    <definedName name="_xlnm.Print_Area" localSheetId="12">'Kal Wirtschaft Gesamt'!$A$1:$J$13</definedName>
    <definedName name="_xlnm.Print_Area" localSheetId="1">Preisübersicht!$A$1:$I$8</definedName>
    <definedName name="_xlnm.Print_Area" localSheetId="2">'Preisübersicht (nach Bedarf)'!$A$1:$H$6</definedName>
    <definedName name="_xlnm.Print_Area" localSheetId="14">Reinigungstage!$A$1:$H$31</definedName>
    <definedName name="_xlnm.Print_Area" localSheetId="4">'SVS GrundRG'!$A$1:$I$79</definedName>
    <definedName name="_xlnm.Print_Area" localSheetId="3">'SVS UnterhaltsRG'!$A$1:$I$79</definedName>
    <definedName name="_xlnm.Print_Area" localSheetId="5">'SVS Wirtschaft'!$A$1:$J$79</definedName>
    <definedName name="_xlnm.Print_Titles" localSheetId="7">'Kal Grund Kita Spatzen'!$20:$21</definedName>
    <definedName name="_xlnm.Print_Titles" localSheetId="10">'Kal Grund Kita Winnie P'!$20:$21</definedName>
    <definedName name="_xlnm.Print_Titles" localSheetId="8">'Kal Unter Bed Kita Spatzen'!$20:$21</definedName>
    <definedName name="_xlnm.Print_Titles" localSheetId="6">'Kal Unter Kita Spatzen'!$20:$21</definedName>
    <definedName name="_xlnm.Print_Titles" localSheetId="9">'Kal Unter Kita Winnie P'!$20:$21</definedName>
    <definedName name="_xlnm.Print_Titles" localSheetId="1">Preisübersicht!$1:$5</definedName>
    <definedName name="_xlnm.Print_Titles" localSheetId="2">'Preisübersicht (nach Bedarf)'!$1:$5</definedName>
    <definedName name="Ferien">#REF!</definedName>
    <definedName name="sAuftragskosten" localSheetId="7">SVS #REF!</definedName>
    <definedName name="sAuftragskosten" localSheetId="10">SVS #REF!</definedName>
    <definedName name="sAuftragskosten" localSheetId="8">SVS #REF!</definedName>
    <definedName name="sAuftragskosten" localSheetId="6">SVS #REF!</definedName>
    <definedName name="sAuftragskosten" localSheetId="9">SVS #REF!</definedName>
    <definedName name="sAuftragskosten" localSheetId="13">SVS #REF!</definedName>
    <definedName name="sAuftragskosten">SVS #REF!</definedName>
    <definedName name="SVListe">#REF!</definedName>
    <definedName name="TTListe">#REF!</definedName>
    <definedName name="Turnus">#REF!</definedName>
    <definedName name="TurnusKita" localSheetId="13">#REF!</definedName>
    <definedName name="TurnusKita">#REF!</definedName>
    <definedName name="TurnusSchule" localSheetId="13">#REF!</definedName>
    <definedName name="TurnusSchule">#REF!</definedName>
    <definedName name="TurnusVerwaltung" localSheetId="13">#REF!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24" l="1"/>
  <c r="L21" i="65"/>
  <c r="L21" i="63"/>
  <c r="L21" i="66"/>
  <c r="L21" i="64"/>
  <c r="L21" i="62"/>
  <c r="B2" i="67"/>
  <c r="G10" i="67"/>
  <c r="G9" i="67"/>
  <c r="G8" i="67"/>
  <c r="G7" i="67"/>
  <c r="G6" i="67"/>
  <c r="G5" i="67"/>
  <c r="E2" i="67"/>
  <c r="H23" i="1"/>
  <c r="H22" i="1"/>
  <c r="E23" i="1"/>
  <c r="E22" i="1"/>
  <c r="F6" i="1"/>
  <c r="E7" i="3"/>
  <c r="E6" i="3"/>
  <c r="H3" i="26"/>
  <c r="H13" i="26"/>
  <c r="G13" i="26"/>
  <c r="H12" i="26"/>
  <c r="G12" i="26"/>
  <c r="H11" i="26"/>
  <c r="G11" i="26"/>
  <c r="H10" i="26"/>
  <c r="G10" i="26"/>
  <c r="H9" i="26"/>
  <c r="G9" i="26"/>
  <c r="H8" i="26"/>
  <c r="G8" i="26"/>
  <c r="H7" i="26"/>
  <c r="G7" i="26"/>
  <c r="H6" i="26"/>
  <c r="G6" i="26"/>
  <c r="H5" i="26"/>
  <c r="G5" i="26"/>
  <c r="U25" i="66"/>
  <c r="U24" i="66"/>
  <c r="U23" i="66"/>
  <c r="U22" i="66"/>
  <c r="N25" i="66"/>
  <c r="P25" i="66" s="1"/>
  <c r="R25" i="66" s="1"/>
  <c r="N24" i="66"/>
  <c r="P24" i="66" s="1"/>
  <c r="R24" i="66" s="1"/>
  <c r="N23" i="66"/>
  <c r="P23" i="66" s="1"/>
  <c r="R23" i="66" s="1"/>
  <c r="N22" i="66"/>
  <c r="P22" i="66" s="1"/>
  <c r="R22" i="66" s="1"/>
  <c r="I21" i="66"/>
  <c r="H21" i="66"/>
  <c r="G21" i="66"/>
  <c r="U33" i="65"/>
  <c r="U32" i="65"/>
  <c r="V32" i="65" s="1"/>
  <c r="W32" i="65" s="1"/>
  <c r="U31" i="65"/>
  <c r="V31" i="65" s="1"/>
  <c r="W31" i="65" s="1"/>
  <c r="U30" i="65"/>
  <c r="V30" i="65" s="1"/>
  <c r="W30" i="65" s="1"/>
  <c r="U29" i="65"/>
  <c r="V29" i="65" s="1"/>
  <c r="W29" i="65" s="1"/>
  <c r="U28" i="65"/>
  <c r="V28" i="65" s="1"/>
  <c r="W28" i="65" s="1"/>
  <c r="U27" i="65"/>
  <c r="V27" i="65" s="1"/>
  <c r="W27" i="65" s="1"/>
  <c r="U26" i="65"/>
  <c r="V26" i="65" s="1"/>
  <c r="W26" i="65" s="1"/>
  <c r="U25" i="65"/>
  <c r="V25" i="65" s="1"/>
  <c r="W25" i="65" s="1"/>
  <c r="U24" i="65"/>
  <c r="V24" i="65" s="1"/>
  <c r="W24" i="65" s="1"/>
  <c r="U23" i="65"/>
  <c r="V23" i="65" s="1"/>
  <c r="U22" i="65"/>
  <c r="N33" i="65"/>
  <c r="P33" i="65" s="1"/>
  <c r="N32" i="65"/>
  <c r="N31" i="65"/>
  <c r="P31" i="65" s="1"/>
  <c r="N30" i="65"/>
  <c r="P30" i="65" s="1"/>
  <c r="N29" i="65"/>
  <c r="P29" i="65" s="1"/>
  <c r="N28" i="65"/>
  <c r="P28" i="65" s="1"/>
  <c r="N27" i="65"/>
  <c r="P27" i="65" s="1"/>
  <c r="N26" i="65"/>
  <c r="P26" i="65" s="1"/>
  <c r="N25" i="65"/>
  <c r="P25" i="65" s="1"/>
  <c r="N24" i="65"/>
  <c r="N23" i="65"/>
  <c r="P23" i="65" s="1"/>
  <c r="N22" i="65"/>
  <c r="I21" i="65"/>
  <c r="H21" i="65"/>
  <c r="G21" i="65"/>
  <c r="V33" i="65"/>
  <c r="W33" i="65" s="1"/>
  <c r="X33" i="65" s="1"/>
  <c r="U40" i="64"/>
  <c r="U39" i="64"/>
  <c r="V39" i="64" s="1"/>
  <c r="W39" i="64" s="1"/>
  <c r="U38" i="64"/>
  <c r="V38" i="64" s="1"/>
  <c r="W38" i="64" s="1"/>
  <c r="U37" i="64"/>
  <c r="V37" i="64" s="1"/>
  <c r="W37" i="64" s="1"/>
  <c r="U36" i="64"/>
  <c r="V36" i="64" s="1"/>
  <c r="W36" i="64" s="1"/>
  <c r="U35" i="64"/>
  <c r="V35" i="64" s="1"/>
  <c r="W35" i="64" s="1"/>
  <c r="U34" i="64"/>
  <c r="V34" i="64" s="1"/>
  <c r="W34" i="64" s="1"/>
  <c r="U33" i="64"/>
  <c r="V33" i="64" s="1"/>
  <c r="W33" i="64" s="1"/>
  <c r="U32" i="64"/>
  <c r="V32" i="64" s="1"/>
  <c r="W32" i="64" s="1"/>
  <c r="U31" i="64"/>
  <c r="U30" i="64"/>
  <c r="U29" i="64"/>
  <c r="U28" i="64"/>
  <c r="U27" i="64"/>
  <c r="U26" i="64"/>
  <c r="U25" i="64"/>
  <c r="U24" i="64"/>
  <c r="U23" i="64"/>
  <c r="U22" i="64"/>
  <c r="N40" i="64"/>
  <c r="N39" i="64"/>
  <c r="P39" i="64" s="1"/>
  <c r="N38" i="64"/>
  <c r="N37" i="64"/>
  <c r="P37" i="64" s="1"/>
  <c r="N36" i="64"/>
  <c r="P36" i="64" s="1"/>
  <c r="N35" i="64"/>
  <c r="P35" i="64" s="1"/>
  <c r="N34" i="64"/>
  <c r="P34" i="64" s="1"/>
  <c r="N33" i="64"/>
  <c r="N32" i="64"/>
  <c r="P32" i="64" s="1"/>
  <c r="N31" i="64"/>
  <c r="P31" i="64" s="1"/>
  <c r="N30" i="64"/>
  <c r="N29" i="64"/>
  <c r="N28" i="64"/>
  <c r="N27" i="64"/>
  <c r="N26" i="64"/>
  <c r="N25" i="64"/>
  <c r="P25" i="64" s="1"/>
  <c r="N24" i="64"/>
  <c r="N23" i="64"/>
  <c r="N22" i="64"/>
  <c r="I21" i="64"/>
  <c r="H21" i="64"/>
  <c r="G21" i="64"/>
  <c r="V40" i="64"/>
  <c r="W40" i="64" s="1"/>
  <c r="X40" i="64" s="1"/>
  <c r="P40" i="64"/>
  <c r="U38" i="63"/>
  <c r="U37" i="63"/>
  <c r="U36" i="63"/>
  <c r="U35" i="63"/>
  <c r="U34" i="63"/>
  <c r="U33" i="63"/>
  <c r="U32" i="63"/>
  <c r="U31" i="63"/>
  <c r="U30" i="63"/>
  <c r="U29" i="63"/>
  <c r="U28" i="63"/>
  <c r="U27" i="63"/>
  <c r="U26" i="63"/>
  <c r="U25" i="63"/>
  <c r="U24" i="63"/>
  <c r="U23" i="63"/>
  <c r="U22" i="63"/>
  <c r="N38" i="63"/>
  <c r="N37" i="63"/>
  <c r="N36" i="63"/>
  <c r="N35" i="63"/>
  <c r="N34" i="63"/>
  <c r="N33" i="63"/>
  <c r="N32" i="63"/>
  <c r="N31" i="63"/>
  <c r="N30" i="63"/>
  <c r="N29" i="63"/>
  <c r="P29" i="63" s="1"/>
  <c r="R29" i="63" s="1"/>
  <c r="N28" i="63"/>
  <c r="P28" i="63" s="1"/>
  <c r="R28" i="63" s="1"/>
  <c r="N27" i="63"/>
  <c r="P27" i="63" s="1"/>
  <c r="R27" i="63" s="1"/>
  <c r="N26" i="63"/>
  <c r="P26" i="63" s="1"/>
  <c r="R26" i="63" s="1"/>
  <c r="N25" i="63"/>
  <c r="P25" i="63" s="1"/>
  <c r="R25" i="63" s="1"/>
  <c r="N24" i="63"/>
  <c r="P24" i="63" s="1"/>
  <c r="R24" i="63" s="1"/>
  <c r="N23" i="63"/>
  <c r="P23" i="63" s="1"/>
  <c r="R23" i="63" s="1"/>
  <c r="N22" i="63"/>
  <c r="P22" i="63" s="1"/>
  <c r="I21" i="63"/>
  <c r="H21" i="63"/>
  <c r="G21" i="63"/>
  <c r="P38" i="63"/>
  <c r="R38" i="63" s="1"/>
  <c r="P37" i="63"/>
  <c r="R37" i="63" s="1"/>
  <c r="P36" i="63"/>
  <c r="R36" i="63" s="1"/>
  <c r="P35" i="63"/>
  <c r="R35" i="63" s="1"/>
  <c r="P34" i="63"/>
  <c r="R34" i="63" s="1"/>
  <c r="P33" i="63"/>
  <c r="R33" i="63" s="1"/>
  <c r="P32" i="63"/>
  <c r="R32" i="63" s="1"/>
  <c r="P31" i="63"/>
  <c r="R31" i="63" s="1"/>
  <c r="P30" i="63"/>
  <c r="R30" i="63" s="1"/>
  <c r="U43" i="62"/>
  <c r="U42" i="62"/>
  <c r="U41" i="62"/>
  <c r="U40" i="62"/>
  <c r="U39" i="62"/>
  <c r="U38" i="62"/>
  <c r="U37" i="62"/>
  <c r="U36" i="62"/>
  <c r="U35" i="62"/>
  <c r="U34" i="62"/>
  <c r="U33" i="62"/>
  <c r="U32" i="62"/>
  <c r="U31" i="62"/>
  <c r="U30" i="62"/>
  <c r="U29" i="62"/>
  <c r="U28" i="62"/>
  <c r="U27" i="62"/>
  <c r="U26" i="62"/>
  <c r="U25" i="62"/>
  <c r="U24" i="62"/>
  <c r="U23" i="62"/>
  <c r="U22" i="62"/>
  <c r="N43" i="62"/>
  <c r="P43" i="62" s="1"/>
  <c r="R43" i="62" s="1"/>
  <c r="N42" i="62"/>
  <c r="P42" i="62" s="1"/>
  <c r="R42" i="62" s="1"/>
  <c r="N41" i="62"/>
  <c r="P41" i="62" s="1"/>
  <c r="R41" i="62" s="1"/>
  <c r="N40" i="62"/>
  <c r="P40" i="62" s="1"/>
  <c r="R40" i="62" s="1"/>
  <c r="N39" i="62"/>
  <c r="P39" i="62" s="1"/>
  <c r="R39" i="62" s="1"/>
  <c r="N38" i="62"/>
  <c r="P38" i="62" s="1"/>
  <c r="R38" i="62" s="1"/>
  <c r="N37" i="62"/>
  <c r="P37" i="62" s="1"/>
  <c r="R37" i="62" s="1"/>
  <c r="N36" i="62"/>
  <c r="P36" i="62" s="1"/>
  <c r="R36" i="62" s="1"/>
  <c r="N35" i="62"/>
  <c r="P35" i="62" s="1"/>
  <c r="R35" i="62" s="1"/>
  <c r="N34" i="62"/>
  <c r="P34" i="62" s="1"/>
  <c r="R34" i="62" s="1"/>
  <c r="N33" i="62"/>
  <c r="P33" i="62" s="1"/>
  <c r="R33" i="62" s="1"/>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R23" i="62" s="1"/>
  <c r="N22" i="62"/>
  <c r="P22" i="62" s="1"/>
  <c r="R21" i="62"/>
  <c r="I21" i="62"/>
  <c r="H21" i="62"/>
  <c r="G21" i="62"/>
  <c r="H13" i="24"/>
  <c r="G13" i="24" s="1"/>
  <c r="H12" i="24"/>
  <c r="G12" i="24" s="1"/>
  <c r="H11" i="24"/>
  <c r="G11" i="24" s="1"/>
  <c r="H10" i="24"/>
  <c r="G10" i="24" s="1"/>
  <c r="H9" i="24"/>
  <c r="G9" i="24" s="1"/>
  <c r="H8" i="24"/>
  <c r="G8" i="24" s="1"/>
  <c r="H7" i="24"/>
  <c r="G7" i="24" s="1"/>
  <c r="H6" i="24"/>
  <c r="G6" i="24" s="1"/>
  <c r="G5" i="24"/>
  <c r="L25" i="66"/>
  <c r="M25" i="66" s="1"/>
  <c r="L24" i="66"/>
  <c r="M24" i="66" s="1"/>
  <c r="L23" i="66"/>
  <c r="M23" i="66" s="1"/>
  <c r="L22" i="66"/>
  <c r="M22" i="66"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M22" i="65" s="1"/>
  <c r="L40" i="64"/>
  <c r="M40" i="64" s="1"/>
  <c r="L39" i="64"/>
  <c r="M39" i="64" s="1"/>
  <c r="L38" i="64"/>
  <c r="M38" i="64" s="1"/>
  <c r="L37" i="64"/>
  <c r="M37" i="64" s="1"/>
  <c r="L36" i="64"/>
  <c r="M36" i="64" s="1"/>
  <c r="L35" i="64"/>
  <c r="M35" i="64" s="1"/>
  <c r="L34" i="64"/>
  <c r="M34" i="64" s="1"/>
  <c r="L33" i="64"/>
  <c r="M33" i="64" s="1"/>
  <c r="L32" i="64"/>
  <c r="M32" i="64" s="1"/>
  <c r="L31" i="64"/>
  <c r="M31" i="64" s="1"/>
  <c r="L30" i="64"/>
  <c r="M30" i="64" s="1"/>
  <c r="L29" i="64"/>
  <c r="M29" i="64" s="1"/>
  <c r="L28" i="64"/>
  <c r="M28" i="64" s="1"/>
  <c r="L27" i="64"/>
  <c r="M27" i="64" s="1"/>
  <c r="L26" i="64"/>
  <c r="M26" i="64" s="1"/>
  <c r="L25" i="64"/>
  <c r="M25" i="64" s="1"/>
  <c r="L24" i="64"/>
  <c r="M24" i="64" s="1"/>
  <c r="L23" i="64"/>
  <c r="M23" i="64" s="1"/>
  <c r="L22" i="64"/>
  <c r="M22" i="64"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M22" i="63" s="1"/>
  <c r="L43" i="62"/>
  <c r="M43" i="62" s="1"/>
  <c r="L42" i="62"/>
  <c r="M42" i="62" s="1"/>
  <c r="L41" i="62"/>
  <c r="M41" i="62" s="1"/>
  <c r="L40" i="62"/>
  <c r="M40" i="62" s="1"/>
  <c r="L39" i="62"/>
  <c r="M39" i="62" s="1"/>
  <c r="L38" i="62"/>
  <c r="M38" i="62" s="1"/>
  <c r="L37" i="62"/>
  <c r="M37" i="62" s="1"/>
  <c r="L36" i="62"/>
  <c r="M36" i="62" s="1"/>
  <c r="L35" i="62"/>
  <c r="M35" i="62" s="1"/>
  <c r="L34" i="62"/>
  <c r="M34" i="62" s="1"/>
  <c r="L33" i="62"/>
  <c r="M33" i="62" s="1"/>
  <c r="L32" i="62"/>
  <c r="M32" i="62" s="1"/>
  <c r="L31" i="62"/>
  <c r="M31" i="62" s="1"/>
  <c r="L30" i="62"/>
  <c r="M30" i="62" s="1"/>
  <c r="L29" i="62"/>
  <c r="M29" i="62" s="1"/>
  <c r="L28" i="62"/>
  <c r="M28" i="62" s="1"/>
  <c r="L27" i="62"/>
  <c r="M27" i="62" s="1"/>
  <c r="L26" i="62"/>
  <c r="M26" i="62" s="1"/>
  <c r="L25" i="62"/>
  <c r="M25" i="62" s="1"/>
  <c r="L24" i="62"/>
  <c r="M24" i="62" s="1"/>
  <c r="L23" i="62"/>
  <c r="M23" i="62" s="1"/>
  <c r="L22" i="62"/>
  <c r="M22" i="62" s="1"/>
  <c r="H22" i="46"/>
  <c r="H21" i="46"/>
  <c r="H20" i="46"/>
  <c r="H19" i="46"/>
  <c r="H18" i="46"/>
  <c r="H17" i="46"/>
  <c r="H16" i="46"/>
  <c r="H15" i="46"/>
  <c r="H14" i="46"/>
  <c r="H13" i="46"/>
  <c r="H12" i="46"/>
  <c r="H11" i="46"/>
  <c r="H10" i="46"/>
  <c r="G22" i="46"/>
  <c r="G21" i="46"/>
  <c r="G20" i="46"/>
  <c r="G19" i="46"/>
  <c r="G18" i="46"/>
  <c r="G17" i="46"/>
  <c r="G16" i="46"/>
  <c r="G15" i="46"/>
  <c r="G14" i="46"/>
  <c r="G13" i="46"/>
  <c r="G12" i="46"/>
  <c r="G11" i="46"/>
  <c r="G10" i="46"/>
  <c r="F31" i="46"/>
  <c r="F20" i="46"/>
  <c r="F19" i="46"/>
  <c r="F18" i="46"/>
  <c r="F17" i="46"/>
  <c r="F16" i="46"/>
  <c r="F15" i="46"/>
  <c r="F14" i="46"/>
  <c r="F13" i="46"/>
  <c r="F12" i="46"/>
  <c r="F11" i="46"/>
  <c r="F10" i="46"/>
  <c r="E22" i="46"/>
  <c r="E21" i="46"/>
  <c r="D22" i="46"/>
  <c r="D21" i="46"/>
  <c r="C22" i="46"/>
  <c r="C21" i="46"/>
  <c r="C20" i="46"/>
  <c r="C19" i="46"/>
  <c r="C18" i="46"/>
  <c r="C17" i="46"/>
  <c r="C16" i="46"/>
  <c r="C15" i="46"/>
  <c r="C14" i="46"/>
  <c r="C13" i="46"/>
  <c r="C12" i="46"/>
  <c r="C11" i="46"/>
  <c r="C10" i="46"/>
  <c r="B22" i="46"/>
  <c r="B21" i="46"/>
  <c r="B20" i="46"/>
  <c r="B19" i="46"/>
  <c r="B18" i="46"/>
  <c r="B17" i="46"/>
  <c r="B16" i="46"/>
  <c r="B15" i="46"/>
  <c r="B14" i="46"/>
  <c r="B13" i="46"/>
  <c r="B12" i="46"/>
  <c r="B11" i="46"/>
  <c r="B10" i="46"/>
  <c r="B13" i="66"/>
  <c r="B4" i="66"/>
  <c r="N2" i="66"/>
  <c r="B13" i="65"/>
  <c r="B4" i="65"/>
  <c r="N2" i="65"/>
  <c r="B13" i="64"/>
  <c r="B4" i="64"/>
  <c r="N2" i="64"/>
  <c r="B13" i="63"/>
  <c r="B4" i="63"/>
  <c r="N2" i="63"/>
  <c r="B13" i="62"/>
  <c r="B4" i="62"/>
  <c r="N2" i="62"/>
  <c r="R21" i="63" l="1"/>
  <c r="X31" i="65"/>
  <c r="X30" i="65"/>
  <c r="X29" i="65"/>
  <c r="X28" i="65"/>
  <c r="X27" i="65"/>
  <c r="X26" i="65"/>
  <c r="X25" i="65"/>
  <c r="X32" i="65"/>
  <c r="P32" i="65"/>
  <c r="X37" i="64"/>
  <c r="X35" i="64"/>
  <c r="X39" i="64"/>
  <c r="X36" i="64"/>
  <c r="X34" i="64"/>
  <c r="X32" i="64"/>
  <c r="W23" i="65"/>
  <c r="X23" i="65" s="1"/>
  <c r="X33" i="64"/>
  <c r="P33" i="64"/>
  <c r="V25" i="66"/>
  <c r="V24" i="66"/>
  <c r="V23" i="66"/>
  <c r="V22" i="66"/>
  <c r="M21" i="66"/>
  <c r="M21" i="65"/>
  <c r="J4" i="65"/>
  <c r="J5" i="65"/>
  <c r="J8" i="65"/>
  <c r="J6" i="65"/>
  <c r="I5" i="65"/>
  <c r="I6" i="65"/>
  <c r="I7" i="65"/>
  <c r="I4" i="65"/>
  <c r="I8" i="65"/>
  <c r="J7" i="65"/>
  <c r="I4" i="64"/>
  <c r="I8" i="64"/>
  <c r="I5" i="64"/>
  <c r="J9" i="64"/>
  <c r="I9" i="64"/>
  <c r="I7" i="64"/>
  <c r="M21" i="64"/>
  <c r="I10" i="64"/>
  <c r="J5" i="64"/>
  <c r="J7" i="64"/>
  <c r="J4" i="64"/>
  <c r="J10" i="64"/>
  <c r="J8" i="64"/>
  <c r="J6" i="64"/>
  <c r="I6" i="64"/>
  <c r="Q38" i="63"/>
  <c r="S38" i="63" s="1"/>
  <c r="T38" i="63"/>
  <c r="V38" i="63"/>
  <c r="Q37" i="63"/>
  <c r="T37" i="63"/>
  <c r="V37" i="63"/>
  <c r="V36" i="63"/>
  <c r="V35" i="63"/>
  <c r="V34" i="63"/>
  <c r="V33" i="63"/>
  <c r="V32" i="63"/>
  <c r="V31" i="63"/>
  <c r="V30" i="63"/>
  <c r="V29" i="63"/>
  <c r="V28" i="63"/>
  <c r="V27" i="63"/>
  <c r="V26" i="63"/>
  <c r="Q25" i="63"/>
  <c r="S25" i="63" s="1"/>
  <c r="T25" i="63"/>
  <c r="V25" i="63"/>
  <c r="V24" i="63"/>
  <c r="V23" i="63"/>
  <c r="V22" i="63"/>
  <c r="J8" i="63"/>
  <c r="M21" i="63"/>
  <c r="I8" i="63"/>
  <c r="I9" i="63"/>
  <c r="I4" i="63"/>
  <c r="J9" i="63"/>
  <c r="J6" i="63"/>
  <c r="I6" i="63"/>
  <c r="J5" i="63"/>
  <c r="J4" i="63"/>
  <c r="I5" i="63"/>
  <c r="J7" i="63"/>
  <c r="I7" i="63"/>
  <c r="V43" i="62"/>
  <c r="V42" i="62"/>
  <c r="V41" i="62"/>
  <c r="Q40" i="62"/>
  <c r="S40" i="62" s="1"/>
  <c r="T40" i="62"/>
  <c r="V40" i="62"/>
  <c r="Q39" i="62"/>
  <c r="S39" i="62" s="1"/>
  <c r="T39" i="62"/>
  <c r="V39" i="62"/>
  <c r="V38" i="62"/>
  <c r="V37" i="62"/>
  <c r="V36" i="62"/>
  <c r="Q35" i="62"/>
  <c r="S35" i="62" s="1"/>
  <c r="T35" i="62"/>
  <c r="V35" i="62"/>
  <c r="V34" i="62"/>
  <c r="V33" i="62"/>
  <c r="V32" i="62"/>
  <c r="V31" i="62"/>
  <c r="Q30" i="62"/>
  <c r="S30" i="62" s="1"/>
  <c r="T30" i="62"/>
  <c r="V30" i="62"/>
  <c r="V29" i="62"/>
  <c r="V28" i="62"/>
  <c r="V27" i="62"/>
  <c r="V26" i="62"/>
  <c r="V25" i="62"/>
  <c r="V24" i="62"/>
  <c r="V23" i="62"/>
  <c r="V22" i="62"/>
  <c r="J6" i="62"/>
  <c r="M21" i="62"/>
  <c r="J9" i="62"/>
  <c r="J7" i="62"/>
  <c r="I9" i="62"/>
  <c r="I5" i="62"/>
  <c r="I10" i="62"/>
  <c r="I6" i="62"/>
  <c r="I7" i="62"/>
  <c r="J10" i="62"/>
  <c r="I8" i="62"/>
  <c r="J4" i="62"/>
  <c r="I4" i="62"/>
  <c r="I11" i="62"/>
  <c r="J5" i="62"/>
  <c r="J11" i="62"/>
  <c r="J8" i="62"/>
  <c r="P21" i="66"/>
  <c r="R21" i="66" s="1"/>
  <c r="V22" i="65"/>
  <c r="W22" i="65" s="1"/>
  <c r="X22" i="65" s="1"/>
  <c r="X24" i="65"/>
  <c r="P24" i="65"/>
  <c r="P22" i="65"/>
  <c r="V31" i="64"/>
  <c r="W31" i="64" s="1"/>
  <c r="X31" i="64" s="1"/>
  <c r="V30" i="64"/>
  <c r="W30" i="64" s="1"/>
  <c r="V29" i="64"/>
  <c r="W29" i="64" s="1"/>
  <c r="V28" i="64"/>
  <c r="W28" i="64" s="1"/>
  <c r="V27" i="64"/>
  <c r="W27" i="64" s="1"/>
  <c r="V26" i="64"/>
  <c r="W26" i="64" s="1"/>
  <c r="V25" i="64"/>
  <c r="W25" i="64" s="1"/>
  <c r="X25" i="64" s="1"/>
  <c r="V24" i="64"/>
  <c r="W24" i="64" s="1"/>
  <c r="V23" i="64"/>
  <c r="W23" i="64" s="1"/>
  <c r="V22" i="64"/>
  <c r="W22" i="64" s="1"/>
  <c r="X38" i="64"/>
  <c r="P38" i="64"/>
  <c r="X30" i="64"/>
  <c r="P30" i="64"/>
  <c r="X29" i="64"/>
  <c r="P29" i="64"/>
  <c r="X28" i="64"/>
  <c r="P28" i="64"/>
  <c r="X27" i="64"/>
  <c r="P27" i="64"/>
  <c r="X26" i="64"/>
  <c r="P26" i="64"/>
  <c r="X24" i="64"/>
  <c r="P24" i="64"/>
  <c r="X23" i="64"/>
  <c r="P23" i="64"/>
  <c r="X22" i="64"/>
  <c r="P22" i="64"/>
  <c r="R22" i="63"/>
  <c r="P21" i="63"/>
  <c r="R22" i="62"/>
  <c r="P21" i="62"/>
  <c r="D17" i="51"/>
  <c r="D17" i="29"/>
  <c r="D17" i="38"/>
  <c r="D18" i="38"/>
  <c r="F18" i="38" s="1"/>
  <c r="D19" i="38"/>
  <c r="D20" i="38"/>
  <c r="F20" i="38" s="1"/>
  <c r="D21" i="38"/>
  <c r="D22" i="38"/>
  <c r="F22" i="38"/>
  <c r="D76" i="51"/>
  <c r="D76" i="29"/>
  <c r="N14" i="65" l="1"/>
  <c r="J4" i="66"/>
  <c r="I6" i="66"/>
  <c r="I4" i="66"/>
  <c r="J6" i="66"/>
  <c r="I5" i="66"/>
  <c r="J5" i="66"/>
  <c r="N13" i="63"/>
  <c r="N14" i="63"/>
  <c r="O14" i="63" s="1"/>
  <c r="S37" i="63"/>
  <c r="N13" i="62"/>
  <c r="N14" i="62"/>
  <c r="O14" i="62" s="1"/>
  <c r="P21" i="65"/>
  <c r="N14" i="64"/>
  <c r="P21" i="64"/>
  <c r="H18" i="38"/>
  <c r="H20" i="38"/>
  <c r="L9" i="65" l="1"/>
  <c r="L8" i="65"/>
  <c r="L10" i="65"/>
  <c r="L11" i="65"/>
  <c r="O14" i="65"/>
  <c r="N14" i="66"/>
  <c r="O14" i="66" s="1"/>
  <c r="N13" i="66"/>
  <c r="O13" i="63"/>
  <c r="M12" i="63"/>
  <c r="M11" i="63"/>
  <c r="M11" i="62"/>
  <c r="O13" i="62"/>
  <c r="M12" i="62"/>
  <c r="L8" i="64"/>
  <c r="L9" i="64"/>
  <c r="L10" i="64"/>
  <c r="L11" i="64"/>
  <c r="O14" i="64"/>
  <c r="D76" i="38"/>
  <c r="D23" i="38" s="1"/>
  <c r="D24" i="38" s="1"/>
  <c r="F24" i="38" s="1"/>
  <c r="F57" i="51"/>
  <c r="F42" i="51"/>
  <c r="F34" i="51"/>
  <c r="F59" i="51" s="1"/>
  <c r="F57" i="29"/>
  <c r="F42" i="29"/>
  <c r="F34" i="29"/>
  <c r="F59" i="29" s="1"/>
  <c r="F57" i="38"/>
  <c r="F42" i="38"/>
  <c r="F34" i="38"/>
  <c r="F59" i="38" s="1"/>
  <c r="E2" i="24"/>
  <c r="O13" i="66" l="1"/>
  <c r="M11" i="66"/>
  <c r="M12" i="66"/>
  <c r="F28" i="51"/>
  <c r="D23" i="51"/>
  <c r="D21" i="51"/>
  <c r="D19" i="51"/>
  <c r="F28" i="29"/>
  <c r="D23" i="29"/>
  <c r="D21" i="29"/>
  <c r="D19" i="29"/>
  <c r="F28" i="38"/>
  <c r="B2" i="26" l="1"/>
  <c r="B2" i="24"/>
  <c r="D2" i="26" l="1"/>
  <c r="E1" i="51" l="1"/>
  <c r="C2" i="38" l="1"/>
  <c r="C2" i="29"/>
  <c r="C2" i="51"/>
  <c r="C2" i="23" l="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K61" i="51"/>
  <c r="I5" i="67" l="1"/>
  <c r="I6" i="67"/>
  <c r="I7" i="67"/>
  <c r="I8" i="67"/>
  <c r="I9" i="67"/>
  <c r="I10" i="67"/>
  <c r="I12" i="24"/>
  <c r="I13" i="24"/>
  <c r="I10" i="24"/>
  <c r="I11" i="24"/>
  <c r="I8" i="24"/>
  <c r="I9" i="24"/>
  <c r="I6" i="24"/>
  <c r="I7" i="24"/>
  <c r="I5" i="24"/>
  <c r="K17" i="51"/>
  <c r="F61" i="51"/>
  <c r="F62" i="51" s="1"/>
  <c r="K62" i="51" s="1"/>
  <c r="K5" i="51"/>
  <c r="K28" i="51"/>
  <c r="K23" i="51"/>
  <c r="K21" i="51"/>
  <c r="K19" i="51"/>
  <c r="H29" i="51"/>
  <c r="K29" i="51" s="1"/>
  <c r="K57" i="51"/>
  <c r="A1" i="51"/>
  <c r="F22" i="51"/>
  <c r="H22" i="51" s="1"/>
  <c r="F24" i="51"/>
  <c r="H24" i="51" s="1"/>
  <c r="F20" i="51"/>
  <c r="H20" i="51" s="1"/>
  <c r="F18" i="51"/>
  <c r="F29" i="51" s="1"/>
  <c r="K12" i="24" l="1"/>
  <c r="J12" i="24"/>
  <c r="K10" i="24"/>
  <c r="J10" i="24"/>
  <c r="K8" i="24"/>
  <c r="J8" i="24"/>
  <c r="K11" i="24"/>
  <c r="J11" i="24"/>
  <c r="K6" i="24"/>
  <c r="J6" i="24"/>
  <c r="J13" i="24"/>
  <c r="K13" i="24"/>
  <c r="K7" i="24"/>
  <c r="J7" i="24"/>
  <c r="K9" i="24"/>
  <c r="J9" i="24"/>
  <c r="K5" i="24"/>
  <c r="J5" i="24"/>
  <c r="H18" i="51"/>
  <c r="B2" i="46"/>
  <c r="I23" i="1" l="1"/>
  <c r="F6" i="3"/>
  <c r="I22" i="1"/>
  <c r="F7" i="3"/>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23"/>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24" i="66" l="1"/>
  <c r="O25" i="66"/>
  <c r="O23" i="66"/>
  <c r="O22" i="66"/>
  <c r="O38" i="63"/>
  <c r="O33" i="65"/>
  <c r="O31" i="65"/>
  <c r="O32" i="65"/>
  <c r="O29" i="65"/>
  <c r="O30" i="65"/>
  <c r="O27" i="65"/>
  <c r="O28" i="65"/>
  <c r="O25" i="65"/>
  <c r="O26" i="65"/>
  <c r="O24" i="65"/>
  <c r="O22" i="65"/>
  <c r="O23" i="65"/>
  <c r="O39" i="64"/>
  <c r="O40" i="64"/>
  <c r="O37" i="64"/>
  <c r="O38" i="64"/>
  <c r="O36" i="64"/>
  <c r="O35" i="64"/>
  <c r="O33" i="64"/>
  <c r="O34" i="64"/>
  <c r="O31" i="64"/>
  <c r="O32" i="64"/>
  <c r="O29" i="64"/>
  <c r="O30" i="64"/>
  <c r="O27" i="64"/>
  <c r="O28" i="64"/>
  <c r="O25" i="64"/>
  <c r="O26" i="64"/>
  <c r="O24" i="64"/>
  <c r="O22" i="64"/>
  <c r="O23" i="64"/>
  <c r="O36" i="63"/>
  <c r="O37" i="63"/>
  <c r="O34" i="63"/>
  <c r="O35" i="63"/>
  <c r="O32" i="63"/>
  <c r="O33" i="63"/>
  <c r="O30" i="63"/>
  <c r="O31" i="63"/>
  <c r="O28" i="63"/>
  <c r="O29" i="63"/>
  <c r="O26" i="63"/>
  <c r="O27" i="63"/>
  <c r="O24" i="63"/>
  <c r="O25" i="63"/>
  <c r="O22" i="63"/>
  <c r="O23" i="63"/>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32" i="65" l="1"/>
  <c r="Q32" i="65"/>
  <c r="R32" i="65" s="1"/>
  <c r="S22" i="65"/>
  <c r="Q22" i="65"/>
  <c r="R22" i="65" s="1"/>
  <c r="S23" i="65"/>
  <c r="Q23" i="65"/>
  <c r="R23" i="65" s="1"/>
  <c r="Q25" i="65"/>
  <c r="R25" i="65" s="1"/>
  <c r="S25" i="65"/>
  <c r="S29" i="65"/>
  <c r="Q29" i="65"/>
  <c r="R29" i="65" s="1"/>
  <c r="S27" i="65"/>
  <c r="Q27" i="65"/>
  <c r="R27" i="65" s="1"/>
  <c r="S28" i="65"/>
  <c r="Q28" i="65"/>
  <c r="R28" i="65" s="1"/>
  <c r="S33" i="65"/>
  <c r="Q33" i="65"/>
  <c r="R33" i="65" s="1"/>
  <c r="S31" i="65"/>
  <c r="Q31" i="65"/>
  <c r="R31" i="65" s="1"/>
  <c r="S30" i="65"/>
  <c r="Q30" i="65"/>
  <c r="R30" i="65" s="1"/>
  <c r="S26" i="65"/>
  <c r="Q26" i="65"/>
  <c r="R26" i="65" s="1"/>
  <c r="S24" i="65"/>
  <c r="Q24" i="65"/>
  <c r="Q33" i="63"/>
  <c r="S33" i="63" s="1"/>
  <c r="T33" i="63"/>
  <c r="Q22" i="63"/>
  <c r="S22" i="63" s="1"/>
  <c r="T22" i="63"/>
  <c r="Q23" i="63"/>
  <c r="S23" i="63" s="1"/>
  <c r="T23" i="63"/>
  <c r="Q36" i="63"/>
  <c r="S36" i="63" s="1"/>
  <c r="T36" i="63"/>
  <c r="Q34" i="63"/>
  <c r="S34" i="63" s="1"/>
  <c r="T34" i="63"/>
  <c r="Q26" i="63"/>
  <c r="S26" i="63" s="1"/>
  <c r="T26" i="63"/>
  <c r="Q30" i="63"/>
  <c r="S30" i="63" s="1"/>
  <c r="T30" i="63"/>
  <c r="Q28" i="63"/>
  <c r="S28" i="63" s="1"/>
  <c r="T28" i="63"/>
  <c r="Q29" i="63"/>
  <c r="S29" i="63" s="1"/>
  <c r="T29" i="63"/>
  <c r="Q35" i="63"/>
  <c r="S35" i="63" s="1"/>
  <c r="T35" i="63"/>
  <c r="Q32" i="63"/>
  <c r="S32" i="63" s="1"/>
  <c r="T32" i="63"/>
  <c r="Q31" i="63"/>
  <c r="S31" i="63" s="1"/>
  <c r="T31" i="63"/>
  <c r="Q27" i="63"/>
  <c r="S27" i="63" s="1"/>
  <c r="T27" i="63"/>
  <c r="Q24" i="63"/>
  <c r="T24" i="63"/>
  <c r="Q24" i="66"/>
  <c r="S24" i="66" s="1"/>
  <c r="T24" i="66"/>
  <c r="Q22" i="66"/>
  <c r="S22" i="66" s="1"/>
  <c r="T22" i="66"/>
  <c r="Q23" i="66"/>
  <c r="S23" i="66" s="1"/>
  <c r="T23" i="66"/>
  <c r="Q25" i="66"/>
  <c r="T25" i="66"/>
  <c r="S39" i="64"/>
  <c r="Q39" i="64"/>
  <c r="R39" i="64" s="1"/>
  <c r="S38" i="64"/>
  <c r="Q38" i="64"/>
  <c r="R38" i="64" s="1"/>
  <c r="S31" i="64"/>
  <c r="Q31" i="64"/>
  <c r="R31" i="64" s="1"/>
  <c r="S32" i="64"/>
  <c r="Q32" i="64"/>
  <c r="R32" i="64" s="1"/>
  <c r="S35" i="64"/>
  <c r="Q35" i="64"/>
  <c r="R35" i="64" s="1"/>
  <c r="S33" i="64"/>
  <c r="Q33" i="64"/>
  <c r="R33" i="64" s="1"/>
  <c r="S36" i="64"/>
  <c r="Q36" i="64"/>
  <c r="R36" i="64" s="1"/>
  <c r="S29" i="64"/>
  <c r="Q29" i="64"/>
  <c r="R29" i="64" s="1"/>
  <c r="S27" i="64"/>
  <c r="Q27" i="64"/>
  <c r="R27" i="64" s="1"/>
  <c r="S28" i="64"/>
  <c r="Q28" i="64"/>
  <c r="R28" i="64" s="1"/>
  <c r="S24" i="64"/>
  <c r="Q24" i="64"/>
  <c r="R24" i="64" s="1"/>
  <c r="S23" i="64"/>
  <c r="Q23" i="64"/>
  <c r="R23" i="64" s="1"/>
  <c r="Q40" i="64"/>
  <c r="R40" i="64" s="1"/>
  <c r="S40" i="64"/>
  <c r="S34" i="64"/>
  <c r="Q34" i="64"/>
  <c r="R34" i="64" s="1"/>
  <c r="S30" i="64"/>
  <c r="Q30" i="64"/>
  <c r="R30" i="64" s="1"/>
  <c r="Q25" i="64"/>
  <c r="R25" i="64" s="1"/>
  <c r="S25" i="64"/>
  <c r="S26" i="64"/>
  <c r="Q26" i="64"/>
  <c r="R26" i="64" s="1"/>
  <c r="S22" i="64"/>
  <c r="Q22" i="64"/>
  <c r="R22" i="64" s="1"/>
  <c r="Q37" i="64"/>
  <c r="S37" i="64"/>
  <c r="Q42" i="62"/>
  <c r="S42" i="62" s="1"/>
  <c r="T42" i="62"/>
  <c r="Q41" i="62"/>
  <c r="S41" i="62" s="1"/>
  <c r="T41" i="62"/>
  <c r="Q32" i="62"/>
  <c r="S32" i="62" s="1"/>
  <c r="T32" i="62"/>
  <c r="Q33" i="62"/>
  <c r="S33" i="62" s="1"/>
  <c r="T33" i="62"/>
  <c r="Q36" i="62"/>
  <c r="S36" i="62" s="1"/>
  <c r="T36" i="62"/>
  <c r="Q38" i="62"/>
  <c r="S38" i="62" s="1"/>
  <c r="T38" i="62"/>
  <c r="Q37" i="62"/>
  <c r="S37" i="62" s="1"/>
  <c r="T37" i="62"/>
  <c r="Q24" i="62"/>
  <c r="S24" i="62" s="1"/>
  <c r="T24" i="62"/>
  <c r="Q34" i="62"/>
  <c r="S34" i="62" s="1"/>
  <c r="T34" i="62"/>
  <c r="Q28" i="62"/>
  <c r="T28" i="62"/>
  <c r="Q29" i="62"/>
  <c r="S29" i="62" s="1"/>
  <c r="T29" i="62"/>
  <c r="Q25" i="62"/>
  <c r="S25" i="62" s="1"/>
  <c r="T25" i="62"/>
  <c r="Q23" i="62"/>
  <c r="S23" i="62" s="1"/>
  <c r="T23" i="62"/>
  <c r="Q43" i="62"/>
  <c r="S43" i="62" s="1"/>
  <c r="T43" i="62"/>
  <c r="Q31" i="62"/>
  <c r="S31" i="62" s="1"/>
  <c r="T31" i="62"/>
  <c r="Q26" i="62"/>
  <c r="S26" i="62" s="1"/>
  <c r="T26" i="62"/>
  <c r="Q27" i="62"/>
  <c r="S27" i="62" s="1"/>
  <c r="T27" i="62"/>
  <c r="Q22" i="62"/>
  <c r="S22" i="62" s="1"/>
  <c r="T22" i="62"/>
  <c r="F29" i="29"/>
  <c r="K62" i="38"/>
  <c r="S14" i="65" l="1"/>
  <c r="Q21" i="65"/>
  <c r="R24" i="65"/>
  <c r="T14" i="63"/>
  <c r="S24" i="63"/>
  <c r="Q21" i="63"/>
  <c r="S21" i="63" s="1"/>
  <c r="T14" i="66"/>
  <c r="S25" i="66"/>
  <c r="Q21" i="66"/>
  <c r="S21" i="66" s="1"/>
  <c r="S14" i="64"/>
  <c r="Q21" i="64"/>
  <c r="R37" i="64"/>
  <c r="S28" i="62"/>
  <c r="Q21" i="62"/>
  <c r="S21" i="62" s="1"/>
  <c r="T14" i="62"/>
  <c r="D7" i="3" l="1"/>
  <c r="R21" i="65"/>
  <c r="G23" i="1"/>
  <c r="C7" i="3"/>
  <c r="F23" i="1"/>
  <c r="C6" i="23"/>
  <c r="E6" i="23" s="1"/>
  <c r="D6" i="23" s="1"/>
  <c r="J22" i="1"/>
  <c r="G22" i="1"/>
  <c r="R21" i="64"/>
  <c r="D6" i="3"/>
  <c r="C6" i="3"/>
  <c r="F22" i="1"/>
  <c r="G7" i="3" l="1"/>
  <c r="I7" i="3" s="1"/>
  <c r="H7" i="3" s="1"/>
  <c r="L23" i="1"/>
  <c r="M23" i="1" s="1"/>
  <c r="G6" i="3"/>
  <c r="I6" i="3" l="1"/>
  <c r="G8" i="3"/>
  <c r="J10" i="67"/>
  <c r="K10" i="67"/>
  <c r="J9" i="67"/>
  <c r="K9" i="67"/>
  <c r="J8" i="67"/>
  <c r="K8" i="67"/>
  <c r="J7" i="67"/>
  <c r="K7" i="67"/>
  <c r="J6" i="67"/>
  <c r="K6" i="67"/>
  <c r="J5" i="67"/>
  <c r="K5" i="67"/>
  <c r="I8" i="3" l="1"/>
  <c r="H6" i="3"/>
  <c r="H8" i="3" s="1"/>
  <c r="K22" i="1"/>
  <c r="L22" i="1" s="1"/>
  <c r="M22" i="1" s="1"/>
  <c r="F6" i="23"/>
  <c r="H6" i="23" s="1"/>
  <c r="G6" i="23" s="1"/>
  <c r="K3" i="67"/>
</calcChain>
</file>

<file path=xl/sharedStrings.xml><?xml version="1.0" encoding="utf-8"?>
<sst xmlns="http://schemas.openxmlformats.org/spreadsheetml/2006/main" count="1499" uniqueCount="325">
  <si>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</si>
  <si>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</si>
  <si>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</si>
  <si>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</si>
  <si>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</si>
  <si>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</si>
  <si>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</si>
  <si>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</si>
  <si>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</si>
  <si>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</si>
  <si>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</si>
  <si>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</si>
  <si>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</si>
  <si>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</si>
  <si>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</si>
  <si>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</si>
  <si>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</si>
  <si>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</si>
  <si>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</si>
  <si>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</si>
  <si>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</si>
  <si>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</si>
  <si>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</si>
  <si>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</si>
  <si>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</si>
  <si>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</si>
  <si>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</si>
  <si>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</si>
  <si>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</si>
  <si>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</si>
  <si>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</si>
  <si>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</si>
  <si>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</si>
  <si>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</si>
  <si>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</si>
  <si>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</si>
  <si>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</si>
  <si>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</si>
  <si>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</si>
  <si>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</si>
  <si>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</si>
  <si>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</si>
  <si>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</si>
  <si>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</si>
  <si>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</si>
  <si>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</si>
  <si>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</si>
  <si>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</si>
  <si>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</si>
  <si>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</si>
  <si>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</si>
  <si>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</si>
  <si>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</si>
  <si>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</si>
  <si>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</si>
  <si>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</si>
  <si>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</si>
  <si>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</si>
  <si>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</si>
  <si>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</si>
  <si>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</si>
  <si>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</si>
  <si>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</si>
  <si>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</si>
  <si>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</si>
  <si>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</si>
  <si>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</si>
  <si>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</si>
  <si>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</si>
  <si>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</si>
  <si>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</si>
  <si>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</si>
  <si>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</si>
  <si>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</si>
  <si>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</si>
  <si>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</si>
  <si>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</si>
  <si>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</si>
  <si>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</si>
  <si>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</si>
  <si>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</si>
  <si>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</si>
  <si>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</si>
  <si>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</si>
  <si>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</si>
  <si>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</si>
  <si>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</si>
  <si>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</si>
  <si>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</si>
  <si>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</si>
  <si>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</si>
  <si>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</si>
  <si>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</si>
  <si>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</si>
  <si>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</si>
  <si>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</si>
  <si>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</si>
  <si>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</si>
  <si>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</si>
  <si>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</si>
  <si>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</si>
  <si>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</si>
  <si>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</si>
  <si>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</si>
  <si>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</si>
  <si>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</si>
  <si>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</si>
  <si>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</si>
  <si>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</si>
  <si>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</si>
  <si>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</si>
  <si>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</si>
  <si>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</si>
  <si>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</si>
  <si>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</si>
  <si>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</si>
  <si>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</si>
  <si>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</si>
  <si>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</si>
  <si>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</si>
  <si>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</si>
  <si>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</si>
  <si>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</si>
  <si>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</si>
  <si>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</si>
  <si>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</si>
  <si>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</si>
  <si>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</si>
  <si>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</si>
  <si>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</si>
  <si>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</si>
  <si>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</si>
  <si>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</si>
  <si>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</si>
  <si>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</si>
  <si>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</si>
  <si>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</si>
  <si>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</si>
  <si>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</si>
  <si>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</si>
  <si>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</si>
  <si>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</si>
  <si>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</si>
  <si>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</si>
  <si>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</si>
  <si>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</si>
  <si>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</si>
  <si>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</si>
  <si>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</si>
  <si>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</si>
  <si>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</si>
  <si>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</si>
  <si>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</si>
  <si>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</si>
  <si>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</si>
  <si>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</si>
  <si>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</si>
  <si>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</si>
  <si>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</si>
  <si>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</si>
  <si>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</si>
  <si>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</si>
  <si>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</si>
  <si>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</si>
  <si>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</si>
  <si>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</si>
  <si>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</si>
  <si>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</si>
  <si>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</si>
  <si>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</si>
  <si>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</si>
  <si>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</si>
  <si>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</si>
  <si>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</si>
  <si>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</si>
  <si>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</si>
  <si>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</si>
  <si>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</si>
  <si>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</si>
  <si>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</si>
  <si>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</si>
  <si>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</si>
  <si>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</si>
  <si>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</si>
  <si>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</si>
  <si>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</si>
  <si>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</si>
  <si>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 nach Bedarf</t>
    </r>
    <r>
      <rPr>
        <sz val="8"/>
        <rFont val="Verdana"/>
        <family val="2"/>
      </rPr>
      <t xml:space="preserve"> pro Jahr (in €)</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</si>
  <si>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</si>
  <si>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</si>
  <si>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</si>
  <si>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</si>
  <si>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</si>
  <si>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</si>
  <si>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</si>
  <si>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</si>
  <si>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</si>
  <si>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</si>
  <si>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</si>
  <si>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Kita Spatzen</t>
  </si>
  <si>
    <t>Los 11</t>
  </si>
  <si>
    <t>Kindertagesstätte Spatzennest</t>
  </si>
  <si>
    <t>inkl. Hort</t>
  </si>
  <si>
    <t>Unseburger Weg 32</t>
  </si>
  <si>
    <t>39443</t>
  </si>
  <si>
    <t>Staßfurt OT Atzendorf</t>
  </si>
  <si>
    <t>Kita Winnie P</t>
  </si>
  <si>
    <t>Kindertagesstätte Winnie Puuh</t>
  </si>
  <si>
    <t>August-Bebel-Straße 2</t>
  </si>
  <si>
    <t>Staßfurt OT Glöthe</t>
  </si>
  <si>
    <t>Unterhaltsreinigung (nach Bedarf)</t>
  </si>
  <si>
    <t>Kalkulation Verbrauchsmaterial</t>
  </si>
  <si>
    <t>1.1</t>
  </si>
  <si>
    <t>EG</t>
  </si>
  <si>
    <t>Krippe</t>
  </si>
  <si>
    <t>Gruppenraum</t>
  </si>
  <si>
    <t>Linoleum</t>
  </si>
  <si>
    <t>1.2</t>
  </si>
  <si>
    <t>Sanitärraum</t>
  </si>
  <si>
    <t>Fliesen</t>
  </si>
  <si>
    <t>1.2a</t>
  </si>
  <si>
    <t>Schmutzwäsche</t>
  </si>
  <si>
    <t>1.2b</t>
  </si>
  <si>
    <t>WC Erzieher</t>
  </si>
  <si>
    <t>1.3</t>
  </si>
  <si>
    <t>Kiga 1</t>
  </si>
  <si>
    <t>Schlafraum</t>
  </si>
  <si>
    <t>1.5</t>
  </si>
  <si>
    <t>1.7</t>
  </si>
  <si>
    <t>1.7a</t>
  </si>
  <si>
    <t>Hort</t>
  </si>
  <si>
    <t>WC Mädchen</t>
  </si>
  <si>
    <t>1.8</t>
  </si>
  <si>
    <t>Kiga 2</t>
  </si>
  <si>
    <t>Sanitärraum inkl. WC Jungen Hort</t>
  </si>
  <si>
    <t>1.9</t>
  </si>
  <si>
    <t>1.10</t>
  </si>
  <si>
    <t>Kiga</t>
  </si>
  <si>
    <t>Flur</t>
  </si>
  <si>
    <t>1.10a</t>
  </si>
  <si>
    <t>1.11</t>
  </si>
  <si>
    <t>Bewegungsraum</t>
  </si>
  <si>
    <t>1.12</t>
  </si>
  <si>
    <t>1.13</t>
  </si>
  <si>
    <t>Flur/ Treppe</t>
  </si>
  <si>
    <t>1.14</t>
  </si>
  <si>
    <t>Lager- u. Putzmittelraum</t>
  </si>
  <si>
    <t>1.14a</t>
  </si>
  <si>
    <t>Putzmittelraum</t>
  </si>
  <si>
    <t>1.15</t>
  </si>
  <si>
    <t>Personal Umkleide inkl WC</t>
  </si>
  <si>
    <t>1.16</t>
  </si>
  <si>
    <t>Büro</t>
  </si>
  <si>
    <t>1.17</t>
  </si>
  <si>
    <t>Eingangsbereich</t>
  </si>
  <si>
    <t>1.18</t>
  </si>
  <si>
    <t>Küche</t>
  </si>
  <si>
    <t>1.19</t>
  </si>
  <si>
    <t>Gruppe</t>
  </si>
  <si>
    <t>Sanitär</t>
  </si>
  <si>
    <t>Technik</t>
  </si>
  <si>
    <t>Verkehr</t>
  </si>
  <si>
    <t>Sport</t>
  </si>
  <si>
    <t>Treppe</t>
  </si>
  <si>
    <t>Versorgung</t>
  </si>
  <si>
    <t>Windfang</t>
  </si>
  <si>
    <t>Ruheraum</t>
  </si>
  <si>
    <t>Textil</t>
  </si>
  <si>
    <t>Sportraum</t>
  </si>
  <si>
    <t>Waschraum</t>
  </si>
  <si>
    <t>WC</t>
  </si>
  <si>
    <t>Lagerraum</t>
  </si>
  <si>
    <t>Kreativraum</t>
  </si>
  <si>
    <t>Heizungsraum</t>
  </si>
  <si>
    <t>Estrich</t>
  </si>
  <si>
    <t>Geräteraum</t>
  </si>
  <si>
    <t>Papierhandtücher, 
Recyclingpapier natur
2-lagig,
Blattgröße ca. 24,5 cm x 23 cm,
5. 000 Blatt pro Einheit</t>
  </si>
  <si>
    <t>Karton</t>
  </si>
  <si>
    <t>Recycling-Tissue-Toilettenpapier, 
2 lagig, 
Blattgröße 11x9,4 cm,
250 Blatt pro Rolle, 
100% Altpapier,
64 Rollen pro Einheit</t>
  </si>
  <si>
    <t>Paket</t>
  </si>
  <si>
    <t>* Waschlotion</t>
  </si>
  <si>
    <t>Liter</t>
  </si>
  <si>
    <t>* Flächendesinfektion</t>
  </si>
  <si>
    <t>* Handdesinfektion</t>
  </si>
  <si>
    <t>Küchenleistung:
Wirtschaftsleistung 1225 - 1230</t>
  </si>
  <si>
    <t>Küchenleistung:
Wirtschaftsleistung 1100 - 1145</t>
  </si>
  <si>
    <t>Küchenleistung:
Wirtschaftsleistung 1150 - 1220</t>
  </si>
  <si>
    <t>Küchenleistung:
Wirtschaftsleistung 1235 - 1240</t>
  </si>
  <si>
    <t>Küchenleistung:
Wirtschaftsleistung 1245 - 1260</t>
  </si>
  <si>
    <t>Wäscheleistung:
Wirtschaftsleistung 1265</t>
  </si>
  <si>
    <t>Wäscheleistung:
Wirtschaftsleistung 1270 - 1275</t>
  </si>
  <si>
    <t>Wäscheleistung:
Wirtschaftsleistung 1285</t>
  </si>
  <si>
    <t>Kita</t>
  </si>
  <si>
    <t>UnterhaltsRG</t>
  </si>
  <si>
    <t>Reinigungs-häufigkeit</t>
  </si>
  <si>
    <t>GrundRG</t>
  </si>
  <si>
    <t>UnterhaltsRG (nach Bedarf)</t>
  </si>
  <si>
    <t>Wirtschaft</t>
  </si>
  <si>
    <t>Verbrauch</t>
  </si>
  <si>
    <t>Preiszusammenstellung Los 11</t>
  </si>
  <si>
    <t>Preiszusammenstellung nach Bedarf</t>
  </si>
  <si>
    <t>MwSt.</t>
  </si>
  <si>
    <t>Jahrespreis in €</t>
  </si>
  <si>
    <t>Jahrespreis Reinigung</t>
  </si>
  <si>
    <t>Preisübersicht (nach Bedarf)</t>
  </si>
  <si>
    <t>SVS UnterhaltsRG</t>
  </si>
  <si>
    <t>SVS GrundRG</t>
  </si>
  <si>
    <t>SVS Wirtschaft</t>
  </si>
  <si>
    <t>Wertungspreis (netto) in €</t>
  </si>
  <si>
    <t>Wertungspreis (brutto) in €</t>
  </si>
  <si>
    <r>
      <t xml:space="preserve">Kalkulation </t>
    </r>
    <r>
      <rPr>
        <b/>
        <sz val="8"/>
        <rFont val="Verdana"/>
        <family val="2"/>
      </rPr>
      <t>Wirtschaftsleistungen</t>
    </r>
    <r>
      <rPr>
        <sz val="8"/>
        <rFont val="Verdana"/>
        <family val="2"/>
      </rPr>
      <t xml:space="preserve"> (nach Bedarf)</t>
    </r>
  </si>
  <si>
    <t>Tage je Woche</t>
  </si>
  <si>
    <t>Wäscheleistung:
Wirtschaftsleistung 1265 - 1280</t>
  </si>
  <si>
    <t>Wirtschaft (nach Bedarf)</t>
  </si>
  <si>
    <t>Reinigungstage 
 maximal
 (UnterhaltsRG)</t>
  </si>
  <si>
    <t>Sachsen-Anhalt</t>
  </si>
  <si>
    <t>Schmutz-
fang in m²</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</si>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</sst>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lightGray"/>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solid">
        <fgColor indexed="65"/>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204">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36" fillId="0" borderId="0" xfId="0" applyFont="1" applyAlignment="1">
      <alignment vertical="center"/>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0" xfId="0" applyFont="1" applyAlignment="1" applyProtection="1">
      <alignment vertical="center"/>
      <protection locked="0"/>
    </xf>
    <xf numFmtId="0" fontId="4" fillId="0" borderId="11" xfId="0" applyFont="1" applyBorder="1" applyAlignment="1">
      <alignment vertical="center"/>
    </xf>
    <xf numFmtId="0" fontId="4" fillId="0" borderId="11" xfId="0" applyFont="1" applyBorder="1" applyAlignment="1">
      <alignment horizontal="left" vertical="center"/>
    </xf>
    <xf numFmtId="0" fontId="4" fillId="0" borderId="0" xfId="0" applyFont="1" applyAlignment="1">
      <alignment horizontal="center" vertical="center" wrapText="1"/>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10" fillId="0" borderId="0" xfId="39" applyFont="1" applyAlignment="1" applyProtection="1">
      <alignment horizontal="lef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4" fillId="0" borderId="10" xfId="55" applyNumberFormat="1" applyFont="1" applyBorder="1" applyAlignment="1">
      <alignment vertical="center" wrapText="1"/>
    </xf>
    <xf numFmtId="4" fontId="4" fillId="0" borderId="0" xfId="0" applyNumberFormat="1" applyFont="1" applyAlignment="1">
      <alignment horizontal="center" vertical="center"/>
    </xf>
    <xf numFmtId="4" fontId="41" fillId="0" borderId="0" xfId="0" applyNumberFormat="1" applyFont="1" applyAlignment="1">
      <alignment horizontal="center" vertical="center"/>
    </xf>
    <xf numFmtId="0" fontId="4" fillId="24" borderId="10" xfId="55" applyFont="1" applyFill="1" applyBorder="1" applyAlignment="1">
      <alignment horizontal="center" vertical="center"/>
    </xf>
    <xf numFmtId="0" fontId="4" fillId="24" borderId="10" xfId="55" applyFont="1" applyFill="1" applyBorder="1" applyAlignment="1">
      <alignment horizontal="center" vertical="center" wrapText="1"/>
    </xf>
    <xf numFmtId="0" fontId="4" fillId="0" borderId="10" xfId="55" applyFont="1" applyBorder="1" applyAlignment="1">
      <alignment horizontal="center" vertical="center"/>
    </xf>
    <xf numFmtId="4" fontId="4" fillId="31" borderId="10" xfId="55" applyNumberFormat="1" applyFont="1" applyFill="1" applyBorder="1" applyAlignment="1">
      <alignment horizontal="center" vertical="center" wrapText="1"/>
    </xf>
    <xf numFmtId="4" fontId="4" fillId="31" borderId="10" xfId="55" applyNumberFormat="1" applyFont="1" applyFill="1" applyBorder="1" applyAlignment="1">
      <alignment vertical="center" wrapText="1"/>
    </xf>
    <xf numFmtId="0" fontId="43" fillId="0" borderId="0" xfId="55" applyFont="1"/>
    <xf numFmtId="4" fontId="10" fillId="0" borderId="23" xfId="39" applyNumberFormat="1" applyFont="1" applyBorder="1" applyAlignment="1" applyProtection="1">
      <alignment vertical="center" wrapText="1"/>
    </xf>
    <xf numFmtId="4" fontId="4" fillId="0" borderId="10" xfId="0" applyNumberFormat="1" applyFont="1" applyBorder="1" applyAlignment="1">
      <alignment vertical="center" wrapText="1"/>
    </xf>
    <xf numFmtId="3" fontId="4" fillId="0" borderId="10" xfId="0" applyNumberFormat="1" applyFont="1" applyBorder="1" applyAlignment="1">
      <alignment horizontal="center" vertical="center" wrapText="1"/>
    </xf>
    <xf numFmtId="0" fontId="4" fillId="24" borderId="24" xfId="0" applyFont="1" applyFill="1" applyBorder="1" applyAlignment="1">
      <alignment horizontal="center" vertical="center" wrapText="1"/>
    </xf>
    <xf numFmtId="0" fontId="4" fillId="0" borderId="24" xfId="0" applyFont="1" applyBorder="1" applyAlignment="1">
      <alignment vertical="center" wrapText="1"/>
    </xf>
    <xf numFmtId="4" fontId="4" fillId="0" borderId="24" xfId="0" applyNumberFormat="1" applyFont="1" applyBorder="1" applyAlignment="1">
      <alignment vertical="center" wrapText="1"/>
    </xf>
    <xf numFmtId="3" fontId="4" fillId="0" borderId="24" xfId="0" applyNumberFormat="1" applyFont="1" applyBorder="1" applyAlignment="1">
      <alignment horizontal="center"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5" xfId="55" applyFont="1" applyBorder="1" applyAlignment="1">
      <alignment horizontal="center" vertical="center"/>
    </xf>
    <xf numFmtId="0" fontId="4" fillId="0" borderId="25" xfId="55" applyFont="1" applyBorder="1" applyAlignment="1">
      <alignment vertical="center"/>
    </xf>
    <xf numFmtId="0" fontId="4" fillId="0" borderId="25" xfId="55" applyFont="1" applyBorder="1" applyAlignment="1">
      <alignment vertical="center" wrapText="1"/>
    </xf>
    <xf numFmtId="4" fontId="4" fillId="0" borderId="25" xfId="55" applyNumberFormat="1" applyFont="1" applyBorder="1" applyAlignment="1">
      <alignment horizontal="center" vertical="center" wrapText="1"/>
    </xf>
    <xf numFmtId="4" fontId="4" fillId="27" borderId="25" xfId="55" applyNumberFormat="1" applyFont="1" applyFill="1" applyBorder="1" applyAlignment="1">
      <alignment horizontal="right" vertical="center" wrapText="1"/>
    </xf>
    <xf numFmtId="4" fontId="4" fillId="0" borderId="25"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24" borderId="23" xfId="0" applyFont="1" applyFill="1" applyBorder="1" applyAlignment="1">
      <alignment horizontal="center" vertical="center" wrapText="1"/>
    </xf>
    <xf numFmtId="0" fontId="4" fillId="0" borderId="23" xfId="44" applyFont="1" applyBorder="1" applyAlignment="1">
      <alignment vertical="center" wrapText="1"/>
    </xf>
    <xf numFmtId="4" fontId="4" fillId="0" borderId="23" xfId="0" applyNumberFormat="1" applyFont="1" applyBorder="1" applyAlignment="1">
      <alignment horizontal="center" vertical="center" wrapText="1"/>
    </xf>
    <xf numFmtId="4" fontId="4" fillId="0" borderId="23" xfId="0" applyNumberFormat="1" applyFont="1" applyBorder="1" applyAlignment="1">
      <alignment vertical="center" wrapText="1"/>
    </xf>
    <xf numFmtId="0" fontId="4" fillId="27" borderId="23" xfId="0" applyFont="1" applyFill="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9" borderId="0" xfId="0" applyFont="1" applyFill="1" applyAlignment="1">
      <alignment vertical="center"/>
    </xf>
    <xf numFmtId="0" fontId="4" fillId="30"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2" fontId="4" fillId="0" borderId="10" xfId="0" applyNumberFormat="1" applyFont="1" applyBorder="1" applyAlignment="1">
      <alignment horizontal="center" vertical="center" wrapText="1"/>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27" borderId="10" xfId="0" applyNumberFormat="1" applyFont="1" applyFill="1" applyBorder="1" applyAlignment="1">
      <alignment horizontal="center" vertical="center"/>
    </xf>
    <xf numFmtId="4" fontId="41" fillId="28" borderId="10" xfId="0" applyNumberFormat="1" applyFont="1" applyFill="1" applyBorder="1" applyAlignment="1">
      <alignment horizontal="center" vertical="center"/>
    </xf>
    <xf numFmtId="4" fontId="4" fillId="28"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24" borderId="24" xfId="0" applyFont="1" applyFill="1" applyBorder="1" applyAlignment="1">
      <alignment horizontal="center" vertical="center" wrapText="1"/>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0" borderId="0" xfId="55" applyFont="1" applyAlignment="1">
      <alignment horizontal="left"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xf numFmtId="0" fontId="4" fillId="0" borderId="11" xfId="55" applyFont="1" applyBorder="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75">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74"/>
      <tableStyleElement type="headerRow" dxfId="73"/>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1" lockText="1"/>
</file>

<file path=xl/ctrlProps/ctrlProp11.xml><?xml version="1.0" encoding="utf-8"?>
<formControlPr xmlns="http://schemas.microsoft.com/office/spreadsheetml/2009/9/main" objectType="CheckBox" fmlaLink="D2" lockText="1"/>
</file>

<file path=xl/ctrlProps/ctrlProp12.xml><?xml version="1.0" encoding="utf-8"?>
<formControlPr xmlns="http://schemas.microsoft.com/office/spreadsheetml/2009/9/main" objectType="CheckBox" fmlaLink="M2" lockText="1"/>
</file>

<file path=xl/ctrlProps/ctrlProp13.xml><?xml version="1.0" encoding="utf-8"?>
<formControlPr xmlns="http://schemas.microsoft.com/office/spreadsheetml/2009/9/main" objectType="CheckBox" fmlaLink="M3" lockText="1"/>
</file>

<file path=xl/ctrlProps/ctrlProp14.xml><?xml version="1.0" encoding="utf-8"?>
<formControlPr xmlns="http://schemas.microsoft.com/office/spreadsheetml/2009/9/main" objectType="CheckBox" fmlaLink="M4" lockText="1"/>
</file>

<file path=xl/ctrlProps/ctrlProp15.xml><?xml version="1.0" encoding="utf-8"?>
<formControlPr xmlns="http://schemas.microsoft.com/office/spreadsheetml/2009/9/main" objectType="CheckBox" fmlaLink="M5" lockText="1"/>
</file>

<file path=xl/ctrlProps/ctrlProp16.xml><?xml version="1.0" encoding="utf-8"?>
<formControlPr xmlns="http://schemas.microsoft.com/office/spreadsheetml/2009/9/main" objectType="CheckBox" fmlaLink="M2" lockText="1"/>
</file>

<file path=xl/ctrlProps/ctrlProp17.xml><?xml version="1.0" encoding="utf-8"?>
<formControlPr xmlns="http://schemas.microsoft.com/office/spreadsheetml/2009/9/main" objectType="CheckBox" fmlaLink="M3" lockText="1"/>
</file>

<file path=xl/ctrlProps/ctrlProp18.xml><?xml version="1.0" encoding="utf-8"?>
<formControlPr xmlns="http://schemas.microsoft.com/office/spreadsheetml/2009/9/main" objectType="CheckBox" fmlaLink="M4" lockText="1"/>
</file>

<file path=xl/ctrlProps/ctrlProp19.xml><?xml version="1.0" encoding="utf-8"?>
<formControlPr xmlns="http://schemas.microsoft.com/office/spreadsheetml/2009/9/main" objectType="CheckBox" fmlaLink="M5"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2" lockText="1"/>
</file>

<file path=xl/ctrlProps/ctrlProp21.xml><?xml version="1.0" encoding="utf-8"?>
<formControlPr xmlns="http://schemas.microsoft.com/office/spreadsheetml/2009/9/main" objectType="CheckBox" fmlaLink="M3" lockText="1"/>
</file>

<file path=xl/ctrlProps/ctrlProp22.xml><?xml version="1.0" encoding="utf-8"?>
<formControlPr xmlns="http://schemas.microsoft.com/office/spreadsheetml/2009/9/main" objectType="CheckBox" fmlaLink="M4" lockText="1"/>
</file>

<file path=xl/ctrlProps/ctrlProp23.xml><?xml version="1.0" encoding="utf-8"?>
<formControlPr xmlns="http://schemas.microsoft.com/office/spreadsheetml/2009/9/main" objectType="CheckBox" fmlaLink="M5" lockText="1"/>
</file>

<file path=xl/ctrlProps/ctrlProp24.xml><?xml version="1.0" encoding="utf-8"?>
<formControlPr xmlns="http://schemas.microsoft.com/office/spreadsheetml/2009/9/main" objectType="CheckBox" fmlaLink="M2" lockText="1"/>
</file>

<file path=xl/ctrlProps/ctrlProp25.xml><?xml version="1.0" encoding="utf-8"?>
<formControlPr xmlns="http://schemas.microsoft.com/office/spreadsheetml/2009/9/main" objectType="CheckBox" fmlaLink="M3" lockText="1"/>
</file>

<file path=xl/ctrlProps/ctrlProp26.xml><?xml version="1.0" encoding="utf-8"?>
<formControlPr xmlns="http://schemas.microsoft.com/office/spreadsheetml/2009/9/main" objectType="CheckBox" fmlaLink="M4" lockText="1"/>
</file>

<file path=xl/ctrlProps/ctrlProp27.xml><?xml version="1.0" encoding="utf-8"?>
<formControlPr xmlns="http://schemas.microsoft.com/office/spreadsheetml/2009/9/main" objectType="CheckBox" fmlaLink="M5" lockText="1"/>
</file>

<file path=xl/ctrlProps/ctrlProp28.xml><?xml version="1.0" encoding="utf-8"?>
<formControlPr xmlns="http://schemas.microsoft.com/office/spreadsheetml/2009/9/main" objectType="CheckBox" fmlaLink="M2" lockText="1"/>
</file>

<file path=xl/ctrlProps/ctrlProp29.xml><?xml version="1.0" encoding="utf-8"?>
<formControlPr xmlns="http://schemas.microsoft.com/office/spreadsheetml/2009/9/main" objectType="CheckBox" fmlaLink="M3"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4" lockText="1"/>
</file>

<file path=xl/ctrlProps/ctrlProp31.xml><?xml version="1.0" encoding="utf-8"?>
<formControlPr xmlns="http://schemas.microsoft.com/office/spreadsheetml/2009/9/main" objectType="CheckBox" fmlaLink="M5" lockText="1"/>
</file>

<file path=xl/ctrlProps/ctrlProp32.xml><?xml version="1.0" encoding="utf-8"?>
<formControlPr xmlns="http://schemas.microsoft.com/office/spreadsheetml/2009/9/main" objectType="CheckBox" fmlaLink="C2" lockText="1"/>
</file>

<file path=xl/ctrlProps/ctrlProp33.xml><?xml version="1.0" encoding="utf-8"?>
<formControlPr xmlns="http://schemas.microsoft.com/office/spreadsheetml/2009/9/main" objectType="CheckBox" fmlaLink="D2" lockText="1"/>
</file>

<file path=xl/ctrlProps/ctrlProp34.xml><?xml version="1.0" encoding="utf-8"?>
<formControlPr xmlns="http://schemas.microsoft.com/office/spreadsheetml/2009/9/main" objectType="CheckBox" fmlaLink="D2" lockText="1"/>
</file>

<file path=xl/ctrlProps/ctrlProp35.xml><?xml version="1.0" encoding="utf-8"?>
<formControlPr xmlns="http://schemas.microsoft.com/office/spreadsheetml/2009/9/main" objectType="CheckBox" fmlaLink="D1"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B2"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D1" lockText="1"/>
</file>

<file path=xl/ctrlProps/ctrlProp9.xml><?xml version="1.0" encoding="utf-8"?>
<formControlPr xmlns="http://schemas.microsoft.com/office/spreadsheetml/2009/9/main" objectType="CheckBox" fmlaLink="D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9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9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9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9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A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A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A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A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B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C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28575</xdr:rowOff>
        </xdr:from>
        <xdr:to>
          <xdr:col>3</xdr:col>
          <xdr:colOff>809625</xdr:colOff>
          <xdr:row>1</xdr:row>
          <xdr:rowOff>276225</xdr:rowOff>
        </xdr:to>
        <xdr:sp macro="" textlink="">
          <xdr:nvSpPr>
            <xdr:cNvPr id="116737" name="Check Box 1" descr="Hinweis" hidden="1">
              <a:extLst>
                <a:ext uri="{63B3BB69-23CF-44E3-9099-C40C66FF867C}">
                  <a14:compatExt spid="_x0000_s116737"/>
                </a:ext>
                <a:ext uri="{FF2B5EF4-FFF2-40B4-BE49-F238E27FC236}">
                  <a16:creationId xmlns:a16="http://schemas.microsoft.com/office/drawing/2014/main" id="{00000000-0008-0000-0D00-000001C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3073" name="Check Box 1" descr="Hinweis"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6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6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6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7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7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7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7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8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8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8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8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3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3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3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3.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M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24" customWidth="1"/>
    <col min="6" max="7" width="11.5703125" style="3" customWidth="1"/>
    <col min="8" max="8" width="12" style="3" customWidth="1"/>
    <col min="9" max="11" width="11.5703125" style="3" customWidth="1"/>
    <col min="12" max="13" width="12.7109375" style="3" customWidth="1"/>
    <col min="14" max="14" width="11.42578125" style="3" customWidth="1"/>
    <col min="15" max="16384" width="11.42578125" style="3"/>
  </cols>
  <sheetData>
    <row r="1" spans="1:13" x14ac:dyDescent="0.2">
      <c r="A1" s="74"/>
    </row>
    <row r="2" spans="1:13" ht="32.450000000000003" customHeight="1" x14ac:dyDescent="0.2">
      <c r="B2" s="75" t="s">
        <v>91</v>
      </c>
      <c r="G2" s="152" t="s">
        <v>194</v>
      </c>
      <c r="H2" s="152"/>
      <c r="I2" s="151"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51"/>
      <c r="K2" s="151"/>
      <c r="L2" s="151"/>
      <c r="M2" s="151"/>
    </row>
    <row r="3" spans="1:13" ht="15" customHeight="1" x14ac:dyDescent="0.2">
      <c r="B3" s="76" t="s">
        <v>172</v>
      </c>
      <c r="C3" s="23"/>
      <c r="E3" s="76" t="s">
        <v>167</v>
      </c>
      <c r="F3" s="77">
        <v>46235</v>
      </c>
      <c r="G3" s="78"/>
      <c r="H3" s="28" t="b">
        <v>0</v>
      </c>
      <c r="I3" s="151"/>
      <c r="J3" s="151"/>
      <c r="K3" s="151"/>
      <c r="L3" s="151"/>
      <c r="M3" s="151"/>
    </row>
    <row r="4" spans="1:13" ht="15" customHeight="1" x14ac:dyDescent="0.2">
      <c r="B4" s="76" t="s">
        <v>160</v>
      </c>
      <c r="C4" s="23"/>
      <c r="E4" s="76" t="s">
        <v>168</v>
      </c>
      <c r="F4" s="77">
        <v>47695</v>
      </c>
      <c r="G4" s="78"/>
      <c r="H4" s="28" t="b">
        <v>0</v>
      </c>
      <c r="I4" s="151"/>
      <c r="J4" s="151"/>
      <c r="K4" s="151"/>
      <c r="L4" s="151"/>
      <c r="M4" s="151"/>
    </row>
    <row r="5" spans="1:13" ht="15" customHeight="1" x14ac:dyDescent="0.2">
      <c r="B5" s="76" t="s">
        <v>161</v>
      </c>
      <c r="C5" s="23"/>
      <c r="E5" s="76" t="s">
        <v>169</v>
      </c>
      <c r="F5" s="79">
        <v>2</v>
      </c>
      <c r="G5" s="78"/>
      <c r="H5" s="28" t="b">
        <v>0</v>
      </c>
      <c r="I5" s="151"/>
      <c r="J5" s="151"/>
      <c r="K5" s="151"/>
      <c r="L5" s="151"/>
      <c r="M5" s="151"/>
    </row>
    <row r="6" spans="1:13" ht="15" customHeight="1" x14ac:dyDescent="0.2">
      <c r="B6" s="76" t="s">
        <v>162</v>
      </c>
      <c r="C6" s="23"/>
      <c r="E6" s="76" t="s">
        <v>170</v>
      </c>
      <c r="F6" s="77">
        <f>DATE(YEAR($F$4)+$F$5,MONTH($F$4),DAY($F$4))</f>
        <v>48426</v>
      </c>
      <c r="I6" s="151"/>
      <c r="J6" s="151"/>
      <c r="K6" s="151"/>
      <c r="L6" s="151"/>
      <c r="M6" s="151"/>
    </row>
    <row r="7" spans="1:13" ht="15" customHeight="1" x14ac:dyDescent="0.2">
      <c r="B7" s="76" t="s">
        <v>173</v>
      </c>
      <c r="C7" s="23"/>
    </row>
    <row r="8" spans="1:13" ht="15" customHeight="1" x14ac:dyDescent="0.2">
      <c r="B8" s="76" t="s">
        <v>174</v>
      </c>
      <c r="C8" s="23"/>
    </row>
    <row r="9" spans="1:13" ht="15" customHeight="1" x14ac:dyDescent="0.2">
      <c r="B9" s="76" t="s">
        <v>175</v>
      </c>
      <c r="C9" s="23"/>
    </row>
    <row r="10" spans="1:13" ht="15" customHeight="1" x14ac:dyDescent="0.2">
      <c r="B10" s="76" t="s">
        <v>176</v>
      </c>
      <c r="C10" s="23"/>
    </row>
    <row r="11" spans="1:13" ht="15" customHeight="1" x14ac:dyDescent="0.2">
      <c r="B11" s="76" t="s">
        <v>177</v>
      </c>
      <c r="C11" s="23"/>
    </row>
    <row r="12" spans="1:13" ht="24.95" customHeight="1" x14ac:dyDescent="0.2"/>
    <row r="13" spans="1:13" ht="19.899999999999999" customHeight="1" x14ac:dyDescent="0.2">
      <c r="B13" s="4" t="s">
        <v>0</v>
      </c>
      <c r="C13" s="4" t="s">
        <v>200</v>
      </c>
      <c r="E13" s="3"/>
    </row>
    <row r="14" spans="1:13" ht="15" customHeight="1" x14ac:dyDescent="0.2">
      <c r="B14" s="39" t="s">
        <v>184</v>
      </c>
      <c r="E14" s="3"/>
    </row>
    <row r="15" spans="1:13" ht="15" customHeight="1" x14ac:dyDescent="0.2">
      <c r="B15" s="39" t="s">
        <v>304</v>
      </c>
      <c r="E15" s="3"/>
    </row>
    <row r="16" spans="1:13" ht="15" customHeight="1" x14ac:dyDescent="0.2">
      <c r="B16" s="39" t="s">
        <v>305</v>
      </c>
      <c r="E16" s="3"/>
    </row>
    <row r="17" spans="2:13" ht="15" customHeight="1" x14ac:dyDescent="0.2">
      <c r="B17" s="5" t="s">
        <v>306</v>
      </c>
      <c r="C17" s="3"/>
      <c r="E17" s="3"/>
    </row>
    <row r="18" spans="2:13" ht="15" customHeight="1" x14ac:dyDescent="0.2">
      <c r="B18" s="5" t="s">
        <v>307</v>
      </c>
      <c r="C18" s="3"/>
      <c r="E18" s="3"/>
    </row>
    <row r="19" spans="2:13" ht="15" customHeight="1" x14ac:dyDescent="0.2">
      <c r="B19" s="39" t="s">
        <v>154</v>
      </c>
    </row>
    <row r="20" spans="2:13" ht="15" customHeight="1" x14ac:dyDescent="0.2"/>
    <row r="21" spans="2:13" ht="90" customHeight="1" x14ac:dyDescent="0.2">
      <c r="B21" s="80" t="s">
        <v>178</v>
      </c>
      <c r="C21" s="80" t="s">
        <v>179</v>
      </c>
      <c r="D21" s="80" t="s">
        <v>180</v>
      </c>
      <c r="E21" s="80" t="s">
        <v>314</v>
      </c>
      <c r="F21" s="80" t="s">
        <v>293</v>
      </c>
      <c r="G21" s="80" t="s">
        <v>295</v>
      </c>
      <c r="H21" s="80" t="s">
        <v>298</v>
      </c>
      <c r="I21" s="80" t="s">
        <v>297</v>
      </c>
      <c r="J21" s="80" t="s">
        <v>296</v>
      </c>
      <c r="K21" s="80" t="s">
        <v>313</v>
      </c>
      <c r="L21" s="80" t="s">
        <v>308</v>
      </c>
      <c r="M21" s="80" t="s">
        <v>309</v>
      </c>
    </row>
    <row r="22" spans="2:13" ht="15" customHeight="1" x14ac:dyDescent="0.2">
      <c r="B22" s="81" t="s">
        <v>199</v>
      </c>
      <c r="C22" s="81" t="s">
        <v>201</v>
      </c>
      <c r="D22" s="81" t="s">
        <v>202</v>
      </c>
      <c r="E22" s="82">
        <f>'Kal Unter Kita Spatzen'!L21</f>
        <v>239.5</v>
      </c>
      <c r="F22" s="56">
        <f ca="1">'Kal Unter Kita Spatzen'!Q21</f>
        <v>0</v>
      </c>
      <c r="G22" s="56">
        <f>'Kal Grund Kita Spatzen'!Q21</f>
        <v>0</v>
      </c>
      <c r="H22" s="56">
        <f>SUMIF('Kal Verbrauch Gesamt'!$B$5:$B13,$B$22,'Kal Verbrauch Gesamt'!$G$5:$G13)</f>
        <v>0</v>
      </c>
      <c r="I22" s="56">
        <f ca="1">SUMIF('Kal Wirtschaft Gesamt'!$B$5:$B13,$B$22,'Kal Wirtschaft Gesamt'!$J$5:$J13)</f>
        <v>0</v>
      </c>
      <c r="J22" s="56">
        <f ca="1">'Kal Unter Bed Kita Spatzen'!Q21</f>
        <v>0</v>
      </c>
      <c r="K22" s="56">
        <f ca="1">SUM('Kal Wirtschaft Bed'!$J$5:$J$10)</f>
        <v>0</v>
      </c>
      <c r="L22" s="83">
        <f ca="1">ROUND(SUM($F$22:$K$22),2)</f>
        <v>0</v>
      </c>
      <c r="M22" s="83">
        <f ca="1">ROUND($L$22* 1.19,2)</f>
        <v>0</v>
      </c>
    </row>
    <row r="23" spans="2:13" ht="15" customHeight="1" x14ac:dyDescent="0.2">
      <c r="B23" s="81" t="s">
        <v>206</v>
      </c>
      <c r="C23" s="81" t="s">
        <v>207</v>
      </c>
      <c r="D23" s="81" t="s">
        <v>195</v>
      </c>
      <c r="E23" s="82">
        <f>'Kal Unter Kita Winnie P'!L21</f>
        <v>247.5</v>
      </c>
      <c r="F23" s="56">
        <f ca="1">'Kal Unter Kita Winnie P'!Q21</f>
        <v>0</v>
      </c>
      <c r="G23" s="56">
        <f>'Kal Grund Kita Winnie P'!Q21</f>
        <v>0</v>
      </c>
      <c r="H23" s="56">
        <f>SUMIF('Kal Verbrauch Gesamt'!$B$5:$B13,$B$23,'Kal Verbrauch Gesamt'!$G$5:$G13)</f>
        <v>0</v>
      </c>
      <c r="I23" s="56">
        <f ca="1">SUMIF('Kal Wirtschaft Gesamt'!$B$5:$B13,$B$23,'Kal Wirtschaft Gesamt'!$J$5:$J13)</f>
        <v>0</v>
      </c>
      <c r="J23" s="84"/>
      <c r="K23" s="84"/>
      <c r="L23" s="83">
        <f ca="1">ROUND(SUM($F$23:$K$23),2)</f>
        <v>0</v>
      </c>
      <c r="M23" s="83">
        <f ca="1">ROUND($L$23* 1.19,2)</f>
        <v>0</v>
      </c>
    </row>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row r="32" spans="2: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M0SG30oUD5Sk2iWREBg/9an5bAi9/yJLcKMcI2Qkuif4DAIbX7FXlB3WCVXvBDjlUc0aUB0SMIijFSTL2UgaNQ==" saltValue="mZ56/kM7dIxVoONArNmCbQ==" spinCount="100000" sheet="1" objects="1" scenarios="1"/>
  <mergeCells count="2">
    <mergeCell ref="I2:M6"/>
    <mergeCell ref="G2:H2"/>
  </mergeCells>
  <phoneticPr fontId="3" type="noConversion"/>
  <hyperlinks>
    <hyperlink ref="B14" location="'Preisübersicht'!A1" display="Preisübersicht" xr:uid="{F48B3966-29CF-472E-8C42-0C41421AEB1A}"/>
    <hyperlink ref="B15" location="'Preisübersicht (nach Bedarf)'!A1" display="Preisübersicht (nach Bedarf)" xr:uid="{87B0D693-DC60-4921-BAAA-BC8DF19EFA0F}"/>
    <hyperlink ref="B16" location="'SVS UnterhaltsRG'!A1" display="SVS UnterhaltsRG" xr:uid="{96D30F99-8AD2-465E-AFEF-276F795AB47C}"/>
    <hyperlink ref="B17" location="'SVS GrundRG'!A1" display="SVS GrundRG" xr:uid="{1B68F48C-B537-48C4-9C60-0F5A7BDDD6DC}"/>
    <hyperlink ref="B18" location="'SVS Wirtschaft'!A1" display="SVS Wirtschaft" xr:uid="{C375FC7D-2A52-4A9E-A471-1D897952F744}"/>
    <hyperlink ref="B19" location="'Reinigungstage'!A1" display="Reinigungstage" xr:uid="{EA9D68A7-1AA2-4D72-8449-560914B36CF8}"/>
    <hyperlink ref="F22" location="'Kal Unter Kita Spatzen'!$Q$21" display="'Kal Unter Kita Spatzen'!$Q$21" xr:uid="{CD3196BC-EA52-45AA-B806-1B1B88FAD039}"/>
    <hyperlink ref="F23" location="'Kal Unter Kita Winnie P'!$Q$21" display="'Kal Unter Kita Winnie P'!$Q$21" xr:uid="{3CBE2DF2-1852-4447-8FB5-B9ECEBBAC9FC}"/>
    <hyperlink ref="G22" location="'Kal Grund Kita Spatzen'!$Q$21" display="'Kal Grund Kita Spatzen'!$Q$21" xr:uid="{A0BDA472-276D-4187-9461-85C9B8957A3F}"/>
    <hyperlink ref="G23" location="'Kal Grund Kita Winnie P'!$Q$21" display="'Kal Grund Kita Winnie P'!$Q$21" xr:uid="{C9C13090-7F6F-4467-839D-AD1A7009C104}"/>
    <hyperlink ref="H22" location="'Kal Verbrauch Gesamt'!G5:G9" display="'Kal Verbrauch Gesamt'!G5:G9" xr:uid="{DF30C20D-F265-4079-9482-1BD125FF536B}"/>
    <hyperlink ref="H23" location="'Kal Verbrauch Gesamt'!G10:G13" display="'Kal Verbrauch Gesamt'!G10:G13" xr:uid="{E0FC13DF-7F04-422C-91B8-FEDBF02C2CEB}"/>
    <hyperlink ref="I22" location="'Kal Wirtschaft Gesamt'!J5" display="'Kal Wirtschaft Gesamt'!J5" xr:uid="{DED438AC-9B5C-40B8-8E61-425B18A2ACC6}"/>
    <hyperlink ref="I23" location="'Kal Wirtschaft Gesamt'!J6:J13" display="'Kal Wirtschaft Gesamt'!J6:J13" xr:uid="{5E4613A7-D1BE-430E-ACB1-5E2380BC6E0F}"/>
    <hyperlink ref="J22" location="'Kal Unter Bed Kita Spatzen'!$Q$21" display="'Kal Unter Bed Kita Spatzen'!$Q$21" xr:uid="{E8AF7DF6-6C36-4852-B324-C274BFF51845}"/>
    <hyperlink ref="K22" location="'Kal Wirtschaft Bed'!J5:J10" display="'Kal Wirtschaft Bed'!J5:J10" xr:uid="{8F4512C9-E15A-4997-9278-B86E2F56787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BB6D9-370C-45F0-80C1-5FFFB1AB4F6D}">
  <sheetPr codeName="Tabelle33">
    <tabColor indexed="40"/>
  </sheetPr>
  <dimension ref="A1:V60"/>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95" t="s">
        <v>158</v>
      </c>
      <c r="B2" s="196"/>
      <c r="C2" s="196"/>
      <c r="D2" s="196" t="b">
        <v>0</v>
      </c>
      <c r="E2" s="197"/>
      <c r="G2" s="198" t="s">
        <v>171</v>
      </c>
      <c r="H2" s="198" t="s">
        <v>163</v>
      </c>
      <c r="I2" s="198" t="s">
        <v>164</v>
      </c>
      <c r="J2" s="198" t="s">
        <v>183</v>
      </c>
      <c r="M2" s="28" t="b">
        <v>0</v>
      </c>
      <c r="N2" s="15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51"/>
      <c r="P2" s="151"/>
      <c r="Q2" s="151"/>
    </row>
    <row r="3" spans="1:22" ht="21" customHeight="1" x14ac:dyDescent="0.2">
      <c r="A3" s="121" t="s">
        <v>159</v>
      </c>
      <c r="B3" s="122"/>
      <c r="C3" s="122"/>
      <c r="D3" s="122"/>
      <c r="E3" s="123"/>
      <c r="G3" s="199"/>
      <c r="H3" s="199" t="b">
        <v>0</v>
      </c>
      <c r="I3" s="199"/>
      <c r="J3" s="199"/>
      <c r="M3" s="28" t="b">
        <v>0</v>
      </c>
      <c r="N3" s="151"/>
      <c r="O3" s="151"/>
      <c r="P3" s="151"/>
      <c r="Q3" s="151"/>
    </row>
    <row r="4" spans="1:22" ht="15" customHeight="1" x14ac:dyDescent="0.2">
      <c r="A4" s="193" t="s">
        <v>91</v>
      </c>
      <c r="B4" s="181" t="str">
        <f>IF(Inhaltsverzeichnis!C3="","",Inhaltsverzeichnis!C3)</f>
        <v/>
      </c>
      <c r="C4" s="182"/>
      <c r="D4" s="182"/>
      <c r="E4" s="183"/>
      <c r="G4" s="120" t="s">
        <v>258</v>
      </c>
      <c r="H4" s="124"/>
      <c r="I4" s="125">
        <f ca="1">SUMIF('Kal Unter Kita Winnie P'!J22:M38,$G$4,'Kal Unter Kita Winnie P'!M22:M38)</f>
        <v>36783.460000000006</v>
      </c>
      <c r="J4" s="79">
        <f>COUNTIFS('Kal Unter Kita Winnie P'!J22:M38,$G$4)</f>
        <v>5</v>
      </c>
      <c r="M4" s="28" t="b">
        <v>0</v>
      </c>
      <c r="N4" s="151"/>
      <c r="O4" s="151"/>
      <c r="P4" s="151"/>
      <c r="Q4" s="151"/>
      <c r="U4" s="120" t="s">
        <v>258</v>
      </c>
      <c r="V4" s="3">
        <v>132.5</v>
      </c>
    </row>
    <row r="5" spans="1:22" ht="15" customHeight="1" x14ac:dyDescent="0.2">
      <c r="A5" s="194"/>
      <c r="B5" s="184"/>
      <c r="C5" s="185"/>
      <c r="D5" s="185"/>
      <c r="E5" s="186"/>
      <c r="G5" s="120" t="s">
        <v>259</v>
      </c>
      <c r="H5" s="124"/>
      <c r="I5" s="125">
        <f ca="1">SUMIF('Kal Unter Kita Winnie P'!J22:M38,$G$5,'Kal Unter Kita Winnie P'!M22:M38)</f>
        <v>6625.58</v>
      </c>
      <c r="J5" s="79">
        <f>COUNTIFS('Kal Unter Kita Winnie P'!J22:M38,$G$5)</f>
        <v>3</v>
      </c>
      <c r="M5" s="28" t="b">
        <v>0</v>
      </c>
      <c r="N5" s="151"/>
      <c r="O5" s="151"/>
      <c r="P5" s="151"/>
      <c r="Q5" s="151"/>
      <c r="U5" s="120" t="s">
        <v>259</v>
      </c>
      <c r="V5" s="3">
        <v>53.75</v>
      </c>
    </row>
    <row r="6" spans="1:22" ht="15" customHeight="1" x14ac:dyDescent="0.2">
      <c r="A6" s="126" t="s">
        <v>181</v>
      </c>
      <c r="B6" s="187" t="s">
        <v>200</v>
      </c>
      <c r="C6" s="188"/>
      <c r="D6" s="188"/>
      <c r="E6" s="189"/>
      <c r="G6" s="120" t="s">
        <v>262</v>
      </c>
      <c r="H6" s="124"/>
      <c r="I6" s="125">
        <f ca="1">SUMIF('Kal Unter Kita Winnie P'!J22:M38,$G$6,'Kal Unter Kita Winnie P'!M22:M38)</f>
        <v>10929.6</v>
      </c>
      <c r="J6" s="79">
        <f>COUNTIFS('Kal Unter Kita Winnie P'!J22:M38,$G$6)</f>
        <v>1</v>
      </c>
      <c r="U6" s="120" t="s">
        <v>262</v>
      </c>
      <c r="V6" s="3">
        <v>168.75</v>
      </c>
    </row>
    <row r="7" spans="1:22" ht="15" customHeight="1" x14ac:dyDescent="0.2">
      <c r="A7" s="127" t="s">
        <v>179</v>
      </c>
      <c r="B7" s="190" t="s">
        <v>207</v>
      </c>
      <c r="C7" s="188"/>
      <c r="D7" s="188"/>
      <c r="E7" s="189"/>
      <c r="G7" s="120" t="s">
        <v>260</v>
      </c>
      <c r="H7" s="124"/>
      <c r="I7" s="125">
        <f ca="1">SUMIF('Kal Unter Kita Winnie P'!J22:M38,$G$7,'Kal Unter Kita Winnie P'!M22:M38)</f>
        <v>2222.5500000000002</v>
      </c>
      <c r="J7" s="79">
        <f>COUNTIFS('Kal Unter Kita Winnie P'!J22:M38,$G$7)</f>
        <v>5</v>
      </c>
      <c r="U7" s="120" t="s">
        <v>260</v>
      </c>
      <c r="V7" s="3">
        <v>262.5</v>
      </c>
    </row>
    <row r="8" spans="1:22" ht="15" customHeight="1" x14ac:dyDescent="0.2">
      <c r="A8" s="127" t="s">
        <v>180</v>
      </c>
      <c r="B8" s="187"/>
      <c r="C8" s="188"/>
      <c r="D8" s="188"/>
      <c r="E8" s="189"/>
      <c r="G8" s="120" t="s">
        <v>261</v>
      </c>
      <c r="H8" s="124"/>
      <c r="I8" s="125">
        <f ca="1">SUMIF('Kal Unter Kita Winnie P'!J22:M38,$G$8,'Kal Unter Kita Winnie P'!M22:M38)</f>
        <v>11820.61</v>
      </c>
      <c r="J8" s="79">
        <f>COUNTIFS('Kal Unter Kita Winnie P'!J22:M38,$G$8)</f>
        <v>2</v>
      </c>
      <c r="U8" s="120" t="s">
        <v>261</v>
      </c>
      <c r="V8" s="3">
        <v>166.25</v>
      </c>
    </row>
    <row r="9" spans="1:22" ht="15" customHeight="1" x14ac:dyDescent="0.2">
      <c r="A9" s="126" t="s">
        <v>178</v>
      </c>
      <c r="B9" s="191" t="s">
        <v>206</v>
      </c>
      <c r="C9" s="188"/>
      <c r="D9" s="188"/>
      <c r="E9" s="189"/>
      <c r="G9" s="120" t="s">
        <v>264</v>
      </c>
      <c r="H9" s="124"/>
      <c r="I9" s="125">
        <f ca="1">SUMIF('Kal Unter Kita Winnie P'!J22:M38,$G$9,'Kal Unter Kita Winnie P'!M22:M38)</f>
        <v>2291.85</v>
      </c>
      <c r="J9" s="79">
        <f>COUNTIFS('Kal Unter Kita Winnie P'!J22:M38,$G$9)</f>
        <v>1</v>
      </c>
      <c r="U9" s="120" t="s">
        <v>264</v>
      </c>
      <c r="V9" s="3">
        <v>67.5</v>
      </c>
    </row>
    <row r="10" spans="1:22" ht="15" customHeight="1" x14ac:dyDescent="0.2">
      <c r="A10" s="127" t="s">
        <v>160</v>
      </c>
      <c r="B10" s="187" t="s">
        <v>208</v>
      </c>
      <c r="C10" s="188"/>
      <c r="D10" s="188"/>
      <c r="E10" s="189"/>
    </row>
    <row r="11" spans="1:22" ht="15" customHeight="1" x14ac:dyDescent="0.2">
      <c r="A11" s="127" t="s">
        <v>161</v>
      </c>
      <c r="B11" s="192" t="s">
        <v>204</v>
      </c>
      <c r="C11" s="188"/>
      <c r="D11" s="188"/>
      <c r="E11" s="189"/>
      <c r="M11" s="3" t="str">
        <f>IF(N13&gt;0,"Bitte die Leistungswerte im Leistungsverzeichnis/ Tabellenblatt Leistungsrichtwerte","")</f>
        <v/>
      </c>
    </row>
    <row r="12" spans="1:22" ht="15" customHeight="1" x14ac:dyDescent="0.2">
      <c r="A12" s="127" t="s">
        <v>162</v>
      </c>
      <c r="B12" s="187" t="s">
        <v>209</v>
      </c>
      <c r="C12" s="188"/>
      <c r="D12" s="188"/>
      <c r="E12" s="189"/>
      <c r="M12" s="3" t="str">
        <f>IF(N13&gt;0,"für die Objektart prüfen.","")</f>
        <v/>
      </c>
    </row>
    <row r="13" spans="1:22" ht="15" customHeight="1" x14ac:dyDescent="0.2">
      <c r="A13" s="127" t="s">
        <v>165</v>
      </c>
      <c r="B13" s="178" t="str">
        <f>HYPERLINK("http://maps.google.de/maps?hl=de&amp;bav=on.2,or.r_qf.&amp;bvm=bv.44770516,d.Yms&amp;biw=1395&amp;bih=916&amp;um=1&amp;ie=UTF-8&amp;q="&amp;B7&amp;"+"&amp;B8&amp;"+"&amp;B10&amp;"+"&amp;B11&amp;"+"&amp;B12&amp;"","In Google-Maps anzeigen (wenn Internet verfügbar)")</f>
        <v>In Google-Maps anzeigen (wenn Internet verfügbar)</v>
      </c>
      <c r="C13" s="179"/>
      <c r="D13" s="179"/>
      <c r="E13" s="180"/>
      <c r="N13" s="128">
        <f>COUNTIF(V22:V$38,1)</f>
        <v>0</v>
      </c>
      <c r="O13" s="3" t="str">
        <f>IF(N13&gt;0,"Wert(e) überschritten, bitte mit dem Angebot plausibel darlegen.","")</f>
        <v/>
      </c>
    </row>
    <row r="14" spans="1:22" ht="15" customHeight="1" x14ac:dyDescent="0.2">
      <c r="N14" s="129">
        <f>COUNTIF(V22:V$38,0)</f>
        <v>17</v>
      </c>
      <c r="O14" s="3" t="str">
        <f>IF(N14&gt;0,"Wert(e) korrekt","")</f>
        <v>Wert(e) korrekt</v>
      </c>
      <c r="T14" s="130">
        <f>IF(COUNTA($T$22:$T$38)-COUNTBLANK($T$22:$T$38)=0,"",COUNTA($T$22:$T$38)-COUNTBLANK($T$22:$T$38))</f>
        <v>14</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316</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31" t="s">
        <v>124</v>
      </c>
      <c r="B21" s="12"/>
      <c r="C21" s="12"/>
      <c r="D21" s="12"/>
      <c r="E21" s="12"/>
      <c r="F21" s="12"/>
      <c r="G21" s="132">
        <f>SUM($G$22:$G$38)</f>
        <v>315.29000000000002</v>
      </c>
      <c r="H21" s="132">
        <f>SUM($H$22:$H$38)</f>
        <v>0</v>
      </c>
      <c r="I21" s="132">
        <f>SUM($I$22:$I$38)</f>
        <v>2.6</v>
      </c>
      <c r="J21" s="57"/>
      <c r="K21" s="57"/>
      <c r="L21" s="133">
        <f>MAX(L22:L38)</f>
        <v>247.5</v>
      </c>
      <c r="M21" s="132">
        <f>SUM($M$22:$M$38)</f>
        <v>70673.650000000009</v>
      </c>
      <c r="N21" s="57"/>
      <c r="O21" s="57"/>
      <c r="P21" s="132">
        <f>SUM($P$22:$P$38)</f>
        <v>0</v>
      </c>
      <c r="Q21" s="132">
        <f ca="1">SUM($Q$22:$Q$38)</f>
        <v>0</v>
      </c>
      <c r="R21" s="132">
        <f>ROUND(IF(L21=0,0,P21/L21),2)</f>
        <v>0</v>
      </c>
      <c r="S21" s="132">
        <f ca="1">ROUND(IF(L21=0,0,Q21/L21),2)</f>
        <v>0</v>
      </c>
    </row>
    <row r="22" spans="1:22" ht="15" customHeight="1" x14ac:dyDescent="0.2">
      <c r="A22" s="120">
        <v>1</v>
      </c>
      <c r="B22" s="134"/>
      <c r="C22" s="135" t="s">
        <v>213</v>
      </c>
      <c r="D22" s="135"/>
      <c r="E22" s="135" t="s">
        <v>265</v>
      </c>
      <c r="F22" s="135" t="s">
        <v>216</v>
      </c>
      <c r="G22" s="136">
        <v>6.73</v>
      </c>
      <c r="H22" s="136"/>
      <c r="I22" s="139">
        <v>2.6</v>
      </c>
      <c r="J22" s="120" t="s">
        <v>261</v>
      </c>
      <c r="K22" s="136">
        <v>5</v>
      </c>
      <c r="L22" s="57">
        <f>VLOOKUP(K22,Reinigungstage!A10:C31,3,FALSE)</f>
        <v>247.5</v>
      </c>
      <c r="M22" s="57">
        <f t="shared" ref="M22:M38" si="0">ROUND(IF(L22=0,0,L22*G22),2)</f>
        <v>1665.68</v>
      </c>
      <c r="N22" s="137">
        <f t="shared" ref="N22:N38" si="1">VLOOKUP(J22,$G$4:$H$9,2,FALSE)</f>
        <v>0</v>
      </c>
      <c r="O22" s="57">
        <f ca="1">IF('SVS UnterhaltsRG'!H61="",0,'SVS UnterhaltsRG'!H61)</f>
        <v>0</v>
      </c>
      <c r="P22" s="57">
        <f t="shared" ref="P22:P38" si="2">ROUND(IF(N22=0,0,M22/N22),2)</f>
        <v>0</v>
      </c>
      <c r="Q22" s="57">
        <f t="shared" ref="Q22:Q38" ca="1" si="3">IF(M22=0,0,IF(O22="",0,ROUND(P22*O22,2)))</f>
        <v>0</v>
      </c>
      <c r="R22" s="57">
        <f t="shared" ref="R22:R38" si="4">ROUND(IF(P22=0,0,P22/L22),2)</f>
        <v>0</v>
      </c>
      <c r="S22" s="57">
        <f t="shared" ref="S22:S38" ca="1" si="5">ROUND(IF(Q22=0,0,Q22/L22),2)</f>
        <v>0</v>
      </c>
      <c r="T22" s="3" t="str">
        <f t="shared" ref="T22:T38" si="6">IF(M22=0,"",IF(N22=0,"Leistungswert eintragen",IF(O22=0,"SVS prüfen","")))</f>
        <v>Leistungswert eintragen</v>
      </c>
      <c r="U22" s="3">
        <f t="shared" ref="U22:U38" si="7">VLOOKUP(J22,$U$4:$V$9,2,FALSE)</f>
        <v>166.25</v>
      </c>
      <c r="V22" s="3">
        <f t="shared" ref="V22:V38" si="8">IF(M22=0,0,IF(U22&lt;N22,1,IF(U22&gt;=N22,0,"")))</f>
        <v>0</v>
      </c>
    </row>
    <row r="23" spans="1:22" ht="15" customHeight="1" x14ac:dyDescent="0.2">
      <c r="A23" s="120">
        <v>2</v>
      </c>
      <c r="B23" s="134"/>
      <c r="C23" s="135" t="s">
        <v>213</v>
      </c>
      <c r="D23" s="135"/>
      <c r="E23" s="135" t="s">
        <v>238</v>
      </c>
      <c r="F23" s="135" t="s">
        <v>216</v>
      </c>
      <c r="G23" s="136">
        <v>41.03</v>
      </c>
      <c r="H23" s="136"/>
      <c r="I23" s="136"/>
      <c r="J23" s="120" t="s">
        <v>261</v>
      </c>
      <c r="K23" s="136">
        <v>5</v>
      </c>
      <c r="L23" s="57">
        <f>VLOOKUP(K23,Reinigungstage!A10:C31,3,FALSE)</f>
        <v>247.5</v>
      </c>
      <c r="M23" s="57">
        <f t="shared" si="0"/>
        <v>10154.93</v>
      </c>
      <c r="N23" s="137">
        <f t="shared" si="1"/>
        <v>0</v>
      </c>
      <c r="O23" s="57">
        <f ca="1">IF('SVS UnterhaltsRG'!H61="",0,'SVS UnterhaltsRG'!H61)</f>
        <v>0</v>
      </c>
      <c r="P23" s="57">
        <f t="shared" si="2"/>
        <v>0</v>
      </c>
      <c r="Q23" s="57">
        <f t="shared" ca="1" si="3"/>
        <v>0</v>
      </c>
      <c r="R23" s="57">
        <f t="shared" si="4"/>
        <v>0</v>
      </c>
      <c r="S23" s="57">
        <f t="shared" ca="1" si="5"/>
        <v>0</v>
      </c>
      <c r="T23" s="3" t="str">
        <f t="shared" si="6"/>
        <v>Leistungswert eintragen</v>
      </c>
      <c r="U23" s="3">
        <f t="shared" si="7"/>
        <v>166.25</v>
      </c>
      <c r="V23" s="3">
        <f t="shared" si="8"/>
        <v>0</v>
      </c>
    </row>
    <row r="24" spans="1:22" ht="15" customHeight="1" x14ac:dyDescent="0.2">
      <c r="A24" s="120">
        <v>3</v>
      </c>
      <c r="B24" s="134"/>
      <c r="C24" s="135" t="s">
        <v>213</v>
      </c>
      <c r="D24" s="135"/>
      <c r="E24" s="135" t="s">
        <v>266</v>
      </c>
      <c r="F24" s="135" t="s">
        <v>267</v>
      </c>
      <c r="G24" s="136">
        <v>10.050000000000001</v>
      </c>
      <c r="H24" s="136"/>
      <c r="I24" s="136"/>
      <c r="J24" s="120" t="s">
        <v>258</v>
      </c>
      <c r="K24" s="136">
        <v>5</v>
      </c>
      <c r="L24" s="57">
        <f>VLOOKUP(K24,Reinigungstage!A10:C31,3,FALSE)</f>
        <v>247.5</v>
      </c>
      <c r="M24" s="57">
        <f t="shared" si="0"/>
        <v>2487.38</v>
      </c>
      <c r="N24" s="137">
        <f t="shared" si="1"/>
        <v>0</v>
      </c>
      <c r="O24" s="57">
        <f ca="1">IF('SVS UnterhaltsRG'!H61="",0,'SVS UnterhaltsRG'!H61)</f>
        <v>0</v>
      </c>
      <c r="P24" s="57">
        <f t="shared" si="2"/>
        <v>0</v>
      </c>
      <c r="Q24" s="57">
        <f t="shared" ca="1" si="3"/>
        <v>0</v>
      </c>
      <c r="R24" s="57">
        <f t="shared" si="4"/>
        <v>0</v>
      </c>
      <c r="S24" s="57">
        <f t="shared" ca="1" si="5"/>
        <v>0</v>
      </c>
      <c r="T24" s="3" t="str">
        <f t="shared" si="6"/>
        <v>Leistungswert eintragen</v>
      </c>
      <c r="U24" s="3">
        <f t="shared" si="7"/>
        <v>132.5</v>
      </c>
      <c r="V24" s="3">
        <f t="shared" si="8"/>
        <v>0</v>
      </c>
    </row>
    <row r="25" spans="1:22" ht="15" customHeight="1" x14ac:dyDescent="0.2">
      <c r="A25" s="120">
        <v>4</v>
      </c>
      <c r="B25" s="134"/>
      <c r="C25" s="135" t="s">
        <v>213</v>
      </c>
      <c r="D25" s="135"/>
      <c r="E25" s="135" t="s">
        <v>248</v>
      </c>
      <c r="F25" s="135" t="s">
        <v>219</v>
      </c>
      <c r="G25" s="136">
        <v>16.600000000000001</v>
      </c>
      <c r="H25" s="136"/>
      <c r="I25" s="136"/>
      <c r="J25" s="120" t="s">
        <v>260</v>
      </c>
      <c r="K25" s="136">
        <v>0</v>
      </c>
      <c r="L25" s="57">
        <f>VLOOKUP(K25,Reinigungstage!A10:C31,3,FALSE)</f>
        <v>0</v>
      </c>
      <c r="M25" s="57">
        <f t="shared" si="0"/>
        <v>0</v>
      </c>
      <c r="N25" s="137">
        <f t="shared" si="1"/>
        <v>0</v>
      </c>
      <c r="O25" s="57">
        <f ca="1">IF('SVS UnterhaltsRG'!H61="",0,'SVS UnterhaltsRG'!H61)</f>
        <v>0</v>
      </c>
      <c r="P25" s="57">
        <f t="shared" si="2"/>
        <v>0</v>
      </c>
      <c r="Q25" s="57">
        <f t="shared" si="3"/>
        <v>0</v>
      </c>
      <c r="R25" s="57">
        <f t="shared" si="4"/>
        <v>0</v>
      </c>
      <c r="S25" s="57">
        <f t="shared" si="5"/>
        <v>0</v>
      </c>
      <c r="T25" s="3" t="str">
        <f t="shared" si="6"/>
        <v/>
      </c>
      <c r="U25" s="3">
        <f t="shared" si="7"/>
        <v>262.5</v>
      </c>
      <c r="V25" s="3">
        <f t="shared" si="8"/>
        <v>0</v>
      </c>
    </row>
    <row r="26" spans="1:22" ht="15" customHeight="1" x14ac:dyDescent="0.2">
      <c r="A26" s="120">
        <v>5</v>
      </c>
      <c r="B26" s="134"/>
      <c r="C26" s="135" t="s">
        <v>213</v>
      </c>
      <c r="D26" s="135"/>
      <c r="E26" s="135" t="s">
        <v>268</v>
      </c>
      <c r="F26" s="135" t="s">
        <v>216</v>
      </c>
      <c r="G26" s="136">
        <v>44.16</v>
      </c>
      <c r="H26" s="136"/>
      <c r="I26" s="136"/>
      <c r="J26" s="120" t="s">
        <v>262</v>
      </c>
      <c r="K26" s="136">
        <v>5</v>
      </c>
      <c r="L26" s="57">
        <f>VLOOKUP(K26,Reinigungstage!A10:C31,3,FALSE)</f>
        <v>247.5</v>
      </c>
      <c r="M26" s="57">
        <f t="shared" si="0"/>
        <v>10929.6</v>
      </c>
      <c r="N26" s="137">
        <f t="shared" si="1"/>
        <v>0</v>
      </c>
      <c r="O26" s="57">
        <f ca="1">IF('SVS UnterhaltsRG'!H61="",0,'SVS UnterhaltsRG'!H61)</f>
        <v>0</v>
      </c>
      <c r="P26" s="57">
        <f t="shared" si="2"/>
        <v>0</v>
      </c>
      <c r="Q26" s="57">
        <f t="shared" ca="1" si="3"/>
        <v>0</v>
      </c>
      <c r="R26" s="57">
        <f t="shared" si="4"/>
        <v>0</v>
      </c>
      <c r="S26" s="57">
        <f t="shared" ca="1" si="5"/>
        <v>0</v>
      </c>
      <c r="T26" s="3" t="str">
        <f t="shared" si="6"/>
        <v>Leistungswert eintragen</v>
      </c>
      <c r="U26" s="3">
        <f t="shared" si="7"/>
        <v>168.75</v>
      </c>
      <c r="V26" s="3">
        <f t="shared" si="8"/>
        <v>0</v>
      </c>
    </row>
    <row r="27" spans="1:22" ht="15" customHeight="1" x14ac:dyDescent="0.2">
      <c r="A27" s="120">
        <v>6</v>
      </c>
      <c r="B27" s="134"/>
      <c r="C27" s="135" t="s">
        <v>213</v>
      </c>
      <c r="D27" s="135"/>
      <c r="E27" s="135" t="s">
        <v>226</v>
      </c>
      <c r="F27" s="135" t="s">
        <v>267</v>
      </c>
      <c r="G27" s="136">
        <v>26.9</v>
      </c>
      <c r="H27" s="136"/>
      <c r="I27" s="136"/>
      <c r="J27" s="120" t="s">
        <v>258</v>
      </c>
      <c r="K27" s="136">
        <v>5</v>
      </c>
      <c r="L27" s="57">
        <f>VLOOKUP(K27,Reinigungstage!A10:C31,3,FALSE)</f>
        <v>247.5</v>
      </c>
      <c r="M27" s="57">
        <f t="shared" si="0"/>
        <v>6657.75</v>
      </c>
      <c r="N27" s="137">
        <f t="shared" si="1"/>
        <v>0</v>
      </c>
      <c r="O27" s="57">
        <f ca="1">IF('SVS UnterhaltsRG'!H61="",0,'SVS UnterhaltsRG'!H61)</f>
        <v>0</v>
      </c>
      <c r="P27" s="57">
        <f t="shared" si="2"/>
        <v>0</v>
      </c>
      <c r="Q27" s="57">
        <f t="shared" ca="1" si="3"/>
        <v>0</v>
      </c>
      <c r="R27" s="57">
        <f t="shared" si="4"/>
        <v>0</v>
      </c>
      <c r="S27" s="57">
        <f t="shared" ca="1" si="5"/>
        <v>0</v>
      </c>
      <c r="T27" s="3" t="str">
        <f t="shared" si="6"/>
        <v>Leistungswert eintragen</v>
      </c>
      <c r="U27" s="3">
        <f t="shared" si="7"/>
        <v>132.5</v>
      </c>
      <c r="V27" s="3">
        <f t="shared" si="8"/>
        <v>0</v>
      </c>
    </row>
    <row r="28" spans="1:22" ht="15" customHeight="1" x14ac:dyDescent="0.2">
      <c r="A28" s="120">
        <v>7</v>
      </c>
      <c r="B28" s="134"/>
      <c r="C28" s="135" t="s">
        <v>213</v>
      </c>
      <c r="D28" s="135"/>
      <c r="E28" s="135" t="s">
        <v>269</v>
      </c>
      <c r="F28" s="135" t="s">
        <v>219</v>
      </c>
      <c r="G28" s="136">
        <v>13.76</v>
      </c>
      <c r="H28" s="136"/>
      <c r="I28" s="136"/>
      <c r="J28" s="120" t="s">
        <v>259</v>
      </c>
      <c r="K28" s="136">
        <v>5</v>
      </c>
      <c r="L28" s="57">
        <f>VLOOKUP(K28,Reinigungstage!A10:C31,3,FALSE)</f>
        <v>247.5</v>
      </c>
      <c r="M28" s="57">
        <f t="shared" si="0"/>
        <v>3405.6</v>
      </c>
      <c r="N28" s="137">
        <f t="shared" si="1"/>
        <v>0</v>
      </c>
      <c r="O28" s="57">
        <f ca="1">IF('SVS UnterhaltsRG'!H61="",0,'SVS UnterhaltsRG'!H61)</f>
        <v>0</v>
      </c>
      <c r="P28" s="57">
        <f t="shared" si="2"/>
        <v>0</v>
      </c>
      <c r="Q28" s="57">
        <f t="shared" ca="1" si="3"/>
        <v>0</v>
      </c>
      <c r="R28" s="57">
        <f t="shared" si="4"/>
        <v>0</v>
      </c>
      <c r="S28" s="57">
        <f t="shared" ca="1" si="5"/>
        <v>0</v>
      </c>
      <c r="T28" s="3" t="str">
        <f t="shared" si="6"/>
        <v>Leistungswert eintragen</v>
      </c>
      <c r="U28" s="3">
        <f t="shared" si="7"/>
        <v>53.75</v>
      </c>
      <c r="V28" s="3">
        <f t="shared" si="8"/>
        <v>0</v>
      </c>
    </row>
    <row r="29" spans="1:22" ht="15" customHeight="1" x14ac:dyDescent="0.2">
      <c r="A29" s="120">
        <v>8</v>
      </c>
      <c r="B29" s="134"/>
      <c r="C29" s="135" t="s">
        <v>213</v>
      </c>
      <c r="D29" s="135"/>
      <c r="E29" s="135" t="s">
        <v>270</v>
      </c>
      <c r="F29" s="135" t="s">
        <v>219</v>
      </c>
      <c r="G29" s="136">
        <v>3.94</v>
      </c>
      <c r="H29" s="136"/>
      <c r="I29" s="136"/>
      <c r="J29" s="120" t="s">
        <v>259</v>
      </c>
      <c r="K29" s="136">
        <v>5</v>
      </c>
      <c r="L29" s="57">
        <f>VLOOKUP(K29,Reinigungstage!A10:C31,3,FALSE)</f>
        <v>247.5</v>
      </c>
      <c r="M29" s="57">
        <f t="shared" si="0"/>
        <v>975.15</v>
      </c>
      <c r="N29" s="137">
        <f t="shared" si="1"/>
        <v>0</v>
      </c>
      <c r="O29" s="57">
        <f ca="1">IF('SVS UnterhaltsRG'!H61="",0,'SVS UnterhaltsRG'!H61)</f>
        <v>0</v>
      </c>
      <c r="P29" s="57">
        <f t="shared" si="2"/>
        <v>0</v>
      </c>
      <c r="Q29" s="57">
        <f t="shared" ca="1" si="3"/>
        <v>0</v>
      </c>
      <c r="R29" s="57">
        <f t="shared" si="4"/>
        <v>0</v>
      </c>
      <c r="S29" s="57">
        <f t="shared" ca="1" si="5"/>
        <v>0</v>
      </c>
      <c r="T29" s="3" t="str">
        <f t="shared" si="6"/>
        <v>Leistungswert eintragen</v>
      </c>
      <c r="U29" s="3">
        <f t="shared" si="7"/>
        <v>53.75</v>
      </c>
      <c r="V29" s="3">
        <f t="shared" si="8"/>
        <v>0</v>
      </c>
    </row>
    <row r="30" spans="1:22" ht="15" customHeight="1" x14ac:dyDescent="0.2">
      <c r="A30" s="120">
        <v>9</v>
      </c>
      <c r="B30" s="134"/>
      <c r="C30" s="135" t="s">
        <v>213</v>
      </c>
      <c r="D30" s="135"/>
      <c r="E30" s="135" t="s">
        <v>270</v>
      </c>
      <c r="F30" s="135" t="s">
        <v>219</v>
      </c>
      <c r="G30" s="136">
        <v>9.07</v>
      </c>
      <c r="H30" s="136"/>
      <c r="I30" s="136"/>
      <c r="J30" s="120" t="s">
        <v>259</v>
      </c>
      <c r="K30" s="136">
        <v>5</v>
      </c>
      <c r="L30" s="57">
        <f>VLOOKUP(K30,Reinigungstage!A10:C31,3,FALSE)</f>
        <v>247.5</v>
      </c>
      <c r="M30" s="57">
        <f t="shared" si="0"/>
        <v>2244.83</v>
      </c>
      <c r="N30" s="137">
        <f t="shared" si="1"/>
        <v>0</v>
      </c>
      <c r="O30" s="57">
        <f ca="1">IF('SVS UnterhaltsRG'!H61="",0,'SVS UnterhaltsRG'!H61)</f>
        <v>0</v>
      </c>
      <c r="P30" s="57">
        <f t="shared" si="2"/>
        <v>0</v>
      </c>
      <c r="Q30" s="57">
        <f t="shared" ca="1" si="3"/>
        <v>0</v>
      </c>
      <c r="R30" s="57">
        <f t="shared" si="4"/>
        <v>0</v>
      </c>
      <c r="S30" s="57">
        <f t="shared" ca="1" si="5"/>
        <v>0</v>
      </c>
      <c r="T30" s="3" t="str">
        <f t="shared" si="6"/>
        <v>Leistungswert eintragen</v>
      </c>
      <c r="U30" s="3">
        <f t="shared" si="7"/>
        <v>53.75</v>
      </c>
      <c r="V30" s="3">
        <f t="shared" si="8"/>
        <v>0</v>
      </c>
    </row>
    <row r="31" spans="1:22" ht="15" customHeight="1" x14ac:dyDescent="0.2">
      <c r="A31" s="120">
        <v>10</v>
      </c>
      <c r="B31" s="134"/>
      <c r="C31" s="135" t="s">
        <v>213</v>
      </c>
      <c r="D31" s="135"/>
      <c r="E31" s="135" t="s">
        <v>215</v>
      </c>
      <c r="F31" s="135" t="s">
        <v>216</v>
      </c>
      <c r="G31" s="136">
        <v>50.95</v>
      </c>
      <c r="H31" s="136"/>
      <c r="I31" s="136"/>
      <c r="J31" s="120" t="s">
        <v>258</v>
      </c>
      <c r="K31" s="136">
        <v>5</v>
      </c>
      <c r="L31" s="57">
        <f>VLOOKUP(K31,Reinigungstage!A10:C31,3,FALSE)</f>
        <v>247.5</v>
      </c>
      <c r="M31" s="57">
        <f t="shared" si="0"/>
        <v>12610.13</v>
      </c>
      <c r="N31" s="137">
        <f t="shared" si="1"/>
        <v>0</v>
      </c>
      <c r="O31" s="57">
        <f ca="1">IF('SVS UnterhaltsRG'!H61="",0,'SVS UnterhaltsRG'!H61)</f>
        <v>0</v>
      </c>
      <c r="P31" s="57">
        <f t="shared" si="2"/>
        <v>0</v>
      </c>
      <c r="Q31" s="57">
        <f t="shared" ca="1" si="3"/>
        <v>0</v>
      </c>
      <c r="R31" s="57">
        <f t="shared" si="4"/>
        <v>0</v>
      </c>
      <c r="S31" s="57">
        <f t="shared" ca="1" si="5"/>
        <v>0</v>
      </c>
      <c r="T31" s="3" t="str">
        <f t="shared" si="6"/>
        <v>Leistungswert eintragen</v>
      </c>
      <c r="U31" s="3">
        <f t="shared" si="7"/>
        <v>132.5</v>
      </c>
      <c r="V31" s="3">
        <f t="shared" si="8"/>
        <v>0</v>
      </c>
    </row>
    <row r="32" spans="1:22" ht="15" customHeight="1" x14ac:dyDescent="0.2">
      <c r="A32" s="120">
        <v>11</v>
      </c>
      <c r="B32" s="134"/>
      <c r="C32" s="135" t="s">
        <v>213</v>
      </c>
      <c r="D32" s="135"/>
      <c r="E32" s="135" t="s">
        <v>215</v>
      </c>
      <c r="F32" s="135" t="s">
        <v>216</v>
      </c>
      <c r="G32" s="136">
        <v>50.74</v>
      </c>
      <c r="H32" s="136"/>
      <c r="I32" s="136"/>
      <c r="J32" s="120" t="s">
        <v>258</v>
      </c>
      <c r="K32" s="136">
        <v>5</v>
      </c>
      <c r="L32" s="57">
        <f>VLOOKUP(K32,Reinigungstage!A10:C31,3,FALSE)</f>
        <v>247.5</v>
      </c>
      <c r="M32" s="57">
        <f t="shared" si="0"/>
        <v>12558.15</v>
      </c>
      <c r="N32" s="137">
        <f t="shared" si="1"/>
        <v>0</v>
      </c>
      <c r="O32" s="57">
        <f ca="1">IF('SVS UnterhaltsRG'!H61="",0,'SVS UnterhaltsRG'!H61)</f>
        <v>0</v>
      </c>
      <c r="P32" s="57">
        <f t="shared" si="2"/>
        <v>0</v>
      </c>
      <c r="Q32" s="57">
        <f t="shared" ca="1" si="3"/>
        <v>0</v>
      </c>
      <c r="R32" s="57">
        <f t="shared" si="4"/>
        <v>0</v>
      </c>
      <c r="S32" s="57">
        <f t="shared" ca="1" si="5"/>
        <v>0</v>
      </c>
      <c r="T32" s="3" t="str">
        <f t="shared" si="6"/>
        <v>Leistungswert eintragen</v>
      </c>
      <c r="U32" s="3">
        <f t="shared" si="7"/>
        <v>132.5</v>
      </c>
      <c r="V32" s="3">
        <f t="shared" si="8"/>
        <v>0</v>
      </c>
    </row>
    <row r="33" spans="1:22" ht="15" customHeight="1" x14ac:dyDescent="0.2">
      <c r="A33" s="120">
        <v>12</v>
      </c>
      <c r="B33" s="134"/>
      <c r="C33" s="135" t="s">
        <v>213</v>
      </c>
      <c r="D33" s="135"/>
      <c r="E33" s="135" t="s">
        <v>256</v>
      </c>
      <c r="F33" s="135" t="s">
        <v>219</v>
      </c>
      <c r="G33" s="136">
        <v>9.26</v>
      </c>
      <c r="H33" s="136"/>
      <c r="I33" s="136"/>
      <c r="J33" s="120" t="s">
        <v>264</v>
      </c>
      <c r="K33" s="136">
        <v>5</v>
      </c>
      <c r="L33" s="57">
        <f>VLOOKUP(K33,Reinigungstage!A10:C31,3,FALSE)</f>
        <v>247.5</v>
      </c>
      <c r="M33" s="57">
        <f t="shared" si="0"/>
        <v>2291.85</v>
      </c>
      <c r="N33" s="137">
        <f t="shared" si="1"/>
        <v>0</v>
      </c>
      <c r="O33" s="57">
        <f ca="1">IF('SVS UnterhaltsRG'!H61="",0,'SVS UnterhaltsRG'!H61)</f>
        <v>0</v>
      </c>
      <c r="P33" s="57">
        <f t="shared" si="2"/>
        <v>0</v>
      </c>
      <c r="Q33" s="57">
        <f t="shared" ca="1" si="3"/>
        <v>0</v>
      </c>
      <c r="R33" s="57">
        <f t="shared" si="4"/>
        <v>0</v>
      </c>
      <c r="S33" s="57">
        <f t="shared" ca="1" si="5"/>
        <v>0</v>
      </c>
      <c r="T33" s="3" t="str">
        <f t="shared" si="6"/>
        <v>Leistungswert eintragen</v>
      </c>
      <c r="U33" s="3">
        <f t="shared" si="7"/>
        <v>67.5</v>
      </c>
      <c r="V33" s="3">
        <f t="shared" si="8"/>
        <v>0</v>
      </c>
    </row>
    <row r="34" spans="1:22" ht="15" customHeight="1" x14ac:dyDescent="0.2">
      <c r="A34" s="120">
        <v>13</v>
      </c>
      <c r="B34" s="134"/>
      <c r="C34" s="135" t="s">
        <v>213</v>
      </c>
      <c r="D34" s="135"/>
      <c r="E34" s="135" t="s">
        <v>271</v>
      </c>
      <c r="F34" s="135" t="s">
        <v>216</v>
      </c>
      <c r="G34" s="136">
        <v>3.48</v>
      </c>
      <c r="H34" s="136"/>
      <c r="I34" s="136"/>
      <c r="J34" s="120" t="s">
        <v>260</v>
      </c>
      <c r="K34" s="136">
        <v>5</v>
      </c>
      <c r="L34" s="57">
        <f>VLOOKUP(K34,Reinigungstage!A10:C31,3,FALSE)</f>
        <v>247.5</v>
      </c>
      <c r="M34" s="57">
        <f t="shared" si="0"/>
        <v>861.3</v>
      </c>
      <c r="N34" s="137">
        <f t="shared" si="1"/>
        <v>0</v>
      </c>
      <c r="O34" s="57">
        <f ca="1">IF('SVS UnterhaltsRG'!H61="",0,'SVS UnterhaltsRG'!H61)</f>
        <v>0</v>
      </c>
      <c r="P34" s="57">
        <f t="shared" si="2"/>
        <v>0</v>
      </c>
      <c r="Q34" s="57">
        <f t="shared" ca="1" si="3"/>
        <v>0</v>
      </c>
      <c r="R34" s="57">
        <f t="shared" si="4"/>
        <v>0</v>
      </c>
      <c r="S34" s="57">
        <f t="shared" ca="1" si="5"/>
        <v>0</v>
      </c>
      <c r="T34" s="3" t="str">
        <f t="shared" si="6"/>
        <v>Leistungswert eintragen</v>
      </c>
      <c r="U34" s="3">
        <f t="shared" si="7"/>
        <v>262.5</v>
      </c>
      <c r="V34" s="3">
        <f t="shared" si="8"/>
        <v>0</v>
      </c>
    </row>
    <row r="35" spans="1:22" ht="15" customHeight="1" x14ac:dyDescent="0.2">
      <c r="A35" s="120">
        <v>14</v>
      </c>
      <c r="B35" s="134"/>
      <c r="C35" s="135" t="s">
        <v>213</v>
      </c>
      <c r="D35" s="135"/>
      <c r="E35" s="135" t="s">
        <v>272</v>
      </c>
      <c r="F35" s="135" t="s">
        <v>216</v>
      </c>
      <c r="G35" s="136">
        <v>9.98</v>
      </c>
      <c r="H35" s="136"/>
      <c r="I35" s="136"/>
      <c r="J35" s="120" t="s">
        <v>258</v>
      </c>
      <c r="K35" s="136">
        <v>5</v>
      </c>
      <c r="L35" s="57">
        <f>VLOOKUP(K35,Reinigungstage!A10:C31,3,FALSE)</f>
        <v>247.5</v>
      </c>
      <c r="M35" s="57">
        <f t="shared" si="0"/>
        <v>2470.0500000000002</v>
      </c>
      <c r="N35" s="137">
        <f t="shared" si="1"/>
        <v>0</v>
      </c>
      <c r="O35" s="57">
        <f ca="1">IF('SVS UnterhaltsRG'!H61="",0,'SVS UnterhaltsRG'!H61)</f>
        <v>0</v>
      </c>
      <c r="P35" s="57">
        <f t="shared" si="2"/>
        <v>0</v>
      </c>
      <c r="Q35" s="57">
        <f t="shared" ca="1" si="3"/>
        <v>0</v>
      </c>
      <c r="R35" s="57">
        <f t="shared" si="4"/>
        <v>0</v>
      </c>
      <c r="S35" s="57">
        <f t="shared" ca="1" si="5"/>
        <v>0</v>
      </c>
      <c r="T35" s="3" t="str">
        <f t="shared" si="6"/>
        <v>Leistungswert eintragen</v>
      </c>
      <c r="U35" s="3">
        <f t="shared" si="7"/>
        <v>132.5</v>
      </c>
      <c r="V35" s="3">
        <f t="shared" si="8"/>
        <v>0</v>
      </c>
    </row>
    <row r="36" spans="1:22" ht="15" customHeight="1" x14ac:dyDescent="0.2">
      <c r="A36" s="120">
        <v>15</v>
      </c>
      <c r="B36" s="134"/>
      <c r="C36" s="135" t="s">
        <v>213</v>
      </c>
      <c r="D36" s="135"/>
      <c r="E36" s="135" t="s">
        <v>271</v>
      </c>
      <c r="F36" s="135" t="s">
        <v>216</v>
      </c>
      <c r="G36" s="136">
        <v>5.5</v>
      </c>
      <c r="H36" s="136"/>
      <c r="I36" s="136"/>
      <c r="J36" s="120" t="s">
        <v>260</v>
      </c>
      <c r="K36" s="136">
        <v>5</v>
      </c>
      <c r="L36" s="57">
        <f>VLOOKUP(K36,Reinigungstage!A10:C31,3,FALSE)</f>
        <v>247.5</v>
      </c>
      <c r="M36" s="57">
        <f t="shared" si="0"/>
        <v>1361.25</v>
      </c>
      <c r="N36" s="137">
        <f t="shared" si="1"/>
        <v>0</v>
      </c>
      <c r="O36" s="57">
        <f ca="1">IF('SVS UnterhaltsRG'!H61="",0,'SVS UnterhaltsRG'!H61)</f>
        <v>0</v>
      </c>
      <c r="P36" s="57">
        <f t="shared" si="2"/>
        <v>0</v>
      </c>
      <c r="Q36" s="57">
        <f t="shared" ca="1" si="3"/>
        <v>0</v>
      </c>
      <c r="R36" s="57">
        <f t="shared" si="4"/>
        <v>0</v>
      </c>
      <c r="S36" s="57">
        <f t="shared" ca="1" si="5"/>
        <v>0</v>
      </c>
      <c r="T36" s="3" t="str">
        <f t="shared" si="6"/>
        <v>Leistungswert eintragen</v>
      </c>
      <c r="U36" s="3">
        <f t="shared" si="7"/>
        <v>262.5</v>
      </c>
      <c r="V36" s="3">
        <f t="shared" si="8"/>
        <v>0</v>
      </c>
    </row>
    <row r="37" spans="1:22" ht="15" customHeight="1" x14ac:dyDescent="0.2">
      <c r="A37" s="120">
        <v>16</v>
      </c>
      <c r="B37" s="134"/>
      <c r="C37" s="135" t="s">
        <v>213</v>
      </c>
      <c r="D37" s="135"/>
      <c r="E37" s="135" t="s">
        <v>273</v>
      </c>
      <c r="F37" s="135" t="s">
        <v>274</v>
      </c>
      <c r="G37" s="136">
        <v>4.8</v>
      </c>
      <c r="H37" s="136"/>
      <c r="I37" s="136"/>
      <c r="J37" s="120" t="s">
        <v>260</v>
      </c>
      <c r="K37" s="136">
        <v>0</v>
      </c>
      <c r="L37" s="57">
        <f>VLOOKUP(K37,Reinigungstage!A10:C31,3,FALSE)</f>
        <v>0</v>
      </c>
      <c r="M37" s="57">
        <f t="shared" si="0"/>
        <v>0</v>
      </c>
      <c r="N37" s="137">
        <f t="shared" si="1"/>
        <v>0</v>
      </c>
      <c r="O37" s="57">
        <f ca="1">IF('SVS UnterhaltsRG'!H61="",0,'SVS UnterhaltsRG'!H61)</f>
        <v>0</v>
      </c>
      <c r="P37" s="57">
        <f t="shared" si="2"/>
        <v>0</v>
      </c>
      <c r="Q37" s="57">
        <f t="shared" si="3"/>
        <v>0</v>
      </c>
      <c r="R37" s="57">
        <f t="shared" si="4"/>
        <v>0</v>
      </c>
      <c r="S37" s="57">
        <f t="shared" si="5"/>
        <v>0</v>
      </c>
      <c r="T37" s="3" t="str">
        <f t="shared" si="6"/>
        <v/>
      </c>
      <c r="U37" s="3">
        <f t="shared" si="7"/>
        <v>262.5</v>
      </c>
      <c r="V37" s="3">
        <f t="shared" si="8"/>
        <v>0</v>
      </c>
    </row>
    <row r="38" spans="1:22" ht="15" customHeight="1" x14ac:dyDescent="0.2">
      <c r="A38" s="120">
        <v>17</v>
      </c>
      <c r="B38" s="134"/>
      <c r="C38" s="135" t="s">
        <v>213</v>
      </c>
      <c r="D38" s="135"/>
      <c r="E38" s="135" t="s">
        <v>275</v>
      </c>
      <c r="F38" s="135" t="s">
        <v>274</v>
      </c>
      <c r="G38" s="136">
        <v>8.34</v>
      </c>
      <c r="H38" s="136"/>
      <c r="I38" s="136"/>
      <c r="J38" s="120" t="s">
        <v>260</v>
      </c>
      <c r="K38" s="136">
        <v>0</v>
      </c>
      <c r="L38" s="57">
        <f>VLOOKUP(K38,Reinigungstage!A10:C31,3,FALSE)</f>
        <v>0</v>
      </c>
      <c r="M38" s="57">
        <f t="shared" si="0"/>
        <v>0</v>
      </c>
      <c r="N38" s="137">
        <f t="shared" si="1"/>
        <v>0</v>
      </c>
      <c r="O38" s="57">
        <f ca="1">IF('SVS UnterhaltsRG'!H61="",0,'SVS UnterhaltsRG'!H61)</f>
        <v>0</v>
      </c>
      <c r="P38" s="57">
        <f t="shared" si="2"/>
        <v>0</v>
      </c>
      <c r="Q38" s="57">
        <f t="shared" si="3"/>
        <v>0</v>
      </c>
      <c r="R38" s="57">
        <f t="shared" si="4"/>
        <v>0</v>
      </c>
      <c r="S38" s="57">
        <f t="shared" si="5"/>
        <v>0</v>
      </c>
      <c r="T38" s="3" t="str">
        <f t="shared" si="6"/>
        <v/>
      </c>
      <c r="U38" s="3">
        <f t="shared" si="7"/>
        <v>262.5</v>
      </c>
      <c r="V38" s="3">
        <f t="shared" si="8"/>
        <v>0</v>
      </c>
    </row>
    <row r="49" s="3" customFormat="1" ht="15" customHeight="1" x14ac:dyDescent="0.2"/>
    <row r="50" s="3" customFormat="1" ht="15" customHeight="1" x14ac:dyDescent="0.2"/>
    <row r="51" s="3" customFormat="1" ht="15" customHeight="1" x14ac:dyDescent="0.2"/>
    <row r="52" s="3" customFormat="1" ht="15" customHeight="1" x14ac:dyDescent="0.2"/>
    <row r="53" s="3" customFormat="1" ht="15" customHeight="1" x14ac:dyDescent="0.2"/>
    <row r="54" s="3" customFormat="1" ht="15" customHeight="1" x14ac:dyDescent="0.2"/>
    <row r="55" s="3" customFormat="1" ht="15" customHeight="1" x14ac:dyDescent="0.2"/>
    <row r="56" s="3" customFormat="1" ht="15" customHeight="1" x14ac:dyDescent="0.2"/>
    <row r="57" s="3" customFormat="1" ht="15" customHeight="1" x14ac:dyDescent="0.2"/>
    <row r="58" s="3" customFormat="1" ht="15" customHeight="1" x14ac:dyDescent="0.2"/>
    <row r="59" s="3" customFormat="1" ht="15" customHeight="1" x14ac:dyDescent="0.2"/>
    <row r="60" s="3" customFormat="1" ht="15" customHeight="1" x14ac:dyDescent="0.2"/>
  </sheetData>
  <sheetProtection algorithmName="SHA-512" hashValue="TN4iisBGgRb855G4JSyMe8ZvaV3buLq161+Oe8V7og9fbAZLjuL5Y7PbgInBocVEA0ddPHHNK5FksXnx0uDFXA==" saltValue="jZbhriHsOjm8vuojNCpCPg==" spinCount="100000" sheet="1" objects="1" scenarios="1"/>
  <sortState xmlns:xlrd2="http://schemas.microsoft.com/office/spreadsheetml/2017/richdata2" ref="U4:U9">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3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9" priority="5" operator="containsText" text="Bitte prüfen Sie diese.">
      <formula>NOT(ISERROR(SEARCH("Bitte prüfen Sie diese.",L9)))</formula>
    </cfRule>
  </conditionalFormatting>
  <conditionalFormatting sqref="L10">
    <cfRule type="containsText" dxfId="2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7" priority="3" operator="containsText" text="lediglich Fehleingaben vermeiden wollen.">
      <formula>NOT(ISERROR(SEARCH("lediglich Fehleingaben vermeiden wollen.",L11)))</formula>
    </cfRule>
  </conditionalFormatting>
  <conditionalFormatting sqref="M11">
    <cfRule type="containsText" dxfId="2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5" priority="7" operator="containsText" text="für die Objektart prüfen.">
      <formula>NOT(ISERROR(SEARCH("für die Objektart prüfen.",M12)))</formula>
    </cfRule>
  </conditionalFormatting>
  <conditionalFormatting sqref="N13">
    <cfRule type="expression" dxfId="24" priority="2" stopIfTrue="1">
      <formula>N13=0</formula>
    </cfRule>
  </conditionalFormatting>
  <conditionalFormatting sqref="N14">
    <cfRule type="expression" dxfId="23" priority="1">
      <formula>N14=0</formula>
    </cfRule>
  </conditionalFormatting>
  <conditionalFormatting sqref="N22:N38">
    <cfRule type="expression" dxfId="22" priority="11">
      <formula>V22=0</formula>
    </cfRule>
    <cfRule type="expression" dxfId="21" priority="12" stopIfTrue="1">
      <formula>V22=1</formula>
    </cfRule>
  </conditionalFormatting>
  <conditionalFormatting sqref="O13">
    <cfRule type="containsText" dxfId="2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9" priority="9" operator="containsText" text="Wert(e) prüfen.">
      <formula>NOT(ISERROR(SEARCH("Wert(e) prüfen.",O14)))</formula>
    </cfRule>
  </conditionalFormatting>
  <conditionalFormatting sqref="T22:T38">
    <cfRule type="containsText" dxfId="18" priority="13" stopIfTrue="1" operator="containsText" text="SVS prüfen">
      <formula>NOT(ISERROR(SEARCH("SVS prüfen",T22)))</formula>
    </cfRule>
    <cfRule type="containsText" dxfId="17" priority="14" stopIfTrue="1" operator="containsText" text="Leistungswert eintragen">
      <formula>NOT(ISERROR(SEARCH("Leistungswert eintragen",T22)))</formula>
    </cfRule>
  </conditionalFormatting>
  <hyperlinks>
    <hyperlink ref="M1" location="Inhaltsverzeichnis!A1" display="Zurück zum Inhaltsverzeichnis" xr:uid="{039E812E-AF63-47D7-9CA3-6E8F22CD1C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Winnie 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B9D7-C5EB-4896-8148-45AAED72A855}">
  <sheetPr codeName="Tabelle35">
    <tabColor indexed="40"/>
  </sheetPr>
  <dimension ref="A1:X33"/>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95" t="s">
        <v>158</v>
      </c>
      <c r="B2" s="196"/>
      <c r="C2" s="196"/>
      <c r="D2" s="196"/>
      <c r="E2" s="197"/>
      <c r="G2" s="198" t="s">
        <v>171</v>
      </c>
      <c r="H2" s="198" t="s">
        <v>163</v>
      </c>
      <c r="I2" s="198" t="s">
        <v>164</v>
      </c>
      <c r="J2" s="198" t="s">
        <v>183</v>
      </c>
      <c r="M2" s="101" t="b">
        <v>0</v>
      </c>
      <c r="N2" s="15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51"/>
      <c r="P2" s="151"/>
      <c r="Q2" s="151"/>
    </row>
    <row r="3" spans="1:22" ht="24" customHeight="1" x14ac:dyDescent="0.2">
      <c r="A3" s="121" t="s">
        <v>166</v>
      </c>
      <c r="B3" s="122"/>
      <c r="C3" s="122"/>
      <c r="D3" s="122"/>
      <c r="E3" s="123"/>
      <c r="G3" s="199"/>
      <c r="H3" s="199"/>
      <c r="I3" s="199"/>
      <c r="J3" s="199"/>
      <c r="M3" s="101" t="b">
        <v>0</v>
      </c>
      <c r="N3" s="151"/>
      <c r="O3" s="151"/>
      <c r="P3" s="151"/>
      <c r="Q3" s="151"/>
    </row>
    <row r="4" spans="1:22" ht="18.600000000000001" customHeight="1" x14ac:dyDescent="0.2">
      <c r="A4" s="193" t="s">
        <v>91</v>
      </c>
      <c r="B4" s="181" t="str">
        <f>IF(Inhaltsverzeichnis!C3="","",Inhaltsverzeichnis!C3)</f>
        <v/>
      </c>
      <c r="C4" s="182"/>
      <c r="D4" s="182"/>
      <c r="E4" s="183"/>
      <c r="G4" s="120" t="s">
        <v>258</v>
      </c>
      <c r="H4" s="124"/>
      <c r="I4" s="125">
        <f ca="1">SUMIF('Kal Grund Kita Winnie P'!J22:M33,$G$4,'Kal Grund Kita Winnie P'!M22:M33)</f>
        <v>148.62</v>
      </c>
      <c r="J4" s="79">
        <f>COUNTIFS('Kal Grund Kita Winnie P'!J22:M33,$G$4)</f>
        <v>5</v>
      </c>
      <c r="M4" s="101" t="b">
        <v>0</v>
      </c>
      <c r="N4" s="151"/>
      <c r="O4" s="151"/>
      <c r="P4" s="151"/>
      <c r="Q4" s="151"/>
      <c r="U4" s="120" t="s">
        <v>258</v>
      </c>
      <c r="V4" s="3">
        <v>15</v>
      </c>
    </row>
    <row r="5" spans="1:22" ht="15" customHeight="1" x14ac:dyDescent="0.2">
      <c r="A5" s="194"/>
      <c r="B5" s="184"/>
      <c r="C5" s="185"/>
      <c r="D5" s="185"/>
      <c r="E5" s="186"/>
      <c r="G5" s="120" t="s">
        <v>259</v>
      </c>
      <c r="H5" s="124"/>
      <c r="I5" s="125">
        <f ca="1">SUMIF('Kal Grund Kita Winnie P'!J22:M33,$G$5,'Kal Grund Kita Winnie P'!M22:M33)</f>
        <v>26.77</v>
      </c>
      <c r="J5" s="79">
        <f>COUNTIFS('Kal Grund Kita Winnie P'!J22:M33,$G$5)</f>
        <v>3</v>
      </c>
      <c r="M5" s="101" t="b">
        <v>0</v>
      </c>
      <c r="N5" s="151"/>
      <c r="O5" s="151"/>
      <c r="P5" s="151"/>
      <c r="Q5" s="151"/>
      <c r="U5" s="120" t="s">
        <v>259</v>
      </c>
      <c r="V5" s="3">
        <v>8.5</v>
      </c>
    </row>
    <row r="6" spans="1:22" ht="15" customHeight="1" x14ac:dyDescent="0.2">
      <c r="A6" s="126" t="s">
        <v>181</v>
      </c>
      <c r="B6" s="187" t="s">
        <v>200</v>
      </c>
      <c r="C6" s="188"/>
      <c r="D6" s="188"/>
      <c r="E6" s="189"/>
      <c r="G6" s="120" t="s">
        <v>262</v>
      </c>
      <c r="H6" s="124"/>
      <c r="I6" s="125">
        <f ca="1">SUMIF('Kal Grund Kita Winnie P'!J22:M33,$G$6,'Kal Grund Kita Winnie P'!M22:M33)</f>
        <v>44.16</v>
      </c>
      <c r="J6" s="79">
        <f>COUNTIFS('Kal Grund Kita Winnie P'!J22:M33,$G$6)</f>
        <v>1</v>
      </c>
      <c r="U6" s="120" t="s">
        <v>262</v>
      </c>
      <c r="V6" s="3">
        <v>23.25</v>
      </c>
    </row>
    <row r="7" spans="1:22" ht="15" customHeight="1" x14ac:dyDescent="0.2">
      <c r="A7" s="127" t="s">
        <v>179</v>
      </c>
      <c r="B7" s="190" t="s">
        <v>207</v>
      </c>
      <c r="C7" s="188"/>
      <c r="D7" s="188"/>
      <c r="E7" s="189"/>
      <c r="G7" s="120" t="s">
        <v>261</v>
      </c>
      <c r="H7" s="124"/>
      <c r="I7" s="125">
        <f ca="1">SUMIF('Kal Grund Kita Winnie P'!J22:M33,$G$7,'Kal Grund Kita Winnie P'!M22:M33)</f>
        <v>47.760000000000005</v>
      </c>
      <c r="J7" s="79">
        <f>COUNTIFS('Kal Grund Kita Winnie P'!J22:M33,$G$7)</f>
        <v>2</v>
      </c>
      <c r="U7" s="120" t="s">
        <v>260</v>
      </c>
      <c r="V7" s="3">
        <v>21.13</v>
      </c>
    </row>
    <row r="8" spans="1:22" ht="15" customHeight="1" x14ac:dyDescent="0.2">
      <c r="A8" s="127" t="s">
        <v>180</v>
      </c>
      <c r="B8" s="187"/>
      <c r="C8" s="188"/>
      <c r="D8" s="188"/>
      <c r="E8" s="189"/>
      <c r="G8" s="120" t="s">
        <v>264</v>
      </c>
      <c r="H8" s="124"/>
      <c r="I8" s="125">
        <f ca="1">SUMIF('Kal Grund Kita Winnie P'!J22:M33,$G$8,'Kal Grund Kita Winnie P'!M22:M33)</f>
        <v>9.26</v>
      </c>
      <c r="J8" s="79">
        <f>COUNTIFS('Kal Grund Kita Winnie P'!J22:M33,$G$8)</f>
        <v>1</v>
      </c>
      <c r="L8" s="138" t="str">
        <f>IF(N14&gt;0,"Ihre Eintragungen der Leistungswerte liegen weit über den Erfahrungswerten aus der Preisschätzung.","")</f>
        <v/>
      </c>
      <c r="U8" s="120" t="s">
        <v>261</v>
      </c>
      <c r="V8" s="3">
        <v>24.13</v>
      </c>
    </row>
    <row r="9" spans="1:22" ht="15" customHeight="1" x14ac:dyDescent="0.2">
      <c r="A9" s="126" t="s">
        <v>178</v>
      </c>
      <c r="B9" s="191" t="s">
        <v>206</v>
      </c>
      <c r="C9" s="188"/>
      <c r="D9" s="188"/>
      <c r="E9" s="189"/>
      <c r="L9" s="138" t="str">
        <f>IF(N14&gt;0,"Bitte prüfen Sie diese.","")</f>
        <v/>
      </c>
      <c r="U9" s="120" t="s">
        <v>264</v>
      </c>
      <c r="V9" s="3">
        <v>14.13</v>
      </c>
    </row>
    <row r="10" spans="1:22" ht="15" customHeight="1" x14ac:dyDescent="0.2">
      <c r="A10" s="127" t="s">
        <v>160</v>
      </c>
      <c r="B10" s="187" t="s">
        <v>208</v>
      </c>
      <c r="C10" s="188"/>
      <c r="D10" s="188"/>
      <c r="E10" s="189"/>
      <c r="L10" s="138" t="str">
        <f>IF(N14&gt;0,"Beachten Sie, dass Sie frei in der Kalkulation dieser Leistungswerte sind und wir durch den Hinweis","")</f>
        <v/>
      </c>
    </row>
    <row r="11" spans="1:22" ht="15" customHeight="1" x14ac:dyDescent="0.2">
      <c r="A11" s="127" t="s">
        <v>161</v>
      </c>
      <c r="B11" s="192" t="s">
        <v>204</v>
      </c>
      <c r="C11" s="188"/>
      <c r="D11" s="188"/>
      <c r="E11" s="189"/>
      <c r="L11" s="138" t="str">
        <f>IF(N14&gt;0,"lediglich Fehleingaben vermeiden wollen.","")</f>
        <v/>
      </c>
    </row>
    <row r="12" spans="1:22" ht="15" customHeight="1" x14ac:dyDescent="0.2">
      <c r="A12" s="127" t="s">
        <v>162</v>
      </c>
      <c r="B12" s="187" t="s">
        <v>209</v>
      </c>
      <c r="C12" s="188"/>
      <c r="D12" s="188"/>
      <c r="E12" s="189"/>
    </row>
    <row r="13" spans="1:22" ht="15" customHeight="1" x14ac:dyDescent="0.2">
      <c r="A13" s="127" t="s">
        <v>165</v>
      </c>
      <c r="B13" s="178" t="str">
        <f>HYPERLINK("http://maps.google.de/maps?hl=de&amp;bav=on.2,or.r_qf.&amp;bvm=bv.44770516,d.Yms&amp;biw=1395&amp;bih=916&amp;um=1&amp;ie=UTF-8&amp;q="&amp;B7&amp;"+"&amp;B8&amp;"+"&amp;B10&amp;"+"&amp;B11&amp;"+"&amp;B12&amp;"","In Google-Maps anzeigen (wenn Internet verfügbar)")</f>
        <v>In Google-Maps anzeigen (wenn Internet verfügbar)</v>
      </c>
      <c r="C13" s="179"/>
      <c r="D13" s="179"/>
      <c r="E13" s="180"/>
    </row>
    <row r="14" spans="1:22" ht="15" customHeight="1" x14ac:dyDescent="0.2">
      <c r="N14" s="128">
        <f>COUNTIF(X22:X$33,1)</f>
        <v>0</v>
      </c>
      <c r="O14" s="3" t="str">
        <f>IF(N14&gt;0,"Wert(e) prüfen.","")</f>
        <v/>
      </c>
      <c r="S14" s="130">
        <f>IF(COUNTA($S$22:$S$33)-COUNTBLANK($S$22:$S$33)=0,"",COUNTA($S$22:$S$33)-COUNTBLANK($S$22:$S$33))</f>
        <v>12</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316</v>
      </c>
      <c r="J20" s="1" t="s">
        <v>99</v>
      </c>
      <c r="K20" s="1" t="s">
        <v>104</v>
      </c>
      <c r="L20" s="1" t="s">
        <v>108</v>
      </c>
      <c r="M20" s="1" t="s">
        <v>109</v>
      </c>
      <c r="N20" s="1" t="s">
        <v>105</v>
      </c>
      <c r="O20" s="1" t="s">
        <v>110</v>
      </c>
      <c r="P20" s="1" t="s">
        <v>111</v>
      </c>
      <c r="Q20" s="1" t="s">
        <v>112</v>
      </c>
      <c r="R20" s="1" t="s">
        <v>139</v>
      </c>
    </row>
    <row r="21" spans="1:24" ht="29.1" customHeight="1" x14ac:dyDescent="0.2">
      <c r="A21" s="131" t="s">
        <v>124</v>
      </c>
      <c r="B21" s="12"/>
      <c r="C21" s="12"/>
      <c r="D21" s="12"/>
      <c r="E21" s="12"/>
      <c r="F21" s="12"/>
      <c r="G21" s="132">
        <f>SUM($G$22:$G$33)</f>
        <v>276.57</v>
      </c>
      <c r="H21" s="132">
        <f>SUM($H$22:$H$33)</f>
        <v>0</v>
      </c>
      <c r="I21" s="132">
        <f>SUM($I$22:$I$33)</f>
        <v>2.6</v>
      </c>
      <c r="J21" s="57"/>
      <c r="K21" s="57"/>
      <c r="L21" s="133">
        <f>MAX(L22:L33)</f>
        <v>1</v>
      </c>
      <c r="M21" s="132">
        <f>SUM($M$22:$M$33)</f>
        <v>276.57</v>
      </c>
      <c r="N21" s="57"/>
      <c r="O21" s="57"/>
      <c r="P21" s="132">
        <f>SUM($P$22:$P$33)</f>
        <v>0</v>
      </c>
      <c r="Q21" s="132">
        <f>SUM($Q$22:$Q$33)</f>
        <v>0</v>
      </c>
      <c r="R21" s="132">
        <f>ROUND(IF(Q21=0,0,Q21/L21),2)</f>
        <v>0</v>
      </c>
    </row>
    <row r="22" spans="1:24" ht="15" customHeight="1" x14ac:dyDescent="0.2">
      <c r="A22" s="120">
        <v>1</v>
      </c>
      <c r="B22" s="134"/>
      <c r="C22" s="135" t="s">
        <v>213</v>
      </c>
      <c r="D22" s="135"/>
      <c r="E22" s="135" t="s">
        <v>265</v>
      </c>
      <c r="F22" s="135" t="s">
        <v>216</v>
      </c>
      <c r="G22" s="136">
        <v>6.73</v>
      </c>
      <c r="H22" s="136"/>
      <c r="I22" s="139">
        <v>2.6</v>
      </c>
      <c r="J22" s="120" t="s">
        <v>261</v>
      </c>
      <c r="K22" s="120" t="s">
        <v>148</v>
      </c>
      <c r="L22" s="57">
        <f>VLOOKUP(K22,Reinigungstage!A10:E31,5,FALSE)</f>
        <v>1</v>
      </c>
      <c r="M22" s="57">
        <f t="shared" ref="M22:M33" si="0">ROUND(IF(L22=0,0,L22*G22),2)</f>
        <v>6.73</v>
      </c>
      <c r="N22" s="137">
        <f t="shared" ref="N22:N33" si="1">VLOOKUP(J22,$G$4:$H$8,2,FALSE)</f>
        <v>0</v>
      </c>
      <c r="O22" s="57">
        <f ca="1">IF('SVS GrundRG'!H61="",0,'SVS GrundRG'!H61)</f>
        <v>0</v>
      </c>
      <c r="P22" s="57">
        <f t="shared" ref="P22:P33" si="2">ROUND(IF(N22=0,0,M22/N22),2)</f>
        <v>0</v>
      </c>
      <c r="Q22" s="57">
        <f t="shared" ref="Q22:Q33" si="3">ROUND(IF(P22=0,0,P22*O22),2)</f>
        <v>0</v>
      </c>
      <c r="R22" s="57">
        <f t="shared" ref="R22:R33" si="4">ROUND(IF(P22=0,0,Q22/L22),2)</f>
        <v>0</v>
      </c>
      <c r="S22" s="3" t="str">
        <f t="shared" ref="S22:S33" si="5">IF(M22=0,"",IF(N22=0,"Leistungswert eintragen",IF(O22=0,"SVS prüfen","")))</f>
        <v>Leistungswert eintragen</v>
      </c>
      <c r="U22" s="3">
        <f t="shared" ref="U22:U33" si="6">VLOOKUP(J22,$U$4:$V$9,2,FALSE)</f>
        <v>24.13</v>
      </c>
      <c r="V22" s="3">
        <f t="shared" ref="V22:V33" si="7">U22*30%</f>
        <v>7.238999999999999</v>
      </c>
      <c r="W22" s="3">
        <f t="shared" ref="W22:W33" si="8">SUM(U22:V22)</f>
        <v>31.369</v>
      </c>
      <c r="X22" s="3" t="str">
        <f t="shared" ref="X22:X33" si="9">IF(N22=0,"",IF(W22&lt;N22,1,IF(W22&gt;=N22,0,"")))</f>
        <v/>
      </c>
    </row>
    <row r="23" spans="1:24" ht="15" customHeight="1" x14ac:dyDescent="0.2">
      <c r="A23" s="120">
        <v>2</v>
      </c>
      <c r="B23" s="134"/>
      <c r="C23" s="135" t="s">
        <v>213</v>
      </c>
      <c r="D23" s="135"/>
      <c r="E23" s="135" t="s">
        <v>238</v>
      </c>
      <c r="F23" s="135" t="s">
        <v>216</v>
      </c>
      <c r="G23" s="136">
        <v>41.03</v>
      </c>
      <c r="H23" s="136"/>
      <c r="I23" s="136"/>
      <c r="J23" s="120" t="s">
        <v>261</v>
      </c>
      <c r="K23" s="120" t="s">
        <v>148</v>
      </c>
      <c r="L23" s="57">
        <f>VLOOKUP(K23,Reinigungstage!A10:E31,5,FALSE)</f>
        <v>1</v>
      </c>
      <c r="M23" s="57">
        <f t="shared" si="0"/>
        <v>41.03</v>
      </c>
      <c r="N23" s="137">
        <f t="shared" si="1"/>
        <v>0</v>
      </c>
      <c r="O23" s="57">
        <f ca="1">IF('SVS GrundRG'!H61="",0,'SVS GrundRG'!H61)</f>
        <v>0</v>
      </c>
      <c r="P23" s="57">
        <f t="shared" si="2"/>
        <v>0</v>
      </c>
      <c r="Q23" s="57">
        <f t="shared" si="3"/>
        <v>0</v>
      </c>
      <c r="R23" s="57">
        <f t="shared" si="4"/>
        <v>0</v>
      </c>
      <c r="S23" s="3" t="str">
        <f t="shared" si="5"/>
        <v>Leistungswert eintragen</v>
      </c>
      <c r="U23" s="3">
        <f t="shared" si="6"/>
        <v>24.13</v>
      </c>
      <c r="V23" s="3">
        <f t="shared" si="7"/>
        <v>7.238999999999999</v>
      </c>
      <c r="W23" s="3">
        <f t="shared" si="8"/>
        <v>31.369</v>
      </c>
      <c r="X23" s="3" t="str">
        <f t="shared" si="9"/>
        <v/>
      </c>
    </row>
    <row r="24" spans="1:24" ht="15" customHeight="1" x14ac:dyDescent="0.2">
      <c r="A24" s="120">
        <v>3</v>
      </c>
      <c r="B24" s="134"/>
      <c r="C24" s="135" t="s">
        <v>213</v>
      </c>
      <c r="D24" s="135"/>
      <c r="E24" s="135" t="s">
        <v>266</v>
      </c>
      <c r="F24" s="135" t="s">
        <v>267</v>
      </c>
      <c r="G24" s="136">
        <v>10.050000000000001</v>
      </c>
      <c r="H24" s="136"/>
      <c r="I24" s="136"/>
      <c r="J24" s="120" t="s">
        <v>258</v>
      </c>
      <c r="K24" s="120" t="s">
        <v>148</v>
      </c>
      <c r="L24" s="57">
        <f>VLOOKUP(K24,Reinigungstage!A10:E31,5,FALSE)</f>
        <v>1</v>
      </c>
      <c r="M24" s="57">
        <f t="shared" si="0"/>
        <v>10.050000000000001</v>
      </c>
      <c r="N24" s="137">
        <f t="shared" si="1"/>
        <v>0</v>
      </c>
      <c r="O24" s="57">
        <f ca="1">IF('SVS GrundRG'!H61="",0,'SVS GrundRG'!H61)</f>
        <v>0</v>
      </c>
      <c r="P24" s="57">
        <f t="shared" si="2"/>
        <v>0</v>
      </c>
      <c r="Q24" s="57">
        <f t="shared" si="3"/>
        <v>0</v>
      </c>
      <c r="R24" s="57">
        <f t="shared" si="4"/>
        <v>0</v>
      </c>
      <c r="S24" s="3" t="str">
        <f t="shared" si="5"/>
        <v>Leistungswert eintragen</v>
      </c>
      <c r="U24" s="3">
        <f t="shared" si="6"/>
        <v>15</v>
      </c>
      <c r="V24" s="3">
        <f t="shared" si="7"/>
        <v>4.5</v>
      </c>
      <c r="W24" s="3">
        <f t="shared" si="8"/>
        <v>19.5</v>
      </c>
      <c r="X24" s="3" t="str">
        <f t="shared" si="9"/>
        <v/>
      </c>
    </row>
    <row r="25" spans="1:24" ht="15" customHeight="1" x14ac:dyDescent="0.2">
      <c r="A25" s="120">
        <v>4</v>
      </c>
      <c r="B25" s="134"/>
      <c r="C25" s="135" t="s">
        <v>213</v>
      </c>
      <c r="D25" s="135"/>
      <c r="E25" s="135" t="s">
        <v>268</v>
      </c>
      <c r="F25" s="135" t="s">
        <v>216</v>
      </c>
      <c r="G25" s="136">
        <v>44.16</v>
      </c>
      <c r="H25" s="136"/>
      <c r="I25" s="136"/>
      <c r="J25" s="120" t="s">
        <v>262</v>
      </c>
      <c r="K25" s="120" t="s">
        <v>148</v>
      </c>
      <c r="L25" s="57">
        <f>VLOOKUP(K25,Reinigungstage!A10:E31,5,FALSE)</f>
        <v>1</v>
      </c>
      <c r="M25" s="57">
        <f t="shared" si="0"/>
        <v>44.16</v>
      </c>
      <c r="N25" s="137">
        <f t="shared" si="1"/>
        <v>0</v>
      </c>
      <c r="O25" s="57">
        <f ca="1">IF('SVS GrundRG'!H61="",0,'SVS GrundRG'!H61)</f>
        <v>0</v>
      </c>
      <c r="P25" s="57">
        <f t="shared" si="2"/>
        <v>0</v>
      </c>
      <c r="Q25" s="57">
        <f t="shared" si="3"/>
        <v>0</v>
      </c>
      <c r="R25" s="57">
        <f t="shared" si="4"/>
        <v>0</v>
      </c>
      <c r="S25" s="3" t="str">
        <f t="shared" si="5"/>
        <v>Leistungswert eintragen</v>
      </c>
      <c r="U25" s="3">
        <f t="shared" si="6"/>
        <v>23.25</v>
      </c>
      <c r="V25" s="3">
        <f t="shared" si="7"/>
        <v>6.9749999999999996</v>
      </c>
      <c r="W25" s="3">
        <f t="shared" si="8"/>
        <v>30.225000000000001</v>
      </c>
      <c r="X25" s="3" t="str">
        <f t="shared" si="9"/>
        <v/>
      </c>
    </row>
    <row r="26" spans="1:24" ht="15" customHeight="1" x14ac:dyDescent="0.2">
      <c r="A26" s="120">
        <v>5</v>
      </c>
      <c r="B26" s="134"/>
      <c r="C26" s="135" t="s">
        <v>213</v>
      </c>
      <c r="D26" s="135"/>
      <c r="E26" s="135" t="s">
        <v>226</v>
      </c>
      <c r="F26" s="135" t="s">
        <v>267</v>
      </c>
      <c r="G26" s="136">
        <v>26.9</v>
      </c>
      <c r="H26" s="136"/>
      <c r="I26" s="136"/>
      <c r="J26" s="120" t="s">
        <v>258</v>
      </c>
      <c r="K26" s="120" t="s">
        <v>148</v>
      </c>
      <c r="L26" s="57">
        <f>VLOOKUP(K26,Reinigungstage!A10:E31,5,FALSE)</f>
        <v>1</v>
      </c>
      <c r="M26" s="57">
        <f t="shared" si="0"/>
        <v>26.9</v>
      </c>
      <c r="N26" s="137">
        <f t="shared" si="1"/>
        <v>0</v>
      </c>
      <c r="O26" s="57">
        <f ca="1">IF('SVS GrundRG'!H61="",0,'SVS GrundRG'!H61)</f>
        <v>0</v>
      </c>
      <c r="P26" s="57">
        <f t="shared" si="2"/>
        <v>0</v>
      </c>
      <c r="Q26" s="57">
        <f t="shared" si="3"/>
        <v>0</v>
      </c>
      <c r="R26" s="57">
        <f t="shared" si="4"/>
        <v>0</v>
      </c>
      <c r="S26" s="3" t="str">
        <f t="shared" si="5"/>
        <v>Leistungswert eintragen</v>
      </c>
      <c r="U26" s="3">
        <f t="shared" si="6"/>
        <v>15</v>
      </c>
      <c r="V26" s="3">
        <f t="shared" si="7"/>
        <v>4.5</v>
      </c>
      <c r="W26" s="3">
        <f t="shared" si="8"/>
        <v>19.5</v>
      </c>
      <c r="X26" s="3" t="str">
        <f t="shared" si="9"/>
        <v/>
      </c>
    </row>
    <row r="27" spans="1:24" ht="15" customHeight="1" x14ac:dyDescent="0.2">
      <c r="A27" s="120">
        <v>6</v>
      </c>
      <c r="B27" s="134"/>
      <c r="C27" s="135" t="s">
        <v>213</v>
      </c>
      <c r="D27" s="135"/>
      <c r="E27" s="135" t="s">
        <v>269</v>
      </c>
      <c r="F27" s="135" t="s">
        <v>219</v>
      </c>
      <c r="G27" s="136">
        <v>13.76</v>
      </c>
      <c r="H27" s="136"/>
      <c r="I27" s="136"/>
      <c r="J27" s="120" t="s">
        <v>259</v>
      </c>
      <c r="K27" s="120" t="s">
        <v>148</v>
      </c>
      <c r="L27" s="57">
        <f>VLOOKUP(K27,Reinigungstage!A10:E31,5,FALSE)</f>
        <v>1</v>
      </c>
      <c r="M27" s="57">
        <f t="shared" si="0"/>
        <v>13.76</v>
      </c>
      <c r="N27" s="137">
        <f t="shared" si="1"/>
        <v>0</v>
      </c>
      <c r="O27" s="57">
        <f ca="1">IF('SVS GrundRG'!H61="",0,'SVS GrundRG'!H61)</f>
        <v>0</v>
      </c>
      <c r="P27" s="57">
        <f t="shared" si="2"/>
        <v>0</v>
      </c>
      <c r="Q27" s="57">
        <f t="shared" si="3"/>
        <v>0</v>
      </c>
      <c r="R27" s="57">
        <f t="shared" si="4"/>
        <v>0</v>
      </c>
      <c r="S27" s="3" t="str">
        <f t="shared" si="5"/>
        <v>Leistungswert eintragen</v>
      </c>
      <c r="U27" s="3">
        <f t="shared" si="6"/>
        <v>8.5</v>
      </c>
      <c r="V27" s="3">
        <f t="shared" si="7"/>
        <v>2.5499999999999998</v>
      </c>
      <c r="W27" s="3">
        <f t="shared" si="8"/>
        <v>11.05</v>
      </c>
      <c r="X27" s="3" t="str">
        <f t="shared" si="9"/>
        <v/>
      </c>
    </row>
    <row r="28" spans="1:24" ht="15" customHeight="1" x14ac:dyDescent="0.2">
      <c r="A28" s="120">
        <v>7</v>
      </c>
      <c r="B28" s="134"/>
      <c r="C28" s="135" t="s">
        <v>213</v>
      </c>
      <c r="D28" s="135"/>
      <c r="E28" s="135" t="s">
        <v>270</v>
      </c>
      <c r="F28" s="135" t="s">
        <v>219</v>
      </c>
      <c r="G28" s="136">
        <v>3.94</v>
      </c>
      <c r="H28" s="136"/>
      <c r="I28" s="136"/>
      <c r="J28" s="120" t="s">
        <v>259</v>
      </c>
      <c r="K28" s="120" t="s">
        <v>148</v>
      </c>
      <c r="L28" s="57">
        <f>VLOOKUP(K28,Reinigungstage!A10:E31,5,FALSE)</f>
        <v>1</v>
      </c>
      <c r="M28" s="57">
        <f t="shared" si="0"/>
        <v>3.94</v>
      </c>
      <c r="N28" s="137">
        <f t="shared" si="1"/>
        <v>0</v>
      </c>
      <c r="O28" s="57">
        <f ca="1">IF('SVS GrundRG'!H61="",0,'SVS GrundRG'!H61)</f>
        <v>0</v>
      </c>
      <c r="P28" s="57">
        <f t="shared" si="2"/>
        <v>0</v>
      </c>
      <c r="Q28" s="57">
        <f t="shared" si="3"/>
        <v>0</v>
      </c>
      <c r="R28" s="57">
        <f t="shared" si="4"/>
        <v>0</v>
      </c>
      <c r="S28" s="3" t="str">
        <f t="shared" si="5"/>
        <v>Leistungswert eintragen</v>
      </c>
      <c r="U28" s="3">
        <f t="shared" si="6"/>
        <v>8.5</v>
      </c>
      <c r="V28" s="3">
        <f t="shared" si="7"/>
        <v>2.5499999999999998</v>
      </c>
      <c r="W28" s="3">
        <f t="shared" si="8"/>
        <v>11.05</v>
      </c>
      <c r="X28" s="3" t="str">
        <f t="shared" si="9"/>
        <v/>
      </c>
    </row>
    <row r="29" spans="1:24" ht="15" customHeight="1" x14ac:dyDescent="0.2">
      <c r="A29" s="120">
        <v>8</v>
      </c>
      <c r="B29" s="134"/>
      <c r="C29" s="135" t="s">
        <v>213</v>
      </c>
      <c r="D29" s="135"/>
      <c r="E29" s="135" t="s">
        <v>270</v>
      </c>
      <c r="F29" s="135" t="s">
        <v>219</v>
      </c>
      <c r="G29" s="136">
        <v>9.07</v>
      </c>
      <c r="H29" s="136"/>
      <c r="I29" s="136"/>
      <c r="J29" s="120" t="s">
        <v>259</v>
      </c>
      <c r="K29" s="120" t="s">
        <v>148</v>
      </c>
      <c r="L29" s="57">
        <f>VLOOKUP(K29,Reinigungstage!A10:E31,5,FALSE)</f>
        <v>1</v>
      </c>
      <c r="M29" s="57">
        <f t="shared" si="0"/>
        <v>9.07</v>
      </c>
      <c r="N29" s="137">
        <f t="shared" si="1"/>
        <v>0</v>
      </c>
      <c r="O29" s="57">
        <f ca="1">IF('SVS GrundRG'!H61="",0,'SVS GrundRG'!H61)</f>
        <v>0</v>
      </c>
      <c r="P29" s="57">
        <f t="shared" si="2"/>
        <v>0</v>
      </c>
      <c r="Q29" s="57">
        <f t="shared" si="3"/>
        <v>0</v>
      </c>
      <c r="R29" s="57">
        <f t="shared" si="4"/>
        <v>0</v>
      </c>
      <c r="S29" s="3" t="str">
        <f t="shared" si="5"/>
        <v>Leistungswert eintragen</v>
      </c>
      <c r="U29" s="3">
        <f t="shared" si="6"/>
        <v>8.5</v>
      </c>
      <c r="V29" s="3">
        <f t="shared" si="7"/>
        <v>2.5499999999999998</v>
      </c>
      <c r="W29" s="3">
        <f t="shared" si="8"/>
        <v>11.05</v>
      </c>
      <c r="X29" s="3" t="str">
        <f t="shared" si="9"/>
        <v/>
      </c>
    </row>
    <row r="30" spans="1:24" ht="15" customHeight="1" x14ac:dyDescent="0.2">
      <c r="A30" s="120">
        <v>9</v>
      </c>
      <c r="B30" s="134"/>
      <c r="C30" s="135" t="s">
        <v>213</v>
      </c>
      <c r="D30" s="135"/>
      <c r="E30" s="135" t="s">
        <v>215</v>
      </c>
      <c r="F30" s="135" t="s">
        <v>216</v>
      </c>
      <c r="G30" s="136">
        <v>50.95</v>
      </c>
      <c r="H30" s="136"/>
      <c r="I30" s="136"/>
      <c r="J30" s="120" t="s">
        <v>258</v>
      </c>
      <c r="K30" s="120" t="s">
        <v>148</v>
      </c>
      <c r="L30" s="57">
        <f>VLOOKUP(K30,Reinigungstage!A10:E31,5,FALSE)</f>
        <v>1</v>
      </c>
      <c r="M30" s="57">
        <f t="shared" si="0"/>
        <v>50.95</v>
      </c>
      <c r="N30" s="137">
        <f t="shared" si="1"/>
        <v>0</v>
      </c>
      <c r="O30" s="57">
        <f ca="1">IF('SVS GrundRG'!H61="",0,'SVS GrundRG'!H61)</f>
        <v>0</v>
      </c>
      <c r="P30" s="57">
        <f t="shared" si="2"/>
        <v>0</v>
      </c>
      <c r="Q30" s="57">
        <f t="shared" si="3"/>
        <v>0</v>
      </c>
      <c r="R30" s="57">
        <f t="shared" si="4"/>
        <v>0</v>
      </c>
      <c r="S30" s="3" t="str">
        <f t="shared" si="5"/>
        <v>Leistungswert eintragen</v>
      </c>
      <c r="U30" s="3">
        <f t="shared" si="6"/>
        <v>15</v>
      </c>
      <c r="V30" s="3">
        <f t="shared" si="7"/>
        <v>4.5</v>
      </c>
      <c r="W30" s="3">
        <f t="shared" si="8"/>
        <v>19.5</v>
      </c>
      <c r="X30" s="3" t="str">
        <f t="shared" si="9"/>
        <v/>
      </c>
    </row>
    <row r="31" spans="1:24" ht="15" customHeight="1" x14ac:dyDescent="0.2">
      <c r="A31" s="120">
        <v>10</v>
      </c>
      <c r="B31" s="134"/>
      <c r="C31" s="135" t="s">
        <v>213</v>
      </c>
      <c r="D31" s="135"/>
      <c r="E31" s="135" t="s">
        <v>215</v>
      </c>
      <c r="F31" s="135" t="s">
        <v>216</v>
      </c>
      <c r="G31" s="136">
        <v>50.74</v>
      </c>
      <c r="H31" s="136"/>
      <c r="I31" s="136"/>
      <c r="J31" s="120" t="s">
        <v>258</v>
      </c>
      <c r="K31" s="120" t="s">
        <v>148</v>
      </c>
      <c r="L31" s="57">
        <f>VLOOKUP(K31,Reinigungstage!A10:E31,5,FALSE)</f>
        <v>1</v>
      </c>
      <c r="M31" s="57">
        <f t="shared" si="0"/>
        <v>50.74</v>
      </c>
      <c r="N31" s="137">
        <f t="shared" si="1"/>
        <v>0</v>
      </c>
      <c r="O31" s="57">
        <f ca="1">IF('SVS GrundRG'!H61="",0,'SVS GrundRG'!H61)</f>
        <v>0</v>
      </c>
      <c r="P31" s="57">
        <f t="shared" si="2"/>
        <v>0</v>
      </c>
      <c r="Q31" s="57">
        <f t="shared" si="3"/>
        <v>0</v>
      </c>
      <c r="R31" s="57">
        <f t="shared" si="4"/>
        <v>0</v>
      </c>
      <c r="S31" s="3" t="str">
        <f t="shared" si="5"/>
        <v>Leistungswert eintragen</v>
      </c>
      <c r="U31" s="3">
        <f t="shared" si="6"/>
        <v>15</v>
      </c>
      <c r="V31" s="3">
        <f t="shared" si="7"/>
        <v>4.5</v>
      </c>
      <c r="W31" s="3">
        <f t="shared" si="8"/>
        <v>19.5</v>
      </c>
      <c r="X31" s="3" t="str">
        <f t="shared" si="9"/>
        <v/>
      </c>
    </row>
    <row r="32" spans="1:24" ht="15" customHeight="1" x14ac:dyDescent="0.2">
      <c r="A32" s="120">
        <v>11</v>
      </c>
      <c r="B32" s="134"/>
      <c r="C32" s="135" t="s">
        <v>213</v>
      </c>
      <c r="D32" s="135"/>
      <c r="E32" s="135" t="s">
        <v>256</v>
      </c>
      <c r="F32" s="135" t="s">
        <v>219</v>
      </c>
      <c r="G32" s="136">
        <v>9.26</v>
      </c>
      <c r="H32" s="136"/>
      <c r="I32" s="136"/>
      <c r="J32" s="120" t="s">
        <v>264</v>
      </c>
      <c r="K32" s="120" t="s">
        <v>148</v>
      </c>
      <c r="L32" s="57">
        <f>VLOOKUP(K32,Reinigungstage!A10:E31,5,FALSE)</f>
        <v>1</v>
      </c>
      <c r="M32" s="57">
        <f t="shared" si="0"/>
        <v>9.26</v>
      </c>
      <c r="N32" s="137">
        <f t="shared" si="1"/>
        <v>0</v>
      </c>
      <c r="O32" s="57">
        <f ca="1">IF('SVS GrundRG'!H61="",0,'SVS GrundRG'!H61)</f>
        <v>0</v>
      </c>
      <c r="P32" s="57">
        <f t="shared" si="2"/>
        <v>0</v>
      </c>
      <c r="Q32" s="57">
        <f t="shared" si="3"/>
        <v>0</v>
      </c>
      <c r="R32" s="57">
        <f t="shared" si="4"/>
        <v>0</v>
      </c>
      <c r="S32" s="3" t="str">
        <f t="shared" si="5"/>
        <v>Leistungswert eintragen</v>
      </c>
      <c r="U32" s="3">
        <f t="shared" si="6"/>
        <v>14.13</v>
      </c>
      <c r="V32" s="3">
        <f t="shared" si="7"/>
        <v>4.2389999999999999</v>
      </c>
      <c r="W32" s="3">
        <f t="shared" si="8"/>
        <v>18.369</v>
      </c>
      <c r="X32" s="3" t="str">
        <f t="shared" si="9"/>
        <v/>
      </c>
    </row>
    <row r="33" spans="1:24" ht="15" customHeight="1" x14ac:dyDescent="0.2">
      <c r="A33" s="120">
        <v>12</v>
      </c>
      <c r="B33" s="134"/>
      <c r="C33" s="135" t="s">
        <v>213</v>
      </c>
      <c r="D33" s="135"/>
      <c r="E33" s="135" t="s">
        <v>272</v>
      </c>
      <c r="F33" s="135" t="s">
        <v>216</v>
      </c>
      <c r="G33" s="136">
        <v>9.98</v>
      </c>
      <c r="H33" s="136"/>
      <c r="I33" s="136"/>
      <c r="J33" s="120" t="s">
        <v>258</v>
      </c>
      <c r="K33" s="120" t="s">
        <v>148</v>
      </c>
      <c r="L33" s="57">
        <f>VLOOKUP(K33,Reinigungstage!A10:E31,5,FALSE)</f>
        <v>1</v>
      </c>
      <c r="M33" s="57">
        <f t="shared" si="0"/>
        <v>9.98</v>
      </c>
      <c r="N33" s="137">
        <f t="shared" si="1"/>
        <v>0</v>
      </c>
      <c r="O33" s="57">
        <f ca="1">IF('SVS GrundRG'!H61="",0,'SVS GrundRG'!H61)</f>
        <v>0</v>
      </c>
      <c r="P33" s="57">
        <f t="shared" si="2"/>
        <v>0</v>
      </c>
      <c r="Q33" s="57">
        <f t="shared" si="3"/>
        <v>0</v>
      </c>
      <c r="R33" s="57">
        <f t="shared" si="4"/>
        <v>0</v>
      </c>
      <c r="S33" s="3" t="str">
        <f t="shared" si="5"/>
        <v>Leistungswert eintragen</v>
      </c>
      <c r="U33" s="3">
        <f t="shared" si="6"/>
        <v>15</v>
      </c>
      <c r="V33" s="3">
        <f t="shared" si="7"/>
        <v>4.5</v>
      </c>
      <c r="W33" s="3">
        <f t="shared" si="8"/>
        <v>19.5</v>
      </c>
      <c r="X33" s="3" t="str">
        <f t="shared" si="9"/>
        <v/>
      </c>
    </row>
  </sheetData>
  <sheetProtection algorithmName="SHA-512" hashValue="MP6LW1Bu3elBWRJyr/cfpz73xpLpPVwNIn3W/GwoCjQ2hgf9y1RxHa0MutV+tNX6pM07F/VOQNHIuBrB7B4EOA==" saltValue="P1L0uoO1axIw/rYr37cW4Q==" spinCount="100000" sheet="1" objects="1" scenarios="1"/>
  <sortState xmlns:xlrd2="http://schemas.microsoft.com/office/spreadsheetml/2017/richdata2" ref="U4:U9">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1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5" priority="5" operator="containsText" text="Bitte prüfen Sie diese.">
      <formula>NOT(ISERROR(SEARCH("Bitte prüfen Sie diese.",L9)))</formula>
    </cfRule>
  </conditionalFormatting>
  <conditionalFormatting sqref="L10">
    <cfRule type="containsText" dxfId="1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3" priority="3" operator="containsText" text="lediglich Fehleingaben vermeiden wollen.">
      <formula>NOT(ISERROR(SEARCH("lediglich Fehleingaben vermeiden wollen.",L11)))</formula>
    </cfRule>
  </conditionalFormatting>
  <conditionalFormatting sqref="M11">
    <cfRule type="containsText" dxfId="1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1" priority="7" operator="containsText" text="für die Objektart prüfen.">
      <formula>NOT(ISERROR(SEARCH("für die Objektart prüfen.",M12)))</formula>
    </cfRule>
  </conditionalFormatting>
  <conditionalFormatting sqref="N13">
    <cfRule type="expression" dxfId="10" priority="2" stopIfTrue="1">
      <formula>N13=0</formula>
    </cfRule>
  </conditionalFormatting>
  <conditionalFormatting sqref="N14">
    <cfRule type="expression" dxfId="9" priority="1">
      <formula>N14=0</formula>
    </cfRule>
  </conditionalFormatting>
  <conditionalFormatting sqref="N22:N33">
    <cfRule type="expression" dxfId="8" priority="11">
      <formula>X22=0</formula>
    </cfRule>
    <cfRule type="expression" dxfId="7" priority="12" stopIfTrue="1">
      <formula>X22=1</formula>
    </cfRule>
  </conditionalFormatting>
  <conditionalFormatting sqref="O13">
    <cfRule type="containsText" dxfId="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5" priority="9" operator="containsText" text="Wert(e) prüfen.">
      <formula>NOT(ISERROR(SEARCH("Wert(e) prüfen.",O14)))</formula>
    </cfRule>
  </conditionalFormatting>
  <conditionalFormatting sqref="S22:S33">
    <cfRule type="containsText" dxfId="4" priority="13" stopIfTrue="1" operator="containsText" text="SVS prüfen">
      <formula>NOT(ISERROR(SEARCH("SVS prüfen",S22)))</formula>
    </cfRule>
    <cfRule type="containsText" dxfId="3" priority="14" stopIfTrue="1" operator="containsText" text="Leistungswert eintragen">
      <formula>NOT(ISERROR(SEARCH("Leistungswert eintragen",S22)))</formula>
    </cfRule>
  </conditionalFormatting>
  <hyperlinks>
    <hyperlink ref="M1" location="Inhaltsverzeichnis!A1" display="Zurück zum Inhaltsverzeichnis" xr:uid="{7A329F20-7635-4E68-8B9D-87D306D20374}"/>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Winnie 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5" customWidth="1"/>
    <col min="2" max="2" width="28.7109375" style="15" customWidth="1"/>
    <col min="3" max="3" width="35.7109375" style="15" customWidth="1"/>
    <col min="4" max="4" width="20.7109375" style="15" customWidth="1"/>
    <col min="5" max="5" width="11.7109375" style="15" customWidth="1"/>
    <col min="6" max="6" width="16.28515625" style="15" customWidth="1"/>
    <col min="7" max="7" width="17.28515625" style="15" customWidth="1"/>
    <col min="8" max="8" width="22.28515625" style="15" customWidth="1"/>
    <col min="9" max="9" width="11.7109375" style="15" hidden="1" customWidth="1"/>
    <col min="10" max="10" width="5.7109375" style="15" hidden="1" customWidth="1"/>
    <col min="11" max="11" width="12.7109375" style="15" hidden="1" customWidth="1"/>
    <col min="12" max="12" width="13.28515625" style="15" hidden="1" customWidth="1"/>
    <col min="13" max="13" width="10" style="15" hidden="1" customWidth="1"/>
    <col min="14" max="14" width="11.42578125" style="15" hidden="1" customWidth="1"/>
    <col min="15" max="15" width="10.5703125" style="15" hidden="1" customWidth="1"/>
    <col min="16" max="16384" width="0" style="15" hidden="1"/>
  </cols>
  <sheetData>
    <row r="1" spans="1:8" s="14" customFormat="1" ht="36" customHeight="1" x14ac:dyDescent="0.2">
      <c r="A1" s="14" t="s">
        <v>211</v>
      </c>
      <c r="D1" s="33"/>
      <c r="F1" s="34" t="s">
        <v>100</v>
      </c>
    </row>
    <row r="2" spans="1:8" s="14" customFormat="1" ht="25.9" customHeight="1" x14ac:dyDescent="0.2">
      <c r="A2" s="14" t="s">
        <v>103</v>
      </c>
      <c r="B2" s="16" t="str">
        <f>IF(Inhaltsverzeichnis!$C$3="", "",Inhaltsverzeichnis!$C$3)</f>
        <v/>
      </c>
      <c r="C2" s="35" t="b">
        <v>0</v>
      </c>
      <c r="D2" s="200" t="str">
        <f>IF(C2=TRUE,"Hier ist lediglich der Preis pro Einheit (€) auszufüllen.
Die rot markierten Informationen verschwinden, wenn die gelben Zellen ausgefüllt sind.  Wenn keine rote Schrift mehr angezeigt wird, ist alles ausgefüllt.","")</f>
        <v/>
      </c>
      <c r="E2" s="200"/>
      <c r="F2" s="200"/>
      <c r="G2" s="200"/>
    </row>
    <row r="3" spans="1:8" s="14" customFormat="1" ht="15" customHeight="1" x14ac:dyDescent="0.2">
      <c r="D3" s="201"/>
      <c r="E3" s="201"/>
      <c r="F3" s="201"/>
      <c r="G3" s="201"/>
      <c r="H3" s="36">
        <f>IF(COUNTA($H$5:$H$13)-COUNTBLANK($H$5:$H$13)=0,"",COUNTA($H$5:$H$13)-COUNTBLANK($H$5:$H$13))</f>
        <v>9</v>
      </c>
    </row>
    <row r="4" spans="1:8" ht="45" customHeight="1" x14ac:dyDescent="0.15">
      <c r="A4" s="42" t="s">
        <v>92</v>
      </c>
      <c r="B4" s="42" t="s">
        <v>113</v>
      </c>
      <c r="C4" s="43" t="s">
        <v>122</v>
      </c>
      <c r="D4" s="41" t="s">
        <v>153</v>
      </c>
      <c r="E4" s="41" t="s">
        <v>189</v>
      </c>
      <c r="F4" s="41" t="s">
        <v>190</v>
      </c>
      <c r="G4" s="41" t="s">
        <v>191</v>
      </c>
    </row>
    <row r="5" spans="1:8" ht="54.95" customHeight="1" x14ac:dyDescent="0.15">
      <c r="A5" s="63">
        <v>1</v>
      </c>
      <c r="B5" s="45" t="s">
        <v>199</v>
      </c>
      <c r="C5" s="45" t="s">
        <v>276</v>
      </c>
      <c r="D5" s="46" t="s">
        <v>277</v>
      </c>
      <c r="E5" s="46">
        <v>23</v>
      </c>
      <c r="F5" s="150"/>
      <c r="G5" s="64">
        <f t="shared" ref="G5:G13" si="0">ROUND(IF(F5=0,0,F5*E5),2)</f>
        <v>0</v>
      </c>
      <c r="H5" s="14" t="str">
        <f t="shared" ref="H5:H13" si="1">IF(F5=0,"Preis eintragen","")</f>
        <v>Preis eintragen</v>
      </c>
    </row>
    <row r="6" spans="1:8" ht="65.099999999999994" customHeight="1" x14ac:dyDescent="0.15">
      <c r="A6" s="63">
        <v>2</v>
      </c>
      <c r="B6" s="45" t="s">
        <v>199</v>
      </c>
      <c r="C6" s="45" t="s">
        <v>278</v>
      </c>
      <c r="D6" s="46" t="s">
        <v>279</v>
      </c>
      <c r="E6" s="46">
        <v>7</v>
      </c>
      <c r="F6" s="150"/>
      <c r="G6" s="64">
        <f t="shared" si="0"/>
        <v>0</v>
      </c>
      <c r="H6" s="14" t="str">
        <f t="shared" si="1"/>
        <v>Preis eintragen</v>
      </c>
    </row>
    <row r="7" spans="1:8" ht="15" customHeight="1" x14ac:dyDescent="0.15">
      <c r="A7" s="63">
        <v>3</v>
      </c>
      <c r="B7" s="45" t="s">
        <v>199</v>
      </c>
      <c r="C7" s="45" t="s">
        <v>280</v>
      </c>
      <c r="D7" s="46" t="s">
        <v>281</v>
      </c>
      <c r="E7" s="46">
        <v>14</v>
      </c>
      <c r="F7" s="150"/>
      <c r="G7" s="64">
        <f t="shared" si="0"/>
        <v>0</v>
      </c>
      <c r="H7" s="14" t="str">
        <f t="shared" si="1"/>
        <v>Preis eintragen</v>
      </c>
    </row>
    <row r="8" spans="1:8" ht="15" customHeight="1" x14ac:dyDescent="0.15">
      <c r="A8" s="63">
        <v>4</v>
      </c>
      <c r="B8" s="45" t="s">
        <v>199</v>
      </c>
      <c r="C8" s="45" t="s">
        <v>282</v>
      </c>
      <c r="D8" s="46" t="s">
        <v>281</v>
      </c>
      <c r="E8" s="46">
        <v>8</v>
      </c>
      <c r="F8" s="150"/>
      <c r="G8" s="64">
        <f t="shared" si="0"/>
        <v>0</v>
      </c>
      <c r="H8" s="14" t="str">
        <f t="shared" si="1"/>
        <v>Preis eintragen</v>
      </c>
    </row>
    <row r="9" spans="1:8" ht="15" customHeight="1" x14ac:dyDescent="0.15">
      <c r="A9" s="63">
        <v>5</v>
      </c>
      <c r="B9" s="45" t="s">
        <v>199</v>
      </c>
      <c r="C9" s="45" t="s">
        <v>283</v>
      </c>
      <c r="D9" s="46" t="s">
        <v>281</v>
      </c>
      <c r="E9" s="46">
        <v>14</v>
      </c>
      <c r="F9" s="150"/>
      <c r="G9" s="64">
        <f t="shared" si="0"/>
        <v>0</v>
      </c>
      <c r="H9" s="14" t="str">
        <f t="shared" si="1"/>
        <v>Preis eintragen</v>
      </c>
    </row>
    <row r="10" spans="1:8" ht="54.95" customHeight="1" x14ac:dyDescent="0.15">
      <c r="A10" s="63">
        <v>6</v>
      </c>
      <c r="B10" s="45" t="s">
        <v>206</v>
      </c>
      <c r="C10" s="45" t="s">
        <v>276</v>
      </c>
      <c r="D10" s="46" t="s">
        <v>277</v>
      </c>
      <c r="E10" s="46">
        <v>8</v>
      </c>
      <c r="F10" s="150"/>
      <c r="G10" s="64">
        <f t="shared" si="0"/>
        <v>0</v>
      </c>
      <c r="H10" s="14" t="str">
        <f t="shared" si="1"/>
        <v>Preis eintragen</v>
      </c>
    </row>
    <row r="11" spans="1:8" ht="65.099999999999994" customHeight="1" x14ac:dyDescent="0.15">
      <c r="A11" s="63">
        <v>7</v>
      </c>
      <c r="B11" s="45" t="s">
        <v>206</v>
      </c>
      <c r="C11" s="45" t="s">
        <v>278</v>
      </c>
      <c r="D11" s="46" t="s">
        <v>279</v>
      </c>
      <c r="E11" s="46">
        <v>3</v>
      </c>
      <c r="F11" s="150"/>
      <c r="G11" s="64">
        <f t="shared" si="0"/>
        <v>0</v>
      </c>
      <c r="H11" s="14" t="str">
        <f t="shared" si="1"/>
        <v>Preis eintragen</v>
      </c>
    </row>
    <row r="12" spans="1:8" ht="15" customHeight="1" x14ac:dyDescent="0.15">
      <c r="A12" s="63">
        <v>8</v>
      </c>
      <c r="B12" s="45" t="s">
        <v>206</v>
      </c>
      <c r="C12" s="45" t="s">
        <v>280</v>
      </c>
      <c r="D12" s="46" t="s">
        <v>281</v>
      </c>
      <c r="E12" s="46">
        <v>9</v>
      </c>
      <c r="F12" s="150"/>
      <c r="G12" s="64">
        <f t="shared" si="0"/>
        <v>0</v>
      </c>
      <c r="H12" s="14" t="str">
        <f t="shared" si="1"/>
        <v>Preis eintragen</v>
      </c>
    </row>
    <row r="13" spans="1:8" ht="15" customHeight="1" x14ac:dyDescent="0.15">
      <c r="A13" s="63">
        <v>9</v>
      </c>
      <c r="B13" s="45" t="s">
        <v>206</v>
      </c>
      <c r="C13" s="45" t="s">
        <v>282</v>
      </c>
      <c r="D13" s="46" t="s">
        <v>281</v>
      </c>
      <c r="E13" s="46">
        <v>4</v>
      </c>
      <c r="F13" s="150"/>
      <c r="G13" s="64">
        <f t="shared" si="0"/>
        <v>0</v>
      </c>
      <c r="H13" s="14" t="str">
        <f t="shared" si="1"/>
        <v>Preis eintragen</v>
      </c>
    </row>
    <row r="14" spans="1:8" ht="10.5" x14ac:dyDescent="0.15">
      <c r="A14" s="14"/>
      <c r="B14" s="14"/>
      <c r="C14" s="14"/>
      <c r="D14" s="14"/>
      <c r="E14" s="14"/>
      <c r="F14" s="14"/>
      <c r="G14" s="14"/>
      <c r="H14" s="14"/>
    </row>
    <row r="15" spans="1:8" ht="15" customHeight="1" x14ac:dyDescent="0.15">
      <c r="A15" s="14"/>
      <c r="B15" s="14" t="s">
        <v>317</v>
      </c>
      <c r="C15" s="14"/>
      <c r="D15" s="14"/>
      <c r="E15" s="14"/>
      <c r="F15" s="14"/>
      <c r="G15" s="14"/>
      <c r="H15" s="14"/>
    </row>
    <row r="16" spans="1:8" ht="15" customHeight="1" x14ac:dyDescent="0.15">
      <c r="A16" s="14"/>
      <c r="B16" s="14" t="s">
        <v>318</v>
      </c>
      <c r="C16" s="14"/>
      <c r="D16" s="14"/>
      <c r="E16" s="14"/>
      <c r="F16" s="14"/>
      <c r="G16" s="14"/>
      <c r="H16" s="14"/>
    </row>
    <row r="17" spans="1:8" ht="15" customHeight="1" x14ac:dyDescent="0.15">
      <c r="A17" s="14"/>
      <c r="B17" s="14" t="s">
        <v>319</v>
      </c>
      <c r="C17" s="14"/>
      <c r="D17" s="14"/>
      <c r="E17" s="14"/>
      <c r="F17" s="14"/>
      <c r="G17" s="14"/>
      <c r="H17" s="14"/>
    </row>
    <row r="18" spans="1:8" ht="10.5" x14ac:dyDescent="0.15">
      <c r="A18" s="14"/>
      <c r="B18" s="14"/>
      <c r="C18" s="14"/>
      <c r="D18" s="14"/>
      <c r="E18" s="14"/>
      <c r="F18" s="14"/>
      <c r="G18" s="14"/>
      <c r="H18" s="14"/>
    </row>
    <row r="19" spans="1:8" ht="15" customHeight="1" x14ac:dyDescent="0.15">
      <c r="A19" s="14"/>
      <c r="B19" s="14" t="s">
        <v>320</v>
      </c>
      <c r="C19" s="14"/>
      <c r="D19" s="14"/>
      <c r="E19" s="14"/>
      <c r="F19" s="14"/>
      <c r="G19" s="14"/>
      <c r="H19" s="14"/>
    </row>
    <row r="20" spans="1:8" ht="10.5" x14ac:dyDescent="0.15">
      <c r="A20" s="14"/>
      <c r="B20" s="14"/>
      <c r="C20" s="14"/>
      <c r="D20" s="14"/>
      <c r="E20" s="14"/>
      <c r="F20" s="14"/>
      <c r="G20" s="14"/>
      <c r="H20" s="14"/>
    </row>
    <row r="21" spans="1:8" ht="15" customHeight="1" x14ac:dyDescent="0.15">
      <c r="A21" s="14"/>
      <c r="B21" s="14" t="s">
        <v>321</v>
      </c>
      <c r="C21" s="14"/>
      <c r="D21" s="14"/>
      <c r="E21" s="14"/>
      <c r="F21" s="14"/>
      <c r="G21" s="14"/>
      <c r="H21" s="14"/>
    </row>
    <row r="22" spans="1:8" ht="15" customHeight="1" x14ac:dyDescent="0.15">
      <c r="A22" s="14"/>
      <c r="B22" s="14" t="s">
        <v>322</v>
      </c>
      <c r="C22" s="14"/>
      <c r="D22" s="14"/>
      <c r="E22" s="14"/>
      <c r="F22" s="14"/>
      <c r="G22" s="14"/>
      <c r="H22" s="14"/>
    </row>
    <row r="23" spans="1:8" ht="15" customHeight="1" x14ac:dyDescent="0.15">
      <c r="A23" s="14"/>
      <c r="B23" s="14" t="s">
        <v>323</v>
      </c>
      <c r="C23" s="14"/>
      <c r="D23" s="14"/>
      <c r="E23" s="14"/>
      <c r="F23" s="14"/>
      <c r="G23" s="14"/>
      <c r="H23" s="14"/>
    </row>
    <row r="24" spans="1:8" ht="10.5" x14ac:dyDescent="0.15">
      <c r="A24" s="14"/>
      <c r="C24" s="14"/>
      <c r="D24" s="14"/>
      <c r="E24" s="14"/>
      <c r="F24" s="14"/>
      <c r="G24" s="14"/>
      <c r="H24" s="14"/>
    </row>
    <row r="25" spans="1:8" ht="15" customHeight="1" x14ac:dyDescent="0.15">
      <c r="A25" s="14"/>
      <c r="B25" s="14" t="s">
        <v>324</v>
      </c>
      <c r="C25" s="14"/>
      <c r="D25" s="14"/>
      <c r="E25" s="14"/>
      <c r="F25" s="14"/>
      <c r="G25" s="14"/>
      <c r="H25" s="14"/>
    </row>
    <row r="26" spans="1:8" ht="10.5" x14ac:dyDescent="0.15">
      <c r="A26" s="14"/>
      <c r="B26" s="14"/>
      <c r="C26" s="14"/>
      <c r="D26" s="14"/>
      <c r="E26" s="14"/>
      <c r="F26" s="14"/>
      <c r="G26" s="14"/>
      <c r="H26" s="14"/>
    </row>
    <row r="27" spans="1:8" ht="10.5" x14ac:dyDescent="0.15">
      <c r="A27" s="14"/>
      <c r="B27" s="14"/>
      <c r="C27" s="14"/>
      <c r="D27" s="14"/>
      <c r="E27" s="14"/>
      <c r="F27" s="14"/>
      <c r="G27" s="14"/>
      <c r="H27" s="14"/>
    </row>
    <row r="28" spans="1:8" ht="10.5" x14ac:dyDescent="0.15">
      <c r="A28" s="14"/>
      <c r="B28" s="14"/>
      <c r="C28" s="14"/>
      <c r="D28" s="14"/>
      <c r="E28" s="14"/>
      <c r="F28" s="14"/>
      <c r="G28" s="14"/>
      <c r="H28" s="14"/>
    </row>
    <row r="29" spans="1:8" ht="10.5" x14ac:dyDescent="0.15">
      <c r="A29" s="14"/>
      <c r="B29" s="14"/>
      <c r="C29" s="14"/>
      <c r="D29" s="14"/>
      <c r="E29" s="14"/>
      <c r="F29" s="14"/>
      <c r="G29" s="14"/>
      <c r="H29" s="14"/>
    </row>
    <row r="30" spans="1:8" ht="10.5" x14ac:dyDescent="0.15">
      <c r="A30" s="14"/>
      <c r="B30" s="14"/>
      <c r="C30" s="14"/>
      <c r="D30" s="14"/>
      <c r="E30" s="14"/>
      <c r="F30" s="14"/>
      <c r="G30" s="14"/>
      <c r="H30" s="14"/>
    </row>
    <row r="31" spans="1:8" ht="10.5" x14ac:dyDescent="0.15">
      <c r="A31" s="14"/>
      <c r="B31" s="14"/>
      <c r="C31" s="14"/>
      <c r="D31" s="14"/>
      <c r="E31" s="14"/>
      <c r="F31" s="14"/>
      <c r="G31" s="14"/>
      <c r="H31" s="14"/>
    </row>
    <row r="32" spans="1:8" ht="10.5" x14ac:dyDescent="0.15">
      <c r="A32" s="14"/>
      <c r="B32" s="14"/>
      <c r="C32" s="14"/>
      <c r="D32" s="14"/>
      <c r="E32" s="14"/>
      <c r="F32" s="14"/>
      <c r="G32" s="14"/>
      <c r="H32" s="14"/>
    </row>
    <row r="33" spans="1:8" ht="10.5" x14ac:dyDescent="0.15">
      <c r="A33" s="14"/>
      <c r="B33" s="14"/>
      <c r="C33" s="14"/>
      <c r="D33" s="14"/>
      <c r="E33" s="14"/>
      <c r="F33" s="14"/>
      <c r="G33" s="14"/>
      <c r="H33" s="14"/>
    </row>
    <row r="34" spans="1:8" ht="10.5" x14ac:dyDescent="0.15">
      <c r="A34" s="14"/>
      <c r="B34" s="14"/>
      <c r="C34" s="14"/>
      <c r="D34" s="14"/>
      <c r="E34" s="14"/>
      <c r="F34" s="14"/>
      <c r="G34" s="14"/>
      <c r="H34" s="14"/>
    </row>
    <row r="35" spans="1:8" ht="10.5" x14ac:dyDescent="0.15">
      <c r="A35" s="14"/>
      <c r="B35" s="14"/>
      <c r="C35" s="14"/>
      <c r="D35" s="14"/>
      <c r="E35" s="14"/>
      <c r="F35" s="14"/>
      <c r="G35" s="14"/>
      <c r="H35" s="14"/>
    </row>
    <row r="36" spans="1:8" ht="10.5" x14ac:dyDescent="0.15">
      <c r="A36" s="14"/>
      <c r="B36" s="14"/>
      <c r="C36" s="14"/>
      <c r="D36" s="14"/>
      <c r="E36" s="14"/>
      <c r="F36" s="14"/>
      <c r="G36" s="14"/>
      <c r="H36" s="14"/>
    </row>
    <row r="37" spans="1:8" ht="10.5" x14ac:dyDescent="0.15">
      <c r="A37" s="14"/>
      <c r="B37" s="14"/>
      <c r="C37" s="14"/>
      <c r="D37" s="14"/>
      <c r="E37" s="14"/>
      <c r="F37" s="14"/>
      <c r="G37" s="14"/>
      <c r="H37" s="14"/>
    </row>
    <row r="38" spans="1:8" ht="10.5" x14ac:dyDescent="0.15">
      <c r="A38" s="14"/>
      <c r="B38" s="14"/>
      <c r="C38" s="14"/>
      <c r="D38" s="14"/>
      <c r="E38" s="14"/>
      <c r="F38" s="14"/>
      <c r="G38" s="14"/>
      <c r="H38" s="14"/>
    </row>
    <row r="39" spans="1:8" ht="10.5" x14ac:dyDescent="0.15">
      <c r="A39" s="14"/>
      <c r="B39" s="14"/>
      <c r="C39" s="14"/>
      <c r="D39" s="14"/>
      <c r="E39" s="14"/>
      <c r="F39" s="14"/>
      <c r="G39" s="14"/>
      <c r="H39" s="14"/>
    </row>
    <row r="40" spans="1:8" ht="10.5" x14ac:dyDescent="0.15">
      <c r="A40" s="14"/>
      <c r="B40" s="14"/>
      <c r="C40" s="14"/>
      <c r="D40" s="14"/>
      <c r="E40" s="14"/>
      <c r="F40" s="14"/>
      <c r="G40" s="14"/>
      <c r="H40" s="14"/>
    </row>
    <row r="41" spans="1:8" ht="10.5" x14ac:dyDescent="0.15">
      <c r="A41" s="14"/>
      <c r="B41" s="14"/>
      <c r="C41" s="14"/>
      <c r="D41" s="14"/>
      <c r="E41" s="14"/>
      <c r="F41" s="14"/>
      <c r="G41" s="14"/>
      <c r="H41" s="14"/>
    </row>
    <row r="42" spans="1:8" ht="10.5" x14ac:dyDescent="0.15">
      <c r="A42" s="14"/>
      <c r="B42" s="14"/>
      <c r="C42" s="14"/>
      <c r="D42" s="14"/>
      <c r="E42" s="14"/>
      <c r="F42" s="14"/>
      <c r="G42" s="14"/>
      <c r="H42" s="14"/>
    </row>
    <row r="43" spans="1:8" ht="10.5" x14ac:dyDescent="0.15">
      <c r="A43" s="14"/>
      <c r="B43" s="14"/>
      <c r="C43" s="14"/>
      <c r="D43" s="14"/>
      <c r="E43" s="14"/>
      <c r="F43" s="14"/>
      <c r="G43" s="14"/>
      <c r="H43" s="14"/>
    </row>
    <row r="44" spans="1:8" ht="10.5" x14ac:dyDescent="0.15">
      <c r="A44" s="14"/>
      <c r="B44" s="14"/>
      <c r="C44" s="14"/>
      <c r="D44" s="14"/>
      <c r="E44" s="14"/>
      <c r="F44" s="14"/>
      <c r="G44" s="14"/>
      <c r="H44" s="14"/>
    </row>
    <row r="45" spans="1:8" ht="10.5" x14ac:dyDescent="0.15">
      <c r="A45" s="14"/>
      <c r="B45" s="14"/>
      <c r="C45" s="14"/>
      <c r="D45" s="14"/>
      <c r="E45" s="14"/>
      <c r="F45" s="14"/>
      <c r="G45" s="14"/>
      <c r="H45" s="14"/>
    </row>
  </sheetData>
  <sheetProtection algorithmName="SHA-512" hashValue="Ndz+QSacGaHJsxtSLx+bunSFBOkj1SlNIXxNnkZtqEGHRdHOg1rJlnHSOrWQ/iscTCEPf3F3iw4OJwVj4Exd0g==" saltValue="a0xhW9uEMmZh2Sbn4hrm8Q==" spinCount="100000" sheet="1" objects="1" scenarios="1"/>
  <mergeCells count="1">
    <mergeCell ref="D2:G3"/>
  </mergeCells>
  <phoneticPr fontId="3" type="noConversion"/>
  <conditionalFormatting sqref="H5:H13">
    <cfRule type="containsText" dxfId="2"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5"/>
  <sheetViews>
    <sheetView showGridLines="0" zoomScaleNormal="100" workbookViewId="0"/>
  </sheetViews>
  <sheetFormatPr baseColWidth="10" defaultColWidth="0" defaultRowHeight="15" customHeight="1" x14ac:dyDescent="0.15"/>
  <cols>
    <col min="1" max="1" width="7.7109375" style="15" customWidth="1"/>
    <col min="2" max="2" width="19.42578125" style="15" customWidth="1"/>
    <col min="3" max="3" width="27.85546875" style="15" customWidth="1"/>
    <col min="4" max="4" width="13.7109375" style="15" customWidth="1"/>
    <col min="5" max="8" width="12.7109375" style="15" customWidth="1"/>
    <col min="9" max="9" width="8.7109375" style="15" customWidth="1"/>
    <col min="10" max="10" width="12.7109375" style="15" customWidth="1"/>
    <col min="11" max="11" width="22.28515625" style="15" customWidth="1"/>
    <col min="12" max="16384" width="0" style="15" hidden="1"/>
  </cols>
  <sheetData>
    <row r="1" spans="1:11" ht="36" customHeight="1" x14ac:dyDescent="0.15">
      <c r="A1" s="14" t="s">
        <v>185</v>
      </c>
      <c r="B1" s="14"/>
      <c r="C1" s="14"/>
      <c r="D1" s="14"/>
      <c r="E1" s="37"/>
      <c r="F1" s="37"/>
      <c r="G1" s="32" t="s">
        <v>100</v>
      </c>
      <c r="H1" s="33"/>
      <c r="I1" s="33"/>
    </row>
    <row r="2" spans="1:11" ht="25.9" customHeight="1" x14ac:dyDescent="0.15">
      <c r="A2" s="14" t="s">
        <v>103</v>
      </c>
      <c r="B2" s="16" t="str">
        <f>IF(Inhaltsverzeichnis!$C$3="", "",Inhaltsverzeichnis!$C$3)</f>
        <v/>
      </c>
      <c r="C2" s="14"/>
      <c r="D2" s="35" t="b">
        <v>0</v>
      </c>
      <c r="E2" s="202" t="str">
        <f>IF(D2=TRUE,"Die rot markierten Informationen verschwinden, wenn die gelben Zellen ausgefüllt sind.  Wenn keine rote Schrift mehr angezeigt wird, ist alles ausgefüllt.","")</f>
        <v/>
      </c>
      <c r="F2" s="202"/>
      <c r="G2" s="202"/>
      <c r="H2" s="202"/>
      <c r="I2" s="202"/>
      <c r="J2" s="202"/>
    </row>
    <row r="3" spans="1:11" ht="22.5" customHeight="1" x14ac:dyDescent="0.15">
      <c r="A3" s="14"/>
      <c r="B3" s="14"/>
      <c r="C3" s="14"/>
      <c r="D3" s="14"/>
      <c r="E3" s="40"/>
      <c r="F3" s="40"/>
      <c r="G3" s="40"/>
      <c r="H3" s="40"/>
      <c r="I3" s="14"/>
      <c r="J3" s="14"/>
      <c r="K3" s="36">
        <f ca="1">IF(COUNTA($K$5:$K$13)-COUNTBLANK($K$5:$K$13)=0,"",COUNTA($K$5:$K$13)-COUNTBLANK($K$5:$K$13))</f>
        <v>9</v>
      </c>
    </row>
    <row r="4" spans="1:11" ht="35.1" customHeight="1" x14ac:dyDescent="0.15">
      <c r="A4" s="42" t="s">
        <v>92</v>
      </c>
      <c r="B4" s="42" t="s">
        <v>113</v>
      </c>
      <c r="C4" s="42" t="s">
        <v>116</v>
      </c>
      <c r="D4" s="41" t="s">
        <v>152</v>
      </c>
      <c r="E4" s="41" t="s">
        <v>118</v>
      </c>
      <c r="F4" s="41" t="s">
        <v>119</v>
      </c>
      <c r="G4" s="41" t="s">
        <v>120</v>
      </c>
      <c r="H4" s="41" t="s">
        <v>117</v>
      </c>
      <c r="I4" s="41" t="s">
        <v>121</v>
      </c>
      <c r="J4" s="41" t="s">
        <v>114</v>
      </c>
    </row>
    <row r="5" spans="1:11" ht="24.95" customHeight="1" x14ac:dyDescent="0.15">
      <c r="A5" s="65">
        <v>1</v>
      </c>
      <c r="B5" s="66" t="s">
        <v>199</v>
      </c>
      <c r="C5" s="67" t="s">
        <v>284</v>
      </c>
      <c r="D5" s="68">
        <v>5</v>
      </c>
      <c r="E5" s="69"/>
      <c r="F5" s="70">
        <v>1</v>
      </c>
      <c r="G5" s="70">
        <f t="shared" ref="G5:G13" si="0">ROUND((F5*H5),2)</f>
        <v>239.5</v>
      </c>
      <c r="H5" s="70">
        <f>VLOOKUP(D5,Reinigungstage!A10:H31,7,FALSE)</f>
        <v>239.5</v>
      </c>
      <c r="I5" s="70">
        <f ca="1">IF('SVS Wirtschaft'!$H$61="",0,'SVS Wirtschaft'!$H$61)</f>
        <v>0</v>
      </c>
      <c r="J5" s="70">
        <f t="shared" ref="J5:J13" ca="1" si="1">ROUND(IF(I5=0,0,I5*G5),2)</f>
        <v>0</v>
      </c>
      <c r="K5" s="15" t="str">
        <f t="shared" ref="K5:K13" ca="1" si="2">IF(I5=0,"SVS prüfen","")</f>
        <v>SVS prüfen</v>
      </c>
    </row>
    <row r="6" spans="1:11" ht="24.95" customHeight="1" x14ac:dyDescent="0.15">
      <c r="A6" s="65">
        <v>4</v>
      </c>
      <c r="B6" s="66" t="s">
        <v>206</v>
      </c>
      <c r="C6" s="67" t="s">
        <v>285</v>
      </c>
      <c r="D6" s="68">
        <v>5</v>
      </c>
      <c r="E6" s="69"/>
      <c r="F6" s="70">
        <v>2</v>
      </c>
      <c r="G6" s="70">
        <f t="shared" si="0"/>
        <v>495</v>
      </c>
      <c r="H6" s="70">
        <f>VLOOKUP(D6,Reinigungstage!A10:H31,8,FALSE)</f>
        <v>247.5</v>
      </c>
      <c r="I6" s="70">
        <f ca="1">IF('SVS Wirtschaft'!$H$61="",0,'SVS Wirtschaft'!$H$61)</f>
        <v>0</v>
      </c>
      <c r="J6" s="70">
        <f t="shared" ca="1" si="1"/>
        <v>0</v>
      </c>
      <c r="K6" s="15" t="str">
        <f t="shared" ca="1" si="2"/>
        <v>SVS prüfen</v>
      </c>
    </row>
    <row r="7" spans="1:11" ht="24.95" customHeight="1" x14ac:dyDescent="0.15">
      <c r="A7" s="65">
        <v>5</v>
      </c>
      <c r="B7" s="66" t="s">
        <v>206</v>
      </c>
      <c r="C7" s="67" t="s">
        <v>286</v>
      </c>
      <c r="D7" s="68">
        <v>5</v>
      </c>
      <c r="E7" s="69"/>
      <c r="F7" s="70">
        <v>2</v>
      </c>
      <c r="G7" s="70">
        <f t="shared" si="0"/>
        <v>495</v>
      </c>
      <c r="H7" s="70">
        <f>VLOOKUP(D7,Reinigungstage!A10:H31,8,FALSE)</f>
        <v>247.5</v>
      </c>
      <c r="I7" s="70">
        <f ca="1">IF('SVS Wirtschaft'!$H$61="",0,'SVS Wirtschaft'!$H$61)</f>
        <v>0</v>
      </c>
      <c r="J7" s="70">
        <f t="shared" ca="1" si="1"/>
        <v>0</v>
      </c>
      <c r="K7" s="15" t="str">
        <f t="shared" ca="1" si="2"/>
        <v>SVS prüfen</v>
      </c>
    </row>
    <row r="8" spans="1:11" ht="24.95" customHeight="1" x14ac:dyDescent="0.15">
      <c r="A8" s="65">
        <v>6</v>
      </c>
      <c r="B8" s="66" t="s">
        <v>206</v>
      </c>
      <c r="C8" s="67" t="s">
        <v>284</v>
      </c>
      <c r="D8" s="68">
        <v>5</v>
      </c>
      <c r="E8" s="69"/>
      <c r="F8" s="70">
        <v>1</v>
      </c>
      <c r="G8" s="70">
        <f t="shared" si="0"/>
        <v>247.5</v>
      </c>
      <c r="H8" s="70">
        <f>VLOOKUP(D8,Reinigungstage!A10:H31,8,FALSE)</f>
        <v>247.5</v>
      </c>
      <c r="I8" s="70">
        <f ca="1">IF('SVS Wirtschaft'!$H$61="",0,'SVS Wirtschaft'!$H$61)</f>
        <v>0</v>
      </c>
      <c r="J8" s="70">
        <f t="shared" ca="1" si="1"/>
        <v>0</v>
      </c>
      <c r="K8" s="15" t="str">
        <f t="shared" ca="1" si="2"/>
        <v>SVS prüfen</v>
      </c>
    </row>
    <row r="9" spans="1:11" ht="24.95" customHeight="1" x14ac:dyDescent="0.15">
      <c r="A9" s="65">
        <v>7</v>
      </c>
      <c r="B9" s="66" t="s">
        <v>206</v>
      </c>
      <c r="C9" s="67" t="s">
        <v>287</v>
      </c>
      <c r="D9" s="68">
        <v>1</v>
      </c>
      <c r="E9" s="69"/>
      <c r="F9" s="70">
        <v>1</v>
      </c>
      <c r="G9" s="70">
        <f t="shared" si="0"/>
        <v>51.41</v>
      </c>
      <c r="H9" s="70">
        <f>VLOOKUP(D9,Reinigungstage!A10:H31,8,FALSE)</f>
        <v>51.41</v>
      </c>
      <c r="I9" s="70">
        <f ca="1">IF('SVS Wirtschaft'!$H$61="",0,'SVS Wirtschaft'!$H$61)</f>
        <v>0</v>
      </c>
      <c r="J9" s="70">
        <f t="shared" ca="1" si="1"/>
        <v>0</v>
      </c>
      <c r="K9" s="15" t="str">
        <f t="shared" ca="1" si="2"/>
        <v>SVS prüfen</v>
      </c>
    </row>
    <row r="10" spans="1:11" ht="24.95" customHeight="1" x14ac:dyDescent="0.15">
      <c r="A10" s="65">
        <v>8</v>
      </c>
      <c r="B10" s="66" t="s">
        <v>206</v>
      </c>
      <c r="C10" s="67" t="s">
        <v>288</v>
      </c>
      <c r="D10" s="68" t="s">
        <v>142</v>
      </c>
      <c r="E10" s="69"/>
      <c r="F10" s="70">
        <v>2</v>
      </c>
      <c r="G10" s="70">
        <f t="shared" si="0"/>
        <v>24</v>
      </c>
      <c r="H10" s="70">
        <f>VLOOKUP(D10,Reinigungstage!A10:H31,8,FALSE)</f>
        <v>12</v>
      </c>
      <c r="I10" s="70">
        <f ca="1">IF('SVS Wirtschaft'!$H$61="",0,'SVS Wirtschaft'!$H$61)</f>
        <v>0</v>
      </c>
      <c r="J10" s="70">
        <f t="shared" ca="1" si="1"/>
        <v>0</v>
      </c>
      <c r="K10" s="15" t="str">
        <f t="shared" ca="1" si="2"/>
        <v>SVS prüfen</v>
      </c>
    </row>
    <row r="11" spans="1:11" ht="24.95" customHeight="1" x14ac:dyDescent="0.15">
      <c r="A11" s="65">
        <v>9</v>
      </c>
      <c r="B11" s="66" t="s">
        <v>206</v>
      </c>
      <c r="C11" s="67" t="s">
        <v>289</v>
      </c>
      <c r="D11" s="68">
        <v>1</v>
      </c>
      <c r="E11" s="69"/>
      <c r="F11" s="70">
        <v>0.5</v>
      </c>
      <c r="G11" s="70">
        <f t="shared" si="0"/>
        <v>25.71</v>
      </c>
      <c r="H11" s="70">
        <f>VLOOKUP(D11,Reinigungstage!A10:H31,8,FALSE)</f>
        <v>51.41</v>
      </c>
      <c r="I11" s="70">
        <f ca="1">IF('SVS Wirtschaft'!$H$61="",0,'SVS Wirtschaft'!$H$61)</f>
        <v>0</v>
      </c>
      <c r="J11" s="70">
        <f t="shared" ca="1" si="1"/>
        <v>0</v>
      </c>
      <c r="K11" s="15" t="str">
        <f t="shared" ca="1" si="2"/>
        <v>SVS prüfen</v>
      </c>
    </row>
    <row r="12" spans="1:11" ht="24.95" customHeight="1" x14ac:dyDescent="0.15">
      <c r="A12" s="65">
        <v>10</v>
      </c>
      <c r="B12" s="66" t="s">
        <v>206</v>
      </c>
      <c r="C12" s="67" t="s">
        <v>290</v>
      </c>
      <c r="D12" s="68">
        <v>0.5</v>
      </c>
      <c r="E12" s="69"/>
      <c r="F12" s="70">
        <v>0.75</v>
      </c>
      <c r="G12" s="70">
        <f t="shared" si="0"/>
        <v>19.28</v>
      </c>
      <c r="H12" s="70">
        <f>VLOOKUP(D12,Reinigungstage!A10:H31,8,FALSE)</f>
        <v>25.71</v>
      </c>
      <c r="I12" s="70">
        <f ca="1">IF('SVS Wirtschaft'!$H$61="",0,'SVS Wirtschaft'!$H$61)</f>
        <v>0</v>
      </c>
      <c r="J12" s="70">
        <f t="shared" ca="1" si="1"/>
        <v>0</v>
      </c>
      <c r="K12" s="15" t="str">
        <f t="shared" ca="1" si="2"/>
        <v>SVS prüfen</v>
      </c>
    </row>
    <row r="13" spans="1:11" ht="24.95" customHeight="1" x14ac:dyDescent="0.15">
      <c r="A13" s="65">
        <v>11</v>
      </c>
      <c r="B13" s="66" t="s">
        <v>206</v>
      </c>
      <c r="C13" s="67" t="s">
        <v>291</v>
      </c>
      <c r="D13" s="68" t="s">
        <v>142</v>
      </c>
      <c r="E13" s="69"/>
      <c r="F13" s="70">
        <v>2.5</v>
      </c>
      <c r="G13" s="70">
        <f t="shared" si="0"/>
        <v>30</v>
      </c>
      <c r="H13" s="70">
        <f>VLOOKUP(D13,Reinigungstage!A10:H31,8,FALSE)</f>
        <v>12</v>
      </c>
      <c r="I13" s="70">
        <f ca="1">IF('SVS Wirtschaft'!$H$61="",0,'SVS Wirtschaft'!$H$61)</f>
        <v>0</v>
      </c>
      <c r="J13" s="70">
        <f t="shared" ca="1" si="1"/>
        <v>0</v>
      </c>
      <c r="K13" s="15" t="str">
        <f t="shared" ca="1" si="2"/>
        <v>SVS prüfen</v>
      </c>
    </row>
    <row r="14" spans="1:11" ht="10.5" x14ac:dyDescent="0.15"/>
    <row r="15" spans="1:11" ht="10.5" x14ac:dyDescent="0.15"/>
    <row r="16" spans="1:11" ht="10.5" x14ac:dyDescent="0.15"/>
    <row r="17" s="15" customFormat="1" ht="10.5" x14ac:dyDescent="0.15"/>
    <row r="18" s="15" customFormat="1" ht="10.5" x14ac:dyDescent="0.15"/>
    <row r="19" s="15" customFormat="1" ht="10.5" x14ac:dyDescent="0.15"/>
    <row r="20" s="15" customFormat="1" ht="10.5" x14ac:dyDescent="0.15"/>
    <row r="21" s="15" customFormat="1" ht="10.5" x14ac:dyDescent="0.15"/>
    <row r="22" s="15" customFormat="1" ht="10.5" x14ac:dyDescent="0.15"/>
    <row r="23" s="15" customFormat="1" ht="10.5" x14ac:dyDescent="0.15"/>
    <row r="24" s="15" customFormat="1" ht="10.5" x14ac:dyDescent="0.15"/>
    <row r="25" s="15" customFormat="1" ht="10.5" x14ac:dyDescent="0.15"/>
    <row r="26" s="15" customFormat="1" ht="10.5" x14ac:dyDescent="0.15"/>
    <row r="27" s="15" customFormat="1" ht="10.5" x14ac:dyDescent="0.15"/>
    <row r="28" s="15" customFormat="1" ht="10.5" x14ac:dyDescent="0.15"/>
    <row r="29" s="15" customFormat="1" ht="10.5" x14ac:dyDescent="0.15"/>
    <row r="30" s="15" customFormat="1" ht="10.5" x14ac:dyDescent="0.15"/>
    <row r="31" s="15" customFormat="1" ht="10.5" x14ac:dyDescent="0.15"/>
    <row r="32" s="15" customFormat="1" ht="10.5" x14ac:dyDescent="0.15"/>
    <row r="33" s="15" customFormat="1" ht="10.5" x14ac:dyDescent="0.15"/>
    <row r="34" s="15" customFormat="1" ht="10.5" x14ac:dyDescent="0.15"/>
    <row r="35" s="15" customFormat="1" ht="10.5" x14ac:dyDescent="0.15"/>
  </sheetData>
  <sheetProtection algorithmName="SHA-512" hashValue="fr63lTA4n4mtawMEzue1rS5NWU1iN2+uD3R0r4FrS5/wcTltW1CfmvdKaiKzLoMlJD4+rEOD1U/TcA08lXS+Jg==" saltValue="Ws/8kjPHmlxhvx7CwOD6LA==" spinCount="100000" sheet="1" objects="1" scenarios="1"/>
  <mergeCells count="1">
    <mergeCell ref="E2:J2"/>
  </mergeCells>
  <phoneticPr fontId="3" type="noConversion"/>
  <conditionalFormatting sqref="K5:K13">
    <cfRule type="containsText" dxfId="1"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F9BF-0D41-47FC-853D-B87C80096944}">
  <sheetPr>
    <tabColor indexed="16"/>
  </sheetPr>
  <dimension ref="A1:L21"/>
  <sheetViews>
    <sheetView showGridLines="0" zoomScaleNormal="100" workbookViewId="0"/>
  </sheetViews>
  <sheetFormatPr baseColWidth="10" defaultColWidth="0" defaultRowHeight="15" customHeight="1" x14ac:dyDescent="0.15"/>
  <cols>
    <col min="1" max="1" width="6.7109375" style="15" customWidth="1"/>
    <col min="2" max="2" width="19.140625" style="15" customWidth="1"/>
    <col min="3" max="3" width="34.7109375" style="15" customWidth="1"/>
    <col min="4" max="4" width="12.7109375" style="15" customWidth="1"/>
    <col min="5" max="8" width="11.5703125" style="15" customWidth="1"/>
    <col min="9" max="9" width="7.28515625" style="15" customWidth="1"/>
    <col min="10" max="10" width="14.42578125" style="15" customWidth="1"/>
    <col min="11" max="11" width="21.7109375" style="15" customWidth="1"/>
    <col min="12" max="16384" width="11.5703125" style="15" hidden="1"/>
  </cols>
  <sheetData>
    <row r="1" spans="1:11" ht="36" customHeight="1" x14ac:dyDescent="0.15">
      <c r="A1" s="14" t="s">
        <v>310</v>
      </c>
      <c r="B1" s="14"/>
      <c r="C1" s="14"/>
      <c r="D1" s="14"/>
      <c r="E1" s="37"/>
      <c r="F1" s="37"/>
      <c r="G1" s="32" t="s">
        <v>100</v>
      </c>
      <c r="H1" s="33"/>
      <c r="I1" s="33"/>
    </row>
    <row r="2" spans="1:11" ht="25.9" customHeight="1" x14ac:dyDescent="0.15">
      <c r="A2" s="14" t="s">
        <v>103</v>
      </c>
      <c r="B2" s="14" t="str">
        <f>IF(Inhaltsverzeichnis!$C$3="", "",Inhaltsverzeichnis!$C$3)</f>
        <v/>
      </c>
      <c r="C2" s="14"/>
      <c r="D2" s="35" t="b">
        <v>0</v>
      </c>
      <c r="E2" s="202" t="str">
        <f>IF(D2=TRUE,"Die rot markierten Informationen verschwinden, wenn die gelben Zellen ausgefüllt sind.  Wenn keine rote Schrift mehr angezeigt wird, ist alles ausgefüllt.","")</f>
        <v/>
      </c>
      <c r="F2" s="202"/>
      <c r="G2" s="202"/>
      <c r="H2" s="202"/>
      <c r="I2" s="14"/>
      <c r="J2" s="14"/>
    </row>
    <row r="3" spans="1:11" ht="25.5" customHeight="1" x14ac:dyDescent="0.15">
      <c r="A3" s="14"/>
      <c r="B3" s="14"/>
      <c r="C3" s="14"/>
      <c r="D3" s="14"/>
      <c r="E3" s="203"/>
      <c r="F3" s="203"/>
      <c r="G3" s="203"/>
      <c r="H3" s="203"/>
      <c r="I3" s="14"/>
      <c r="J3" s="14"/>
      <c r="K3" s="36">
        <f ca="1">IF(COUNTA($K$5:$K$10)-COUNTBLANK($K$5:$K$10)=0,"",COUNTA($K$5:$K$10)-COUNTBLANK($K$5:$K$10))</f>
        <v>6</v>
      </c>
    </row>
    <row r="4" spans="1:11" ht="43.5" customHeight="1" x14ac:dyDescent="0.15">
      <c r="A4" s="50" t="s">
        <v>92</v>
      </c>
      <c r="B4" s="50" t="s">
        <v>113</v>
      </c>
      <c r="C4" s="50" t="s">
        <v>116</v>
      </c>
      <c r="D4" s="51" t="s">
        <v>152</v>
      </c>
      <c r="E4" s="51" t="s">
        <v>311</v>
      </c>
      <c r="F4" s="51" t="s">
        <v>119</v>
      </c>
      <c r="G4" s="51" t="s">
        <v>120</v>
      </c>
      <c r="H4" s="51" t="s">
        <v>117</v>
      </c>
      <c r="I4" s="51" t="s">
        <v>121</v>
      </c>
      <c r="J4" s="51" t="s">
        <v>114</v>
      </c>
      <c r="K4" s="14"/>
    </row>
    <row r="5" spans="1:11" ht="24.95" customHeight="1" x14ac:dyDescent="0.15">
      <c r="A5" s="52">
        <v>1</v>
      </c>
      <c r="B5" s="44" t="s">
        <v>199</v>
      </c>
      <c r="C5" s="45" t="s">
        <v>285</v>
      </c>
      <c r="D5" s="46" t="s">
        <v>151</v>
      </c>
      <c r="E5" s="53">
        <v>5</v>
      </c>
      <c r="F5" s="46">
        <v>2</v>
      </c>
      <c r="G5" s="54">
        <f t="shared" ref="G5:G10" si="0">ROUND(F5*H5,2)</f>
        <v>80</v>
      </c>
      <c r="H5" s="47">
        <v>40</v>
      </c>
      <c r="I5" s="47">
        <f ca="1">IF('SVS Wirtschaft'!$H$61="",0,'SVS Wirtschaft'!$H$61)</f>
        <v>0</v>
      </c>
      <c r="J5" s="47">
        <f ca="1">ROUND(IF(I5=0,0,I5*G5),2)</f>
        <v>0</v>
      </c>
      <c r="K5" s="14" t="str">
        <f t="shared" ref="K5:K10" ca="1" si="1">IF(I5=0,"SVS prüfen","")</f>
        <v>SVS prüfen</v>
      </c>
    </row>
    <row r="6" spans="1:11" ht="24.95" customHeight="1" x14ac:dyDescent="0.15">
      <c r="A6" s="52">
        <v>2</v>
      </c>
      <c r="B6" s="44" t="s">
        <v>199</v>
      </c>
      <c r="C6" s="45" t="s">
        <v>286</v>
      </c>
      <c r="D6" s="46" t="s">
        <v>151</v>
      </c>
      <c r="E6" s="53">
        <v>5</v>
      </c>
      <c r="F6" s="46">
        <v>2</v>
      </c>
      <c r="G6" s="54">
        <f t="shared" si="0"/>
        <v>80</v>
      </c>
      <c r="H6" s="47">
        <v>40</v>
      </c>
      <c r="I6" s="47">
        <f ca="1">IF('SVS Wirtschaft'!$H$61="",0,'SVS Wirtschaft'!$H$61)</f>
        <v>0</v>
      </c>
      <c r="J6" s="47">
        <f t="shared" ref="J6:J10" ca="1" si="2">ROUND(IF(I6=0,0,I6*G6),2)</f>
        <v>0</v>
      </c>
      <c r="K6" s="14" t="str">
        <f t="shared" ca="1" si="1"/>
        <v>SVS prüfen</v>
      </c>
    </row>
    <row r="7" spans="1:11" ht="24.95" customHeight="1" x14ac:dyDescent="0.15">
      <c r="A7" s="52">
        <v>3</v>
      </c>
      <c r="B7" s="44" t="s">
        <v>199</v>
      </c>
      <c r="C7" s="45" t="s">
        <v>287</v>
      </c>
      <c r="D7" s="46" t="s">
        <v>151</v>
      </c>
      <c r="E7" s="53">
        <v>1</v>
      </c>
      <c r="F7" s="46">
        <v>1</v>
      </c>
      <c r="G7" s="54">
        <f t="shared" si="0"/>
        <v>9</v>
      </c>
      <c r="H7" s="47">
        <v>9</v>
      </c>
      <c r="I7" s="47">
        <f ca="1">IF('SVS Wirtschaft'!$H$61="",0,'SVS Wirtschaft'!$H$61)</f>
        <v>0</v>
      </c>
      <c r="J7" s="47">
        <f t="shared" ca="1" si="2"/>
        <v>0</v>
      </c>
      <c r="K7" s="14" t="str">
        <f t="shared" ca="1" si="1"/>
        <v>SVS prüfen</v>
      </c>
    </row>
    <row r="8" spans="1:11" ht="24.95" customHeight="1" x14ac:dyDescent="0.15">
      <c r="A8" s="52">
        <v>4</v>
      </c>
      <c r="B8" s="44" t="s">
        <v>199</v>
      </c>
      <c r="C8" s="45" t="s">
        <v>288</v>
      </c>
      <c r="D8" s="46" t="s">
        <v>151</v>
      </c>
      <c r="E8" s="53" t="s">
        <v>142</v>
      </c>
      <c r="F8" s="46">
        <v>2</v>
      </c>
      <c r="G8" s="54">
        <f t="shared" si="0"/>
        <v>4</v>
      </c>
      <c r="H8" s="47">
        <v>2</v>
      </c>
      <c r="I8" s="47">
        <f ca="1">IF('SVS Wirtschaft'!$H$61="",0,'SVS Wirtschaft'!$H$61)</f>
        <v>0</v>
      </c>
      <c r="J8" s="47">
        <f t="shared" ca="1" si="2"/>
        <v>0</v>
      </c>
      <c r="K8" s="14" t="str">
        <f t="shared" ca="1" si="1"/>
        <v>SVS prüfen</v>
      </c>
    </row>
    <row r="9" spans="1:11" ht="24.95" customHeight="1" x14ac:dyDescent="0.15">
      <c r="A9" s="52">
        <v>6</v>
      </c>
      <c r="B9" s="44" t="s">
        <v>199</v>
      </c>
      <c r="C9" s="45" t="s">
        <v>312</v>
      </c>
      <c r="D9" s="46" t="s">
        <v>151</v>
      </c>
      <c r="E9" s="53">
        <v>1</v>
      </c>
      <c r="F9" s="46">
        <v>1.75</v>
      </c>
      <c r="G9" s="54">
        <f t="shared" si="0"/>
        <v>15.75</v>
      </c>
      <c r="H9" s="47">
        <v>9</v>
      </c>
      <c r="I9" s="47">
        <f ca="1">IF('SVS Wirtschaft'!$H$61="",0,'SVS Wirtschaft'!$H$61)</f>
        <v>0</v>
      </c>
      <c r="J9" s="47">
        <f t="shared" ca="1" si="2"/>
        <v>0</v>
      </c>
      <c r="K9" s="14" t="str">
        <f t="shared" ca="1" si="1"/>
        <v>SVS prüfen</v>
      </c>
    </row>
    <row r="10" spans="1:11" ht="24.95" customHeight="1" x14ac:dyDescent="0.15">
      <c r="A10" s="52">
        <v>7</v>
      </c>
      <c r="B10" s="44" t="s">
        <v>199</v>
      </c>
      <c r="C10" s="45" t="s">
        <v>291</v>
      </c>
      <c r="D10" s="46" t="s">
        <v>151</v>
      </c>
      <c r="E10" s="53" t="s">
        <v>142</v>
      </c>
      <c r="F10" s="46">
        <v>4.75</v>
      </c>
      <c r="G10" s="54">
        <f t="shared" si="0"/>
        <v>9.5</v>
      </c>
      <c r="H10" s="47">
        <v>2</v>
      </c>
      <c r="I10" s="47">
        <f ca="1">IF('SVS Wirtschaft'!$H$61="",0,'SVS Wirtschaft'!$H$61)</f>
        <v>0</v>
      </c>
      <c r="J10" s="47">
        <f t="shared" ca="1" si="2"/>
        <v>0</v>
      </c>
      <c r="K10" s="14" t="str">
        <f t="shared" ca="1" si="1"/>
        <v>SVS prüfen</v>
      </c>
    </row>
    <row r="20" spans="12:12" ht="15" customHeight="1" x14ac:dyDescent="0.15">
      <c r="L20" s="55"/>
    </row>
    <row r="21" spans="12:12" ht="15" customHeight="1" x14ac:dyDescent="0.15">
      <c r="L21" s="55"/>
    </row>
  </sheetData>
  <sheetProtection algorithmName="SHA-512" hashValue="TLN0qP/N/fvnUdlHlARCyvzAzVroNmzOJaE9zM/emPpt+/pOKRuccVhYrWD6ME0M64BmhOUDLldMLjoVh1/2Tg==" saltValue="cLMTO7hmHszLzlxXsBHTyw==" spinCount="100000" sheet="1" objects="1" scenarios="1"/>
  <mergeCells count="1">
    <mergeCell ref="E2:H3"/>
  </mergeCells>
  <conditionalFormatting sqref="K5:K10">
    <cfRule type="containsText" dxfId="0" priority="1" stopIfTrue="1" operator="containsText" text="SVS prüfen">
      <formula>NOT(ISERROR(SEARCH("SVS prüfen",K5)))</formula>
    </cfRule>
  </conditionalFormatting>
  <hyperlinks>
    <hyperlink ref="G1" location="Inhaltsverzeichnis!A1" display="Zurück zum Inhaltsverzeichnis" xr:uid="{E9BBAFAF-896E-4D98-80BB-81D593E42FA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Bed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ltText="Hinweis">
                <anchor moveWithCells="1">
                  <from>
                    <xdr:col>3</xdr:col>
                    <xdr:colOff>38100</xdr:colOff>
                    <xdr:row>1</xdr:row>
                    <xdr:rowOff>28575</xdr:rowOff>
                  </from>
                  <to>
                    <xdr:col>3</xdr:col>
                    <xdr:colOff>809625</xdr:colOff>
                    <xdr:row>1</xdr:row>
                    <xdr:rowOff>276225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8" width="13.7109375" style="24" customWidth="1"/>
    <col min="9" max="52" width="13.7109375" style="6" customWidth="1"/>
    <col min="53" max="16384" width="6.42578125" style="6"/>
  </cols>
  <sheetData>
    <row r="1" spans="1:9" s="3" customFormat="1" ht="35.450000000000003" customHeight="1" x14ac:dyDescent="0.2">
      <c r="A1" s="3" t="s">
        <v>186</v>
      </c>
      <c r="B1" s="24"/>
      <c r="C1" s="24"/>
      <c r="D1" s="149" t="b">
        <v>0</v>
      </c>
      <c r="E1" s="151" t="str">
        <f>IF(D1=TRUE,"Hier muss nichts ausgefüllt werden. Sie sehen hier die Reinigungsarten mit den maximalen Reinigungstagen. Mehrere Tabellen greifen hierauf zu.","")</f>
        <v/>
      </c>
      <c r="F1" s="151"/>
      <c r="G1" s="151"/>
      <c r="H1" s="151"/>
      <c r="I1" s="39" t="s">
        <v>100</v>
      </c>
    </row>
    <row r="2" spans="1:9" s="3" customFormat="1" ht="26.45" customHeight="1" x14ac:dyDescent="0.2">
      <c r="A2" s="3" t="s">
        <v>103</v>
      </c>
      <c r="B2" s="4" t="str">
        <f>IF(Inhaltsverzeichnis!$C$3="","",Inhaltsverzeichnis!$C$3)</f>
        <v/>
      </c>
      <c r="C2" s="24"/>
      <c r="D2" s="24"/>
      <c r="E2" s="151"/>
      <c r="F2" s="151"/>
      <c r="G2" s="151"/>
      <c r="H2" s="151"/>
    </row>
    <row r="3" spans="1:9" s="3" customFormat="1" ht="15" customHeight="1" x14ac:dyDescent="0.2">
      <c r="B3" s="24"/>
      <c r="C3" s="24"/>
      <c r="D3" s="24"/>
      <c r="E3" s="31"/>
      <c r="F3" s="31"/>
      <c r="G3" s="24"/>
      <c r="H3" s="24"/>
    </row>
    <row r="4" spans="1:9" ht="25.5" customHeight="1" x14ac:dyDescent="0.15">
      <c r="A4" s="140" t="s">
        <v>113</v>
      </c>
      <c r="B4" s="140" t="s">
        <v>199</v>
      </c>
      <c r="C4" s="140" t="s">
        <v>206</v>
      </c>
      <c r="D4" s="140" t="s">
        <v>199</v>
      </c>
      <c r="E4" s="140" t="s">
        <v>206</v>
      </c>
      <c r="F4" s="140" t="s">
        <v>199</v>
      </c>
      <c r="G4" s="140" t="s">
        <v>199</v>
      </c>
      <c r="H4" s="140" t="s">
        <v>206</v>
      </c>
      <c r="I4" s="24"/>
    </row>
    <row r="5" spans="1:9" ht="25.5" customHeight="1" x14ac:dyDescent="0.15">
      <c r="A5" s="140" t="s">
        <v>150</v>
      </c>
      <c r="B5" s="140" t="s">
        <v>292</v>
      </c>
      <c r="C5" s="140" t="s">
        <v>292</v>
      </c>
      <c r="D5" s="140" t="s">
        <v>292</v>
      </c>
      <c r="E5" s="140" t="s">
        <v>292</v>
      </c>
      <c r="F5" s="140" t="s">
        <v>292</v>
      </c>
      <c r="G5" s="140" t="s">
        <v>292</v>
      </c>
      <c r="H5" s="140" t="s">
        <v>292</v>
      </c>
      <c r="I5" s="24"/>
    </row>
    <row r="6" spans="1:9" ht="25.5" customHeight="1" x14ac:dyDescent="0.15">
      <c r="A6" s="140" t="s">
        <v>116</v>
      </c>
      <c r="B6" s="1" t="s">
        <v>293</v>
      </c>
      <c r="C6" s="1" t="s">
        <v>293</v>
      </c>
      <c r="D6" s="1" t="s">
        <v>295</v>
      </c>
      <c r="E6" s="1" t="s">
        <v>295</v>
      </c>
      <c r="F6" s="1" t="s">
        <v>296</v>
      </c>
      <c r="G6" s="1" t="s">
        <v>297</v>
      </c>
      <c r="H6" s="1" t="s">
        <v>297</v>
      </c>
      <c r="I6" s="31"/>
    </row>
    <row r="7" spans="1:9" ht="35.1" customHeight="1" x14ac:dyDescent="0.15">
      <c r="A7" s="1" t="s">
        <v>192</v>
      </c>
      <c r="B7" s="141">
        <v>239.5</v>
      </c>
      <c r="C7" s="141">
        <v>247.5</v>
      </c>
      <c r="D7" s="141">
        <v>1</v>
      </c>
      <c r="E7" s="141">
        <v>1</v>
      </c>
      <c r="F7" s="141">
        <v>40</v>
      </c>
      <c r="G7" s="141">
        <v>239.5</v>
      </c>
      <c r="H7" s="141">
        <v>247.5</v>
      </c>
      <c r="I7" s="24"/>
    </row>
    <row r="8" spans="1:9" ht="6" customHeight="1" x14ac:dyDescent="0.15">
      <c r="A8" s="142"/>
      <c r="B8" s="72"/>
      <c r="C8" s="72"/>
      <c r="D8" s="72"/>
      <c r="E8" s="72"/>
      <c r="F8" s="72"/>
      <c r="G8" s="72"/>
      <c r="H8" s="72"/>
      <c r="I8" s="24"/>
    </row>
    <row r="9" spans="1:9" ht="25.5" customHeight="1" x14ac:dyDescent="0.15">
      <c r="A9" s="140" t="s">
        <v>193</v>
      </c>
      <c r="B9" s="1" t="s">
        <v>294</v>
      </c>
      <c r="C9" s="1" t="s">
        <v>294</v>
      </c>
      <c r="D9" s="1" t="s">
        <v>294</v>
      </c>
      <c r="E9" s="1" t="s">
        <v>294</v>
      </c>
      <c r="F9" s="1" t="s">
        <v>294</v>
      </c>
      <c r="G9" s="1" t="s">
        <v>294</v>
      </c>
      <c r="H9" s="1" t="s">
        <v>294</v>
      </c>
      <c r="I9" s="31"/>
    </row>
    <row r="10" spans="1:9" ht="15" customHeight="1" x14ac:dyDescent="0.15">
      <c r="A10" s="143">
        <v>12</v>
      </c>
      <c r="B10" s="144">
        <f t="shared" ref="B10:B17" si="0">ROUND($B$7/5*A10,2)</f>
        <v>574.79999999999995</v>
      </c>
      <c r="C10" s="144">
        <f t="shared" ref="C10:C17" si="1">ROUND($C$7/5*A10,2)</f>
        <v>594</v>
      </c>
      <c r="D10" s="145"/>
      <c r="E10" s="145"/>
      <c r="F10" s="144">
        <f t="shared" ref="F10:F17" si="2">ROUND($F$7/5*A10,2)</f>
        <v>96</v>
      </c>
      <c r="G10" s="144">
        <f t="shared" ref="G10:G17" si="3">ROUND($G$7/5*A10,2)</f>
        <v>574.79999999999995</v>
      </c>
      <c r="H10" s="144">
        <f t="shared" ref="H10:H17" si="4">ROUND($H$7/5*A10,2)</f>
        <v>594</v>
      </c>
      <c r="I10" s="49"/>
    </row>
    <row r="11" spans="1:9" ht="15" customHeight="1" x14ac:dyDescent="0.15">
      <c r="A11" s="143">
        <v>10</v>
      </c>
      <c r="B11" s="144">
        <f t="shared" si="0"/>
        <v>479</v>
      </c>
      <c r="C11" s="144">
        <f t="shared" si="1"/>
        <v>495</v>
      </c>
      <c r="D11" s="145"/>
      <c r="E11" s="145"/>
      <c r="F11" s="144">
        <f t="shared" si="2"/>
        <v>80</v>
      </c>
      <c r="G11" s="144">
        <f t="shared" si="3"/>
        <v>479</v>
      </c>
      <c r="H11" s="144">
        <f t="shared" si="4"/>
        <v>495</v>
      </c>
      <c r="I11" s="49"/>
    </row>
    <row r="12" spans="1:9" ht="15" customHeight="1" x14ac:dyDescent="0.15">
      <c r="A12" s="143">
        <v>7</v>
      </c>
      <c r="B12" s="144">
        <f t="shared" si="0"/>
        <v>335.3</v>
      </c>
      <c r="C12" s="144">
        <f t="shared" si="1"/>
        <v>346.5</v>
      </c>
      <c r="D12" s="145"/>
      <c r="E12" s="145"/>
      <c r="F12" s="144">
        <f t="shared" si="2"/>
        <v>56</v>
      </c>
      <c r="G12" s="144">
        <f t="shared" si="3"/>
        <v>335.3</v>
      </c>
      <c r="H12" s="144">
        <f t="shared" si="4"/>
        <v>346.5</v>
      </c>
      <c r="I12" s="49"/>
    </row>
    <row r="13" spans="1:9" ht="15" customHeight="1" x14ac:dyDescent="0.15">
      <c r="A13" s="143">
        <v>6</v>
      </c>
      <c r="B13" s="144">
        <f t="shared" si="0"/>
        <v>287.39999999999998</v>
      </c>
      <c r="C13" s="144">
        <f t="shared" si="1"/>
        <v>297</v>
      </c>
      <c r="D13" s="145"/>
      <c r="E13" s="145"/>
      <c r="F13" s="144">
        <f t="shared" si="2"/>
        <v>48</v>
      </c>
      <c r="G13" s="144">
        <f t="shared" si="3"/>
        <v>287.39999999999998</v>
      </c>
      <c r="H13" s="144">
        <f t="shared" si="4"/>
        <v>297</v>
      </c>
      <c r="I13" s="49"/>
    </row>
    <row r="14" spans="1:9" ht="15" customHeight="1" x14ac:dyDescent="0.15">
      <c r="A14" s="143">
        <v>5</v>
      </c>
      <c r="B14" s="141">
        <f t="shared" si="0"/>
        <v>239.5</v>
      </c>
      <c r="C14" s="141">
        <f t="shared" si="1"/>
        <v>247.5</v>
      </c>
      <c r="D14" s="145"/>
      <c r="E14" s="145"/>
      <c r="F14" s="144">
        <f t="shared" si="2"/>
        <v>40</v>
      </c>
      <c r="G14" s="141">
        <f t="shared" si="3"/>
        <v>239.5</v>
      </c>
      <c r="H14" s="141">
        <f t="shared" si="4"/>
        <v>247.5</v>
      </c>
      <c r="I14" s="49"/>
    </row>
    <row r="15" spans="1:9" ht="15" customHeight="1" x14ac:dyDescent="0.15">
      <c r="A15" s="143">
        <v>4</v>
      </c>
      <c r="B15" s="144">
        <f t="shared" si="0"/>
        <v>191.6</v>
      </c>
      <c r="C15" s="144">
        <f t="shared" si="1"/>
        <v>198</v>
      </c>
      <c r="D15" s="145"/>
      <c r="E15" s="145"/>
      <c r="F15" s="144">
        <f t="shared" si="2"/>
        <v>32</v>
      </c>
      <c r="G15" s="144">
        <f t="shared" si="3"/>
        <v>191.6</v>
      </c>
      <c r="H15" s="144">
        <f t="shared" si="4"/>
        <v>198</v>
      </c>
      <c r="I15" s="49"/>
    </row>
    <row r="16" spans="1:9" ht="15" customHeight="1" x14ac:dyDescent="0.15">
      <c r="A16" s="143">
        <v>3</v>
      </c>
      <c r="B16" s="144">
        <f t="shared" si="0"/>
        <v>143.69999999999999</v>
      </c>
      <c r="C16" s="144">
        <f t="shared" si="1"/>
        <v>148.5</v>
      </c>
      <c r="D16" s="145"/>
      <c r="E16" s="145"/>
      <c r="F16" s="144">
        <f t="shared" si="2"/>
        <v>24</v>
      </c>
      <c r="G16" s="144">
        <f t="shared" si="3"/>
        <v>143.69999999999999</v>
      </c>
      <c r="H16" s="144">
        <f t="shared" si="4"/>
        <v>148.5</v>
      </c>
      <c r="I16" s="49"/>
    </row>
    <row r="17" spans="1:9" ht="15" customHeight="1" x14ac:dyDescent="0.15">
      <c r="A17" s="143">
        <v>2.5</v>
      </c>
      <c r="B17" s="144">
        <f t="shared" si="0"/>
        <v>119.75</v>
      </c>
      <c r="C17" s="144">
        <f t="shared" si="1"/>
        <v>123.75</v>
      </c>
      <c r="D17" s="145"/>
      <c r="E17" s="145"/>
      <c r="F17" s="144">
        <f t="shared" si="2"/>
        <v>20</v>
      </c>
      <c r="G17" s="144">
        <f t="shared" si="3"/>
        <v>119.75</v>
      </c>
      <c r="H17" s="144">
        <f t="shared" si="4"/>
        <v>123.75</v>
      </c>
      <c r="I17" s="49"/>
    </row>
    <row r="18" spans="1:9" ht="15" customHeight="1" x14ac:dyDescent="0.15">
      <c r="A18" s="143">
        <v>2</v>
      </c>
      <c r="B18" s="144">
        <f>ROUND(B7*104.29/251,2)</f>
        <v>99.51</v>
      </c>
      <c r="C18" s="144">
        <f>ROUND(C7*104.29/251,2)</f>
        <v>102.84</v>
      </c>
      <c r="D18" s="145"/>
      <c r="E18" s="145"/>
      <c r="F18" s="144">
        <f>ROUND(F7*104.29/251,2)</f>
        <v>16.62</v>
      </c>
      <c r="G18" s="144">
        <f>ROUND(G7*104.29/251,2)</f>
        <v>99.51</v>
      </c>
      <c r="H18" s="144">
        <f>ROUND(H7*104.29/251,2)</f>
        <v>102.84</v>
      </c>
      <c r="I18" s="49"/>
    </row>
    <row r="19" spans="1:9" ht="15" customHeight="1" x14ac:dyDescent="0.15">
      <c r="A19" s="143">
        <v>1</v>
      </c>
      <c r="B19" s="141">
        <f>ROUND(B7*52.14/251,2)</f>
        <v>49.75</v>
      </c>
      <c r="C19" s="144">
        <f>ROUND(C7*52.14/251,2)</f>
        <v>51.41</v>
      </c>
      <c r="D19" s="145"/>
      <c r="E19" s="145"/>
      <c r="F19" s="144">
        <f>ROUND(F7*52.14/251,2)</f>
        <v>8.31</v>
      </c>
      <c r="G19" s="141">
        <f>ROUND(G7*52.14/251,2)</f>
        <v>49.75</v>
      </c>
      <c r="H19" s="141">
        <f>ROUND(H7*52.14/251,2)</f>
        <v>51.41</v>
      </c>
      <c r="I19" s="49"/>
    </row>
    <row r="20" spans="1:9" ht="15" customHeight="1" x14ac:dyDescent="0.15">
      <c r="A20" s="143">
        <v>0.5</v>
      </c>
      <c r="B20" s="144">
        <f>ROUND(B7*26.07/251,2)</f>
        <v>24.88</v>
      </c>
      <c r="C20" s="144">
        <f>ROUND(C7*26.07/251,2)</f>
        <v>25.71</v>
      </c>
      <c r="D20" s="145"/>
      <c r="E20" s="145"/>
      <c r="F20" s="144">
        <f>ROUND(F7*26.07/251,2)</f>
        <v>4.1500000000000004</v>
      </c>
      <c r="G20" s="141">
        <f>ROUND(G7*26.07/251,2)</f>
        <v>24.88</v>
      </c>
      <c r="H20" s="141">
        <f>ROUND(H7*26.07/251,2)</f>
        <v>25.71</v>
      </c>
      <c r="I20" s="49"/>
    </row>
    <row r="21" spans="1:9" ht="15" customHeight="1" x14ac:dyDescent="0.15">
      <c r="A21" s="143" t="s">
        <v>141</v>
      </c>
      <c r="B21" s="146">
        <f t="shared" ref="B21:H21" si="5">ROUND(12*2,2)</f>
        <v>24</v>
      </c>
      <c r="C21" s="146">
        <f t="shared" si="5"/>
        <v>24</v>
      </c>
      <c r="D21" s="146">
        <f t="shared" si="5"/>
        <v>24</v>
      </c>
      <c r="E21" s="146">
        <f t="shared" si="5"/>
        <v>24</v>
      </c>
      <c r="F21" s="146">
        <v>4</v>
      </c>
      <c r="G21" s="146">
        <f t="shared" si="5"/>
        <v>24</v>
      </c>
      <c r="H21" s="146">
        <f t="shared" si="5"/>
        <v>24</v>
      </c>
      <c r="I21" s="49"/>
    </row>
    <row r="22" spans="1:9" ht="15" customHeight="1" x14ac:dyDescent="0.15">
      <c r="A22" s="143" t="s">
        <v>142</v>
      </c>
      <c r="B22" s="146">
        <f t="shared" ref="B22:H22" si="6">ROUND(12*1,2)</f>
        <v>12</v>
      </c>
      <c r="C22" s="146">
        <f t="shared" si="6"/>
        <v>12</v>
      </c>
      <c r="D22" s="146">
        <f t="shared" si="6"/>
        <v>12</v>
      </c>
      <c r="E22" s="146">
        <f t="shared" si="6"/>
        <v>12</v>
      </c>
      <c r="F22" s="146">
        <v>2</v>
      </c>
      <c r="G22" s="147">
        <f t="shared" si="6"/>
        <v>12</v>
      </c>
      <c r="H22" s="147">
        <f t="shared" si="6"/>
        <v>12</v>
      </c>
      <c r="I22" s="49"/>
    </row>
    <row r="23" spans="1:9" ht="15" customHeight="1" x14ac:dyDescent="0.15">
      <c r="A23" s="143" t="s">
        <v>143</v>
      </c>
      <c r="B23" s="144">
        <v>6</v>
      </c>
      <c r="C23" s="144">
        <v>6</v>
      </c>
      <c r="D23" s="144">
        <v>6</v>
      </c>
      <c r="E23" s="144">
        <v>6</v>
      </c>
      <c r="F23" s="144">
        <v>6</v>
      </c>
      <c r="G23" s="144">
        <v>6</v>
      </c>
      <c r="H23" s="144">
        <v>6</v>
      </c>
      <c r="I23" s="49"/>
    </row>
    <row r="24" spans="1:9" ht="15" customHeight="1" x14ac:dyDescent="0.15">
      <c r="A24" s="143" t="s">
        <v>144</v>
      </c>
      <c r="B24" s="144">
        <v>5</v>
      </c>
      <c r="C24" s="144">
        <v>5</v>
      </c>
      <c r="D24" s="144">
        <v>5</v>
      </c>
      <c r="E24" s="144">
        <v>5</v>
      </c>
      <c r="F24" s="144">
        <v>5</v>
      </c>
      <c r="G24" s="144">
        <v>5</v>
      </c>
      <c r="H24" s="144">
        <v>5</v>
      </c>
      <c r="I24" s="49"/>
    </row>
    <row r="25" spans="1:9" ht="15" customHeight="1" x14ac:dyDescent="0.15">
      <c r="A25" s="143" t="s">
        <v>145</v>
      </c>
      <c r="B25" s="144">
        <v>4</v>
      </c>
      <c r="C25" s="144">
        <v>4</v>
      </c>
      <c r="D25" s="144">
        <v>4</v>
      </c>
      <c r="E25" s="144">
        <v>4</v>
      </c>
      <c r="F25" s="144">
        <v>4</v>
      </c>
      <c r="G25" s="144">
        <v>4</v>
      </c>
      <c r="H25" s="144">
        <v>4</v>
      </c>
      <c r="I25" s="49"/>
    </row>
    <row r="26" spans="1:9" ht="15" customHeight="1" x14ac:dyDescent="0.15">
      <c r="A26" s="143" t="s">
        <v>146</v>
      </c>
      <c r="B26" s="144">
        <v>3</v>
      </c>
      <c r="C26" s="144">
        <v>3</v>
      </c>
      <c r="D26" s="144">
        <v>3</v>
      </c>
      <c r="E26" s="144">
        <v>3</v>
      </c>
      <c r="F26" s="144">
        <v>3</v>
      </c>
      <c r="G26" s="144">
        <v>3</v>
      </c>
      <c r="H26" s="144">
        <v>3</v>
      </c>
      <c r="I26" s="49"/>
    </row>
    <row r="27" spans="1:9" ht="15" customHeight="1" x14ac:dyDescent="0.15">
      <c r="A27" s="143" t="s">
        <v>147</v>
      </c>
      <c r="B27" s="144">
        <v>2</v>
      </c>
      <c r="C27" s="144">
        <v>2</v>
      </c>
      <c r="D27" s="144">
        <v>2</v>
      </c>
      <c r="E27" s="144">
        <v>2</v>
      </c>
      <c r="F27" s="144">
        <v>2</v>
      </c>
      <c r="G27" s="144">
        <v>2</v>
      </c>
      <c r="H27" s="144">
        <v>2</v>
      </c>
      <c r="I27" s="49"/>
    </row>
    <row r="28" spans="1:9" ht="15" customHeight="1" x14ac:dyDescent="0.15">
      <c r="A28" s="143" t="s">
        <v>148</v>
      </c>
      <c r="B28" s="144">
        <v>1</v>
      </c>
      <c r="C28" s="144">
        <v>1</v>
      </c>
      <c r="D28" s="141">
        <v>1</v>
      </c>
      <c r="E28" s="141">
        <v>1</v>
      </c>
      <c r="F28" s="144">
        <v>1</v>
      </c>
      <c r="G28" s="144">
        <v>1</v>
      </c>
      <c r="H28" s="144">
        <v>1</v>
      </c>
      <c r="I28" s="49"/>
    </row>
    <row r="29" spans="1:9" ht="15" customHeight="1" x14ac:dyDescent="0.15">
      <c r="A29" s="141" t="s">
        <v>149</v>
      </c>
      <c r="B29" s="144">
        <v>0.5</v>
      </c>
      <c r="C29" s="144">
        <v>0.5</v>
      </c>
      <c r="D29" s="144">
        <v>0.5</v>
      </c>
      <c r="E29" s="144">
        <v>0.5</v>
      </c>
      <c r="F29" s="144">
        <v>0.5</v>
      </c>
      <c r="G29" s="144">
        <v>0.5</v>
      </c>
      <c r="H29" s="144">
        <v>0.5</v>
      </c>
      <c r="I29" s="49"/>
    </row>
    <row r="30" spans="1:9" ht="15" customHeight="1" x14ac:dyDescent="0.15">
      <c r="A30" s="141">
        <v>0</v>
      </c>
      <c r="B30" s="141">
        <v>0</v>
      </c>
      <c r="C30" s="141">
        <v>0</v>
      </c>
      <c r="D30" s="148"/>
      <c r="E30" s="148"/>
      <c r="F30" s="141">
        <v>0</v>
      </c>
      <c r="G30" s="141">
        <v>0</v>
      </c>
      <c r="H30" s="141">
        <v>0</v>
      </c>
      <c r="I30" s="49"/>
    </row>
    <row r="31" spans="1:9" ht="15" customHeight="1" x14ac:dyDescent="0.15">
      <c r="A31" s="141" t="s">
        <v>151</v>
      </c>
      <c r="B31" s="145"/>
      <c r="C31" s="145"/>
      <c r="D31" s="145"/>
      <c r="E31" s="145"/>
      <c r="F31" s="141">
        <f>F7</f>
        <v>40</v>
      </c>
      <c r="G31" s="145"/>
      <c r="H31" s="145"/>
      <c r="I31" s="48"/>
    </row>
  </sheetData>
  <sheetProtection algorithmName="SHA-512" hashValue="Q++ZPXdww/cSPgxU1VLC0m0eSAeJwIwhcykuHrvH/NG1A6nslr5C69dqTuibmPXAE2WyOOWaGMh/Yy2fF8XfbQ==" saltValue="opyzcU3Mjq+qqBK/MvTrDw=="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8"/>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188</v>
      </c>
      <c r="D1" s="25"/>
      <c r="E1" s="13"/>
      <c r="G1" s="5" t="s">
        <v>100</v>
      </c>
    </row>
    <row r="2" spans="1:9" ht="24" customHeight="1" x14ac:dyDescent="0.2">
      <c r="B2" s="28" t="b">
        <v>0</v>
      </c>
      <c r="C2" s="157" t="str">
        <f>IF(B2=TRUE,"Hier muss nichts ausgefüllt werden. Füllen Sie zunächst in den folgenden Tabellen die gelben Zellen aus. Kehren Sie dann zu dieser Tabelle zurück.","")</f>
        <v/>
      </c>
      <c r="D2" s="157"/>
      <c r="E2" s="157"/>
      <c r="F2" s="157"/>
      <c r="G2" s="157"/>
    </row>
    <row r="3" spans="1:9" ht="24" customHeight="1" x14ac:dyDescent="0.2">
      <c r="A3" s="29" t="s">
        <v>103</v>
      </c>
      <c r="B3" s="30" t="str">
        <f>IF(Inhaltsverzeichnis!$C$3="", "",Inhaltsverzeichnis!$C$3)</f>
        <v/>
      </c>
      <c r="C3" s="4"/>
      <c r="D3" s="4"/>
    </row>
    <row r="4" spans="1:9" s="24" customFormat="1" ht="29.1" customHeight="1" x14ac:dyDescent="0.2">
      <c r="A4" s="158" t="s">
        <v>299</v>
      </c>
      <c r="B4" s="159"/>
      <c r="C4" s="1" t="s">
        <v>293</v>
      </c>
      <c r="D4" s="1" t="s">
        <v>295</v>
      </c>
      <c r="E4" s="1" t="s">
        <v>298</v>
      </c>
      <c r="F4" s="1" t="s">
        <v>297</v>
      </c>
      <c r="G4" s="153" t="s">
        <v>302</v>
      </c>
      <c r="H4" s="153"/>
      <c r="I4" s="153"/>
    </row>
    <row r="5" spans="1:9" s="24" customFormat="1" ht="29.1" customHeight="1" x14ac:dyDescent="0.2">
      <c r="A5" s="1" t="s">
        <v>96</v>
      </c>
      <c r="B5" s="1" t="s">
        <v>181</v>
      </c>
      <c r="C5" s="1" t="s">
        <v>155</v>
      </c>
      <c r="D5" s="1" t="s">
        <v>155</v>
      </c>
      <c r="E5" s="1" t="s">
        <v>155</v>
      </c>
      <c r="F5" s="1" t="s">
        <v>155</v>
      </c>
      <c r="G5" s="1" t="s">
        <v>155</v>
      </c>
      <c r="H5" s="1" t="s">
        <v>301</v>
      </c>
      <c r="I5" s="1" t="s">
        <v>156</v>
      </c>
    </row>
    <row r="6" spans="1:9" ht="15" customHeight="1" x14ac:dyDescent="0.2">
      <c r="A6" s="12" t="s">
        <v>199</v>
      </c>
      <c r="B6" s="58">
        <v>11</v>
      </c>
      <c r="C6" s="57">
        <f ca="1">'Kal Unter Kita Spatzen'!Q21</f>
        <v>0</v>
      </c>
      <c r="D6" s="57">
        <f>'Kal Grund Kita Spatzen'!Q21</f>
        <v>0</v>
      </c>
      <c r="E6" s="57">
        <f>SUMIF('Kal Verbrauch Gesamt'!$B$5:$B13,$A$6,'Kal Verbrauch Gesamt'!$G$5:$G13)</f>
        <v>0</v>
      </c>
      <c r="F6" s="57">
        <f ca="1">SUMIF('Kal Wirtschaft Gesamt'!$B$5:$B13,$A$6,'Kal Wirtschaft Gesamt'!$J$5:$J13)</f>
        <v>0</v>
      </c>
      <c r="G6" s="57">
        <f ca="1">SUM(C6:F6)</f>
        <v>0</v>
      </c>
      <c r="H6" s="57">
        <f ca="1">I6-G6</f>
        <v>0</v>
      </c>
      <c r="I6" s="57">
        <f ca="1">ROUND(G6*1.19,2)</f>
        <v>0</v>
      </c>
    </row>
    <row r="7" spans="1:9" ht="15" customHeight="1" x14ac:dyDescent="0.2">
      <c r="A7" s="12" t="s">
        <v>206</v>
      </c>
      <c r="B7" s="58">
        <v>11</v>
      </c>
      <c r="C7" s="57">
        <f ca="1">'Kal Unter Kita Winnie P'!Q21</f>
        <v>0</v>
      </c>
      <c r="D7" s="57">
        <f>'Kal Grund Kita Winnie P'!Q21</f>
        <v>0</v>
      </c>
      <c r="E7" s="57">
        <f>SUMIF('Kal Verbrauch Gesamt'!$B$5:$B13,$A$7,'Kal Verbrauch Gesamt'!$G$5:$G13)</f>
        <v>0</v>
      </c>
      <c r="F7" s="57">
        <f ca="1">SUMIF('Kal Wirtschaft Gesamt'!$B$5:$B13,$A$7,'Kal Wirtschaft Gesamt'!$J$5:$J13)</f>
        <v>0</v>
      </c>
      <c r="G7" s="57">
        <f ca="1">SUM(C7:F7)</f>
        <v>0</v>
      </c>
      <c r="H7" s="57">
        <f ca="1">I7-G7</f>
        <v>0</v>
      </c>
      <c r="I7" s="57">
        <f ca="1">ROUND(G7*1.19,2)</f>
        <v>0</v>
      </c>
    </row>
    <row r="8" spans="1:9" ht="15" customHeight="1" x14ac:dyDescent="0.2">
      <c r="A8" s="154" t="s">
        <v>303</v>
      </c>
      <c r="B8" s="155"/>
      <c r="C8" s="156"/>
      <c r="D8" s="156"/>
      <c r="E8" s="156"/>
      <c r="F8" s="156"/>
      <c r="G8" s="57">
        <f ca="1">ROUND(SUM(G6:G7),2)</f>
        <v>0</v>
      </c>
      <c r="H8" s="57">
        <f ca="1">ROUND(SUM(H6:H7),2)</f>
        <v>0</v>
      </c>
      <c r="I8" s="57">
        <f ca="1">ROUND(SUM(I6:I7),2)</f>
        <v>0</v>
      </c>
    </row>
  </sheetData>
  <sheetProtection algorithmName="SHA-512" hashValue="ohSKzCminBaLPzFUYhstua6D1BqLHXcI3LlHB/aFmAPizabIIk0gOJzCMZI3GdhC9jVtln3WAIxzwZAIRk1iPg==" saltValue="VWrXAkAtv9Q+uH5DyvbDRQ==" spinCount="100000" sheet="1" objects="1" scenarios="1"/>
  <mergeCells count="4">
    <mergeCell ref="G4:I4"/>
    <mergeCell ref="A8:F8"/>
    <mergeCell ref="C2:G2"/>
    <mergeCell ref="A4:B4"/>
  </mergeCells>
  <phoneticPr fontId="3" type="noConversion"/>
  <hyperlinks>
    <hyperlink ref="G1" location="Inhaltsverzeichnis!A1" display="Zurück zum Inhaltsverzeichnis" xr:uid="{7689AA6F-572E-414A-952D-41A9A86A32E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58"/>
  </sheetPr>
  <dimension ref="A1:H6"/>
  <sheetViews>
    <sheetView showGridLines="0" zoomScaleNormal="100" workbookViewId="0"/>
  </sheetViews>
  <sheetFormatPr baseColWidth="10" defaultColWidth="11.42578125" defaultRowHeight="15" customHeight="1" x14ac:dyDescent="0.2"/>
  <cols>
    <col min="1" max="1" width="25.7109375" style="3" customWidth="1"/>
    <col min="2" max="2" width="16.7109375" style="3" customWidth="1"/>
    <col min="3" max="5" width="14.28515625" style="3" customWidth="1"/>
    <col min="6" max="8" width="16.7109375" style="3" customWidth="1"/>
    <col min="9" max="16384" width="11.42578125" style="3"/>
  </cols>
  <sheetData>
    <row r="1" spans="1:8" ht="29.1" customHeight="1" x14ac:dyDescent="0.2">
      <c r="A1" s="3" t="s">
        <v>187</v>
      </c>
      <c r="F1" s="5" t="s">
        <v>100</v>
      </c>
    </row>
    <row r="2" spans="1:8" ht="23.45" customHeight="1" x14ac:dyDescent="0.2">
      <c r="B2" s="28" t="b">
        <v>0</v>
      </c>
      <c r="C2" s="151" t="str">
        <f>IF(B2=TRUE,"Hier muss nichts ausgefüllt werden. Füllen Sie zunächst in den folgenden Tabellen die gelben Zellen aus. Kehren Sie dann zu dieser Tabelle zurück.","")</f>
        <v/>
      </c>
      <c r="D2" s="151"/>
      <c r="E2" s="151"/>
      <c r="F2" s="151"/>
    </row>
    <row r="3" spans="1:8" ht="23.45" customHeight="1" x14ac:dyDescent="0.2">
      <c r="A3" s="29" t="s">
        <v>103</v>
      </c>
      <c r="B3" s="30" t="str">
        <f>IF(Inhaltsverzeichnis!$C$3="", "",Inhaltsverzeichnis!$C$3)</f>
        <v/>
      </c>
    </row>
    <row r="4" spans="1:8" s="24" customFormat="1" ht="29.1" customHeight="1" x14ac:dyDescent="0.2">
      <c r="A4" s="160" t="s">
        <v>300</v>
      </c>
      <c r="B4" s="160"/>
      <c r="C4" s="160" t="s">
        <v>296</v>
      </c>
      <c r="D4" s="160"/>
      <c r="E4" s="160"/>
      <c r="F4" s="160" t="s">
        <v>313</v>
      </c>
      <c r="G4" s="160"/>
      <c r="H4" s="160"/>
    </row>
    <row r="5" spans="1:8" s="24" customFormat="1" ht="29.1" customHeight="1" x14ac:dyDescent="0.2">
      <c r="A5" s="59" t="s">
        <v>96</v>
      </c>
      <c r="B5" s="59" t="s">
        <v>181</v>
      </c>
      <c r="C5" s="59" t="s">
        <v>155</v>
      </c>
      <c r="D5" s="59" t="s">
        <v>301</v>
      </c>
      <c r="E5" s="59" t="s">
        <v>156</v>
      </c>
      <c r="F5" s="59" t="s">
        <v>155</v>
      </c>
      <c r="G5" s="59" t="s">
        <v>301</v>
      </c>
      <c r="H5" s="59" t="s">
        <v>156</v>
      </c>
    </row>
    <row r="6" spans="1:8" ht="15" customHeight="1" x14ac:dyDescent="0.2">
      <c r="A6" s="60" t="s">
        <v>199</v>
      </c>
      <c r="B6" s="62">
        <v>11</v>
      </c>
      <c r="C6" s="61">
        <f ca="1">'Kal Unter Bed Kita Spatzen'!Q21</f>
        <v>0</v>
      </c>
      <c r="D6" s="61">
        <f ca="1">E6-C6</f>
        <v>0</v>
      </c>
      <c r="E6" s="61">
        <f ca="1">ROUND($C$6*1.19,2)</f>
        <v>0</v>
      </c>
      <c r="F6" s="61">
        <f ca="1">SUM('Kal Wirtschaft Bed'!$J$5:$J$10)</f>
        <v>0</v>
      </c>
      <c r="G6" s="61">
        <f ca="1">H6-F6</f>
        <v>0</v>
      </c>
      <c r="H6" s="61">
        <f ca="1">ROUND(F6*1.19,2)</f>
        <v>0</v>
      </c>
    </row>
  </sheetData>
  <sheetProtection algorithmName="SHA-512" hashValue="X5tqa78/5FNakqcRuV15MP07ZetEZOs3SHHGf3IlYCVR2wFa7OKbqbDtRsZmdFDEYagrtjYuYCor3CdD8uEAdA==" saltValue="LJX2RiMPZ/YHB6FSQp5eDw==" spinCount="100000" sheet="1" objects="1" scenarios="1"/>
  <mergeCells count="4">
    <mergeCell ref="A4:B4"/>
    <mergeCell ref="C2:F2"/>
    <mergeCell ref="C4:E4"/>
    <mergeCell ref="F4:H4"/>
  </mergeCells>
  <phoneticPr fontId="3" type="noConversion"/>
  <hyperlinks>
    <hyperlink ref="F1" location="Inhaltsverzeichnis!A1" display="Zurück zum Inhaltsverzeichnis" xr:uid="{78FDD283-8AA1-46DB-A23F-536568902CB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 (nach Bedarf)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85" t="str">
        <f ca="1">IF(H61&lt;&gt;"","","Bitte alle gelben Zellen ausfüllen.")</f>
        <v>Bitte alle gelben Zellen ausfüllen.</v>
      </c>
      <c r="D1" s="101" t="b">
        <v>0</v>
      </c>
      <c r="E1" s="151"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1"/>
      <c r="G1" s="151"/>
      <c r="H1" s="151"/>
      <c r="I1" s="151"/>
      <c r="K1" s="5" t="s">
        <v>100</v>
      </c>
    </row>
    <row r="2" spans="1:11" ht="33" customHeight="1" x14ac:dyDescent="0.2">
      <c r="A2" s="3" t="s">
        <v>103</v>
      </c>
      <c r="C2" s="3" t="str">
        <f>IF(Inhaltsverzeichnis!$C$3="", "",Inhaltsverzeichnis!$C$3)</f>
        <v/>
      </c>
      <c r="D2" s="28" t="b">
        <v>0</v>
      </c>
      <c r="E2" s="151"/>
      <c r="F2" s="151"/>
      <c r="G2" s="151"/>
      <c r="H2" s="151"/>
      <c r="I2" s="151"/>
    </row>
    <row r="3" spans="1:11" s="2" customFormat="1" ht="12.75" x14ac:dyDescent="0.2">
      <c r="A3" s="169" t="s">
        <v>102</v>
      </c>
      <c r="B3" s="169"/>
      <c r="C3" s="169"/>
      <c r="D3" s="169"/>
      <c r="E3" s="169"/>
      <c r="F3" s="169"/>
      <c r="G3" s="169"/>
      <c r="H3" s="169"/>
      <c r="I3" s="169"/>
    </row>
    <row r="4" spans="1:11" x14ac:dyDescent="0.2">
      <c r="A4" s="86"/>
      <c r="B4" s="86"/>
      <c r="C4" s="86"/>
      <c r="D4" s="86"/>
      <c r="E4" s="86"/>
      <c r="F4" s="86"/>
      <c r="G4" s="86"/>
      <c r="H4" s="86"/>
      <c r="I4" s="86"/>
    </row>
    <row r="5" spans="1:11" ht="15" customHeight="1" x14ac:dyDescent="0.2">
      <c r="A5" s="87" t="s">
        <v>1</v>
      </c>
      <c r="B5" s="87" t="s">
        <v>2</v>
      </c>
      <c r="C5" s="87"/>
      <c r="D5" s="87"/>
      <c r="E5" s="87"/>
      <c r="F5" s="88">
        <v>100</v>
      </c>
      <c r="G5" s="87" t="s">
        <v>3</v>
      </c>
      <c r="H5" s="7">
        <v>15</v>
      </c>
      <c r="I5" s="87" t="s">
        <v>4</v>
      </c>
      <c r="K5" s="8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6"/>
      <c r="B6" s="86"/>
      <c r="C6" s="86"/>
      <c r="D6" s="86"/>
      <c r="E6" s="86"/>
      <c r="F6" s="90"/>
      <c r="G6" s="86"/>
      <c r="H6" s="90"/>
      <c r="I6" s="86"/>
    </row>
    <row r="7" spans="1:11" x14ac:dyDescent="0.2">
      <c r="A7" s="87" t="s">
        <v>5</v>
      </c>
      <c r="B7" s="87" t="s">
        <v>6</v>
      </c>
      <c r="C7" s="87"/>
      <c r="D7" s="87"/>
      <c r="E7" s="87"/>
      <c r="F7" s="91"/>
      <c r="G7" s="87"/>
      <c r="H7" s="91"/>
      <c r="I7" s="87"/>
    </row>
    <row r="8" spans="1:11" ht="14.25" x14ac:dyDescent="0.2">
      <c r="A8" s="86" t="s">
        <v>7</v>
      </c>
      <c r="B8" s="86" t="s">
        <v>8</v>
      </c>
      <c r="C8" s="86"/>
      <c r="D8" s="86"/>
      <c r="E8" s="86"/>
      <c r="F8" s="91"/>
      <c r="G8" s="91"/>
      <c r="H8" s="91"/>
      <c r="I8" s="91"/>
      <c r="K8" s="92"/>
    </row>
    <row r="9" spans="1:11" x14ac:dyDescent="0.2">
      <c r="A9" s="86" t="s">
        <v>9</v>
      </c>
      <c r="B9" s="86"/>
      <c r="C9" s="86" t="s">
        <v>10</v>
      </c>
      <c r="D9" s="86"/>
      <c r="E9" s="86"/>
      <c r="F9" s="8"/>
      <c r="G9" s="86" t="s">
        <v>3</v>
      </c>
      <c r="H9" s="93" t="str">
        <f>IF(F9="","",ROUND(F9/100*$H$5,2))</f>
        <v/>
      </c>
      <c r="I9" s="86" t="s">
        <v>4</v>
      </c>
      <c r="K9" s="89" t="str">
        <f>IF(F9="","Bitte ausfüllen!","")</f>
        <v>Bitte ausfüllen!</v>
      </c>
    </row>
    <row r="10" spans="1:11" x14ac:dyDescent="0.2">
      <c r="A10" s="86" t="s">
        <v>11</v>
      </c>
      <c r="B10" s="86"/>
      <c r="C10" s="86" t="s">
        <v>12</v>
      </c>
      <c r="D10" s="86"/>
      <c r="E10" s="86"/>
      <c r="F10" s="8"/>
      <c r="G10" s="86" t="s">
        <v>3</v>
      </c>
      <c r="H10" s="93" t="str">
        <f>IF(F10="","",ROUND(F10/100*$H$5,2))</f>
        <v/>
      </c>
      <c r="I10" s="86" t="s">
        <v>4</v>
      </c>
      <c r="K10" s="89" t="str">
        <f>IF(F10="","Bitte ausfüllen!","")</f>
        <v>Bitte ausfüllen!</v>
      </c>
    </row>
    <row r="11" spans="1:11" x14ac:dyDescent="0.2">
      <c r="A11" s="86" t="s">
        <v>13</v>
      </c>
      <c r="B11" s="86"/>
      <c r="C11" s="86" t="s">
        <v>14</v>
      </c>
      <c r="D11" s="86"/>
      <c r="E11" s="86"/>
      <c r="F11" s="8"/>
      <c r="G11" s="86" t="s">
        <v>3</v>
      </c>
      <c r="H11" s="93" t="str">
        <f>IF(F11="","",ROUND(F11/100*$H$5,2))</f>
        <v/>
      </c>
      <c r="I11" s="86" t="s">
        <v>4</v>
      </c>
      <c r="K11" s="89" t="str">
        <f>IF(F11="","Bitte ausfüllen!","")</f>
        <v>Bitte ausfüllen!</v>
      </c>
    </row>
    <row r="12" spans="1:11" x14ac:dyDescent="0.2">
      <c r="A12" s="86" t="s">
        <v>15</v>
      </c>
      <c r="B12" s="86"/>
      <c r="C12" s="86" t="s">
        <v>16</v>
      </c>
      <c r="D12" s="86"/>
      <c r="E12" s="86"/>
      <c r="F12" s="8"/>
      <c r="G12" s="86" t="s">
        <v>3</v>
      </c>
      <c r="H12" s="93" t="str">
        <f>IF(F12="","",ROUND(F12/100*$H$5,2))</f>
        <v/>
      </c>
      <c r="I12" s="86" t="s">
        <v>4</v>
      </c>
      <c r="K12" s="89" t="str">
        <f>IF(F12="","Bitte ausfüllen!","")</f>
        <v>Bitte ausfüllen!</v>
      </c>
    </row>
    <row r="13" spans="1:11" x14ac:dyDescent="0.2">
      <c r="A13" s="86" t="s">
        <v>17</v>
      </c>
      <c r="B13" s="86"/>
      <c r="C13" s="86" t="s">
        <v>18</v>
      </c>
      <c r="D13" s="86"/>
      <c r="E13" s="86"/>
      <c r="F13" s="8"/>
      <c r="G13" s="86" t="s">
        <v>3</v>
      </c>
      <c r="H13" s="93" t="str">
        <f>IF(F13="","",ROUND(F13/100*$H$5,2))</f>
        <v/>
      </c>
      <c r="I13" s="86" t="s">
        <v>4</v>
      </c>
      <c r="K13" s="89" t="str">
        <f>IF(F13="","Bitte ausfüllen!","")</f>
        <v>Bitte ausfüllen!</v>
      </c>
    </row>
    <row r="14" spans="1:11" x14ac:dyDescent="0.2">
      <c r="A14" s="87"/>
      <c r="B14" s="87" t="s">
        <v>19</v>
      </c>
      <c r="C14" s="87"/>
      <c r="D14" s="87"/>
      <c r="E14" s="87"/>
      <c r="F14" s="94">
        <f>IF(SUM(F9:F13)=0,0,SUM(F9:F13))</f>
        <v>0</v>
      </c>
      <c r="G14" s="87" t="s">
        <v>3</v>
      </c>
      <c r="H14" s="95" t="str">
        <f>IF(COUNTIF(F9:F13,"")&gt;0,"",SUM(H8:H13))</f>
        <v/>
      </c>
      <c r="I14" s="87" t="s">
        <v>4</v>
      </c>
      <c r="K14" s="89" t="str">
        <f>IF(H14="","Angaben offen!","")</f>
        <v>Angaben offen!</v>
      </c>
    </row>
    <row r="15" spans="1:11" x14ac:dyDescent="0.2">
      <c r="A15" s="86"/>
      <c r="B15" s="86"/>
      <c r="C15" s="86"/>
      <c r="D15" s="86"/>
      <c r="E15" s="86"/>
      <c r="F15" s="90"/>
      <c r="G15" s="86"/>
      <c r="H15" s="90"/>
      <c r="I15" s="86"/>
    </row>
    <row r="16" spans="1:11" x14ac:dyDescent="0.2">
      <c r="A16" s="87" t="s">
        <v>20</v>
      </c>
      <c r="B16" s="87" t="s">
        <v>21</v>
      </c>
      <c r="C16" s="87"/>
      <c r="D16" s="87"/>
      <c r="E16" s="87"/>
      <c r="F16" s="91"/>
      <c r="G16" s="87"/>
      <c r="H16" s="91"/>
      <c r="I16" s="87"/>
    </row>
    <row r="17" spans="1:11" ht="11.25" customHeight="1" x14ac:dyDescent="0.2">
      <c r="A17" s="86" t="s">
        <v>22</v>
      </c>
      <c r="B17" s="86" t="s">
        <v>126</v>
      </c>
      <c r="C17" s="86"/>
      <c r="D17" s="8">
        <f>D73+D77</f>
        <v>8.75</v>
      </c>
      <c r="E17" s="86" t="s">
        <v>3</v>
      </c>
      <c r="F17" s="90"/>
      <c r="G17" s="86"/>
      <c r="H17" s="90"/>
      <c r="I17" s="86"/>
      <c r="K17" s="89" t="str">
        <f ca="1">IF(D17&lt;(D73+D77),"Wert prüfen!",IF(H61="","Inhalt der gelben Zellen kann angepasst werden.",""))</f>
        <v>Inhalt der gelben Zellen kann angepasst werden.</v>
      </c>
    </row>
    <row r="18" spans="1:11" x14ac:dyDescent="0.2">
      <c r="A18" s="86"/>
      <c r="B18" s="86" t="s">
        <v>23</v>
      </c>
      <c r="C18" s="86"/>
      <c r="D18" s="96">
        <f>(D17/100)*$F$14</f>
        <v>0</v>
      </c>
      <c r="E18" s="86" t="s">
        <v>3</v>
      </c>
      <c r="F18" s="97">
        <f>IF(D18="","",D17+D18)</f>
        <v>8.75</v>
      </c>
      <c r="G18" s="86" t="s">
        <v>3</v>
      </c>
      <c r="H18" s="93">
        <f>IF(D18="","",ROUND(F18/100*$H$5,2))</f>
        <v>1.31</v>
      </c>
      <c r="I18" s="86" t="s">
        <v>4</v>
      </c>
      <c r="K18" s="89"/>
    </row>
    <row r="19" spans="1:11" ht="11.25" x14ac:dyDescent="0.2">
      <c r="A19" s="86" t="s">
        <v>24</v>
      </c>
      <c r="B19" s="86" t="s">
        <v>127</v>
      </c>
      <c r="C19" s="86"/>
      <c r="D19" s="8">
        <f>D74</f>
        <v>9.3000000000000007</v>
      </c>
      <c r="E19" s="86" t="s">
        <v>3</v>
      </c>
      <c r="F19" s="98"/>
      <c r="G19" s="86"/>
      <c r="H19" s="90"/>
      <c r="I19" s="86"/>
      <c r="K19" s="89" t="str">
        <f ca="1">IF(D19&lt;&gt;D74,"Wert prüfen!",IF(H61="","Inhalt der gelben Zellen kann angepasst werden.",""))</f>
        <v>Inhalt der gelben Zellen kann angepasst werden.</v>
      </c>
    </row>
    <row r="20" spans="1:11" ht="11.25" customHeight="1" x14ac:dyDescent="0.2">
      <c r="A20" s="86"/>
      <c r="B20" s="86" t="s">
        <v>25</v>
      </c>
      <c r="C20" s="86"/>
      <c r="D20" s="96">
        <f>(D19/100)*$F$14</f>
        <v>0</v>
      </c>
      <c r="E20" s="86" t="s">
        <v>3</v>
      </c>
      <c r="F20" s="97">
        <f>IF(D20="","",D19+D20)</f>
        <v>9.3000000000000007</v>
      </c>
      <c r="G20" s="86" t="s">
        <v>3</v>
      </c>
      <c r="H20" s="93">
        <f>IF(D20="","",ROUND(F20/100*$H$5,2))</f>
        <v>1.4</v>
      </c>
      <c r="I20" s="86" t="s">
        <v>4</v>
      </c>
      <c r="K20" s="89"/>
    </row>
    <row r="21" spans="1:11" ht="11.25" x14ac:dyDescent="0.2">
      <c r="A21" s="86" t="s">
        <v>26</v>
      </c>
      <c r="B21" s="86" t="s">
        <v>128</v>
      </c>
      <c r="C21" s="86"/>
      <c r="D21" s="8">
        <f>D75</f>
        <v>1.3</v>
      </c>
      <c r="E21" s="86" t="s">
        <v>3</v>
      </c>
      <c r="F21" s="98"/>
      <c r="G21" s="86"/>
      <c r="H21" s="90"/>
      <c r="I21" s="86"/>
      <c r="K21" s="89" t="str">
        <f ca="1">IF(D21&lt;&gt;D75,"Wert prüfen!",IF(H61="","Inhalt der gelben Zellen kann angepasst werden.",""))</f>
        <v>Inhalt der gelben Zellen kann angepasst werden.</v>
      </c>
    </row>
    <row r="22" spans="1:11" x14ac:dyDescent="0.2">
      <c r="A22" s="86"/>
      <c r="B22" s="86" t="s">
        <v>27</v>
      </c>
      <c r="C22" s="86"/>
      <c r="D22" s="96">
        <f>(D21/100)*$F$14</f>
        <v>0</v>
      </c>
      <c r="E22" s="86" t="s">
        <v>3</v>
      </c>
      <c r="F22" s="97">
        <f>IF(D22="","",D21+D22)</f>
        <v>1.3</v>
      </c>
      <c r="G22" s="86" t="s">
        <v>3</v>
      </c>
      <c r="H22" s="93">
        <f>IF(D22="","",ROUND(F22/100*$H$5,2))</f>
        <v>0.2</v>
      </c>
      <c r="I22" s="86" t="s">
        <v>4</v>
      </c>
      <c r="K22" s="89"/>
    </row>
    <row r="23" spans="1:11" ht="11.25" x14ac:dyDescent="0.2">
      <c r="A23" s="86" t="s">
        <v>28</v>
      </c>
      <c r="B23" s="86" t="s">
        <v>129</v>
      </c>
      <c r="C23" s="86"/>
      <c r="D23" s="8">
        <f>D76</f>
        <v>1.8</v>
      </c>
      <c r="E23" s="86" t="s">
        <v>3</v>
      </c>
      <c r="F23" s="98"/>
      <c r="G23" s="86"/>
      <c r="H23" s="90"/>
      <c r="I23" s="86"/>
      <c r="K23" s="89" t="str">
        <f ca="1">IF(D23&lt;&gt;D76,"Wert prüfen!",IF(H61="","Inhalt der gelben Zellen kann angepasst werden.",""))</f>
        <v>Inhalt der gelben Zellen kann angepasst werden.</v>
      </c>
    </row>
    <row r="24" spans="1:11" x14ac:dyDescent="0.2">
      <c r="A24" s="86"/>
      <c r="B24" s="86" t="s">
        <v>29</v>
      </c>
      <c r="C24" s="86"/>
      <c r="D24" s="96">
        <f>(D23/100)*$F$14</f>
        <v>0</v>
      </c>
      <c r="E24" s="86" t="s">
        <v>3</v>
      </c>
      <c r="F24" s="97">
        <f>IF(D24="","",D23+D24)</f>
        <v>1.8</v>
      </c>
      <c r="G24" s="86" t="s">
        <v>3</v>
      </c>
      <c r="H24" s="93">
        <f>IF(D24="","",ROUND(F24/100*$H$5,2))</f>
        <v>0.27</v>
      </c>
      <c r="I24" s="86" t="s">
        <v>4</v>
      </c>
      <c r="K24" s="89"/>
    </row>
    <row r="25" spans="1:11" ht="11.25" x14ac:dyDescent="0.2">
      <c r="A25" s="86" t="s">
        <v>30</v>
      </c>
      <c r="B25" s="86" t="s">
        <v>130</v>
      </c>
      <c r="C25" s="86"/>
      <c r="D25" s="8"/>
      <c r="E25" s="86" t="s">
        <v>3</v>
      </c>
      <c r="F25" s="98"/>
      <c r="G25" s="86"/>
      <c r="H25" s="90"/>
      <c r="I25" s="86"/>
      <c r="K25" s="89" t="str">
        <f>IF(D25="","Bitte ausfüllen!","")</f>
        <v>Bitte ausfüllen!</v>
      </c>
    </row>
    <row r="26" spans="1:11" x14ac:dyDescent="0.2">
      <c r="A26" s="86"/>
      <c r="B26" s="86" t="s">
        <v>31</v>
      </c>
      <c r="C26" s="86"/>
      <c r="D26" s="96">
        <f>(D25/100)*$F$14</f>
        <v>0</v>
      </c>
      <c r="E26" s="86" t="s">
        <v>3</v>
      </c>
      <c r="F26" s="97">
        <f>IF(D26="","",D25+D26)</f>
        <v>0</v>
      </c>
      <c r="G26" s="86" t="s">
        <v>3</v>
      </c>
      <c r="H26" s="93">
        <f>IF(D26="","",ROUND(F26/100*$H$5,2))</f>
        <v>0</v>
      </c>
      <c r="I26" s="86" t="s">
        <v>4</v>
      </c>
      <c r="K26" s="89"/>
    </row>
    <row r="27" spans="1:11" ht="11.25" x14ac:dyDescent="0.2">
      <c r="A27" s="86" t="s">
        <v>32</v>
      </c>
      <c r="B27" s="86" t="s">
        <v>131</v>
      </c>
      <c r="C27" s="86"/>
      <c r="D27" s="86"/>
      <c r="E27" s="86"/>
      <c r="F27" s="8"/>
      <c r="G27" s="86" t="s">
        <v>3</v>
      </c>
      <c r="H27" s="93" t="str">
        <f>IF(F27="","",ROUND(F27/100*$H$5,2))</f>
        <v/>
      </c>
      <c r="I27" s="86" t="s">
        <v>4</v>
      </c>
      <c r="K27" s="89" t="str">
        <f>IF(F27="","Bitte ausfüllen!","")</f>
        <v>Bitte ausfüllen!</v>
      </c>
    </row>
    <row r="28" spans="1:11" ht="11.25" x14ac:dyDescent="0.2">
      <c r="A28" s="86" t="s">
        <v>33</v>
      </c>
      <c r="B28" s="86" t="s">
        <v>132</v>
      </c>
      <c r="C28" s="86"/>
      <c r="D28" s="86"/>
      <c r="E28" s="86"/>
      <c r="F28" s="8">
        <f>D79</f>
        <v>0.15</v>
      </c>
      <c r="G28" s="86" t="s">
        <v>3</v>
      </c>
      <c r="H28" s="93">
        <f>IF(F28="","",ROUND(F28/100*$H$5,2))</f>
        <v>0.02</v>
      </c>
      <c r="I28" s="86" t="s">
        <v>4</v>
      </c>
      <c r="K28" s="89" t="str">
        <f ca="1">IF(F28&lt;&gt;D79,"Wert prüfen!",IF(H61="","Inhalt der gelben Zellen kann angepasst werden.",""))</f>
        <v>Inhalt der gelben Zellen kann angepasst werden.</v>
      </c>
    </row>
    <row r="29" spans="1:11" ht="23.45" customHeight="1" x14ac:dyDescent="0.2">
      <c r="A29" s="87"/>
      <c r="B29" s="171" t="s">
        <v>34</v>
      </c>
      <c r="C29" s="171"/>
      <c r="D29" s="87"/>
      <c r="E29" s="87"/>
      <c r="F29" s="94">
        <f>IF(SUM(F17:F28)=0,0,SUM(F17:F28)+F14)</f>
        <v>21.3</v>
      </c>
      <c r="G29" s="87" t="s">
        <v>3</v>
      </c>
      <c r="H29" s="95" t="str">
        <f>IF(OR(COUNTIF(D17:D26,"")&gt;0,COUNTIF(F27:F28,"")&gt;0),"",SUM(H17:H28)+H14)</f>
        <v/>
      </c>
      <c r="I29" s="87" t="s">
        <v>4</v>
      </c>
      <c r="K29" s="89" t="str">
        <f>IF(H29="","Angaben offen!","")</f>
        <v>Angaben offen!</v>
      </c>
    </row>
    <row r="30" spans="1:11" ht="5.45" customHeight="1" x14ac:dyDescent="0.2">
      <c r="A30" s="86"/>
      <c r="B30" s="86"/>
      <c r="C30" s="86"/>
      <c r="D30" s="86"/>
      <c r="E30" s="86"/>
      <c r="F30" s="90"/>
      <c r="G30" s="86"/>
      <c r="H30" s="90"/>
      <c r="I30" s="86"/>
    </row>
    <row r="31" spans="1:11" x14ac:dyDescent="0.2">
      <c r="A31" s="86"/>
      <c r="B31" s="87" t="s">
        <v>35</v>
      </c>
      <c r="C31" s="86"/>
      <c r="D31" s="86"/>
      <c r="E31" s="86"/>
      <c r="F31" s="90"/>
      <c r="G31" s="86"/>
      <c r="H31" s="90"/>
      <c r="I31" s="86"/>
    </row>
    <row r="32" spans="1:11" x14ac:dyDescent="0.2">
      <c r="A32" s="86" t="s">
        <v>36</v>
      </c>
      <c r="B32" s="86" t="s">
        <v>37</v>
      </c>
      <c r="C32" s="86"/>
      <c r="D32" s="86"/>
      <c r="E32" s="86"/>
      <c r="F32" s="8"/>
      <c r="G32" s="86" t="s">
        <v>3</v>
      </c>
      <c r="H32" s="93" t="str">
        <f>IF(F32="","",ROUND(F32/100*$H$5,2))</f>
        <v/>
      </c>
      <c r="I32" s="86" t="s">
        <v>4</v>
      </c>
      <c r="K32" s="89" t="str">
        <f>IF(F32="","Bitte ausfüllen!","")</f>
        <v>Bitte ausfüllen!</v>
      </c>
    </row>
    <row r="33" spans="1:11" x14ac:dyDescent="0.2">
      <c r="A33" s="86" t="s">
        <v>38</v>
      </c>
      <c r="B33" s="86" t="s">
        <v>39</v>
      </c>
      <c r="C33" s="86"/>
      <c r="D33" s="86"/>
      <c r="E33" s="86"/>
      <c r="F33" s="8"/>
      <c r="G33" s="86" t="s">
        <v>3</v>
      </c>
      <c r="H33" s="93" t="str">
        <f>IF(F33="","",ROUND(F33/100*$H$5,2))</f>
        <v/>
      </c>
      <c r="I33" s="86" t="s">
        <v>4</v>
      </c>
      <c r="K33" s="89" t="str">
        <f>IF(F33="","Bitte ausfüllen!","")</f>
        <v>Bitte ausfüllen!</v>
      </c>
    </row>
    <row r="34" spans="1:11" ht="22.15" customHeight="1" x14ac:dyDescent="0.2">
      <c r="A34" s="87"/>
      <c r="B34" s="171" t="s">
        <v>40</v>
      </c>
      <c r="C34" s="171"/>
      <c r="D34" s="87"/>
      <c r="E34" s="87"/>
      <c r="F34" s="94">
        <f>IF(SUM(F32:F33)=0,0,SUM(F32:F33)+F29)</f>
        <v>0</v>
      </c>
      <c r="G34" s="87" t="s">
        <v>3</v>
      </c>
      <c r="H34" s="95" t="str">
        <f>IF(COUNTIF(H32:H33,"")&gt;0,"",SUM(H32:H33)+H29)</f>
        <v/>
      </c>
      <c r="I34" s="87" t="s">
        <v>4</v>
      </c>
      <c r="K34" s="89" t="str">
        <f>IF(H34="","Angaben offen!","")</f>
        <v>Angaben offen!</v>
      </c>
    </row>
    <row r="35" spans="1:11" ht="5.45" customHeight="1" x14ac:dyDescent="0.2">
      <c r="A35" s="86"/>
      <c r="B35" s="86"/>
      <c r="C35" s="86"/>
      <c r="D35" s="86"/>
      <c r="E35" s="86"/>
      <c r="F35" s="90"/>
      <c r="G35" s="86"/>
      <c r="H35" s="90"/>
      <c r="I35" s="86"/>
    </row>
    <row r="36" spans="1:11" x14ac:dyDescent="0.2">
      <c r="A36" s="87" t="s">
        <v>41</v>
      </c>
      <c r="B36" s="87" t="s">
        <v>42</v>
      </c>
      <c r="C36" s="87"/>
      <c r="D36" s="87"/>
      <c r="E36" s="87"/>
      <c r="F36" s="91"/>
      <c r="G36" s="87"/>
      <c r="H36" s="91"/>
      <c r="I36" s="87"/>
    </row>
    <row r="37" spans="1:11" x14ac:dyDescent="0.2">
      <c r="A37" s="86" t="s">
        <v>43</v>
      </c>
      <c r="B37" s="86" t="s">
        <v>44</v>
      </c>
      <c r="C37" s="86"/>
      <c r="D37" s="86"/>
      <c r="E37" s="86"/>
      <c r="F37" s="90"/>
      <c r="G37" s="86"/>
      <c r="H37" s="90"/>
      <c r="I37" s="86"/>
    </row>
    <row r="38" spans="1:11" x14ac:dyDescent="0.2">
      <c r="A38" s="86"/>
      <c r="B38" s="86" t="s">
        <v>45</v>
      </c>
      <c r="C38" s="86"/>
      <c r="D38" s="86"/>
      <c r="E38" s="86"/>
      <c r="F38" s="8"/>
      <c r="G38" s="86" t="s">
        <v>3</v>
      </c>
      <c r="H38" s="93" t="str">
        <f>IF(F38="","",ROUND(F38/100*$H$5,2))</f>
        <v/>
      </c>
      <c r="I38" s="86" t="s">
        <v>4</v>
      </c>
      <c r="K38" s="89" t="str">
        <f>IF(F38="","Bitte ausfüllen!","")</f>
        <v>Bitte ausfüllen!</v>
      </c>
    </row>
    <row r="39" spans="1:11" x14ac:dyDescent="0.2">
      <c r="A39" s="86" t="s">
        <v>46</v>
      </c>
      <c r="B39" s="86" t="s">
        <v>47</v>
      </c>
      <c r="C39" s="86"/>
      <c r="D39" s="86"/>
      <c r="E39" s="86"/>
      <c r="F39" s="8"/>
      <c r="G39" s="86" t="s">
        <v>3</v>
      </c>
      <c r="H39" s="93" t="str">
        <f>IF(F39="","",ROUND(F39/100*$H$5,2))</f>
        <v/>
      </c>
      <c r="I39" s="86" t="s">
        <v>4</v>
      </c>
      <c r="K39" s="89" t="str">
        <f>IF(F39="","Bitte ausfüllen!","")</f>
        <v>Bitte ausfüllen!</v>
      </c>
    </row>
    <row r="40" spans="1:11" x14ac:dyDescent="0.2">
      <c r="A40" s="86" t="s">
        <v>48</v>
      </c>
      <c r="B40" s="86" t="s">
        <v>49</v>
      </c>
      <c r="C40" s="86"/>
      <c r="D40" s="86"/>
      <c r="E40" s="86"/>
      <c r="F40" s="8"/>
      <c r="G40" s="86" t="s">
        <v>3</v>
      </c>
      <c r="H40" s="93" t="str">
        <f>IF(F40="","",ROUND(F40/100*$H$5,2))</f>
        <v/>
      </c>
      <c r="I40" s="86" t="s">
        <v>4</v>
      </c>
      <c r="K40" s="89" t="str">
        <f>IF(F40="","Bitte ausfüllen!","")</f>
        <v>Bitte ausfüllen!</v>
      </c>
    </row>
    <row r="41" spans="1:11" x14ac:dyDescent="0.2">
      <c r="A41" s="86" t="s">
        <v>50</v>
      </c>
      <c r="B41" s="86" t="s">
        <v>51</v>
      </c>
      <c r="C41" s="86"/>
      <c r="D41" s="86"/>
      <c r="E41" s="86"/>
      <c r="F41" s="8"/>
      <c r="G41" s="86" t="s">
        <v>3</v>
      </c>
      <c r="H41" s="93" t="str">
        <f>IF(F41="","",ROUND(F41/100*$H$5,2))</f>
        <v/>
      </c>
      <c r="I41" s="86" t="s">
        <v>4</v>
      </c>
      <c r="K41" s="89" t="str">
        <f>IF(F41="","Bitte ausfüllen!","")</f>
        <v>Bitte ausfüllen!</v>
      </c>
    </row>
    <row r="42" spans="1:11" ht="23.45" customHeight="1" x14ac:dyDescent="0.2">
      <c r="A42" s="87"/>
      <c r="B42" s="171" t="s">
        <v>52</v>
      </c>
      <c r="C42" s="171"/>
      <c r="D42" s="87"/>
      <c r="E42" s="87"/>
      <c r="F42" s="94">
        <f>IF(SUM(F38:F41)=0,0,SUM(F38:F41))</f>
        <v>0</v>
      </c>
      <c r="G42" s="87" t="s">
        <v>3</v>
      </c>
      <c r="H42" s="95" t="str">
        <f>IF(COUNTIF(H38:H41,"")&gt;0,"",SUM(H38:H41))</f>
        <v/>
      </c>
      <c r="I42" s="87" t="s">
        <v>4</v>
      </c>
      <c r="K42" s="89" t="str">
        <f>IF(H42="","Angaben offen!","")</f>
        <v>Angaben offen!</v>
      </c>
    </row>
    <row r="43" spans="1:11" ht="5.45" customHeight="1" x14ac:dyDescent="0.2">
      <c r="A43" s="86"/>
      <c r="B43" s="86"/>
      <c r="C43" s="86"/>
      <c r="D43" s="86"/>
      <c r="E43" s="86"/>
      <c r="F43" s="90"/>
      <c r="G43" s="86"/>
      <c r="H43" s="90"/>
      <c r="I43" s="86"/>
    </row>
    <row r="44" spans="1:11" x14ac:dyDescent="0.2">
      <c r="A44" s="87" t="s">
        <v>53</v>
      </c>
      <c r="B44" s="87" t="s">
        <v>54</v>
      </c>
      <c r="C44" s="87"/>
      <c r="D44" s="87"/>
      <c r="E44" s="87"/>
      <c r="F44" s="87"/>
      <c r="G44" s="87"/>
      <c r="H44" s="87"/>
      <c r="I44" s="87"/>
    </row>
    <row r="45" spans="1:11" x14ac:dyDescent="0.2">
      <c r="A45" s="86" t="s">
        <v>55</v>
      </c>
      <c r="B45" s="86" t="s">
        <v>56</v>
      </c>
      <c r="C45" s="86"/>
      <c r="D45" s="86"/>
      <c r="E45" s="86"/>
      <c r="F45" s="86"/>
      <c r="G45" s="86"/>
      <c r="H45" s="86"/>
      <c r="I45" s="86"/>
    </row>
    <row r="46" spans="1:11" x14ac:dyDescent="0.2">
      <c r="A46" s="86" t="s">
        <v>57</v>
      </c>
      <c r="B46" s="86"/>
      <c r="C46" s="86" t="s">
        <v>58</v>
      </c>
      <c r="D46" s="86"/>
      <c r="E46" s="86"/>
      <c r="F46" s="8"/>
      <c r="G46" s="86" t="s">
        <v>3</v>
      </c>
      <c r="H46" s="93" t="str">
        <f>IF(F46="","",ROUND(F46/100*$H$5,2))</f>
        <v/>
      </c>
      <c r="I46" s="86" t="s">
        <v>4</v>
      </c>
      <c r="K46" s="89" t="str">
        <f>IF(F46="","Bitte ausfüllen!","")</f>
        <v>Bitte ausfüllen!</v>
      </c>
    </row>
    <row r="47" spans="1:11" x14ac:dyDescent="0.2">
      <c r="A47" s="86" t="s">
        <v>59</v>
      </c>
      <c r="B47" s="86"/>
      <c r="C47" s="86" t="s">
        <v>125</v>
      </c>
      <c r="D47" s="86"/>
      <c r="E47" s="86"/>
      <c r="F47" s="8"/>
      <c r="G47" s="86" t="s">
        <v>3</v>
      </c>
      <c r="H47" s="93" t="str">
        <f>IF(F47="","",ROUND(F47/100*$H$5,2))</f>
        <v/>
      </c>
      <c r="I47" s="86" t="s">
        <v>4</v>
      </c>
      <c r="K47" s="89" t="str">
        <f>IF(F47="","Bitte ausfüllen!","")</f>
        <v>Bitte ausfüllen!</v>
      </c>
    </row>
    <row r="48" spans="1:11" x14ac:dyDescent="0.2">
      <c r="A48" s="86" t="s">
        <v>60</v>
      </c>
      <c r="B48" s="86" t="s">
        <v>61</v>
      </c>
      <c r="C48" s="86"/>
      <c r="D48" s="86"/>
      <c r="E48" s="86"/>
      <c r="F48" s="8"/>
      <c r="G48" s="86" t="s">
        <v>3</v>
      </c>
      <c r="H48" s="93" t="str">
        <f>IF(F48="","",ROUND(F48/100*$H$5,2))</f>
        <v/>
      </c>
      <c r="I48" s="86" t="s">
        <v>4</v>
      </c>
      <c r="K48" s="89" t="str">
        <f>IF(F48="","Bitte ausfüllen!","")</f>
        <v>Bitte ausfüllen!</v>
      </c>
    </row>
    <row r="49" spans="1:11" x14ac:dyDescent="0.2">
      <c r="A49" s="86" t="s">
        <v>62</v>
      </c>
      <c r="B49" s="86" t="s">
        <v>63</v>
      </c>
      <c r="C49" s="86"/>
      <c r="D49" s="86"/>
      <c r="E49" s="86"/>
      <c r="F49" s="86"/>
      <c r="G49" s="86"/>
      <c r="H49" s="86"/>
      <c r="I49" s="86"/>
    </row>
    <row r="50" spans="1:11" x14ac:dyDescent="0.2">
      <c r="A50" s="86" t="s">
        <v>64</v>
      </c>
      <c r="B50" s="86"/>
      <c r="C50" s="86" t="s">
        <v>65</v>
      </c>
      <c r="D50" s="86"/>
      <c r="E50" s="86"/>
      <c r="F50" s="8"/>
      <c r="G50" s="86" t="s">
        <v>3</v>
      </c>
      <c r="H50" s="93" t="str">
        <f t="shared" ref="H50:H56" si="0">IF(F50="","",ROUND(F50/100*$H$5,2))</f>
        <v/>
      </c>
      <c r="I50" s="86" t="s">
        <v>4</v>
      </c>
      <c r="K50" s="89" t="str">
        <f t="shared" ref="K50:K56" si="1">IF(F50="","Bitte ausfüllen!","")</f>
        <v>Bitte ausfüllen!</v>
      </c>
    </row>
    <row r="51" spans="1:11" x14ac:dyDescent="0.2">
      <c r="A51" s="86" t="s">
        <v>66</v>
      </c>
      <c r="B51" s="86"/>
      <c r="C51" s="86" t="s">
        <v>67</v>
      </c>
      <c r="D51" s="86"/>
      <c r="E51" s="86"/>
      <c r="F51" s="8"/>
      <c r="G51" s="86" t="s">
        <v>3</v>
      </c>
      <c r="H51" s="93" t="str">
        <f t="shared" si="0"/>
        <v/>
      </c>
      <c r="I51" s="86" t="s">
        <v>4</v>
      </c>
      <c r="K51" s="89" t="str">
        <f t="shared" si="1"/>
        <v>Bitte ausfüllen!</v>
      </c>
    </row>
    <row r="52" spans="1:11" x14ac:dyDescent="0.2">
      <c r="A52" s="86" t="s">
        <v>68</v>
      </c>
      <c r="B52" s="86" t="s">
        <v>69</v>
      </c>
      <c r="C52" s="86"/>
      <c r="D52" s="86"/>
      <c r="E52" s="86"/>
      <c r="F52" s="8"/>
      <c r="G52" s="86" t="s">
        <v>3</v>
      </c>
      <c r="H52" s="93" t="str">
        <f t="shared" si="0"/>
        <v/>
      </c>
      <c r="I52" s="86" t="s">
        <v>4</v>
      </c>
      <c r="K52" s="89" t="str">
        <f t="shared" si="1"/>
        <v>Bitte ausfüllen!</v>
      </c>
    </row>
    <row r="53" spans="1:11" x14ac:dyDescent="0.2">
      <c r="A53" s="86" t="s">
        <v>70</v>
      </c>
      <c r="B53" s="86" t="s">
        <v>71</v>
      </c>
      <c r="C53" s="86"/>
      <c r="D53" s="86"/>
      <c r="E53" s="86"/>
      <c r="F53" s="8"/>
      <c r="G53" s="86" t="s">
        <v>3</v>
      </c>
      <c r="H53" s="93" t="str">
        <f t="shared" si="0"/>
        <v/>
      </c>
      <c r="I53" s="86" t="s">
        <v>4</v>
      </c>
      <c r="K53" s="89" t="str">
        <f t="shared" si="1"/>
        <v>Bitte ausfüllen!</v>
      </c>
    </row>
    <row r="54" spans="1:11" x14ac:dyDescent="0.2">
      <c r="A54" s="86" t="s">
        <v>72</v>
      </c>
      <c r="B54" s="86" t="s">
        <v>73</v>
      </c>
      <c r="C54" s="86"/>
      <c r="D54" s="86"/>
      <c r="E54" s="86"/>
      <c r="F54" s="8"/>
      <c r="G54" s="86" t="s">
        <v>3</v>
      </c>
      <c r="H54" s="93" t="str">
        <f t="shared" si="0"/>
        <v/>
      </c>
      <c r="I54" s="86" t="s">
        <v>4</v>
      </c>
      <c r="K54" s="89" t="str">
        <f t="shared" si="1"/>
        <v>Bitte ausfüllen!</v>
      </c>
    </row>
    <row r="55" spans="1:11" x14ac:dyDescent="0.2">
      <c r="A55" s="86" t="s">
        <v>74</v>
      </c>
      <c r="B55" s="86" t="s">
        <v>75</v>
      </c>
      <c r="C55" s="86"/>
      <c r="D55" s="86"/>
      <c r="E55" s="86"/>
      <c r="F55" s="8"/>
      <c r="G55" s="86" t="s">
        <v>3</v>
      </c>
      <c r="H55" s="93" t="str">
        <f t="shared" si="0"/>
        <v/>
      </c>
      <c r="I55" s="86" t="s">
        <v>4</v>
      </c>
      <c r="K55" s="89" t="str">
        <f t="shared" si="1"/>
        <v>Bitte ausfüllen!</v>
      </c>
    </row>
    <row r="56" spans="1:11" x14ac:dyDescent="0.2">
      <c r="A56" s="86" t="s">
        <v>76</v>
      </c>
      <c r="B56" s="86" t="s">
        <v>77</v>
      </c>
      <c r="C56" s="86"/>
      <c r="D56" s="86"/>
      <c r="E56" s="86"/>
      <c r="F56" s="8"/>
      <c r="G56" s="86" t="s">
        <v>3</v>
      </c>
      <c r="H56" s="93" t="str">
        <f t="shared" si="0"/>
        <v/>
      </c>
      <c r="I56" s="86" t="s">
        <v>4</v>
      </c>
      <c r="K56" s="89" t="str">
        <f t="shared" si="1"/>
        <v>Bitte ausfüllen!</v>
      </c>
    </row>
    <row r="57" spans="1:11" ht="23.45" customHeight="1" x14ac:dyDescent="0.2">
      <c r="A57" s="87"/>
      <c r="B57" s="171" t="s">
        <v>78</v>
      </c>
      <c r="C57" s="171"/>
      <c r="D57" s="87"/>
      <c r="E57" s="87"/>
      <c r="F57" s="94">
        <f>IF(SUM(F45:F56)=0,0,SUM(F45:F56))</f>
        <v>0</v>
      </c>
      <c r="G57" s="87" t="s">
        <v>3</v>
      </c>
      <c r="H57" s="95" t="str">
        <f>IF(COUNTIF(H46:H56,"")&gt;1,"",SUM(H46:H56))</f>
        <v/>
      </c>
      <c r="I57" s="87" t="s">
        <v>4</v>
      </c>
      <c r="K57" s="89" t="str">
        <f>IF(H57="","Angaben offen!","")</f>
        <v>Angaben offen!</v>
      </c>
    </row>
    <row r="58" spans="1:11" ht="6.6" customHeight="1" x14ac:dyDescent="0.2">
      <c r="A58" s="86"/>
      <c r="B58" s="86"/>
      <c r="C58" s="86"/>
      <c r="D58" s="86"/>
      <c r="E58" s="86"/>
      <c r="F58" s="90"/>
      <c r="G58" s="86"/>
      <c r="H58" s="90"/>
      <c r="I58" s="86"/>
    </row>
    <row r="59" spans="1:11" x14ac:dyDescent="0.2">
      <c r="A59" s="87" t="s">
        <v>79</v>
      </c>
      <c r="B59" s="170" t="s">
        <v>80</v>
      </c>
      <c r="C59" s="170"/>
      <c r="D59" s="87"/>
      <c r="E59" s="87"/>
      <c r="F59" s="99">
        <f>IF(AND(F34=""),0,F34+F42+F57+F5)</f>
        <v>100</v>
      </c>
      <c r="G59" s="87" t="s">
        <v>3</v>
      </c>
      <c r="H59" s="91" t="str">
        <f>IF(H57="","",H34+H42+H57+H5)</f>
        <v/>
      </c>
      <c r="I59" s="87" t="s">
        <v>4</v>
      </c>
    </row>
    <row r="60" spans="1:11" x14ac:dyDescent="0.2">
      <c r="A60" s="87" t="s">
        <v>81</v>
      </c>
      <c r="B60" s="87" t="s">
        <v>82</v>
      </c>
      <c r="C60" s="87"/>
      <c r="D60" s="87"/>
      <c r="E60" s="87"/>
      <c r="F60" s="8"/>
      <c r="G60" s="87" t="s">
        <v>3</v>
      </c>
      <c r="H60" s="95" t="str">
        <f>IF(F60="","",ROUND(F60/100*H59,2))</f>
        <v/>
      </c>
      <c r="I60" s="87" t="s">
        <v>4</v>
      </c>
      <c r="K60" s="89" t="str">
        <f>IF(F60="","Bitte ausfüllen!","")</f>
        <v>Bitte ausfüllen!</v>
      </c>
    </row>
    <row r="61" spans="1:11" x14ac:dyDescent="0.2">
      <c r="A61" s="87"/>
      <c r="B61" s="87" t="s">
        <v>83</v>
      </c>
      <c r="C61" s="87"/>
      <c r="D61" s="87"/>
      <c r="E61" s="87"/>
      <c r="F61" s="94">
        <f ca="1">IF(H61="",0,H61/H5*100)</f>
        <v>0</v>
      </c>
      <c r="G61" s="87" t="s">
        <v>3</v>
      </c>
      <c r="H61" s="95" t="str">
        <f ca="1">IF(SUM(COUNTIF(INDIRECT({"H5","F9:F13","D17:D26","F27:F28","F32:F33","F38:F41","F46:F48","F50:F56","F60","H65:H68"}),""))&gt;0,"",H59+H60)</f>
        <v/>
      </c>
      <c r="I61" s="87" t="s">
        <v>4</v>
      </c>
      <c r="K61" s="89" t="str">
        <f ca="1">IF(SUM(COUNTIF(INDIRECT({"H5","F9:F13","D17:D26","F27:F28","F32:F33","F38:F41","F46:F48","F50:F56","F60","H65:H68"}),""))&gt;0,SUM(COUNTIF(INDIRECT({"H5","F9:F13","D17:D26","F27:F28","F32:F33","F38:F41","F46:F48","F50:F56","F60","H65:H68"}),"")) &amp;" Zelle(n) ohne Wert!","")</f>
        <v>28 Zelle(n) ohne Wert!</v>
      </c>
    </row>
    <row r="62" spans="1:11" x14ac:dyDescent="0.2">
      <c r="A62" s="86"/>
      <c r="B62" s="86" t="s">
        <v>84</v>
      </c>
      <c r="C62" s="86"/>
      <c r="D62" s="86"/>
      <c r="E62" s="86"/>
      <c r="F62" s="94">
        <f ca="1">IF(F61=0,0,F61-F5)</f>
        <v>0</v>
      </c>
      <c r="G62" s="86" t="s">
        <v>3</v>
      </c>
      <c r="H62" s="86"/>
      <c r="I62" s="86"/>
      <c r="K62" s="89" t="str">
        <f ca="1">IF(F62&lt;70,"Bitte prüfen gemäß Aufforderung!","")</f>
        <v>Bitte prüfen gemäß Aufforderung!</v>
      </c>
    </row>
    <row r="63" spans="1:11" ht="5.45" customHeight="1" x14ac:dyDescent="0.2">
      <c r="A63" s="86"/>
      <c r="B63" s="87"/>
      <c r="C63" s="86"/>
      <c r="D63" s="86"/>
      <c r="E63" s="86"/>
      <c r="F63" s="99"/>
      <c r="G63" s="86"/>
      <c r="H63" s="91"/>
    </row>
    <row r="64" spans="1:11" x14ac:dyDescent="0.2">
      <c r="B64" s="87" t="s">
        <v>85</v>
      </c>
      <c r="D64" s="87"/>
      <c r="E64" s="87"/>
      <c r="G64" s="87"/>
      <c r="H64" s="91" t="s">
        <v>86</v>
      </c>
      <c r="I64" s="87"/>
    </row>
    <row r="65" spans="1:15" x14ac:dyDescent="0.2">
      <c r="B65" s="86" t="s">
        <v>87</v>
      </c>
      <c r="D65" s="86"/>
      <c r="E65" s="86"/>
      <c r="G65" s="100"/>
      <c r="H65" s="9"/>
      <c r="I65" s="100"/>
      <c r="K65" s="89" t="str">
        <f>IF(H65="","Bitte ausfüllen!","")</f>
        <v>Bitte ausfüllen!</v>
      </c>
    </row>
    <row r="66" spans="1:15" x14ac:dyDescent="0.2">
      <c r="B66" s="86" t="s">
        <v>88</v>
      </c>
      <c r="D66" s="86"/>
      <c r="E66" s="86"/>
      <c r="G66" s="100"/>
      <c r="H66" s="10"/>
      <c r="I66" s="100"/>
      <c r="K66" s="89" t="str">
        <f>IF(H66="","Bitte ausfüllen!","")</f>
        <v>Bitte ausfüllen!</v>
      </c>
    </row>
    <row r="67" spans="1:15" x14ac:dyDescent="0.2">
      <c r="B67" s="86" t="s">
        <v>89</v>
      </c>
      <c r="D67" s="86"/>
      <c r="E67" s="86"/>
      <c r="G67" s="100"/>
      <c r="H67" s="11"/>
      <c r="I67" s="100"/>
      <c r="K67" s="89" t="str">
        <f>IF(H67="","Bitte ausfüllen!","")</f>
        <v>Bitte ausfüllen!</v>
      </c>
    </row>
    <row r="68" spans="1:15" x14ac:dyDescent="0.2">
      <c r="B68" s="86" t="s">
        <v>90</v>
      </c>
      <c r="D68" s="86"/>
      <c r="E68" s="86"/>
      <c r="G68" s="100"/>
      <c r="H68" s="10"/>
      <c r="I68" s="100"/>
      <c r="K68" s="89" t="str">
        <f>IF(H68="","Bitte ausfüllen!","")</f>
        <v>Bitte ausfüllen!</v>
      </c>
    </row>
    <row r="69" spans="1:15" ht="5.45" customHeight="1" x14ac:dyDescent="0.2"/>
    <row r="70" spans="1:15" ht="5.45" customHeight="1" x14ac:dyDescent="0.2">
      <c r="C70" s="71"/>
      <c r="D70" s="4"/>
    </row>
    <row r="71" spans="1:15" ht="15.95" customHeight="1" x14ac:dyDescent="0.2">
      <c r="A71" s="161" t="s">
        <v>196</v>
      </c>
      <c r="B71" s="161"/>
      <c r="C71" s="161"/>
      <c r="D71" s="161" t="s">
        <v>197</v>
      </c>
      <c r="F71" s="163" t="s">
        <v>138</v>
      </c>
      <c r="G71" s="164"/>
      <c r="H71" s="165"/>
      <c r="L71" s="38"/>
      <c r="M71" s="38"/>
      <c r="N71" s="38"/>
      <c r="O71" s="38"/>
    </row>
    <row r="72" spans="1:15" ht="15.95" customHeight="1" x14ac:dyDescent="0.2">
      <c r="A72" s="162"/>
      <c r="B72" s="162"/>
      <c r="C72" s="162"/>
      <c r="D72" s="162"/>
      <c r="F72" s="166"/>
      <c r="G72" s="167"/>
      <c r="H72" s="168"/>
      <c r="I72" s="87"/>
      <c r="J72" s="87"/>
      <c r="K72" s="87"/>
      <c r="L72" s="38"/>
      <c r="M72" s="38"/>
      <c r="N72" s="38"/>
      <c r="O72" s="38"/>
    </row>
    <row r="73" spans="1:15" ht="19.899999999999999" customHeight="1" x14ac:dyDescent="0.2">
      <c r="A73" s="172">
        <v>1</v>
      </c>
      <c r="B73" s="172"/>
      <c r="C73" s="12" t="s">
        <v>133</v>
      </c>
      <c r="D73" s="73">
        <v>7.3</v>
      </c>
      <c r="F73" s="173" t="s">
        <v>315</v>
      </c>
      <c r="G73" s="173"/>
      <c r="H73" s="173"/>
    </row>
    <row r="74" spans="1:15" ht="19.899999999999999" customHeight="1" x14ac:dyDescent="0.2">
      <c r="A74" s="172">
        <v>2</v>
      </c>
      <c r="B74" s="172"/>
      <c r="C74" s="12" t="s">
        <v>134</v>
      </c>
      <c r="D74" s="73">
        <v>9.3000000000000007</v>
      </c>
    </row>
    <row r="75" spans="1:15" ht="25.5" customHeight="1" x14ac:dyDescent="0.2">
      <c r="A75" s="172">
        <v>3</v>
      </c>
      <c r="B75" s="172"/>
      <c r="C75" s="12" t="s">
        <v>135</v>
      </c>
      <c r="D75" s="73">
        <v>1.3</v>
      </c>
    </row>
    <row r="76" spans="1:15" ht="25.5" customHeight="1" x14ac:dyDescent="0.2">
      <c r="A76" s="172">
        <v>4</v>
      </c>
      <c r="B76" s="172"/>
      <c r="C76" s="12" t="s">
        <v>136</v>
      </c>
      <c r="D76" s="73">
        <f>IF( F73="Sachsen",1.3,1.8)</f>
        <v>1.8</v>
      </c>
    </row>
    <row r="77" spans="1:15" ht="31.5" x14ac:dyDescent="0.2">
      <c r="A77" s="172">
        <v>5</v>
      </c>
      <c r="B77" s="172"/>
      <c r="C77" s="12" t="s">
        <v>198</v>
      </c>
      <c r="D77" s="73">
        <v>1.45</v>
      </c>
    </row>
    <row r="78" spans="1:15" ht="25.5" customHeight="1" x14ac:dyDescent="0.2">
      <c r="A78" s="172">
        <v>6</v>
      </c>
      <c r="B78" s="172"/>
      <c r="C78" s="12" t="s">
        <v>123</v>
      </c>
      <c r="D78" s="73"/>
    </row>
    <row r="79" spans="1:15" ht="25.5" customHeight="1" x14ac:dyDescent="0.2">
      <c r="A79" s="172">
        <v>7</v>
      </c>
      <c r="B79" s="172"/>
      <c r="C79" s="12" t="s">
        <v>137</v>
      </c>
      <c r="D79" s="73">
        <v>0.15</v>
      </c>
    </row>
  </sheetData>
  <sheetProtection algorithmName="SHA-512" hashValue="HlJilZmiBeng1Z+Y4p5pZlO8fjwOQHN4L8BrR2YufHck0kh5TDA1q38wmD+5wS5YI15oqU6pC/L5Lc4k3mUNuw==" saltValue="GmyVHE57r2+J7Begt8sdmA=="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85" t="str">
        <f ca="1">IF(H61&lt;&gt;"","","Bitte alle gelben Zellen ausfüllen.")</f>
        <v>Bitte alle gelben Zellen ausfüllen.</v>
      </c>
      <c r="D1" s="28" t="b">
        <v>0</v>
      </c>
      <c r="E1" s="151"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1"/>
      <c r="G1" s="151"/>
      <c r="H1" s="151"/>
      <c r="I1" s="151"/>
      <c r="K1" s="5" t="s">
        <v>100</v>
      </c>
    </row>
    <row r="2" spans="1:11" ht="34.5" customHeight="1" x14ac:dyDescent="0.2">
      <c r="A2" s="3" t="s">
        <v>103</v>
      </c>
      <c r="C2" s="4" t="str">
        <f>IF(Inhaltsverzeichnis!$C$3="", "",Inhaltsverzeichnis!$C$3)</f>
        <v/>
      </c>
      <c r="D2" s="28" t="b">
        <v>0</v>
      </c>
      <c r="E2" s="151"/>
      <c r="F2" s="151"/>
      <c r="G2" s="151"/>
      <c r="H2" s="151"/>
      <c r="I2" s="151"/>
    </row>
    <row r="3" spans="1:11" s="2" customFormat="1" ht="12.75" x14ac:dyDescent="0.2">
      <c r="A3" s="169" t="s">
        <v>101</v>
      </c>
      <c r="B3" s="169"/>
      <c r="C3" s="169"/>
      <c r="D3" s="169"/>
      <c r="E3" s="169"/>
      <c r="F3" s="169"/>
      <c r="G3" s="169"/>
      <c r="H3" s="169"/>
      <c r="I3" s="169"/>
    </row>
    <row r="4" spans="1:11" x14ac:dyDescent="0.2">
      <c r="A4" s="86"/>
      <c r="B4" s="86"/>
      <c r="C4" s="86"/>
      <c r="D4" s="86"/>
      <c r="E4" s="86"/>
      <c r="F4" s="86"/>
      <c r="G4" s="86"/>
      <c r="H4" s="86"/>
      <c r="I4" s="86"/>
    </row>
    <row r="5" spans="1:11" ht="15" customHeight="1" x14ac:dyDescent="0.2">
      <c r="A5" s="87" t="s">
        <v>1</v>
      </c>
      <c r="B5" s="87" t="s">
        <v>2</v>
      </c>
      <c r="C5" s="87"/>
      <c r="D5" s="87"/>
      <c r="E5" s="87"/>
      <c r="F5" s="88">
        <v>100</v>
      </c>
      <c r="G5" s="87" t="s">
        <v>3</v>
      </c>
      <c r="H5" s="7">
        <v>15</v>
      </c>
      <c r="I5" s="87" t="s">
        <v>4</v>
      </c>
      <c r="K5" s="8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6"/>
      <c r="B6" s="86"/>
      <c r="C6" s="86"/>
      <c r="D6" s="86"/>
      <c r="E6" s="86"/>
      <c r="F6" s="90"/>
      <c r="G6" s="86"/>
      <c r="H6" s="90"/>
      <c r="I6" s="86"/>
    </row>
    <row r="7" spans="1:11" x14ac:dyDescent="0.2">
      <c r="A7" s="87" t="s">
        <v>5</v>
      </c>
      <c r="B7" s="87" t="s">
        <v>6</v>
      </c>
      <c r="C7" s="87"/>
      <c r="D7" s="87"/>
      <c r="E7" s="87"/>
      <c r="F7" s="91"/>
      <c r="G7" s="87"/>
      <c r="H7" s="91"/>
      <c r="I7" s="87"/>
    </row>
    <row r="8" spans="1:11" ht="14.25" x14ac:dyDescent="0.2">
      <c r="A8" s="86" t="s">
        <v>7</v>
      </c>
      <c r="B8" s="86" t="s">
        <v>8</v>
      </c>
      <c r="C8" s="86"/>
      <c r="D8" s="86"/>
      <c r="E8" s="86"/>
      <c r="F8" s="91"/>
      <c r="G8" s="91"/>
      <c r="H8" s="91"/>
      <c r="I8" s="91"/>
      <c r="K8" s="92"/>
    </row>
    <row r="9" spans="1:11" x14ac:dyDescent="0.2">
      <c r="A9" s="86" t="s">
        <v>9</v>
      </c>
      <c r="B9" s="86"/>
      <c r="C9" s="86" t="s">
        <v>10</v>
      </c>
      <c r="D9" s="86"/>
      <c r="E9" s="86"/>
      <c r="F9" s="8"/>
      <c r="G9" s="86" t="s">
        <v>3</v>
      </c>
      <c r="H9" s="93" t="str">
        <f>IF(F9="","",ROUND(F9/100*$H$5,2))</f>
        <v/>
      </c>
      <c r="I9" s="86" t="s">
        <v>4</v>
      </c>
      <c r="K9" s="89" t="str">
        <f>IF(F9="","Bitte ausfüllen!","")</f>
        <v>Bitte ausfüllen!</v>
      </c>
    </row>
    <row r="10" spans="1:11" x14ac:dyDescent="0.2">
      <c r="A10" s="86" t="s">
        <v>11</v>
      </c>
      <c r="B10" s="86"/>
      <c r="C10" s="86" t="s">
        <v>12</v>
      </c>
      <c r="D10" s="86"/>
      <c r="E10" s="86"/>
      <c r="F10" s="8"/>
      <c r="G10" s="86" t="s">
        <v>3</v>
      </c>
      <c r="H10" s="93" t="str">
        <f>IF(F10="","",ROUND(F10/100*$H$5,2))</f>
        <v/>
      </c>
      <c r="I10" s="86" t="s">
        <v>4</v>
      </c>
      <c r="K10" s="89" t="str">
        <f>IF(F10="","Bitte ausfüllen!","")</f>
        <v>Bitte ausfüllen!</v>
      </c>
    </row>
    <row r="11" spans="1:11" x14ac:dyDescent="0.2">
      <c r="A11" s="86" t="s">
        <v>13</v>
      </c>
      <c r="B11" s="86"/>
      <c r="C11" s="86" t="s">
        <v>14</v>
      </c>
      <c r="D11" s="86"/>
      <c r="E11" s="86"/>
      <c r="F11" s="8"/>
      <c r="G11" s="86" t="s">
        <v>3</v>
      </c>
      <c r="H11" s="93" t="str">
        <f>IF(F11="","",ROUND(F11/100*$H$5,2))</f>
        <v/>
      </c>
      <c r="I11" s="86" t="s">
        <v>4</v>
      </c>
      <c r="K11" s="89" t="str">
        <f>IF(F11="","Bitte ausfüllen!","")</f>
        <v>Bitte ausfüllen!</v>
      </c>
    </row>
    <row r="12" spans="1:11" x14ac:dyDescent="0.2">
      <c r="A12" s="86" t="s">
        <v>15</v>
      </c>
      <c r="B12" s="86"/>
      <c r="C12" s="86" t="s">
        <v>16</v>
      </c>
      <c r="D12" s="86"/>
      <c r="E12" s="86"/>
      <c r="F12" s="8"/>
      <c r="G12" s="86" t="s">
        <v>3</v>
      </c>
      <c r="H12" s="93" t="str">
        <f>IF(F12="","",ROUND(F12/100*$H$5,2))</f>
        <v/>
      </c>
      <c r="I12" s="86" t="s">
        <v>4</v>
      </c>
      <c r="K12" s="89" t="str">
        <f>IF(F12="","Bitte ausfüllen!","")</f>
        <v>Bitte ausfüllen!</v>
      </c>
    </row>
    <row r="13" spans="1:11" x14ac:dyDescent="0.2">
      <c r="A13" s="86" t="s">
        <v>17</v>
      </c>
      <c r="B13" s="86"/>
      <c r="C13" s="86" t="s">
        <v>18</v>
      </c>
      <c r="D13" s="86"/>
      <c r="E13" s="86"/>
      <c r="F13" s="8"/>
      <c r="G13" s="86" t="s">
        <v>3</v>
      </c>
      <c r="H13" s="93" t="str">
        <f>IF(F13="","",ROUND(F13/100*$H$5,2))</f>
        <v/>
      </c>
      <c r="I13" s="86" t="s">
        <v>4</v>
      </c>
      <c r="K13" s="89" t="str">
        <f>IF(F13="","Bitte ausfüllen!","")</f>
        <v>Bitte ausfüllen!</v>
      </c>
    </row>
    <row r="14" spans="1:11" x14ac:dyDescent="0.2">
      <c r="A14" s="87"/>
      <c r="B14" s="87" t="s">
        <v>19</v>
      </c>
      <c r="C14" s="87"/>
      <c r="D14" s="87"/>
      <c r="E14" s="87"/>
      <c r="F14" s="94">
        <f>IF(SUM(F9:F13)=0,0,SUM(F9:F13))</f>
        <v>0</v>
      </c>
      <c r="G14" s="87" t="s">
        <v>3</v>
      </c>
      <c r="H14" s="95" t="str">
        <f>IF(COUNTIF(F9:F13,"")&gt;0,"",SUM(H8:H13))</f>
        <v/>
      </c>
      <c r="I14" s="87" t="s">
        <v>4</v>
      </c>
      <c r="K14" s="89" t="str">
        <f>IF(H14="","Angaben offen!","")</f>
        <v>Angaben offen!</v>
      </c>
    </row>
    <row r="15" spans="1:11" x14ac:dyDescent="0.2">
      <c r="A15" s="86"/>
      <c r="B15" s="86"/>
      <c r="C15" s="86"/>
      <c r="D15" s="86"/>
      <c r="E15" s="86"/>
      <c r="F15" s="90"/>
      <c r="G15" s="86"/>
      <c r="H15" s="90"/>
      <c r="I15" s="86"/>
    </row>
    <row r="16" spans="1:11" x14ac:dyDescent="0.2">
      <c r="A16" s="87" t="s">
        <v>20</v>
      </c>
      <c r="B16" s="87" t="s">
        <v>21</v>
      </c>
      <c r="C16" s="87"/>
      <c r="D16" s="87"/>
      <c r="E16" s="87"/>
      <c r="F16" s="91"/>
      <c r="G16" s="87"/>
      <c r="H16" s="91"/>
      <c r="I16" s="87"/>
    </row>
    <row r="17" spans="1:14" ht="11.25" x14ac:dyDescent="0.2">
      <c r="A17" s="86" t="s">
        <v>22</v>
      </c>
      <c r="B17" s="86" t="s">
        <v>126</v>
      </c>
      <c r="C17" s="86"/>
      <c r="D17" s="8">
        <f>D73+D77</f>
        <v>8.75</v>
      </c>
      <c r="E17" s="86" t="s">
        <v>3</v>
      </c>
      <c r="F17" s="90"/>
      <c r="G17" s="86"/>
      <c r="H17" s="90"/>
      <c r="I17" s="86"/>
      <c r="K17" s="89" t="str">
        <f ca="1">IF(D17&lt;(D73+D77),"Wert prüfen!",IF(H61="","Inhalt der gelben Zellen kann angepasst werden.",""))</f>
        <v>Inhalt der gelben Zellen kann angepasst werden.</v>
      </c>
    </row>
    <row r="18" spans="1:14" x14ac:dyDescent="0.2">
      <c r="A18" s="86"/>
      <c r="B18" s="86" t="s">
        <v>23</v>
      </c>
      <c r="C18" s="86"/>
      <c r="D18" s="96">
        <f>(D17/100)*$F$14</f>
        <v>0</v>
      </c>
      <c r="E18" s="86" t="s">
        <v>3</v>
      </c>
      <c r="F18" s="97">
        <f>IF(D18="","",D17+D18)</f>
        <v>8.75</v>
      </c>
      <c r="G18" s="86" t="s">
        <v>3</v>
      </c>
      <c r="H18" s="93">
        <f>IF(D18="","",ROUND(F18/100*$H$5,2))</f>
        <v>1.31</v>
      </c>
      <c r="I18" s="86" t="s">
        <v>4</v>
      </c>
      <c r="K18" s="89"/>
    </row>
    <row r="19" spans="1:14" ht="11.25" x14ac:dyDescent="0.2">
      <c r="A19" s="86" t="s">
        <v>24</v>
      </c>
      <c r="B19" s="86" t="s">
        <v>127</v>
      </c>
      <c r="C19" s="86"/>
      <c r="D19" s="8">
        <f>D74</f>
        <v>9.3000000000000007</v>
      </c>
      <c r="E19" s="86" t="s">
        <v>3</v>
      </c>
      <c r="F19" s="98"/>
      <c r="G19" s="86"/>
      <c r="H19" s="90"/>
      <c r="I19" s="86"/>
      <c r="K19" s="89" t="str">
        <f ca="1">IF(D19&lt;&gt;D74,"Wert prüfen!",IF(H61="","Inhalt der gelben Zellen kann angepasst werden.",""))</f>
        <v>Inhalt der gelben Zellen kann angepasst werden.</v>
      </c>
    </row>
    <row r="20" spans="1:14" x14ac:dyDescent="0.2">
      <c r="A20" s="86"/>
      <c r="B20" s="86" t="s">
        <v>25</v>
      </c>
      <c r="C20" s="86"/>
      <c r="D20" s="96">
        <f>(D19/100)*$F$14</f>
        <v>0</v>
      </c>
      <c r="E20" s="86" t="s">
        <v>3</v>
      </c>
      <c r="F20" s="97">
        <f>IF(D20="","",D19+D20)</f>
        <v>9.3000000000000007</v>
      </c>
      <c r="G20" s="86" t="s">
        <v>3</v>
      </c>
      <c r="H20" s="93">
        <f>IF(D20="","",ROUND(F20/100*$H$5,2))</f>
        <v>1.4</v>
      </c>
      <c r="I20" s="86" t="s">
        <v>4</v>
      </c>
      <c r="K20" s="89"/>
    </row>
    <row r="21" spans="1:14" ht="11.25" x14ac:dyDescent="0.2">
      <c r="A21" s="86" t="s">
        <v>26</v>
      </c>
      <c r="B21" s="86" t="s">
        <v>128</v>
      </c>
      <c r="C21" s="86"/>
      <c r="D21" s="8">
        <f>D75</f>
        <v>1.3</v>
      </c>
      <c r="E21" s="86" t="s">
        <v>3</v>
      </c>
      <c r="F21" s="98"/>
      <c r="G21" s="86"/>
      <c r="H21" s="90"/>
      <c r="I21" s="86"/>
      <c r="K21" s="89" t="str">
        <f ca="1">IF(D21&lt;&gt;D75,"Wert prüfen!",IF(H61="","Inhalt der gelben Zellen kann angepasst werden.",""))</f>
        <v>Inhalt der gelben Zellen kann angepasst werden.</v>
      </c>
    </row>
    <row r="22" spans="1:14" x14ac:dyDescent="0.2">
      <c r="A22" s="86"/>
      <c r="B22" s="86" t="s">
        <v>27</v>
      </c>
      <c r="C22" s="86"/>
      <c r="D22" s="96">
        <f>(D21/100)*$F$14</f>
        <v>0</v>
      </c>
      <c r="E22" s="86" t="s">
        <v>3</v>
      </c>
      <c r="F22" s="97">
        <f>IF(D22="","",D21+D22)</f>
        <v>1.3</v>
      </c>
      <c r="G22" s="86" t="s">
        <v>3</v>
      </c>
      <c r="H22" s="93">
        <f>IF(D22="","",ROUND(F22/100*$H$5,2))</f>
        <v>0.2</v>
      </c>
      <c r="I22" s="86" t="s">
        <v>4</v>
      </c>
      <c r="K22" s="89"/>
    </row>
    <row r="23" spans="1:14" ht="11.25" x14ac:dyDescent="0.2">
      <c r="A23" s="86" t="s">
        <v>28</v>
      </c>
      <c r="B23" s="86" t="s">
        <v>129</v>
      </c>
      <c r="C23" s="86"/>
      <c r="D23" s="8">
        <f>D76</f>
        <v>1.8</v>
      </c>
      <c r="E23" s="86" t="s">
        <v>3</v>
      </c>
      <c r="F23" s="98"/>
      <c r="G23" s="86"/>
      <c r="H23" s="90"/>
      <c r="I23" s="86"/>
      <c r="K23" s="89" t="str">
        <f ca="1">IF(D23&lt;&gt;D76,"Wert prüfen!",IF(H61="","Inhalt der gelben Zellen kann angepasst werden.",""))</f>
        <v>Inhalt der gelben Zellen kann angepasst werden.</v>
      </c>
      <c r="L23" s="26"/>
      <c r="M23" s="26"/>
      <c r="N23" s="26"/>
    </row>
    <row r="24" spans="1:14" x14ac:dyDescent="0.2">
      <c r="A24" s="86"/>
      <c r="B24" s="86" t="s">
        <v>29</v>
      </c>
      <c r="C24" s="86"/>
      <c r="D24" s="96">
        <f>(D23/100)*$F$14</f>
        <v>0</v>
      </c>
      <c r="E24" s="86" t="s">
        <v>3</v>
      </c>
      <c r="F24" s="97">
        <f>IF(D24="","",D23+D24)</f>
        <v>1.8</v>
      </c>
      <c r="G24" s="86" t="s">
        <v>3</v>
      </c>
      <c r="H24" s="93">
        <f>IF(D24="","",ROUND(F24/100*$H$5,2))</f>
        <v>0.27</v>
      </c>
      <c r="I24" s="86" t="s">
        <v>4</v>
      </c>
      <c r="K24" s="89"/>
    </row>
    <row r="25" spans="1:14" ht="11.25" x14ac:dyDescent="0.2">
      <c r="A25" s="86" t="s">
        <v>30</v>
      </c>
      <c r="B25" s="86" t="s">
        <v>130</v>
      </c>
      <c r="C25" s="86"/>
      <c r="D25" s="8"/>
      <c r="E25" s="86" t="s">
        <v>3</v>
      </c>
      <c r="F25" s="98"/>
      <c r="G25" s="86"/>
      <c r="H25" s="90"/>
      <c r="I25" s="86"/>
      <c r="K25" s="89" t="str">
        <f>IF(D25="","Bitte ausfüllen!","")</f>
        <v>Bitte ausfüllen!</v>
      </c>
    </row>
    <row r="26" spans="1:14" x14ac:dyDescent="0.2">
      <c r="A26" s="86"/>
      <c r="B26" s="86" t="s">
        <v>31</v>
      </c>
      <c r="C26" s="86"/>
      <c r="D26" s="96">
        <f>(D25/100)*$F$14</f>
        <v>0</v>
      </c>
      <c r="E26" s="86" t="s">
        <v>3</v>
      </c>
      <c r="F26" s="97">
        <f>IF(D26="","",D25+D26)</f>
        <v>0</v>
      </c>
      <c r="G26" s="86" t="s">
        <v>3</v>
      </c>
      <c r="H26" s="93">
        <f>IF(D26="","",ROUND(F26/100*$H$5,2))</f>
        <v>0</v>
      </c>
      <c r="I26" s="86" t="s">
        <v>4</v>
      </c>
      <c r="K26" s="89"/>
    </row>
    <row r="27" spans="1:14" ht="11.25" x14ac:dyDescent="0.2">
      <c r="A27" s="86" t="s">
        <v>32</v>
      </c>
      <c r="B27" s="86" t="s">
        <v>131</v>
      </c>
      <c r="C27" s="86"/>
      <c r="D27" s="86"/>
      <c r="E27" s="86"/>
      <c r="F27" s="8"/>
      <c r="G27" s="86" t="s">
        <v>3</v>
      </c>
      <c r="H27" s="93" t="str">
        <f>IF(F27="","",ROUND(F27/100*$H$5,2))</f>
        <v/>
      </c>
      <c r="I27" s="86" t="s">
        <v>4</v>
      </c>
      <c r="K27" s="89" t="str">
        <f>IF(F27="","Bitte ausfüllen!","")</f>
        <v>Bitte ausfüllen!</v>
      </c>
    </row>
    <row r="28" spans="1:14" ht="11.25" x14ac:dyDescent="0.2">
      <c r="A28" s="86" t="s">
        <v>33</v>
      </c>
      <c r="B28" s="86" t="s">
        <v>132</v>
      </c>
      <c r="C28" s="86"/>
      <c r="D28" s="86"/>
      <c r="E28" s="86"/>
      <c r="F28" s="8">
        <f>D79</f>
        <v>0.15</v>
      </c>
      <c r="G28" s="86" t="s">
        <v>3</v>
      </c>
      <c r="H28" s="93">
        <f>IF(F28="","",ROUND(F28/100*$H$5,2))</f>
        <v>0.02</v>
      </c>
      <c r="I28" s="86" t="s">
        <v>4</v>
      </c>
      <c r="K28" s="89" t="str">
        <f ca="1">IF(F28&lt;&gt;D79,"Wert prüfen!",IF(H61="","Inhalt der gelben Zellen kann angepasst werden.",""))</f>
        <v>Inhalt der gelben Zellen kann angepasst werden.</v>
      </c>
    </row>
    <row r="29" spans="1:14" ht="25.5" customHeight="1" x14ac:dyDescent="0.2">
      <c r="A29" s="87"/>
      <c r="B29" s="171" t="s">
        <v>34</v>
      </c>
      <c r="C29" s="171"/>
      <c r="D29" s="87"/>
      <c r="E29" s="87"/>
      <c r="F29" s="94">
        <f>IF(SUM(F17:F28)=0,0,SUM(F17:F28)+F14)</f>
        <v>21.3</v>
      </c>
      <c r="G29" s="87" t="s">
        <v>3</v>
      </c>
      <c r="H29" s="95" t="str">
        <f>IF(OR(COUNTIF(D17:D26,"")&gt;0,COUNTIF(F27:F28,"")&gt;0),"",SUM(H17:H28)+H14)</f>
        <v/>
      </c>
      <c r="I29" s="87" t="s">
        <v>4</v>
      </c>
      <c r="K29" s="89" t="str">
        <f>IF(H29="","Angaben offen!","")</f>
        <v>Angaben offen!</v>
      </c>
    </row>
    <row r="30" spans="1:14" x14ac:dyDescent="0.2">
      <c r="A30" s="86"/>
      <c r="B30" s="86"/>
      <c r="C30" s="86"/>
      <c r="D30" s="86"/>
      <c r="E30" s="86"/>
      <c r="F30" s="90"/>
      <c r="G30" s="86"/>
      <c r="H30" s="90"/>
      <c r="I30" s="86"/>
    </row>
    <row r="31" spans="1:14" x14ac:dyDescent="0.2">
      <c r="A31" s="86"/>
      <c r="B31" s="87" t="s">
        <v>35</v>
      </c>
      <c r="C31" s="86"/>
      <c r="D31" s="86"/>
      <c r="E31" s="86"/>
      <c r="F31" s="90"/>
      <c r="G31" s="86"/>
      <c r="H31" s="90"/>
      <c r="I31" s="86"/>
    </row>
    <row r="32" spans="1:14" x14ac:dyDescent="0.2">
      <c r="A32" s="86" t="s">
        <v>36</v>
      </c>
      <c r="B32" s="86" t="s">
        <v>37</v>
      </c>
      <c r="C32" s="86"/>
      <c r="D32" s="86"/>
      <c r="E32" s="86"/>
      <c r="F32" s="8"/>
      <c r="G32" s="86" t="s">
        <v>3</v>
      </c>
      <c r="H32" s="93" t="str">
        <f>IF(F32="","",ROUND(F32/100*$H$5,2))</f>
        <v/>
      </c>
      <c r="I32" s="86" t="s">
        <v>4</v>
      </c>
      <c r="K32" s="89" t="str">
        <f>IF(F32="","Bitte ausfüllen!","")</f>
        <v>Bitte ausfüllen!</v>
      </c>
    </row>
    <row r="33" spans="1:11" x14ac:dyDescent="0.2">
      <c r="A33" s="86" t="s">
        <v>38</v>
      </c>
      <c r="B33" s="86" t="s">
        <v>39</v>
      </c>
      <c r="C33" s="86"/>
      <c r="D33" s="86"/>
      <c r="E33" s="86"/>
      <c r="F33" s="8"/>
      <c r="G33" s="86" t="s">
        <v>3</v>
      </c>
      <c r="H33" s="93" t="str">
        <f>IF(F33="","",ROUND(F33/100*$H$5,2))</f>
        <v/>
      </c>
      <c r="I33" s="86" t="s">
        <v>4</v>
      </c>
      <c r="K33" s="89" t="str">
        <f>IF(F33="","Bitte ausfüllen!","")</f>
        <v>Bitte ausfüllen!</v>
      </c>
    </row>
    <row r="34" spans="1:11" ht="25.5" customHeight="1" x14ac:dyDescent="0.2">
      <c r="A34" s="87"/>
      <c r="B34" s="171" t="s">
        <v>40</v>
      </c>
      <c r="C34" s="171"/>
      <c r="D34" s="87"/>
      <c r="E34" s="87"/>
      <c r="F34" s="94">
        <f>IF(SUM(F32:F33)=0,0,SUM(F32:F33)+F29)</f>
        <v>0</v>
      </c>
      <c r="G34" s="87" t="s">
        <v>3</v>
      </c>
      <c r="H34" s="95" t="str">
        <f>IF(COUNTIF(H32:H33,"")&gt;0,"",SUM(H32:H33)+H29)</f>
        <v/>
      </c>
      <c r="I34" s="87" t="s">
        <v>4</v>
      </c>
      <c r="K34" s="89" t="str">
        <f>IF(H34="","Angaben offen!","")</f>
        <v>Angaben offen!</v>
      </c>
    </row>
    <row r="35" spans="1:11" x14ac:dyDescent="0.2">
      <c r="A35" s="86"/>
      <c r="B35" s="86"/>
      <c r="C35" s="86"/>
      <c r="D35" s="86"/>
      <c r="E35" s="86"/>
      <c r="F35" s="90"/>
      <c r="G35" s="86"/>
      <c r="H35" s="90"/>
      <c r="I35" s="86"/>
    </row>
    <row r="36" spans="1:11" x14ac:dyDescent="0.2">
      <c r="A36" s="87" t="s">
        <v>41</v>
      </c>
      <c r="B36" s="87" t="s">
        <v>42</v>
      </c>
      <c r="C36" s="87"/>
      <c r="D36" s="87"/>
      <c r="E36" s="87"/>
      <c r="F36" s="91"/>
      <c r="G36" s="87"/>
      <c r="H36" s="91"/>
      <c r="I36" s="87"/>
    </row>
    <row r="37" spans="1:11" x14ac:dyDescent="0.2">
      <c r="A37" s="86" t="s">
        <v>43</v>
      </c>
      <c r="B37" s="86" t="s">
        <v>44</v>
      </c>
      <c r="C37" s="86"/>
      <c r="D37" s="86"/>
      <c r="E37" s="86"/>
      <c r="F37" s="90"/>
      <c r="G37" s="86"/>
      <c r="H37" s="90"/>
      <c r="I37" s="86"/>
    </row>
    <row r="38" spans="1:11" x14ac:dyDescent="0.2">
      <c r="A38" s="86"/>
      <c r="B38" s="86" t="s">
        <v>45</v>
      </c>
      <c r="C38" s="86"/>
      <c r="D38" s="86"/>
      <c r="E38" s="86"/>
      <c r="F38" s="8"/>
      <c r="G38" s="86" t="s">
        <v>3</v>
      </c>
      <c r="H38" s="93" t="str">
        <f>IF(F38="","",ROUND(F38/100*$H$5,2))</f>
        <v/>
      </c>
      <c r="I38" s="86" t="s">
        <v>4</v>
      </c>
      <c r="K38" s="89" t="str">
        <f>IF(F38="","Bitte ausfüllen!","")</f>
        <v>Bitte ausfüllen!</v>
      </c>
    </row>
    <row r="39" spans="1:11" x14ac:dyDescent="0.2">
      <c r="A39" s="86" t="s">
        <v>46</v>
      </c>
      <c r="B39" s="86" t="s">
        <v>47</v>
      </c>
      <c r="C39" s="86"/>
      <c r="D39" s="86"/>
      <c r="E39" s="86"/>
      <c r="F39" s="8"/>
      <c r="G39" s="86" t="s">
        <v>3</v>
      </c>
      <c r="H39" s="93" t="str">
        <f>IF(F39="","",ROUND(F39/100*$H$5,2))</f>
        <v/>
      </c>
      <c r="I39" s="86" t="s">
        <v>4</v>
      </c>
      <c r="K39" s="89" t="str">
        <f>IF(F39="","Bitte ausfüllen!","")</f>
        <v>Bitte ausfüllen!</v>
      </c>
    </row>
    <row r="40" spans="1:11" x14ac:dyDescent="0.2">
      <c r="A40" s="86" t="s">
        <v>48</v>
      </c>
      <c r="B40" s="86" t="s">
        <v>49</v>
      </c>
      <c r="C40" s="86"/>
      <c r="D40" s="86"/>
      <c r="E40" s="86"/>
      <c r="F40" s="8"/>
      <c r="G40" s="86" t="s">
        <v>3</v>
      </c>
      <c r="H40" s="93" t="str">
        <f>IF(F40="","",ROUND(F40/100*$H$5,2))</f>
        <v/>
      </c>
      <c r="I40" s="86" t="s">
        <v>4</v>
      </c>
      <c r="K40" s="89" t="str">
        <f>IF(F40="","Bitte ausfüllen!","")</f>
        <v>Bitte ausfüllen!</v>
      </c>
    </row>
    <row r="41" spans="1:11" x14ac:dyDescent="0.2">
      <c r="A41" s="86" t="s">
        <v>50</v>
      </c>
      <c r="B41" s="86" t="s">
        <v>51</v>
      </c>
      <c r="C41" s="86"/>
      <c r="D41" s="86"/>
      <c r="E41" s="86"/>
      <c r="F41" s="8"/>
      <c r="G41" s="86" t="s">
        <v>3</v>
      </c>
      <c r="H41" s="93" t="str">
        <f>IF(F41="","",ROUND(F41/100*$H$5,2))</f>
        <v/>
      </c>
      <c r="I41" s="86" t="s">
        <v>4</v>
      </c>
      <c r="K41" s="89" t="str">
        <f>IF(F41="","Bitte ausfüllen!","")</f>
        <v>Bitte ausfüllen!</v>
      </c>
    </row>
    <row r="42" spans="1:11" ht="25.5" customHeight="1" x14ac:dyDescent="0.2">
      <c r="A42" s="87"/>
      <c r="B42" s="171" t="s">
        <v>52</v>
      </c>
      <c r="C42" s="171"/>
      <c r="D42" s="87"/>
      <c r="E42" s="87"/>
      <c r="F42" s="94">
        <f>IF(SUM(F38:F41)=0,0,SUM(F38:F41))</f>
        <v>0</v>
      </c>
      <c r="G42" s="87" t="s">
        <v>3</v>
      </c>
      <c r="H42" s="95" t="str">
        <f>IF(COUNTIF(H38:H41,"")&gt;0,"",SUM(H38:H41))</f>
        <v/>
      </c>
      <c r="I42" s="87" t="s">
        <v>4</v>
      </c>
      <c r="K42" s="89" t="str">
        <f>IF(H42="","Angaben offen!","")</f>
        <v>Angaben offen!</v>
      </c>
    </row>
    <row r="43" spans="1:11" x14ac:dyDescent="0.2">
      <c r="A43" s="86"/>
      <c r="B43" s="86"/>
      <c r="C43" s="86"/>
      <c r="D43" s="86"/>
      <c r="E43" s="86"/>
      <c r="F43" s="90"/>
      <c r="G43" s="86"/>
      <c r="H43" s="90"/>
      <c r="I43" s="86"/>
    </row>
    <row r="44" spans="1:11" x14ac:dyDescent="0.2">
      <c r="A44" s="87" t="s">
        <v>53</v>
      </c>
      <c r="B44" s="87" t="s">
        <v>54</v>
      </c>
      <c r="C44" s="87"/>
      <c r="D44" s="87"/>
      <c r="E44" s="87"/>
      <c r="F44" s="87"/>
      <c r="G44" s="87"/>
      <c r="H44" s="87"/>
      <c r="I44" s="87"/>
    </row>
    <row r="45" spans="1:11" x14ac:dyDescent="0.2">
      <c r="A45" s="86" t="s">
        <v>55</v>
      </c>
      <c r="B45" s="86" t="s">
        <v>56</v>
      </c>
      <c r="C45" s="86"/>
      <c r="D45" s="86"/>
      <c r="E45" s="86"/>
      <c r="F45" s="86"/>
      <c r="G45" s="86"/>
      <c r="H45" s="86"/>
      <c r="I45" s="86"/>
    </row>
    <row r="46" spans="1:11" x14ac:dyDescent="0.2">
      <c r="A46" s="86" t="s">
        <v>57</v>
      </c>
      <c r="B46" s="86"/>
      <c r="C46" s="86" t="s">
        <v>58</v>
      </c>
      <c r="D46" s="86"/>
      <c r="E46" s="86"/>
      <c r="F46" s="8"/>
      <c r="G46" s="86" t="s">
        <v>3</v>
      </c>
      <c r="H46" s="93" t="str">
        <f>IF(F46="","",ROUND(F46/100*$H$5,2))</f>
        <v/>
      </c>
      <c r="I46" s="86" t="s">
        <v>4</v>
      </c>
      <c r="K46" s="89" t="str">
        <f>IF(F46="","Bitte ausfüllen!","")</f>
        <v>Bitte ausfüllen!</v>
      </c>
    </row>
    <row r="47" spans="1:11" x14ac:dyDescent="0.2">
      <c r="A47" s="86" t="s">
        <v>59</v>
      </c>
      <c r="B47" s="86"/>
      <c r="C47" s="86" t="s">
        <v>125</v>
      </c>
      <c r="D47" s="86"/>
      <c r="E47" s="86"/>
      <c r="F47" s="8"/>
      <c r="G47" s="86" t="s">
        <v>3</v>
      </c>
      <c r="H47" s="93" t="str">
        <f>IF(F47="","",ROUND(F47/100*$H$5,2))</f>
        <v/>
      </c>
      <c r="I47" s="86" t="s">
        <v>4</v>
      </c>
      <c r="K47" s="89" t="str">
        <f>IF(F47="","Bitte ausfüllen!","")</f>
        <v>Bitte ausfüllen!</v>
      </c>
    </row>
    <row r="48" spans="1:11" x14ac:dyDescent="0.2">
      <c r="A48" s="86" t="s">
        <v>60</v>
      </c>
      <c r="B48" s="86" t="s">
        <v>61</v>
      </c>
      <c r="C48" s="86"/>
      <c r="D48" s="86"/>
      <c r="E48" s="86"/>
      <c r="F48" s="8"/>
      <c r="G48" s="86" t="s">
        <v>3</v>
      </c>
      <c r="H48" s="93" t="str">
        <f>IF(F48="","",ROUND(F48/100*$H$5,2))</f>
        <v/>
      </c>
      <c r="I48" s="86" t="s">
        <v>4</v>
      </c>
      <c r="K48" s="89" t="str">
        <f>IF(F48="","Bitte ausfüllen!","")</f>
        <v>Bitte ausfüllen!</v>
      </c>
    </row>
    <row r="49" spans="1:11" x14ac:dyDescent="0.2">
      <c r="A49" s="86" t="s">
        <v>62</v>
      </c>
      <c r="B49" s="86" t="s">
        <v>63</v>
      </c>
      <c r="C49" s="86"/>
      <c r="D49" s="86"/>
      <c r="E49" s="86"/>
      <c r="F49" s="86"/>
      <c r="G49" s="86"/>
      <c r="H49" s="86"/>
      <c r="I49" s="86"/>
    </row>
    <row r="50" spans="1:11" x14ac:dyDescent="0.2">
      <c r="A50" s="86" t="s">
        <v>64</v>
      </c>
      <c r="B50" s="86"/>
      <c r="C50" s="86" t="s">
        <v>65</v>
      </c>
      <c r="D50" s="86"/>
      <c r="E50" s="86"/>
      <c r="F50" s="8"/>
      <c r="G50" s="86" t="s">
        <v>3</v>
      </c>
      <c r="H50" s="93" t="str">
        <f t="shared" ref="H50:H56" si="0">IF(F50="","",ROUND(F50/100*$H$5,2))</f>
        <v/>
      </c>
      <c r="I50" s="86" t="s">
        <v>4</v>
      </c>
      <c r="K50" s="89" t="str">
        <f t="shared" ref="K50:K56" si="1">IF(F50="","Bitte ausfüllen!","")</f>
        <v>Bitte ausfüllen!</v>
      </c>
    </row>
    <row r="51" spans="1:11" x14ac:dyDescent="0.2">
      <c r="A51" s="86" t="s">
        <v>66</v>
      </c>
      <c r="B51" s="86"/>
      <c r="C51" s="86" t="s">
        <v>67</v>
      </c>
      <c r="D51" s="86"/>
      <c r="E51" s="86"/>
      <c r="F51" s="8"/>
      <c r="G51" s="86" t="s">
        <v>3</v>
      </c>
      <c r="H51" s="93" t="str">
        <f t="shared" si="0"/>
        <v/>
      </c>
      <c r="I51" s="86" t="s">
        <v>4</v>
      </c>
      <c r="K51" s="89" t="str">
        <f t="shared" si="1"/>
        <v>Bitte ausfüllen!</v>
      </c>
    </row>
    <row r="52" spans="1:11" x14ac:dyDescent="0.2">
      <c r="A52" s="86" t="s">
        <v>68</v>
      </c>
      <c r="B52" s="86" t="s">
        <v>69</v>
      </c>
      <c r="C52" s="86"/>
      <c r="D52" s="86"/>
      <c r="E52" s="86"/>
      <c r="F52" s="8"/>
      <c r="G52" s="86" t="s">
        <v>3</v>
      </c>
      <c r="H52" s="93" t="str">
        <f t="shared" si="0"/>
        <v/>
      </c>
      <c r="I52" s="86" t="s">
        <v>4</v>
      </c>
      <c r="K52" s="89" t="str">
        <f t="shared" si="1"/>
        <v>Bitte ausfüllen!</v>
      </c>
    </row>
    <row r="53" spans="1:11" x14ac:dyDescent="0.2">
      <c r="A53" s="86" t="s">
        <v>70</v>
      </c>
      <c r="B53" s="86" t="s">
        <v>71</v>
      </c>
      <c r="C53" s="86"/>
      <c r="D53" s="86"/>
      <c r="E53" s="86"/>
      <c r="F53" s="8"/>
      <c r="G53" s="86" t="s">
        <v>3</v>
      </c>
      <c r="H53" s="93" t="str">
        <f t="shared" si="0"/>
        <v/>
      </c>
      <c r="I53" s="86" t="s">
        <v>4</v>
      </c>
      <c r="K53" s="89" t="str">
        <f t="shared" si="1"/>
        <v>Bitte ausfüllen!</v>
      </c>
    </row>
    <row r="54" spans="1:11" x14ac:dyDescent="0.2">
      <c r="A54" s="86" t="s">
        <v>72</v>
      </c>
      <c r="B54" s="86" t="s">
        <v>73</v>
      </c>
      <c r="C54" s="86"/>
      <c r="D54" s="86"/>
      <c r="E54" s="86"/>
      <c r="F54" s="8"/>
      <c r="G54" s="86" t="s">
        <v>3</v>
      </c>
      <c r="H54" s="93" t="str">
        <f t="shared" si="0"/>
        <v/>
      </c>
      <c r="I54" s="86" t="s">
        <v>4</v>
      </c>
      <c r="K54" s="89" t="str">
        <f t="shared" si="1"/>
        <v>Bitte ausfüllen!</v>
      </c>
    </row>
    <row r="55" spans="1:11" x14ac:dyDescent="0.2">
      <c r="A55" s="86" t="s">
        <v>74</v>
      </c>
      <c r="B55" s="86" t="s">
        <v>75</v>
      </c>
      <c r="C55" s="86"/>
      <c r="D55" s="86"/>
      <c r="E55" s="86"/>
      <c r="F55" s="8"/>
      <c r="G55" s="86" t="s">
        <v>3</v>
      </c>
      <c r="H55" s="93" t="str">
        <f t="shared" si="0"/>
        <v/>
      </c>
      <c r="I55" s="86" t="s">
        <v>4</v>
      </c>
      <c r="K55" s="89" t="str">
        <f t="shared" si="1"/>
        <v>Bitte ausfüllen!</v>
      </c>
    </row>
    <row r="56" spans="1:11" x14ac:dyDescent="0.2">
      <c r="A56" s="86" t="s">
        <v>76</v>
      </c>
      <c r="B56" s="86" t="s">
        <v>77</v>
      </c>
      <c r="C56" s="86"/>
      <c r="D56" s="86"/>
      <c r="E56" s="86"/>
      <c r="F56" s="8"/>
      <c r="G56" s="86" t="s">
        <v>3</v>
      </c>
      <c r="H56" s="93" t="str">
        <f t="shared" si="0"/>
        <v/>
      </c>
      <c r="I56" s="86" t="s">
        <v>4</v>
      </c>
      <c r="K56" s="89" t="str">
        <f t="shared" si="1"/>
        <v>Bitte ausfüllen!</v>
      </c>
    </row>
    <row r="57" spans="1:11" ht="25.5" customHeight="1" x14ac:dyDescent="0.2">
      <c r="A57" s="87"/>
      <c r="B57" s="171" t="s">
        <v>78</v>
      </c>
      <c r="C57" s="171"/>
      <c r="D57" s="87"/>
      <c r="E57" s="87"/>
      <c r="F57" s="94">
        <f>IF(SUM(F45:F56)=0,0,SUM(F45:F56))</f>
        <v>0</v>
      </c>
      <c r="G57" s="87" t="s">
        <v>3</v>
      </c>
      <c r="H57" s="95" t="str">
        <f>IF(COUNTIF(H46:H56,"")&gt;1,"",SUM(H46:H56))</f>
        <v/>
      </c>
      <c r="I57" s="87" t="s">
        <v>4</v>
      </c>
      <c r="K57" s="89" t="str">
        <f>IF(H57="","Angaben offen!","")</f>
        <v>Angaben offen!</v>
      </c>
    </row>
    <row r="58" spans="1:11" x14ac:dyDescent="0.2">
      <c r="A58" s="86"/>
      <c r="B58" s="86"/>
      <c r="C58" s="86"/>
      <c r="D58" s="86"/>
      <c r="E58" s="86"/>
      <c r="F58" s="90"/>
      <c r="G58" s="86"/>
      <c r="H58" s="90"/>
      <c r="I58" s="86"/>
    </row>
    <row r="59" spans="1:11" x14ac:dyDescent="0.2">
      <c r="A59" s="87" t="s">
        <v>79</v>
      </c>
      <c r="B59" s="170" t="s">
        <v>80</v>
      </c>
      <c r="C59" s="170"/>
      <c r="D59" s="87"/>
      <c r="E59" s="87"/>
      <c r="F59" s="99">
        <f>IF(AND(F34=""),0,F34+F42+F57+F5)</f>
        <v>100</v>
      </c>
      <c r="G59" s="87" t="s">
        <v>3</v>
      </c>
      <c r="H59" s="91" t="str">
        <f>IF(H57="","",H34+H42+H57+H5)</f>
        <v/>
      </c>
      <c r="I59" s="87" t="s">
        <v>4</v>
      </c>
    </row>
    <row r="60" spans="1:11" x14ac:dyDescent="0.2">
      <c r="A60" s="87" t="s">
        <v>81</v>
      </c>
      <c r="B60" s="87" t="s">
        <v>82</v>
      </c>
      <c r="C60" s="87"/>
      <c r="D60" s="87"/>
      <c r="E60" s="87"/>
      <c r="F60" s="8"/>
      <c r="G60" s="87" t="s">
        <v>3</v>
      </c>
      <c r="H60" s="95" t="str">
        <f>IF(F60="","",ROUND(F60/100*H59,2))</f>
        <v/>
      </c>
      <c r="I60" s="87" t="s">
        <v>4</v>
      </c>
      <c r="K60" s="89" t="str">
        <f>IF(F60="","Bitte ausfüllen!","")</f>
        <v>Bitte ausfüllen!</v>
      </c>
    </row>
    <row r="61" spans="1:11" x14ac:dyDescent="0.2">
      <c r="A61" s="87"/>
      <c r="B61" s="87" t="s">
        <v>83</v>
      </c>
      <c r="C61" s="87"/>
      <c r="D61" s="87"/>
      <c r="E61" s="87"/>
      <c r="F61" s="94">
        <f ca="1">IF(H61="",0,H61/H5*100)</f>
        <v>0</v>
      </c>
      <c r="G61" s="87" t="s">
        <v>3</v>
      </c>
      <c r="H61" s="95" t="str">
        <f ca="1">IF(SUM(COUNTIF(INDIRECT({"H5","F9:F13","D17:D26","F27:F28","F32:F33","F38:F41","F46:F48","F50:F56","F60","H65:H68"}),""))&gt;0,"",H59+H60)</f>
        <v/>
      </c>
      <c r="I61" s="87" t="s">
        <v>4</v>
      </c>
      <c r="K61" s="89" t="str">
        <f ca="1">IF(SUM(COUNTIF(INDIRECT({"H5","F9:F13","D17:D26","F27:F28","F32:F33","F38:F41","F46:F48","F50:F56","F60","H65:H68"}),""))&gt;0,SUM(COUNTIF(INDIRECT({"H5","F9:F13","D17:D26","F27:F28","F32:F33","F38:F41","F46:F48","F50:F56","F60","H65:H68"}),"")) &amp;" Zelle(n) ohne Wert!","")</f>
        <v>28 Zelle(n) ohne Wert!</v>
      </c>
    </row>
    <row r="62" spans="1:11" x14ac:dyDescent="0.2">
      <c r="A62" s="86"/>
      <c r="B62" s="86" t="s">
        <v>84</v>
      </c>
      <c r="C62" s="86"/>
      <c r="D62" s="86"/>
      <c r="E62" s="86"/>
      <c r="F62" s="94">
        <f ca="1">IF(F61=0,0,F61-F5)</f>
        <v>0</v>
      </c>
      <c r="G62" s="86" t="s">
        <v>3</v>
      </c>
      <c r="H62" s="86"/>
      <c r="I62" s="86"/>
      <c r="K62" s="89" t="str">
        <f ca="1">IF(F62&lt;70,"Bitte prüfen gemäß Aufforderung!","")</f>
        <v>Bitte prüfen gemäß Aufforderung!</v>
      </c>
    </row>
    <row r="63" spans="1:11" x14ac:dyDescent="0.2">
      <c r="A63" s="86"/>
      <c r="B63" s="86"/>
      <c r="C63" s="86"/>
      <c r="D63" s="86"/>
      <c r="E63" s="86"/>
      <c r="F63" s="86"/>
      <c r="G63" s="86"/>
      <c r="H63" s="86"/>
      <c r="I63" s="86"/>
    </row>
    <row r="64" spans="1:11" x14ac:dyDescent="0.2">
      <c r="B64" s="87" t="s">
        <v>85</v>
      </c>
      <c r="D64" s="87"/>
      <c r="E64" s="87"/>
      <c r="G64" s="87"/>
      <c r="H64" s="91" t="s">
        <v>86</v>
      </c>
    </row>
    <row r="65" spans="1:11" x14ac:dyDescent="0.2">
      <c r="B65" s="86" t="s">
        <v>87</v>
      </c>
      <c r="D65" s="86"/>
      <c r="E65" s="86"/>
      <c r="G65" s="100"/>
      <c r="H65" s="9"/>
      <c r="K65" s="89" t="str">
        <f>IF(H65="","Bitte ausfüllen!","")</f>
        <v>Bitte ausfüllen!</v>
      </c>
    </row>
    <row r="66" spans="1:11" x14ac:dyDescent="0.2">
      <c r="B66" s="86" t="s">
        <v>88</v>
      </c>
      <c r="D66" s="86"/>
      <c r="E66" s="86"/>
      <c r="G66" s="100"/>
      <c r="H66" s="10"/>
      <c r="K66" s="89" t="str">
        <f>IF(H66="","Bitte ausfüllen!","")</f>
        <v>Bitte ausfüllen!</v>
      </c>
    </row>
    <row r="67" spans="1:11" x14ac:dyDescent="0.2">
      <c r="B67" s="86" t="s">
        <v>89</v>
      </c>
      <c r="D67" s="86"/>
      <c r="E67" s="86"/>
      <c r="G67" s="100"/>
      <c r="H67" s="11"/>
      <c r="K67" s="89" t="str">
        <f>IF(H67="","Bitte ausfüllen!","")</f>
        <v>Bitte ausfüllen!</v>
      </c>
    </row>
    <row r="68" spans="1:11" x14ac:dyDescent="0.2">
      <c r="B68" s="86" t="s">
        <v>90</v>
      </c>
      <c r="D68" s="86"/>
      <c r="E68" s="86"/>
      <c r="G68" s="100"/>
      <c r="H68" s="10"/>
      <c r="K68" s="89" t="str">
        <f>IF(H68="","Bitte ausfüllen!","")</f>
        <v>Bitte ausfüllen!</v>
      </c>
    </row>
    <row r="70" spans="1:11" x14ac:dyDescent="0.2">
      <c r="C70" s="71"/>
      <c r="D70" s="4"/>
    </row>
    <row r="71" spans="1:11" ht="15.95" customHeight="1" x14ac:dyDescent="0.2">
      <c r="A71" s="161" t="s">
        <v>196</v>
      </c>
      <c r="B71" s="161"/>
      <c r="C71" s="161"/>
      <c r="D71" s="161" t="s">
        <v>197</v>
      </c>
      <c r="F71" s="163" t="s">
        <v>138</v>
      </c>
      <c r="G71" s="164"/>
      <c r="H71" s="165"/>
    </row>
    <row r="72" spans="1:11" ht="15.95" customHeight="1" x14ac:dyDescent="0.2">
      <c r="A72" s="162"/>
      <c r="B72" s="162"/>
      <c r="C72" s="162"/>
      <c r="D72" s="162"/>
      <c r="F72" s="166"/>
      <c r="G72" s="167"/>
      <c r="H72" s="168"/>
      <c r="I72" s="87"/>
      <c r="J72" s="87"/>
      <c r="K72" s="87"/>
    </row>
    <row r="73" spans="1:11" ht="19.899999999999999" customHeight="1" x14ac:dyDescent="0.2">
      <c r="A73" s="172">
        <v>1</v>
      </c>
      <c r="B73" s="172"/>
      <c r="C73" s="12" t="s">
        <v>133</v>
      </c>
      <c r="D73" s="73">
        <v>7.3</v>
      </c>
      <c r="F73" s="173" t="s">
        <v>315</v>
      </c>
      <c r="G73" s="173"/>
      <c r="H73" s="173"/>
    </row>
    <row r="74" spans="1:11" ht="19.899999999999999" customHeight="1" x14ac:dyDescent="0.2">
      <c r="A74" s="172">
        <v>2</v>
      </c>
      <c r="B74" s="172"/>
      <c r="C74" s="12" t="s">
        <v>134</v>
      </c>
      <c r="D74" s="73">
        <v>9.3000000000000007</v>
      </c>
    </row>
    <row r="75" spans="1:11" ht="24" customHeight="1" x14ac:dyDescent="0.2">
      <c r="A75" s="172">
        <v>3</v>
      </c>
      <c r="B75" s="172"/>
      <c r="C75" s="12" t="s">
        <v>135</v>
      </c>
      <c r="D75" s="73">
        <v>1.3</v>
      </c>
    </row>
    <row r="76" spans="1:11" ht="24" customHeight="1" x14ac:dyDescent="0.2">
      <c r="A76" s="172">
        <v>4</v>
      </c>
      <c r="B76" s="172"/>
      <c r="C76" s="12" t="s">
        <v>136</v>
      </c>
      <c r="D76" s="73">
        <f>IF( F73="Sachsen",1.3,1.8)</f>
        <v>1.8</v>
      </c>
    </row>
    <row r="77" spans="1:11" ht="31.5" x14ac:dyDescent="0.2">
      <c r="A77" s="172">
        <v>5</v>
      </c>
      <c r="B77" s="172"/>
      <c r="C77" s="12" t="s">
        <v>198</v>
      </c>
      <c r="D77" s="73">
        <v>1.45</v>
      </c>
    </row>
    <row r="78" spans="1:11" ht="24" customHeight="1" x14ac:dyDescent="0.2">
      <c r="A78" s="172">
        <v>6</v>
      </c>
      <c r="B78" s="172"/>
      <c r="C78" s="12" t="s">
        <v>123</v>
      </c>
      <c r="D78" s="73"/>
    </row>
    <row r="79" spans="1:11" ht="24" customHeight="1" x14ac:dyDescent="0.2">
      <c r="A79" s="172">
        <v>7</v>
      </c>
      <c r="B79" s="172"/>
      <c r="C79" s="12" t="s">
        <v>137</v>
      </c>
      <c r="D79" s="73">
        <v>0.15</v>
      </c>
    </row>
  </sheetData>
  <sheetProtection algorithmName="SHA-512" hashValue="cOfxhygZy7LjyoGBLirv7KBkJ+A68atkw89+LkfBq0M/DYq/hRdMX6c9uQ+ydBkOPFjv50C5JgAEwm1iXUNTlQ==" saltValue="+NUmt2FER6Vro3IY1oSbeA=="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7" customWidth="1"/>
    <col min="2" max="2" width="2.7109375" style="17" customWidth="1"/>
    <col min="3" max="3" width="45.5703125" style="17" customWidth="1"/>
    <col min="4" max="4" width="8.42578125" style="17" customWidth="1"/>
    <col min="5" max="5" width="2.5703125" style="17" customWidth="1"/>
    <col min="6" max="6" width="11.42578125" style="17"/>
    <col min="7" max="7" width="2.85546875" style="17" customWidth="1"/>
    <col min="8" max="8" width="11.42578125" style="17"/>
    <col min="9" max="9" width="2.7109375" style="17" bestFit="1" customWidth="1"/>
    <col min="10" max="10" width="1.28515625" style="17" customWidth="1"/>
    <col min="11" max="11" width="18.28515625" style="17" bestFit="1" customWidth="1"/>
    <col min="12" max="16384" width="11.42578125" style="17"/>
  </cols>
  <sheetData>
    <row r="1" spans="1:11" ht="34.9" customHeight="1" x14ac:dyDescent="0.2">
      <c r="A1" s="85" t="str">
        <f ca="1">IF(H61&lt;&gt;"","","Bitte alle gelben Zellen ausfüllen.")</f>
        <v>Bitte alle gelben Zellen ausfüllen.</v>
      </c>
      <c r="D1" s="119" t="b">
        <v>0</v>
      </c>
      <c r="E1" s="174"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74"/>
      <c r="G1" s="174"/>
      <c r="H1" s="174"/>
      <c r="I1" s="174"/>
      <c r="K1" s="5" t="s">
        <v>100</v>
      </c>
    </row>
    <row r="2" spans="1:11" ht="32.25" customHeight="1" x14ac:dyDescent="0.2">
      <c r="A2" s="17" t="s">
        <v>103</v>
      </c>
      <c r="C2" s="102" t="str">
        <f>IF(Inhaltsverzeichnis!$C$3="", "",Inhaltsverzeichnis!$C$3)</f>
        <v/>
      </c>
      <c r="D2" s="119" t="b">
        <v>0</v>
      </c>
      <c r="E2" s="174"/>
      <c r="F2" s="174"/>
      <c r="G2" s="174"/>
      <c r="H2" s="174"/>
      <c r="I2" s="174"/>
    </row>
    <row r="3" spans="1:11" s="27" customFormat="1" ht="12.75" x14ac:dyDescent="0.2">
      <c r="A3" s="176" t="s">
        <v>157</v>
      </c>
      <c r="B3" s="176"/>
      <c r="C3" s="176"/>
      <c r="D3" s="176"/>
      <c r="E3" s="176"/>
      <c r="F3" s="176"/>
      <c r="G3" s="176"/>
      <c r="H3" s="176"/>
      <c r="I3" s="176"/>
    </row>
    <row r="4" spans="1:11" x14ac:dyDescent="0.2">
      <c r="A4" s="103"/>
      <c r="B4" s="103"/>
      <c r="C4" s="103"/>
      <c r="D4" s="103"/>
      <c r="E4" s="103"/>
      <c r="F4" s="103"/>
      <c r="G4" s="103"/>
      <c r="H4" s="103"/>
      <c r="I4" s="103"/>
    </row>
    <row r="5" spans="1:11" ht="15" customHeight="1" x14ac:dyDescent="0.2">
      <c r="A5" s="104" t="s">
        <v>1</v>
      </c>
      <c r="B5" s="104" t="s">
        <v>2</v>
      </c>
      <c r="C5" s="104"/>
      <c r="D5" s="104"/>
      <c r="E5" s="104"/>
      <c r="F5" s="105">
        <v>100</v>
      </c>
      <c r="G5" s="104" t="s">
        <v>3</v>
      </c>
      <c r="H5" s="18">
        <v>15</v>
      </c>
      <c r="I5" s="104" t="s">
        <v>4</v>
      </c>
      <c r="K5" s="8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103"/>
      <c r="B6" s="103"/>
      <c r="C6" s="103"/>
      <c r="D6" s="103"/>
      <c r="E6" s="103"/>
      <c r="F6" s="106"/>
      <c r="G6" s="103"/>
      <c r="H6" s="106"/>
      <c r="I6" s="103"/>
    </row>
    <row r="7" spans="1:11" x14ac:dyDescent="0.2">
      <c r="A7" s="104" t="s">
        <v>5</v>
      </c>
      <c r="B7" s="104" t="s">
        <v>6</v>
      </c>
      <c r="C7" s="104"/>
      <c r="D7" s="104"/>
      <c r="E7" s="104"/>
      <c r="F7" s="107"/>
      <c r="G7" s="104"/>
      <c r="H7" s="107"/>
      <c r="I7" s="104"/>
    </row>
    <row r="8" spans="1:11" ht="14.25" x14ac:dyDescent="0.2">
      <c r="A8" s="103" t="s">
        <v>7</v>
      </c>
      <c r="B8" s="103" t="s">
        <v>8</v>
      </c>
      <c r="C8" s="103"/>
      <c r="D8" s="103"/>
      <c r="E8" s="103"/>
      <c r="F8" s="107"/>
      <c r="G8" s="107"/>
      <c r="H8" s="107"/>
      <c r="I8" s="107"/>
      <c r="K8" s="108"/>
    </row>
    <row r="9" spans="1:11" x14ac:dyDescent="0.2">
      <c r="A9" s="103" t="s">
        <v>9</v>
      </c>
      <c r="B9" s="103"/>
      <c r="C9" s="103" t="s">
        <v>10</v>
      </c>
      <c r="D9" s="103"/>
      <c r="E9" s="103"/>
      <c r="F9" s="19"/>
      <c r="G9" s="103" t="s">
        <v>3</v>
      </c>
      <c r="H9" s="109" t="str">
        <f>IF(F9="","",ROUND(F9/100*$H$5,2))</f>
        <v/>
      </c>
      <c r="I9" s="103" t="s">
        <v>4</v>
      </c>
      <c r="K9" s="110" t="str">
        <f>IF(F9="","Bitte ausfüllen!","")</f>
        <v>Bitte ausfüllen!</v>
      </c>
    </row>
    <row r="10" spans="1:11" x14ac:dyDescent="0.2">
      <c r="A10" s="103" t="s">
        <v>11</v>
      </c>
      <c r="B10" s="103"/>
      <c r="C10" s="103" t="s">
        <v>12</v>
      </c>
      <c r="D10" s="103"/>
      <c r="E10" s="103"/>
      <c r="F10" s="19"/>
      <c r="G10" s="103" t="s">
        <v>3</v>
      </c>
      <c r="H10" s="109" t="str">
        <f>IF(F10="","",ROUND(F10/100*$H$5,2))</f>
        <v/>
      </c>
      <c r="I10" s="103" t="s">
        <v>4</v>
      </c>
      <c r="K10" s="110" t="str">
        <f>IF(F10="","Bitte ausfüllen!","")</f>
        <v>Bitte ausfüllen!</v>
      </c>
    </row>
    <row r="11" spans="1:11" x14ac:dyDescent="0.2">
      <c r="A11" s="103" t="s">
        <v>13</v>
      </c>
      <c r="B11" s="103"/>
      <c r="C11" s="103" t="s">
        <v>14</v>
      </c>
      <c r="D11" s="103"/>
      <c r="E11" s="103"/>
      <c r="F11" s="19"/>
      <c r="G11" s="103" t="s">
        <v>3</v>
      </c>
      <c r="H11" s="109" t="str">
        <f>IF(F11="","",ROUND(F11/100*$H$5,2))</f>
        <v/>
      </c>
      <c r="I11" s="103" t="s">
        <v>4</v>
      </c>
      <c r="K11" s="110" t="str">
        <f>IF(F11="","Bitte ausfüllen!","")</f>
        <v>Bitte ausfüllen!</v>
      </c>
    </row>
    <row r="12" spans="1:11" x14ac:dyDescent="0.2">
      <c r="A12" s="103" t="s">
        <v>15</v>
      </c>
      <c r="B12" s="103"/>
      <c r="C12" s="103" t="s">
        <v>16</v>
      </c>
      <c r="D12" s="103"/>
      <c r="E12" s="103"/>
      <c r="F12" s="19"/>
      <c r="G12" s="103" t="s">
        <v>3</v>
      </c>
      <c r="H12" s="109" t="str">
        <f>IF(F12="","",ROUND(F12/100*$H$5,2))</f>
        <v/>
      </c>
      <c r="I12" s="103" t="s">
        <v>4</v>
      </c>
      <c r="K12" s="110" t="str">
        <f>IF(F12="","Bitte ausfüllen!","")</f>
        <v>Bitte ausfüllen!</v>
      </c>
    </row>
    <row r="13" spans="1:11" x14ac:dyDescent="0.2">
      <c r="A13" s="103" t="s">
        <v>17</v>
      </c>
      <c r="B13" s="103"/>
      <c r="C13" s="103" t="s">
        <v>18</v>
      </c>
      <c r="D13" s="103"/>
      <c r="E13" s="103"/>
      <c r="F13" s="19"/>
      <c r="G13" s="103" t="s">
        <v>3</v>
      </c>
      <c r="H13" s="109" t="str">
        <f>IF(F13="","",ROUND(F13/100*$H$5,2))</f>
        <v/>
      </c>
      <c r="I13" s="103" t="s">
        <v>4</v>
      </c>
      <c r="K13" s="110" t="str">
        <f>IF(F13="","Bitte ausfüllen!","")</f>
        <v>Bitte ausfüllen!</v>
      </c>
    </row>
    <row r="14" spans="1:11" x14ac:dyDescent="0.2">
      <c r="A14" s="104"/>
      <c r="B14" s="104" t="s">
        <v>19</v>
      </c>
      <c r="C14" s="104"/>
      <c r="D14" s="104"/>
      <c r="E14" s="104"/>
      <c r="F14" s="111">
        <f>IF(SUM(F9:F13)=0,0,SUM(F9:F13))</f>
        <v>0</v>
      </c>
      <c r="G14" s="104" t="s">
        <v>3</v>
      </c>
      <c r="H14" s="112" t="str">
        <f>IF(COUNTIF(F9:F13,"")&gt;0,"",SUM(H8:H13))</f>
        <v/>
      </c>
      <c r="I14" s="104" t="s">
        <v>4</v>
      </c>
      <c r="K14" s="110" t="str">
        <f>IF(H14="","Angaben offen!","")</f>
        <v>Angaben offen!</v>
      </c>
    </row>
    <row r="15" spans="1:11" x14ac:dyDescent="0.2">
      <c r="A15" s="103"/>
      <c r="B15" s="103"/>
      <c r="C15" s="103"/>
      <c r="D15" s="103"/>
      <c r="E15" s="103"/>
      <c r="F15" s="106"/>
      <c r="G15" s="103"/>
      <c r="H15" s="106"/>
      <c r="I15" s="103"/>
    </row>
    <row r="16" spans="1:11" x14ac:dyDescent="0.2">
      <c r="A16" s="104" t="s">
        <v>20</v>
      </c>
      <c r="B16" s="104" t="s">
        <v>21</v>
      </c>
      <c r="C16" s="104"/>
      <c r="D16" s="104"/>
      <c r="E16" s="104"/>
      <c r="F16" s="107"/>
      <c r="G16" s="104"/>
      <c r="H16" s="107"/>
      <c r="I16" s="104"/>
    </row>
    <row r="17" spans="1:11" ht="11.25" x14ac:dyDescent="0.2">
      <c r="A17" s="103" t="s">
        <v>22</v>
      </c>
      <c r="B17" s="103" t="s">
        <v>126</v>
      </c>
      <c r="C17" s="103"/>
      <c r="D17" s="8">
        <f>D73+D77</f>
        <v>8.75</v>
      </c>
      <c r="E17" s="103" t="s">
        <v>3</v>
      </c>
      <c r="F17" s="106"/>
      <c r="G17" s="103"/>
      <c r="H17" s="106"/>
      <c r="I17" s="103"/>
      <c r="K17" s="110" t="str">
        <f ca="1">IF(D17&lt;(D73+D77),"Wert prüfen!",IF(H61="","Inhalt der gelben Zellen kann angepasst werden.",""))</f>
        <v>Inhalt der gelben Zellen kann angepasst werden.</v>
      </c>
    </row>
    <row r="18" spans="1:11" x14ac:dyDescent="0.2">
      <c r="A18" s="103"/>
      <c r="B18" s="103" t="s">
        <v>23</v>
      </c>
      <c r="C18" s="103"/>
      <c r="D18" s="113">
        <f>(D17/100)*$F$14</f>
        <v>0</v>
      </c>
      <c r="E18" s="103" t="s">
        <v>3</v>
      </c>
      <c r="F18" s="114">
        <f>IF(D18="","",D17+D18)</f>
        <v>8.75</v>
      </c>
      <c r="G18" s="103" t="s">
        <v>3</v>
      </c>
      <c r="H18" s="109">
        <f>IF(D18="","",ROUND(F18/100*$H$5,2))</f>
        <v>1.31</v>
      </c>
      <c r="I18" s="103" t="s">
        <v>4</v>
      </c>
      <c r="K18" s="110"/>
    </row>
    <row r="19" spans="1:11" ht="11.25" x14ac:dyDescent="0.2">
      <c r="A19" s="103" t="s">
        <v>24</v>
      </c>
      <c r="B19" s="103" t="s">
        <v>127</v>
      </c>
      <c r="C19" s="103"/>
      <c r="D19" s="19">
        <f>D74</f>
        <v>9.3000000000000007</v>
      </c>
      <c r="E19" s="103" t="s">
        <v>3</v>
      </c>
      <c r="F19" s="115"/>
      <c r="G19" s="103"/>
      <c r="H19" s="106"/>
      <c r="I19" s="103"/>
      <c r="K19" s="110" t="str">
        <f ca="1">IF(D19&lt;&gt;D74,"Wert prüfen!",IF(H61="","Inhalt der gelben Zellen kann angepasst werden.",""))</f>
        <v>Inhalt der gelben Zellen kann angepasst werden.</v>
      </c>
    </row>
    <row r="20" spans="1:11" x14ac:dyDescent="0.2">
      <c r="A20" s="103"/>
      <c r="B20" s="103" t="s">
        <v>25</v>
      </c>
      <c r="C20" s="103"/>
      <c r="D20" s="113">
        <f>(D19/100)*$F$14</f>
        <v>0</v>
      </c>
      <c r="E20" s="103" t="s">
        <v>3</v>
      </c>
      <c r="F20" s="114">
        <f>IF(D20="","",D19+D20)</f>
        <v>9.3000000000000007</v>
      </c>
      <c r="G20" s="103" t="s">
        <v>3</v>
      </c>
      <c r="H20" s="109">
        <f>IF(D20="","",ROUND(F20/100*$H$5,2))</f>
        <v>1.4</v>
      </c>
      <c r="I20" s="103" t="s">
        <v>4</v>
      </c>
      <c r="K20" s="110"/>
    </row>
    <row r="21" spans="1:11" ht="11.25" x14ac:dyDescent="0.2">
      <c r="A21" s="103" t="s">
        <v>26</v>
      </c>
      <c r="B21" s="103" t="s">
        <v>128</v>
      </c>
      <c r="C21" s="103"/>
      <c r="D21" s="19">
        <f>D75</f>
        <v>1.3</v>
      </c>
      <c r="E21" s="103" t="s">
        <v>3</v>
      </c>
      <c r="F21" s="115"/>
      <c r="G21" s="103"/>
      <c r="H21" s="106"/>
      <c r="I21" s="103"/>
      <c r="K21" s="110" t="str">
        <f ca="1">IF(D21&lt;&gt;D75,"Wert prüfen!",IF(H61="","Inhalt der gelben Zellen kann angepasst werden.",""))</f>
        <v>Inhalt der gelben Zellen kann angepasst werden.</v>
      </c>
    </row>
    <row r="22" spans="1:11" x14ac:dyDescent="0.2">
      <c r="A22" s="103"/>
      <c r="B22" s="103" t="s">
        <v>27</v>
      </c>
      <c r="C22" s="103"/>
      <c r="D22" s="113">
        <f>(D21/100)*$F$14</f>
        <v>0</v>
      </c>
      <c r="E22" s="103" t="s">
        <v>3</v>
      </c>
      <c r="F22" s="114">
        <f>IF(D22="","",D21+D22)</f>
        <v>1.3</v>
      </c>
      <c r="G22" s="103" t="s">
        <v>3</v>
      </c>
      <c r="H22" s="109">
        <f>IF(D22="","",ROUND(F22/100*$H$5,2))</f>
        <v>0.2</v>
      </c>
      <c r="I22" s="103" t="s">
        <v>4</v>
      </c>
      <c r="K22" s="110"/>
    </row>
    <row r="23" spans="1:11" ht="11.25" x14ac:dyDescent="0.2">
      <c r="A23" s="103" t="s">
        <v>28</v>
      </c>
      <c r="B23" s="103" t="s">
        <v>129</v>
      </c>
      <c r="C23" s="103"/>
      <c r="D23" s="19">
        <f>D76</f>
        <v>1.8</v>
      </c>
      <c r="E23" s="103" t="s">
        <v>3</v>
      </c>
      <c r="F23" s="115"/>
      <c r="G23" s="103"/>
      <c r="H23" s="106"/>
      <c r="I23" s="103"/>
      <c r="K23" s="110" t="str">
        <f ca="1">IF(D23&lt;&gt;D76,"Wert prüfen!",IF(H61="","Inhalt der gelben Zellen kann angepasst werden.",""))</f>
        <v>Inhalt der gelben Zellen kann angepasst werden.</v>
      </c>
    </row>
    <row r="24" spans="1:11" x14ac:dyDescent="0.2">
      <c r="A24" s="103"/>
      <c r="B24" s="103" t="s">
        <v>29</v>
      </c>
      <c r="C24" s="103"/>
      <c r="D24" s="113">
        <f>(D23/100)*$F$14</f>
        <v>0</v>
      </c>
      <c r="E24" s="103" t="s">
        <v>3</v>
      </c>
      <c r="F24" s="114">
        <f>IF(D24="","",D23+D24)</f>
        <v>1.8</v>
      </c>
      <c r="G24" s="103" t="s">
        <v>3</v>
      </c>
      <c r="H24" s="109">
        <f>IF(D24="","",ROUND(F24/100*$H$5,2))</f>
        <v>0.27</v>
      </c>
      <c r="I24" s="103" t="s">
        <v>4</v>
      </c>
      <c r="K24" s="110"/>
    </row>
    <row r="25" spans="1:11" ht="11.25" x14ac:dyDescent="0.2">
      <c r="A25" s="103" t="s">
        <v>30</v>
      </c>
      <c r="B25" s="103" t="s">
        <v>130</v>
      </c>
      <c r="C25" s="103"/>
      <c r="D25" s="19"/>
      <c r="E25" s="103" t="s">
        <v>3</v>
      </c>
      <c r="F25" s="115"/>
      <c r="G25" s="103"/>
      <c r="H25" s="106"/>
      <c r="I25" s="103"/>
      <c r="K25" s="110" t="str">
        <f>IF(D25="","Bitte ausfüllen!","")</f>
        <v>Bitte ausfüllen!</v>
      </c>
    </row>
    <row r="26" spans="1:11" x14ac:dyDescent="0.2">
      <c r="A26" s="103"/>
      <c r="B26" s="103" t="s">
        <v>31</v>
      </c>
      <c r="C26" s="103"/>
      <c r="D26" s="113">
        <f>(D25/100)*$F$14</f>
        <v>0</v>
      </c>
      <c r="E26" s="103" t="s">
        <v>3</v>
      </c>
      <c r="F26" s="114">
        <f>IF(D26="","",D25+D26)</f>
        <v>0</v>
      </c>
      <c r="G26" s="103" t="s">
        <v>3</v>
      </c>
      <c r="H26" s="109">
        <f>IF(D26="","",ROUND(F26/100*$H$5,2))</f>
        <v>0</v>
      </c>
      <c r="I26" s="103" t="s">
        <v>4</v>
      </c>
      <c r="K26" s="110"/>
    </row>
    <row r="27" spans="1:11" ht="11.25" x14ac:dyDescent="0.2">
      <c r="A27" s="103" t="s">
        <v>32</v>
      </c>
      <c r="B27" s="103" t="s">
        <v>131</v>
      </c>
      <c r="C27" s="103"/>
      <c r="D27" s="103"/>
      <c r="E27" s="103"/>
      <c r="F27" s="19"/>
      <c r="G27" s="103" t="s">
        <v>3</v>
      </c>
      <c r="H27" s="109" t="str">
        <f>IF(F27="","",ROUND(F27/100*$H$5,2))</f>
        <v/>
      </c>
      <c r="I27" s="103" t="s">
        <v>4</v>
      </c>
      <c r="K27" s="110" t="str">
        <f>IF(F27="","Bitte ausfüllen!","")</f>
        <v>Bitte ausfüllen!</v>
      </c>
    </row>
    <row r="28" spans="1:11" ht="11.25" x14ac:dyDescent="0.2">
      <c r="A28" s="103" t="s">
        <v>33</v>
      </c>
      <c r="B28" s="103" t="s">
        <v>132</v>
      </c>
      <c r="C28" s="103"/>
      <c r="D28" s="103"/>
      <c r="E28" s="103"/>
      <c r="F28" s="19">
        <f>D79</f>
        <v>0.15</v>
      </c>
      <c r="G28" s="103" t="s">
        <v>3</v>
      </c>
      <c r="H28" s="109">
        <f>IF(F28="","",ROUND(F28/100*$H$5,2))</f>
        <v>0.02</v>
      </c>
      <c r="I28" s="103" t="s">
        <v>4</v>
      </c>
      <c r="K28" s="110" t="str">
        <f ca="1">IF(F28&lt;&gt;D79,"Wert prüfen!",IF(H61="","Inhalt der gelben Zellen kann angepasst werden.",""))</f>
        <v>Inhalt der gelben Zellen kann angepasst werden.</v>
      </c>
    </row>
    <row r="29" spans="1:11" ht="25.5" customHeight="1" x14ac:dyDescent="0.2">
      <c r="A29" s="104"/>
      <c r="B29" s="177" t="s">
        <v>34</v>
      </c>
      <c r="C29" s="177"/>
      <c r="D29" s="104"/>
      <c r="E29" s="104"/>
      <c r="F29" s="111">
        <f>IF(SUM(F17:F28)=0,0,SUM(F17:F28)+F14)</f>
        <v>21.3</v>
      </c>
      <c r="G29" s="104" t="s">
        <v>3</v>
      </c>
      <c r="H29" s="112" t="str">
        <f>IF(OR(COUNTIF(D17:D26,"")&gt;0,COUNTIF(F27:F28,"")&gt;0),"",SUM(H17:H28)+H14)</f>
        <v/>
      </c>
      <c r="I29" s="104" t="s">
        <v>4</v>
      </c>
      <c r="K29" s="110" t="str">
        <f>IF(H29="","Angaben offen!","")</f>
        <v>Angaben offen!</v>
      </c>
    </row>
    <row r="30" spans="1:11" x14ac:dyDescent="0.2">
      <c r="A30" s="103"/>
      <c r="B30" s="103"/>
      <c r="C30" s="103"/>
      <c r="D30" s="103"/>
      <c r="E30" s="103"/>
      <c r="F30" s="106"/>
      <c r="G30" s="103"/>
      <c r="H30" s="106"/>
      <c r="I30" s="103"/>
    </row>
    <row r="31" spans="1:11" x14ac:dyDescent="0.2">
      <c r="A31" s="103"/>
      <c r="B31" s="104" t="s">
        <v>35</v>
      </c>
      <c r="C31" s="103"/>
      <c r="D31" s="103"/>
      <c r="E31" s="103"/>
      <c r="F31" s="106"/>
      <c r="G31" s="103"/>
      <c r="H31" s="106"/>
      <c r="I31" s="103"/>
    </row>
    <row r="32" spans="1:11" x14ac:dyDescent="0.2">
      <c r="A32" s="103" t="s">
        <v>36</v>
      </c>
      <c r="B32" s="103" t="s">
        <v>37</v>
      </c>
      <c r="C32" s="103"/>
      <c r="D32" s="103"/>
      <c r="E32" s="103"/>
      <c r="F32" s="19"/>
      <c r="G32" s="103" t="s">
        <v>3</v>
      </c>
      <c r="H32" s="109" t="str">
        <f>IF(F32="","",ROUND(F32/100*$H$5,2))</f>
        <v/>
      </c>
      <c r="I32" s="103" t="s">
        <v>4</v>
      </c>
      <c r="K32" s="110" t="str">
        <f>IF(F32="","Bitte ausfüllen!","")</f>
        <v>Bitte ausfüllen!</v>
      </c>
    </row>
    <row r="33" spans="1:11" x14ac:dyDescent="0.2">
      <c r="A33" s="103" t="s">
        <v>38</v>
      </c>
      <c r="B33" s="103" t="s">
        <v>39</v>
      </c>
      <c r="C33" s="103"/>
      <c r="D33" s="103"/>
      <c r="E33" s="103"/>
      <c r="F33" s="19"/>
      <c r="G33" s="103" t="s">
        <v>3</v>
      </c>
      <c r="H33" s="109" t="str">
        <f>IF(F33="","",ROUND(F33/100*$H$5,2))</f>
        <v/>
      </c>
      <c r="I33" s="103" t="s">
        <v>4</v>
      </c>
      <c r="K33" s="110" t="str">
        <f>IF(F33="","Bitte ausfüllen!","")</f>
        <v>Bitte ausfüllen!</v>
      </c>
    </row>
    <row r="34" spans="1:11" ht="25.5" customHeight="1" x14ac:dyDescent="0.2">
      <c r="A34" s="104"/>
      <c r="B34" s="177" t="s">
        <v>40</v>
      </c>
      <c r="C34" s="177"/>
      <c r="D34" s="104"/>
      <c r="E34" s="104"/>
      <c r="F34" s="111">
        <f>IF(SUM(F32:F33)=0,0,SUM(F32:F33)+F29)</f>
        <v>0</v>
      </c>
      <c r="G34" s="104" t="s">
        <v>3</v>
      </c>
      <c r="H34" s="112" t="str">
        <f>IF(COUNTIF(H32:H33,"")&gt;0,"",SUM(H32:H33)+H29)</f>
        <v/>
      </c>
      <c r="I34" s="104" t="s">
        <v>4</v>
      </c>
      <c r="K34" s="110" t="str">
        <f>IF(H34="","Angaben offen!","")</f>
        <v>Angaben offen!</v>
      </c>
    </row>
    <row r="35" spans="1:11" x14ac:dyDescent="0.2">
      <c r="A35" s="103"/>
      <c r="B35" s="103"/>
      <c r="C35" s="103"/>
      <c r="D35" s="103"/>
      <c r="E35" s="103"/>
      <c r="F35" s="106"/>
      <c r="G35" s="103"/>
      <c r="H35" s="106"/>
      <c r="I35" s="103"/>
    </row>
    <row r="36" spans="1:11" x14ac:dyDescent="0.2">
      <c r="A36" s="104" t="s">
        <v>41</v>
      </c>
      <c r="B36" s="104" t="s">
        <v>42</v>
      </c>
      <c r="C36" s="104"/>
      <c r="D36" s="104"/>
      <c r="E36" s="104"/>
      <c r="F36" s="107"/>
      <c r="G36" s="104"/>
      <c r="H36" s="107"/>
      <c r="I36" s="104"/>
    </row>
    <row r="37" spans="1:11" x14ac:dyDescent="0.2">
      <c r="A37" s="103" t="s">
        <v>43</v>
      </c>
      <c r="B37" s="103" t="s">
        <v>44</v>
      </c>
      <c r="C37" s="103"/>
      <c r="D37" s="103"/>
      <c r="E37" s="103"/>
      <c r="F37" s="106"/>
      <c r="G37" s="103"/>
      <c r="H37" s="106"/>
      <c r="I37" s="103"/>
    </row>
    <row r="38" spans="1:11" x14ac:dyDescent="0.2">
      <c r="A38" s="103"/>
      <c r="B38" s="103" t="s">
        <v>45</v>
      </c>
      <c r="C38" s="103"/>
      <c r="D38" s="103"/>
      <c r="E38" s="103"/>
      <c r="F38" s="19"/>
      <c r="G38" s="103" t="s">
        <v>3</v>
      </c>
      <c r="H38" s="109" t="str">
        <f>IF(F38="","",ROUND(F38/100*$H$5,2))</f>
        <v/>
      </c>
      <c r="I38" s="103" t="s">
        <v>4</v>
      </c>
      <c r="K38" s="110" t="str">
        <f>IF(F38="","Bitte ausfüllen!","")</f>
        <v>Bitte ausfüllen!</v>
      </c>
    </row>
    <row r="39" spans="1:11" x14ac:dyDescent="0.2">
      <c r="A39" s="103" t="s">
        <v>46</v>
      </c>
      <c r="B39" s="103" t="s">
        <v>47</v>
      </c>
      <c r="C39" s="103"/>
      <c r="D39" s="103"/>
      <c r="E39" s="103"/>
      <c r="F39" s="19"/>
      <c r="G39" s="103" t="s">
        <v>3</v>
      </c>
      <c r="H39" s="109" t="str">
        <f>IF(F39="","",ROUND(F39/100*$H$5,2))</f>
        <v/>
      </c>
      <c r="I39" s="103" t="s">
        <v>4</v>
      </c>
      <c r="K39" s="110" t="str">
        <f>IF(F39="","Bitte ausfüllen!","")</f>
        <v>Bitte ausfüllen!</v>
      </c>
    </row>
    <row r="40" spans="1:11" x14ac:dyDescent="0.2">
      <c r="A40" s="103" t="s">
        <v>48</v>
      </c>
      <c r="B40" s="103" t="s">
        <v>49</v>
      </c>
      <c r="C40" s="103"/>
      <c r="D40" s="103"/>
      <c r="E40" s="103"/>
      <c r="F40" s="19"/>
      <c r="G40" s="103" t="s">
        <v>3</v>
      </c>
      <c r="H40" s="109" t="str">
        <f>IF(F40="","",ROUND(F40/100*$H$5,2))</f>
        <v/>
      </c>
      <c r="I40" s="103" t="s">
        <v>4</v>
      </c>
      <c r="K40" s="110" t="str">
        <f>IF(F40="","Bitte ausfüllen!","")</f>
        <v>Bitte ausfüllen!</v>
      </c>
    </row>
    <row r="41" spans="1:11" x14ac:dyDescent="0.2">
      <c r="A41" s="103" t="s">
        <v>50</v>
      </c>
      <c r="B41" s="103" t="s">
        <v>51</v>
      </c>
      <c r="C41" s="103"/>
      <c r="D41" s="103"/>
      <c r="E41" s="103"/>
      <c r="F41" s="19"/>
      <c r="G41" s="103" t="s">
        <v>3</v>
      </c>
      <c r="H41" s="109" t="str">
        <f>IF(F41="","",ROUND(F41/100*$H$5,2))</f>
        <v/>
      </c>
      <c r="I41" s="103" t="s">
        <v>4</v>
      </c>
      <c r="K41" s="110" t="str">
        <f>IF(F41="","Bitte ausfüllen!","")</f>
        <v>Bitte ausfüllen!</v>
      </c>
    </row>
    <row r="42" spans="1:11" ht="25.5" customHeight="1" x14ac:dyDescent="0.2">
      <c r="A42" s="104"/>
      <c r="B42" s="177" t="s">
        <v>52</v>
      </c>
      <c r="C42" s="177"/>
      <c r="D42" s="104"/>
      <c r="E42" s="104"/>
      <c r="F42" s="111">
        <f>IF(SUM(F38:F41)=0,0,SUM(F38:F41))</f>
        <v>0</v>
      </c>
      <c r="G42" s="104" t="s">
        <v>3</v>
      </c>
      <c r="H42" s="112" t="str">
        <f>IF(COUNTIF(H38:H41,"")&gt;0,"",SUM(H38:H41))</f>
        <v/>
      </c>
      <c r="I42" s="104" t="s">
        <v>4</v>
      </c>
      <c r="K42" s="110" t="str">
        <f>IF(H42="","Angaben offen!","")</f>
        <v>Angaben offen!</v>
      </c>
    </row>
    <row r="43" spans="1:11" x14ac:dyDescent="0.2">
      <c r="A43" s="103"/>
      <c r="B43" s="103"/>
      <c r="C43" s="103"/>
      <c r="D43" s="103"/>
      <c r="E43" s="103"/>
      <c r="F43" s="106"/>
      <c r="G43" s="103"/>
      <c r="H43" s="106"/>
      <c r="I43" s="103"/>
    </row>
    <row r="44" spans="1:11" x14ac:dyDescent="0.2">
      <c r="A44" s="104" t="s">
        <v>53</v>
      </c>
      <c r="B44" s="104" t="s">
        <v>54</v>
      </c>
      <c r="C44" s="104"/>
      <c r="D44" s="104"/>
      <c r="E44" s="104"/>
      <c r="F44" s="104"/>
      <c r="G44" s="104"/>
      <c r="H44" s="104"/>
      <c r="I44" s="104"/>
    </row>
    <row r="45" spans="1:11" x14ac:dyDescent="0.2">
      <c r="A45" s="103" t="s">
        <v>55</v>
      </c>
      <c r="B45" s="103" t="s">
        <v>56</v>
      </c>
      <c r="C45" s="103"/>
      <c r="D45" s="103"/>
      <c r="E45" s="103"/>
      <c r="F45" s="103"/>
      <c r="G45" s="103"/>
      <c r="H45" s="103"/>
      <c r="I45" s="103"/>
    </row>
    <row r="46" spans="1:11" x14ac:dyDescent="0.2">
      <c r="A46" s="103" t="s">
        <v>57</v>
      </c>
      <c r="B46" s="103"/>
      <c r="C46" s="103" t="s">
        <v>58</v>
      </c>
      <c r="D46" s="103"/>
      <c r="E46" s="103"/>
      <c r="F46" s="19"/>
      <c r="G46" s="103" t="s">
        <v>3</v>
      </c>
      <c r="H46" s="109" t="str">
        <f>IF(F46="","",ROUND(F46/100*$H$5,2))</f>
        <v/>
      </c>
      <c r="I46" s="103" t="s">
        <v>4</v>
      </c>
      <c r="K46" s="110" t="str">
        <f>IF(F46="","Bitte ausfüllen!","")</f>
        <v>Bitte ausfüllen!</v>
      </c>
    </row>
    <row r="47" spans="1:11" x14ac:dyDescent="0.2">
      <c r="A47" s="103" t="s">
        <v>59</v>
      </c>
      <c r="B47" s="103"/>
      <c r="C47" s="103" t="s">
        <v>125</v>
      </c>
      <c r="D47" s="103"/>
      <c r="E47" s="103"/>
      <c r="F47" s="19"/>
      <c r="G47" s="103" t="s">
        <v>3</v>
      </c>
      <c r="H47" s="109" t="str">
        <f>IF(F47="","",ROUND(F47/100*$H$5,2))</f>
        <v/>
      </c>
      <c r="I47" s="103" t="s">
        <v>4</v>
      </c>
      <c r="K47" s="110" t="str">
        <f>IF(F47="","Bitte ausfüllen!","")</f>
        <v>Bitte ausfüllen!</v>
      </c>
    </row>
    <row r="48" spans="1:11" x14ac:dyDescent="0.2">
      <c r="A48" s="103" t="s">
        <v>60</v>
      </c>
      <c r="B48" s="103" t="s">
        <v>61</v>
      </c>
      <c r="C48" s="103"/>
      <c r="D48" s="103"/>
      <c r="E48" s="103"/>
      <c r="F48" s="19"/>
      <c r="G48" s="103" t="s">
        <v>3</v>
      </c>
      <c r="H48" s="109" t="str">
        <f>IF(F48="","",ROUND(F48/100*$H$5,2))</f>
        <v/>
      </c>
      <c r="I48" s="103" t="s">
        <v>4</v>
      </c>
      <c r="K48" s="110" t="str">
        <f>IF(F48="","Bitte ausfüllen!","")</f>
        <v>Bitte ausfüllen!</v>
      </c>
    </row>
    <row r="49" spans="1:11" x14ac:dyDescent="0.2">
      <c r="A49" s="103" t="s">
        <v>62</v>
      </c>
      <c r="B49" s="103" t="s">
        <v>63</v>
      </c>
      <c r="C49" s="103"/>
      <c r="D49" s="103"/>
      <c r="E49" s="103"/>
      <c r="F49" s="103"/>
      <c r="G49" s="103"/>
      <c r="H49" s="103"/>
      <c r="I49" s="103"/>
    </row>
    <row r="50" spans="1:11" x14ac:dyDescent="0.2">
      <c r="A50" s="103" t="s">
        <v>64</v>
      </c>
      <c r="B50" s="103"/>
      <c r="C50" s="103" t="s">
        <v>65</v>
      </c>
      <c r="D50" s="103"/>
      <c r="E50" s="103"/>
      <c r="F50" s="19"/>
      <c r="G50" s="103" t="s">
        <v>3</v>
      </c>
      <c r="H50" s="109" t="str">
        <f t="shared" ref="H50:H56" si="0">IF(F50="","",ROUND(F50/100*$H$5,2))</f>
        <v/>
      </c>
      <c r="I50" s="103" t="s">
        <v>4</v>
      </c>
      <c r="K50" s="110" t="str">
        <f t="shared" ref="K50:K56" si="1">IF(F50="","Bitte ausfüllen!","")</f>
        <v>Bitte ausfüllen!</v>
      </c>
    </row>
    <row r="51" spans="1:11" x14ac:dyDescent="0.2">
      <c r="A51" s="103" t="s">
        <v>66</v>
      </c>
      <c r="B51" s="103"/>
      <c r="C51" s="103" t="s">
        <v>67</v>
      </c>
      <c r="D51" s="103"/>
      <c r="E51" s="103"/>
      <c r="F51" s="19"/>
      <c r="G51" s="103" t="s">
        <v>3</v>
      </c>
      <c r="H51" s="109" t="str">
        <f t="shared" si="0"/>
        <v/>
      </c>
      <c r="I51" s="103" t="s">
        <v>4</v>
      </c>
      <c r="K51" s="110" t="str">
        <f t="shared" si="1"/>
        <v>Bitte ausfüllen!</v>
      </c>
    </row>
    <row r="52" spans="1:11" x14ac:dyDescent="0.2">
      <c r="A52" s="103" t="s">
        <v>68</v>
      </c>
      <c r="B52" s="103" t="s">
        <v>69</v>
      </c>
      <c r="C52" s="103"/>
      <c r="D52" s="103"/>
      <c r="E52" s="103"/>
      <c r="F52" s="19"/>
      <c r="G52" s="103" t="s">
        <v>3</v>
      </c>
      <c r="H52" s="109" t="str">
        <f t="shared" si="0"/>
        <v/>
      </c>
      <c r="I52" s="103" t="s">
        <v>4</v>
      </c>
      <c r="K52" s="110" t="str">
        <f t="shared" si="1"/>
        <v>Bitte ausfüllen!</v>
      </c>
    </row>
    <row r="53" spans="1:11" x14ac:dyDescent="0.2">
      <c r="A53" s="103" t="s">
        <v>70</v>
      </c>
      <c r="B53" s="103" t="s">
        <v>71</v>
      </c>
      <c r="C53" s="103"/>
      <c r="D53" s="103"/>
      <c r="E53" s="103"/>
      <c r="F53" s="19"/>
      <c r="G53" s="103" t="s">
        <v>3</v>
      </c>
      <c r="H53" s="109" t="str">
        <f t="shared" si="0"/>
        <v/>
      </c>
      <c r="I53" s="103" t="s">
        <v>4</v>
      </c>
      <c r="K53" s="110" t="str">
        <f t="shared" si="1"/>
        <v>Bitte ausfüllen!</v>
      </c>
    </row>
    <row r="54" spans="1:11" x14ac:dyDescent="0.2">
      <c r="A54" s="103" t="s">
        <v>72</v>
      </c>
      <c r="B54" s="103" t="s">
        <v>73</v>
      </c>
      <c r="C54" s="103"/>
      <c r="D54" s="103"/>
      <c r="E54" s="103"/>
      <c r="F54" s="19"/>
      <c r="G54" s="103" t="s">
        <v>3</v>
      </c>
      <c r="H54" s="109" t="str">
        <f t="shared" si="0"/>
        <v/>
      </c>
      <c r="I54" s="103" t="s">
        <v>4</v>
      </c>
      <c r="K54" s="110" t="str">
        <f t="shared" si="1"/>
        <v>Bitte ausfüllen!</v>
      </c>
    </row>
    <row r="55" spans="1:11" x14ac:dyDescent="0.2">
      <c r="A55" s="103" t="s">
        <v>74</v>
      </c>
      <c r="B55" s="103" t="s">
        <v>75</v>
      </c>
      <c r="C55" s="103"/>
      <c r="D55" s="103"/>
      <c r="E55" s="103"/>
      <c r="F55" s="19"/>
      <c r="G55" s="103" t="s">
        <v>3</v>
      </c>
      <c r="H55" s="109" t="str">
        <f t="shared" si="0"/>
        <v/>
      </c>
      <c r="I55" s="103" t="s">
        <v>4</v>
      </c>
      <c r="K55" s="110" t="str">
        <f t="shared" si="1"/>
        <v>Bitte ausfüllen!</v>
      </c>
    </row>
    <row r="56" spans="1:11" x14ac:dyDescent="0.2">
      <c r="A56" s="103" t="s">
        <v>76</v>
      </c>
      <c r="B56" s="103" t="s">
        <v>77</v>
      </c>
      <c r="C56" s="103"/>
      <c r="D56" s="103"/>
      <c r="E56" s="103"/>
      <c r="F56" s="19"/>
      <c r="G56" s="103" t="s">
        <v>3</v>
      </c>
      <c r="H56" s="109" t="str">
        <f t="shared" si="0"/>
        <v/>
      </c>
      <c r="I56" s="103" t="s">
        <v>4</v>
      </c>
      <c r="K56" s="110" t="str">
        <f t="shared" si="1"/>
        <v>Bitte ausfüllen!</v>
      </c>
    </row>
    <row r="57" spans="1:11" ht="25.5" customHeight="1" x14ac:dyDescent="0.2">
      <c r="A57" s="104"/>
      <c r="B57" s="177" t="s">
        <v>78</v>
      </c>
      <c r="C57" s="177"/>
      <c r="D57" s="104"/>
      <c r="E57" s="104"/>
      <c r="F57" s="111">
        <f>IF(SUM(F45:F56)=0,0,SUM(F45:F56))</f>
        <v>0</v>
      </c>
      <c r="G57" s="104" t="s">
        <v>3</v>
      </c>
      <c r="H57" s="112" t="str">
        <f>IF(COUNTIF(H46:H56,"")&gt;1,"",SUM(H46:H56))</f>
        <v/>
      </c>
      <c r="I57" s="104" t="s">
        <v>4</v>
      </c>
      <c r="K57" s="110" t="str">
        <f>IF(H57="","Angaben offen!","")</f>
        <v>Angaben offen!</v>
      </c>
    </row>
    <row r="58" spans="1:11" x14ac:dyDescent="0.2">
      <c r="A58" s="103"/>
      <c r="B58" s="103"/>
      <c r="C58" s="103"/>
      <c r="D58" s="103"/>
      <c r="E58" s="103"/>
      <c r="F58" s="106"/>
      <c r="G58" s="103"/>
      <c r="H58" s="106"/>
      <c r="I58" s="103"/>
    </row>
    <row r="59" spans="1:11" x14ac:dyDescent="0.2">
      <c r="A59" s="104" t="s">
        <v>79</v>
      </c>
      <c r="B59" s="175" t="s">
        <v>80</v>
      </c>
      <c r="C59" s="175"/>
      <c r="D59" s="104"/>
      <c r="E59" s="104"/>
      <c r="F59" s="116">
        <f>IF(AND(F34=""),0,F34+F42+F57+F5)</f>
        <v>100</v>
      </c>
      <c r="G59" s="104" t="s">
        <v>3</v>
      </c>
      <c r="H59" s="107" t="str">
        <f>IF(H57="","",H34+H42+H57+H5)</f>
        <v/>
      </c>
      <c r="I59" s="104" t="s">
        <v>4</v>
      </c>
    </row>
    <row r="60" spans="1:11" x14ac:dyDescent="0.2">
      <c r="A60" s="104" t="s">
        <v>81</v>
      </c>
      <c r="B60" s="104" t="s">
        <v>82</v>
      </c>
      <c r="C60" s="104"/>
      <c r="D60" s="104"/>
      <c r="E60" s="104"/>
      <c r="F60" s="19"/>
      <c r="G60" s="104" t="s">
        <v>3</v>
      </c>
      <c r="H60" s="112" t="str">
        <f>IF(F60="","",ROUND(F60/100*H59,2))</f>
        <v/>
      </c>
      <c r="I60" s="104" t="s">
        <v>4</v>
      </c>
      <c r="K60" s="110" t="str">
        <f>IF(F60="","Bitte ausfüllen!","")</f>
        <v>Bitte ausfüllen!</v>
      </c>
    </row>
    <row r="61" spans="1:11" x14ac:dyDescent="0.2">
      <c r="A61" s="104"/>
      <c r="B61" s="104" t="s">
        <v>83</v>
      </c>
      <c r="C61" s="104"/>
      <c r="D61" s="104"/>
      <c r="E61" s="104"/>
      <c r="F61" s="111">
        <f ca="1">IF(H61="",0,H61/H5*100)</f>
        <v>0</v>
      </c>
      <c r="G61" s="104" t="s">
        <v>3</v>
      </c>
      <c r="H61" s="112" t="str">
        <f ca="1">IF(SUM(COUNTIF(INDIRECT({"H5","F9:F13","D17:D26","F27:F28","F32:F33","F38:F41","F46:F48","F50:F56","F60","H65:H68"}),""))&gt;0,"",H59+H60)</f>
        <v/>
      </c>
      <c r="I61" s="104" t="s">
        <v>4</v>
      </c>
      <c r="K61" s="110" t="str">
        <f ca="1">IF(SUM(COUNTIF(INDIRECT({"H5","F9:F13","D17:D26","F27:F28","F32:F33","F38:F41","F46:F48","F50:F56","F60","H65:H68"}),""))&gt;0,SUM(COUNTIF(INDIRECT({"H5","F9:F13","D17:D26","F27:F28","F32:F33","F38:F41","F46:F48","F50:F56","F60","H65:H68"}),"")) &amp;" Zelle(n) ohne Wert!","")</f>
        <v>28 Zelle(n) ohne Wert!</v>
      </c>
    </row>
    <row r="62" spans="1:11" x14ac:dyDescent="0.2">
      <c r="A62" s="103"/>
      <c r="B62" s="103" t="s">
        <v>84</v>
      </c>
      <c r="C62" s="103"/>
      <c r="D62" s="103"/>
      <c r="E62" s="103"/>
      <c r="F62" s="111">
        <f ca="1">IF(F61=0,0,F61-F5)</f>
        <v>0</v>
      </c>
      <c r="G62" s="103" t="s">
        <v>3</v>
      </c>
      <c r="H62" s="103"/>
      <c r="I62" s="103"/>
      <c r="K62" s="89" t="str">
        <f ca="1">IF(F62&lt;70,"Bitte prüfen gemäß Aufforderung!","")</f>
        <v>Bitte prüfen gemäß Aufforderung!</v>
      </c>
    </row>
    <row r="63" spans="1:11" x14ac:dyDescent="0.2">
      <c r="A63" s="103"/>
      <c r="B63" s="104"/>
      <c r="C63" s="103"/>
      <c r="D63" s="103"/>
      <c r="E63" s="103"/>
      <c r="F63" s="116"/>
      <c r="G63" s="103"/>
      <c r="H63" s="107"/>
    </row>
    <row r="64" spans="1:11" x14ac:dyDescent="0.2">
      <c r="B64" s="104" t="s">
        <v>85</v>
      </c>
      <c r="D64" s="104"/>
      <c r="E64" s="104"/>
      <c r="G64" s="104"/>
      <c r="H64" s="107" t="s">
        <v>86</v>
      </c>
      <c r="I64" s="104"/>
    </row>
    <row r="65" spans="1:11" x14ac:dyDescent="0.2">
      <c r="B65" s="103" t="s">
        <v>87</v>
      </c>
      <c r="D65" s="103"/>
      <c r="E65" s="103"/>
      <c r="G65" s="117"/>
      <c r="H65" s="20"/>
      <c r="I65" s="117"/>
      <c r="K65" s="110" t="str">
        <f>IF(H65="","Bitte ausfüllen!","")</f>
        <v>Bitte ausfüllen!</v>
      </c>
    </row>
    <row r="66" spans="1:11" x14ac:dyDescent="0.2">
      <c r="B66" s="103" t="s">
        <v>88</v>
      </c>
      <c r="D66" s="103"/>
      <c r="E66" s="103"/>
      <c r="G66" s="117"/>
      <c r="H66" s="21"/>
      <c r="I66" s="117"/>
      <c r="K66" s="110" t="str">
        <f>IF(H66="","Bitte ausfüllen!","")</f>
        <v>Bitte ausfüllen!</v>
      </c>
    </row>
    <row r="67" spans="1:11" x14ac:dyDescent="0.2">
      <c r="B67" s="103" t="s">
        <v>89</v>
      </c>
      <c r="D67" s="103"/>
      <c r="E67" s="103"/>
      <c r="G67" s="117"/>
      <c r="H67" s="22"/>
      <c r="I67" s="117"/>
      <c r="K67" s="110" t="str">
        <f>IF(H67="","Bitte ausfüllen!","")</f>
        <v>Bitte ausfüllen!</v>
      </c>
    </row>
    <row r="68" spans="1:11" x14ac:dyDescent="0.2">
      <c r="B68" s="103" t="s">
        <v>90</v>
      </c>
      <c r="D68" s="103"/>
      <c r="E68" s="103"/>
      <c r="G68" s="117"/>
      <c r="H68" s="21"/>
      <c r="I68" s="117"/>
      <c r="K68" s="110" t="str">
        <f>IF(H68="","Bitte ausfüllen!","")</f>
        <v>Bitte ausfüllen!</v>
      </c>
    </row>
    <row r="70" spans="1:11" x14ac:dyDescent="0.2">
      <c r="C70" s="118"/>
      <c r="D70" s="102"/>
    </row>
    <row r="71" spans="1:11" ht="15.95" customHeight="1" x14ac:dyDescent="0.2">
      <c r="A71" s="161" t="s">
        <v>196</v>
      </c>
      <c r="B71" s="161"/>
      <c r="C71" s="161"/>
      <c r="D71" s="161" t="s">
        <v>197</v>
      </c>
      <c r="E71" s="3"/>
      <c r="F71" s="163" t="s">
        <v>138</v>
      </c>
      <c r="G71" s="164"/>
      <c r="H71" s="165"/>
    </row>
    <row r="72" spans="1:11" ht="15.95" customHeight="1" x14ac:dyDescent="0.2">
      <c r="A72" s="162"/>
      <c r="B72" s="162"/>
      <c r="C72" s="162"/>
      <c r="D72" s="162"/>
      <c r="E72" s="3"/>
      <c r="F72" s="166"/>
      <c r="G72" s="167"/>
      <c r="H72" s="168"/>
      <c r="I72" s="104"/>
      <c r="J72" s="104"/>
      <c r="K72" s="104"/>
    </row>
    <row r="73" spans="1:11" ht="19.899999999999999" customHeight="1" x14ac:dyDescent="0.2">
      <c r="A73" s="172">
        <v>1</v>
      </c>
      <c r="B73" s="172"/>
      <c r="C73" s="12" t="s">
        <v>133</v>
      </c>
      <c r="D73" s="73">
        <v>7.3</v>
      </c>
      <c r="F73" s="173" t="s">
        <v>315</v>
      </c>
      <c r="G73" s="173"/>
      <c r="H73" s="173"/>
    </row>
    <row r="74" spans="1:11" ht="19.899999999999999" customHeight="1" x14ac:dyDescent="0.2">
      <c r="A74" s="172">
        <v>2</v>
      </c>
      <c r="B74" s="172"/>
      <c r="C74" s="12" t="s">
        <v>134</v>
      </c>
      <c r="D74" s="73">
        <v>9.3000000000000007</v>
      </c>
    </row>
    <row r="75" spans="1:11" ht="23.25" customHeight="1" x14ac:dyDescent="0.2">
      <c r="A75" s="172">
        <v>3</v>
      </c>
      <c r="B75" s="172"/>
      <c r="C75" s="12" t="s">
        <v>135</v>
      </c>
      <c r="D75" s="73">
        <v>1.3</v>
      </c>
    </row>
    <row r="76" spans="1:11" ht="23.25" customHeight="1" x14ac:dyDescent="0.2">
      <c r="A76" s="172">
        <v>4</v>
      </c>
      <c r="B76" s="172"/>
      <c r="C76" s="12" t="s">
        <v>136</v>
      </c>
      <c r="D76" s="73">
        <f>IF( F73="Sachsen",1.3,1.8)</f>
        <v>1.8</v>
      </c>
    </row>
    <row r="77" spans="1:11" ht="31.5" x14ac:dyDescent="0.2">
      <c r="A77" s="172">
        <v>5</v>
      </c>
      <c r="B77" s="172"/>
      <c r="C77" s="12" t="s">
        <v>198</v>
      </c>
      <c r="D77" s="73">
        <v>1.45</v>
      </c>
    </row>
    <row r="78" spans="1:11" ht="23.25" customHeight="1" x14ac:dyDescent="0.2">
      <c r="A78" s="172">
        <v>6</v>
      </c>
      <c r="B78" s="172"/>
      <c r="C78" s="12" t="s">
        <v>123</v>
      </c>
      <c r="D78" s="73"/>
    </row>
    <row r="79" spans="1:11" ht="23.25" customHeight="1" x14ac:dyDescent="0.2">
      <c r="A79" s="172">
        <v>7</v>
      </c>
      <c r="B79" s="172"/>
      <c r="C79" s="12" t="s">
        <v>137</v>
      </c>
      <c r="D79" s="73">
        <v>0.15</v>
      </c>
    </row>
  </sheetData>
  <sheetProtection algorithmName="SHA-512" hashValue="Tf5YZ9RQBE6LsZSqMXnY/CXXEdFVcvAMt5hIysU6EZDS5Ohm9v46jYLVw5pERZPknZZeIsMCikr2gprgumX7Sg==" saltValue="Pr7OTcnMUnOsEdO8Q+YF5Q==" spinCount="100000" sheet="1" objects="1" scenarios="1"/>
  <mergeCells count="18">
    <mergeCell ref="A76:B76"/>
    <mergeCell ref="A77:B77"/>
    <mergeCell ref="A78:B78"/>
    <mergeCell ref="A79:B79"/>
    <mergeCell ref="A71:C72"/>
    <mergeCell ref="A73:B73"/>
    <mergeCell ref="F73:H73"/>
    <mergeCell ref="A74:B74"/>
    <mergeCell ref="A75:B75"/>
    <mergeCell ref="D71:D72"/>
    <mergeCell ref="F71:H72"/>
    <mergeCell ref="E1:I2"/>
    <mergeCell ref="B59:C59"/>
    <mergeCell ref="A3:I3"/>
    <mergeCell ref="B29:C29"/>
    <mergeCell ref="B34:C34"/>
    <mergeCell ref="B42:C42"/>
    <mergeCell ref="B57:C57"/>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CD2D-1855-4EC0-A116-2475B3F994ED}">
  <sheetPr codeName="Tabelle20">
    <tabColor indexed="40"/>
  </sheetPr>
  <dimension ref="A1:V43"/>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2.5703125" style="3" customWidth="1"/>
    <col min="6" max="6" width="13.5703125" style="3" bestFit="1" customWidth="1"/>
    <col min="7" max="7" width="10.7109375" style="3" customWidth="1"/>
    <col min="8" max="8" width="9.7109375" style="3" customWidth="1"/>
    <col min="9" max="9" width="11.7109375" style="3" customWidth="1"/>
    <col min="10" max="10" width="11"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95" t="s">
        <v>158</v>
      </c>
      <c r="B2" s="196"/>
      <c r="C2" s="196"/>
      <c r="D2" s="196" t="b">
        <v>0</v>
      </c>
      <c r="E2" s="197"/>
      <c r="G2" s="198" t="s">
        <v>171</v>
      </c>
      <c r="H2" s="198" t="s">
        <v>163</v>
      </c>
      <c r="I2" s="198" t="s">
        <v>164</v>
      </c>
      <c r="J2" s="198" t="s">
        <v>183</v>
      </c>
      <c r="M2" s="28" t="b">
        <v>0</v>
      </c>
      <c r="N2" s="15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51"/>
      <c r="P2" s="151"/>
      <c r="Q2" s="151"/>
    </row>
    <row r="3" spans="1:22" ht="21" customHeight="1" x14ac:dyDescent="0.2">
      <c r="A3" s="121" t="s">
        <v>159</v>
      </c>
      <c r="B3" s="122"/>
      <c r="C3" s="122"/>
      <c r="D3" s="122"/>
      <c r="E3" s="123"/>
      <c r="G3" s="199"/>
      <c r="H3" s="199" t="b">
        <v>0</v>
      </c>
      <c r="I3" s="199"/>
      <c r="J3" s="199"/>
      <c r="M3" s="28" t="b">
        <v>0</v>
      </c>
      <c r="N3" s="151"/>
      <c r="O3" s="151"/>
      <c r="P3" s="151"/>
      <c r="Q3" s="151"/>
    </row>
    <row r="4" spans="1:22" ht="15" customHeight="1" x14ac:dyDescent="0.2">
      <c r="A4" s="193" t="s">
        <v>91</v>
      </c>
      <c r="B4" s="181" t="str">
        <f>IF(Inhaltsverzeichnis!C3="","",Inhaltsverzeichnis!C3)</f>
        <v/>
      </c>
      <c r="C4" s="182"/>
      <c r="D4" s="182"/>
      <c r="E4" s="183"/>
      <c r="G4" s="120" t="s">
        <v>252</v>
      </c>
      <c r="H4" s="124"/>
      <c r="I4" s="125">
        <f ca="1">SUMIF('Kal Unter Kita Spatzen'!J22:M43,$G$4,'Kal Unter Kita Spatzen'!M22:M43)</f>
        <v>0</v>
      </c>
      <c r="J4" s="79">
        <f>COUNTIFS('Kal Unter Kita Spatzen'!J22:M43,$G$4)</f>
        <v>1</v>
      </c>
      <c r="M4" s="28" t="b">
        <v>0</v>
      </c>
      <c r="N4" s="151"/>
      <c r="O4" s="151"/>
      <c r="P4" s="151"/>
      <c r="Q4" s="151"/>
      <c r="U4" s="120" t="s">
        <v>252</v>
      </c>
      <c r="V4" s="3">
        <v>168.75</v>
      </c>
    </row>
    <row r="5" spans="1:22" ht="15" customHeight="1" x14ac:dyDescent="0.2">
      <c r="A5" s="194"/>
      <c r="B5" s="184"/>
      <c r="C5" s="185"/>
      <c r="D5" s="185"/>
      <c r="E5" s="186"/>
      <c r="G5" s="120" t="s">
        <v>258</v>
      </c>
      <c r="H5" s="124"/>
      <c r="I5" s="125">
        <f ca="1">SUMIF('Kal Unter Kita Spatzen'!J22:M43,$G$5,'Kal Unter Kita Spatzen'!M22:M43)</f>
        <v>63261.54</v>
      </c>
      <c r="J5" s="79">
        <f>COUNTIFS('Kal Unter Kita Spatzen'!J22:M43,$G$5)</f>
        <v>6</v>
      </c>
      <c r="M5" s="28" t="b">
        <v>0</v>
      </c>
      <c r="N5" s="151"/>
      <c r="O5" s="151"/>
      <c r="P5" s="151"/>
      <c r="Q5" s="151"/>
      <c r="U5" s="120" t="s">
        <v>258</v>
      </c>
      <c r="V5" s="3">
        <v>132.5</v>
      </c>
    </row>
    <row r="6" spans="1:22" ht="15" customHeight="1" x14ac:dyDescent="0.2">
      <c r="A6" s="126" t="s">
        <v>181</v>
      </c>
      <c r="B6" s="187" t="s">
        <v>200</v>
      </c>
      <c r="C6" s="188"/>
      <c r="D6" s="188"/>
      <c r="E6" s="189"/>
      <c r="G6" s="120" t="s">
        <v>259</v>
      </c>
      <c r="H6" s="124"/>
      <c r="I6" s="125">
        <f ca="1">SUMIF('Kal Unter Kita Spatzen'!J22:M43,$G$6,'Kal Unter Kita Spatzen'!M22:M43)</f>
        <v>19516.86</v>
      </c>
      <c r="J6" s="79">
        <f>COUNTIFS('Kal Unter Kita Spatzen'!J22:M43,$G$6)</f>
        <v>6</v>
      </c>
      <c r="U6" s="120" t="s">
        <v>259</v>
      </c>
      <c r="V6" s="3">
        <v>53.75</v>
      </c>
    </row>
    <row r="7" spans="1:22" ht="15" customHeight="1" x14ac:dyDescent="0.2">
      <c r="A7" s="127" t="s">
        <v>179</v>
      </c>
      <c r="B7" s="190" t="s">
        <v>201</v>
      </c>
      <c r="C7" s="188"/>
      <c r="D7" s="188"/>
      <c r="E7" s="189"/>
      <c r="G7" s="120" t="s">
        <v>262</v>
      </c>
      <c r="H7" s="124"/>
      <c r="I7" s="125">
        <f ca="1">SUMIF('Kal Unter Kita Spatzen'!J22:M43,$G$7,'Kal Unter Kita Spatzen'!M22:M43)</f>
        <v>12681.53</v>
      </c>
      <c r="J7" s="79">
        <f>COUNTIFS('Kal Unter Kita Spatzen'!J22:M43,$G$7)</f>
        <v>1</v>
      </c>
      <c r="U7" s="120" t="s">
        <v>262</v>
      </c>
      <c r="V7" s="3">
        <v>168.75</v>
      </c>
    </row>
    <row r="8" spans="1:22" ht="15" customHeight="1" x14ac:dyDescent="0.2">
      <c r="A8" s="127" t="s">
        <v>180</v>
      </c>
      <c r="B8" s="187" t="s">
        <v>202</v>
      </c>
      <c r="C8" s="188"/>
      <c r="D8" s="188"/>
      <c r="E8" s="189"/>
      <c r="G8" s="120" t="s">
        <v>260</v>
      </c>
      <c r="H8" s="124"/>
      <c r="I8" s="125">
        <f ca="1">SUMIF('Kal Unter Kita Spatzen'!J22:M43,$G$8,'Kal Unter Kita Spatzen'!M22:M43)</f>
        <v>1139.28</v>
      </c>
      <c r="J8" s="79">
        <f>COUNTIFS('Kal Unter Kita Spatzen'!J22:M43,$G$8)</f>
        <v>3</v>
      </c>
      <c r="U8" s="120" t="s">
        <v>260</v>
      </c>
      <c r="V8" s="3">
        <v>262.5</v>
      </c>
    </row>
    <row r="9" spans="1:22" ht="15" customHeight="1" x14ac:dyDescent="0.2">
      <c r="A9" s="126" t="s">
        <v>178</v>
      </c>
      <c r="B9" s="191" t="s">
        <v>199</v>
      </c>
      <c r="C9" s="188"/>
      <c r="D9" s="188"/>
      <c r="E9" s="189"/>
      <c r="G9" s="120" t="s">
        <v>263</v>
      </c>
      <c r="H9" s="124"/>
      <c r="I9" s="125">
        <f ca="1">SUMIF('Kal Unter Kita Spatzen'!J22:M43,$G$9,'Kal Unter Kita Spatzen'!M22:M43)</f>
        <v>12801.28</v>
      </c>
      <c r="J9" s="79">
        <f>COUNTIFS('Kal Unter Kita Spatzen'!J22:M43,$G$9)</f>
        <v>1</v>
      </c>
      <c r="U9" s="120" t="s">
        <v>263</v>
      </c>
      <c r="V9" s="3">
        <v>136.25</v>
      </c>
    </row>
    <row r="10" spans="1:22" ht="15" customHeight="1" x14ac:dyDescent="0.2">
      <c r="A10" s="127" t="s">
        <v>160</v>
      </c>
      <c r="B10" s="187" t="s">
        <v>203</v>
      </c>
      <c r="C10" s="188"/>
      <c r="D10" s="188"/>
      <c r="E10" s="189"/>
      <c r="G10" s="120" t="s">
        <v>261</v>
      </c>
      <c r="H10" s="124"/>
      <c r="I10" s="125">
        <f ca="1">SUMIF('Kal Unter Kita Spatzen'!J22:M43,$G$10,'Kal Unter Kita Spatzen'!M22:M43)</f>
        <v>22707</v>
      </c>
      <c r="J10" s="79">
        <f>COUNTIFS('Kal Unter Kita Spatzen'!J22:M43,$G$10)</f>
        <v>3</v>
      </c>
      <c r="U10" s="120" t="s">
        <v>261</v>
      </c>
      <c r="V10" s="3">
        <v>166.25</v>
      </c>
    </row>
    <row r="11" spans="1:22" ht="15" customHeight="1" x14ac:dyDescent="0.2">
      <c r="A11" s="127" t="s">
        <v>161</v>
      </c>
      <c r="B11" s="192" t="s">
        <v>204</v>
      </c>
      <c r="C11" s="188"/>
      <c r="D11" s="188"/>
      <c r="E11" s="189"/>
      <c r="G11" s="120" t="s">
        <v>264</v>
      </c>
      <c r="H11" s="124"/>
      <c r="I11" s="125">
        <f ca="1">SUMIF('Kal Unter Kita Spatzen'!J22:M43,$G$11,'Kal Unter Kita Spatzen'!M22:M43)</f>
        <v>4045.16</v>
      </c>
      <c r="J11" s="79">
        <f>COUNTIFS('Kal Unter Kita Spatzen'!J22:M43,$G$11)</f>
        <v>1</v>
      </c>
      <c r="M11" s="3" t="str">
        <f>IF(N13&gt;0,"Bitte die Leistungswerte im Leistungsverzeichnis/ Tabellenblatt Leistungsrichtwerte","")</f>
        <v/>
      </c>
      <c r="U11" s="120" t="s">
        <v>264</v>
      </c>
      <c r="V11" s="3">
        <v>67.5</v>
      </c>
    </row>
    <row r="12" spans="1:22" ht="15" customHeight="1" x14ac:dyDescent="0.2">
      <c r="A12" s="127" t="s">
        <v>162</v>
      </c>
      <c r="B12" s="187" t="s">
        <v>205</v>
      </c>
      <c r="C12" s="188"/>
      <c r="D12" s="188"/>
      <c r="E12" s="189"/>
      <c r="M12" s="3" t="str">
        <f>IF(N13&gt;0,"für die Objektart prüfen.","")</f>
        <v/>
      </c>
    </row>
    <row r="13" spans="1:22" ht="15" customHeight="1" x14ac:dyDescent="0.2">
      <c r="A13" s="127" t="s">
        <v>165</v>
      </c>
      <c r="B13" s="178" t="str">
        <f>HYPERLINK("http://maps.google.de/maps?hl=de&amp;bav=on.2,or.r_qf.&amp;bvm=bv.44770516,d.Yms&amp;biw=1395&amp;bih=916&amp;um=1&amp;ie=UTF-8&amp;q="&amp;B7&amp;"+"&amp;B8&amp;"+"&amp;B10&amp;"+"&amp;B11&amp;"+"&amp;B12&amp;"","In Google-Maps anzeigen (wenn Internet verfügbar)")</f>
        <v>In Google-Maps anzeigen (wenn Internet verfügbar)</v>
      </c>
      <c r="C13" s="179"/>
      <c r="D13" s="179"/>
      <c r="E13" s="180"/>
      <c r="N13" s="128">
        <f>COUNTIF(V22:V$43,1)</f>
        <v>0</v>
      </c>
      <c r="O13" s="3" t="str">
        <f>IF(N13&gt;0,"Wert(e) überschritten, bitte mit dem Angebot plausibel darlegen.","")</f>
        <v/>
      </c>
    </row>
    <row r="14" spans="1:22" ht="15" customHeight="1" x14ac:dyDescent="0.2">
      <c r="N14" s="129">
        <f>COUNTIF(V22:V$43,0)</f>
        <v>22</v>
      </c>
      <c r="O14" s="3" t="str">
        <f>IF(N14&gt;0,"Wert(e) korrekt","")</f>
        <v>Wert(e) korrekt</v>
      </c>
      <c r="T14" s="130">
        <f>IF(COUNTA($T$22:$T$43)-COUNTBLANK($T$22:$T$43)=0,"",COUNTA($T$22:$T$43)-COUNTBLANK($T$22:$T$43))</f>
        <v>18</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31" t="s">
        <v>124</v>
      </c>
      <c r="B21" s="12"/>
      <c r="C21" s="12"/>
      <c r="D21" s="12"/>
      <c r="E21" s="12"/>
      <c r="F21" s="12"/>
      <c r="G21" s="132">
        <f>SUM($G$22:$G$43)</f>
        <v>671.62</v>
      </c>
      <c r="H21" s="132">
        <f>SUM($H$22:$H$43)</f>
        <v>32.299999999999997</v>
      </c>
      <c r="I21" s="132">
        <f>SUM($I$22:$I$43)</f>
        <v>0</v>
      </c>
      <c r="J21" s="57"/>
      <c r="K21" s="57"/>
      <c r="L21" s="133">
        <f>MAX(L22:L43)</f>
        <v>239.5</v>
      </c>
      <c r="M21" s="132">
        <f>SUM($M$22:$M$43)</f>
        <v>136152.65</v>
      </c>
      <c r="N21" s="57"/>
      <c r="O21" s="57"/>
      <c r="P21" s="132">
        <f>SUM($P$22:$P$43)</f>
        <v>0</v>
      </c>
      <c r="Q21" s="132">
        <f ca="1">SUM($Q$22:$Q$43)</f>
        <v>0</v>
      </c>
      <c r="R21" s="132">
        <f>ROUND(IF(L21=0,0,P21/L21),2)</f>
        <v>0</v>
      </c>
      <c r="S21" s="132">
        <f ca="1">ROUND(IF(L21=0,0,Q21/L21),2)</f>
        <v>0</v>
      </c>
    </row>
    <row r="22" spans="1:22" ht="15" customHeight="1" x14ac:dyDescent="0.2">
      <c r="A22" s="120">
        <v>1</v>
      </c>
      <c r="B22" s="134" t="s">
        <v>212</v>
      </c>
      <c r="C22" s="135" t="s">
        <v>213</v>
      </c>
      <c r="D22" s="135" t="s">
        <v>214</v>
      </c>
      <c r="E22" s="135" t="s">
        <v>215</v>
      </c>
      <c r="F22" s="135" t="s">
        <v>216</v>
      </c>
      <c r="G22" s="136">
        <v>52.34</v>
      </c>
      <c r="H22" s="136">
        <v>5.9</v>
      </c>
      <c r="I22" s="136"/>
      <c r="J22" s="120" t="s">
        <v>258</v>
      </c>
      <c r="K22" s="136">
        <v>5</v>
      </c>
      <c r="L22" s="57">
        <f>VLOOKUP(K22,Reinigungstage!A10:B31,2,FALSE)</f>
        <v>239.5</v>
      </c>
      <c r="M22" s="57">
        <f t="shared" ref="M22:M43" si="0">ROUND(IF(L22=0,0,L22*G22),2)</f>
        <v>12535.43</v>
      </c>
      <c r="N22" s="137">
        <f t="shared" ref="N22:N43" si="1">VLOOKUP(J22,$G$4:$H$11,2,FALSE)</f>
        <v>0</v>
      </c>
      <c r="O22" s="57">
        <f ca="1">IF('SVS UnterhaltsRG'!H61="",0,'SVS UnterhaltsRG'!H61)</f>
        <v>0</v>
      </c>
      <c r="P22" s="57">
        <f t="shared" ref="P22:P43" si="2">ROUND(IF(N22=0,0,M22/N22),2)</f>
        <v>0</v>
      </c>
      <c r="Q22" s="57">
        <f t="shared" ref="Q22:Q43" ca="1" si="3">IF(M22=0,0,IF(O22="",0,ROUND(P22*O22,2)))</f>
        <v>0</v>
      </c>
      <c r="R22" s="57">
        <f t="shared" ref="R22:R43" si="4">ROUND(IF(P22=0,0,P22/L22),2)</f>
        <v>0</v>
      </c>
      <c r="S22" s="57">
        <f t="shared" ref="S22:S43" ca="1" si="5">ROUND(IF(Q22=0,0,Q22/L22),2)</f>
        <v>0</v>
      </c>
      <c r="T22" s="3" t="str">
        <f t="shared" ref="T22:T43" si="6">IF(M22=0,"",IF(N22=0,"Leistungswert eintragen",IF(O22=0,"SVS prüfen","")))</f>
        <v>Leistungswert eintragen</v>
      </c>
      <c r="U22" s="3">
        <f t="shared" ref="U22:U43" si="7">VLOOKUP(J22,$U$4:$V$11,2,FALSE)</f>
        <v>132.5</v>
      </c>
      <c r="V22" s="3">
        <f t="shared" ref="V22:V43" si="8">IF(M22=0,0,IF(U22&lt;N22,1,IF(U22&gt;=N22,0,"")))</f>
        <v>0</v>
      </c>
    </row>
    <row r="23" spans="1:22" ht="15" customHeight="1" x14ac:dyDescent="0.2">
      <c r="A23" s="120">
        <v>2</v>
      </c>
      <c r="B23" s="134" t="s">
        <v>217</v>
      </c>
      <c r="C23" s="135" t="s">
        <v>213</v>
      </c>
      <c r="D23" s="135" t="s">
        <v>214</v>
      </c>
      <c r="E23" s="135" t="s">
        <v>218</v>
      </c>
      <c r="F23" s="135" t="s">
        <v>219</v>
      </c>
      <c r="G23" s="136">
        <v>27.4</v>
      </c>
      <c r="H23" s="136"/>
      <c r="I23" s="136"/>
      <c r="J23" s="120" t="s">
        <v>259</v>
      </c>
      <c r="K23" s="136">
        <v>5</v>
      </c>
      <c r="L23" s="57">
        <f>VLOOKUP(K23,Reinigungstage!A10:B31,2,FALSE)</f>
        <v>239.5</v>
      </c>
      <c r="M23" s="57">
        <f t="shared" si="0"/>
        <v>6562.3</v>
      </c>
      <c r="N23" s="137">
        <f t="shared" si="1"/>
        <v>0</v>
      </c>
      <c r="O23" s="57">
        <f ca="1">IF('SVS UnterhaltsRG'!H61="",0,'SVS UnterhaltsRG'!H61)</f>
        <v>0</v>
      </c>
      <c r="P23" s="57">
        <f t="shared" si="2"/>
        <v>0</v>
      </c>
      <c r="Q23" s="57">
        <f t="shared" ca="1" si="3"/>
        <v>0</v>
      </c>
      <c r="R23" s="57">
        <f t="shared" si="4"/>
        <v>0</v>
      </c>
      <c r="S23" s="57">
        <f t="shared" ca="1" si="5"/>
        <v>0</v>
      </c>
      <c r="T23" s="3" t="str">
        <f t="shared" si="6"/>
        <v>Leistungswert eintragen</v>
      </c>
      <c r="U23" s="3">
        <f t="shared" si="7"/>
        <v>53.75</v>
      </c>
      <c r="V23" s="3">
        <f t="shared" si="8"/>
        <v>0</v>
      </c>
    </row>
    <row r="24" spans="1:22" ht="15" customHeight="1" x14ac:dyDescent="0.2">
      <c r="A24" s="120">
        <v>3</v>
      </c>
      <c r="B24" s="134" t="s">
        <v>220</v>
      </c>
      <c r="C24" s="135" t="s">
        <v>213</v>
      </c>
      <c r="D24" s="135"/>
      <c r="E24" s="135" t="s">
        <v>221</v>
      </c>
      <c r="F24" s="135" t="s">
        <v>216</v>
      </c>
      <c r="G24" s="136">
        <v>6.34</v>
      </c>
      <c r="H24" s="136"/>
      <c r="I24" s="136"/>
      <c r="J24" s="120" t="s">
        <v>260</v>
      </c>
      <c r="K24" s="136">
        <v>1</v>
      </c>
      <c r="L24" s="57">
        <f>VLOOKUP(K24,Reinigungstage!A10:B31,2,FALSE)</f>
        <v>49.75</v>
      </c>
      <c r="M24" s="57">
        <f t="shared" si="0"/>
        <v>315.42</v>
      </c>
      <c r="N24" s="137">
        <f t="shared" si="1"/>
        <v>0</v>
      </c>
      <c r="O24" s="57">
        <f ca="1">IF('SVS UnterhaltsRG'!H61="",0,'SVS UnterhaltsRG'!H61)</f>
        <v>0</v>
      </c>
      <c r="P24" s="57">
        <f t="shared" si="2"/>
        <v>0</v>
      </c>
      <c r="Q24" s="57">
        <f t="shared" ca="1" si="3"/>
        <v>0</v>
      </c>
      <c r="R24" s="57">
        <f t="shared" si="4"/>
        <v>0</v>
      </c>
      <c r="S24" s="57">
        <f t="shared" ca="1" si="5"/>
        <v>0</v>
      </c>
      <c r="T24" s="3" t="str">
        <f t="shared" si="6"/>
        <v>Leistungswert eintragen</v>
      </c>
      <c r="U24" s="3">
        <f t="shared" si="7"/>
        <v>262.5</v>
      </c>
      <c r="V24" s="3">
        <f t="shared" si="8"/>
        <v>0</v>
      </c>
    </row>
    <row r="25" spans="1:22" ht="15" customHeight="1" x14ac:dyDescent="0.2">
      <c r="A25" s="120">
        <v>4</v>
      </c>
      <c r="B25" s="134" t="s">
        <v>222</v>
      </c>
      <c r="C25" s="135" t="s">
        <v>213</v>
      </c>
      <c r="D25" s="135"/>
      <c r="E25" s="135" t="s">
        <v>223</v>
      </c>
      <c r="F25" s="135" t="s">
        <v>219</v>
      </c>
      <c r="G25" s="136">
        <v>2.2799999999999998</v>
      </c>
      <c r="H25" s="136"/>
      <c r="I25" s="136"/>
      <c r="J25" s="120" t="s">
        <v>259</v>
      </c>
      <c r="K25" s="136">
        <v>5</v>
      </c>
      <c r="L25" s="57">
        <f>VLOOKUP(K25,Reinigungstage!A10:B31,2,FALSE)</f>
        <v>239.5</v>
      </c>
      <c r="M25" s="57">
        <f t="shared" si="0"/>
        <v>546.05999999999995</v>
      </c>
      <c r="N25" s="137">
        <f t="shared" si="1"/>
        <v>0</v>
      </c>
      <c r="O25" s="57">
        <f ca="1">IF('SVS UnterhaltsRG'!H61="",0,'SVS UnterhaltsRG'!H61)</f>
        <v>0</v>
      </c>
      <c r="P25" s="57">
        <f t="shared" si="2"/>
        <v>0</v>
      </c>
      <c r="Q25" s="57">
        <f t="shared" ca="1" si="3"/>
        <v>0</v>
      </c>
      <c r="R25" s="57">
        <f t="shared" si="4"/>
        <v>0</v>
      </c>
      <c r="S25" s="57">
        <f t="shared" ca="1" si="5"/>
        <v>0</v>
      </c>
      <c r="T25" s="3" t="str">
        <f t="shared" si="6"/>
        <v>Leistungswert eintragen</v>
      </c>
      <c r="U25" s="3">
        <f t="shared" si="7"/>
        <v>53.75</v>
      </c>
      <c r="V25" s="3">
        <f t="shared" si="8"/>
        <v>0</v>
      </c>
    </row>
    <row r="26" spans="1:22" ht="15" customHeight="1" x14ac:dyDescent="0.2">
      <c r="A26" s="120">
        <v>5</v>
      </c>
      <c r="B26" s="134" t="s">
        <v>224</v>
      </c>
      <c r="C26" s="135" t="s">
        <v>213</v>
      </c>
      <c r="D26" s="135" t="s">
        <v>225</v>
      </c>
      <c r="E26" s="135" t="s">
        <v>226</v>
      </c>
      <c r="F26" s="135" t="s">
        <v>216</v>
      </c>
      <c r="G26" s="136">
        <v>34.92</v>
      </c>
      <c r="H26" s="136"/>
      <c r="I26" s="136"/>
      <c r="J26" s="120" t="s">
        <v>258</v>
      </c>
      <c r="K26" s="136">
        <v>5</v>
      </c>
      <c r="L26" s="57">
        <f>VLOOKUP(K26,Reinigungstage!A10:B31,2,FALSE)</f>
        <v>239.5</v>
      </c>
      <c r="M26" s="57">
        <f t="shared" si="0"/>
        <v>8363.34</v>
      </c>
      <c r="N26" s="137">
        <f t="shared" si="1"/>
        <v>0</v>
      </c>
      <c r="O26" s="57">
        <f ca="1">IF('SVS UnterhaltsRG'!H61="",0,'SVS UnterhaltsRG'!H61)</f>
        <v>0</v>
      </c>
      <c r="P26" s="57">
        <f t="shared" si="2"/>
        <v>0</v>
      </c>
      <c r="Q26" s="57">
        <f t="shared" ca="1" si="3"/>
        <v>0</v>
      </c>
      <c r="R26" s="57">
        <f t="shared" si="4"/>
        <v>0</v>
      </c>
      <c r="S26" s="57">
        <f t="shared" ca="1" si="5"/>
        <v>0</v>
      </c>
      <c r="T26" s="3" t="str">
        <f t="shared" si="6"/>
        <v>Leistungswert eintragen</v>
      </c>
      <c r="U26" s="3">
        <f t="shared" si="7"/>
        <v>132.5</v>
      </c>
      <c r="V26" s="3">
        <f t="shared" si="8"/>
        <v>0</v>
      </c>
    </row>
    <row r="27" spans="1:22" ht="15" customHeight="1" x14ac:dyDescent="0.2">
      <c r="A27" s="120">
        <v>6</v>
      </c>
      <c r="B27" s="134" t="s">
        <v>227</v>
      </c>
      <c r="C27" s="135" t="s">
        <v>213</v>
      </c>
      <c r="D27" s="135" t="s">
        <v>225</v>
      </c>
      <c r="E27" s="135" t="s">
        <v>215</v>
      </c>
      <c r="F27" s="135" t="s">
        <v>216</v>
      </c>
      <c r="G27" s="136">
        <v>52.95</v>
      </c>
      <c r="H27" s="136">
        <v>12</v>
      </c>
      <c r="I27" s="136"/>
      <c r="J27" s="120" t="s">
        <v>258</v>
      </c>
      <c r="K27" s="136">
        <v>5</v>
      </c>
      <c r="L27" s="57">
        <f>VLOOKUP(K27,Reinigungstage!A10:B31,2,FALSE)</f>
        <v>239.5</v>
      </c>
      <c r="M27" s="57">
        <f t="shared" si="0"/>
        <v>12681.53</v>
      </c>
      <c r="N27" s="137">
        <f t="shared" si="1"/>
        <v>0</v>
      </c>
      <c r="O27" s="57">
        <f ca="1">IF('SVS UnterhaltsRG'!H61="",0,'SVS UnterhaltsRG'!H61)</f>
        <v>0</v>
      </c>
      <c r="P27" s="57">
        <f t="shared" si="2"/>
        <v>0</v>
      </c>
      <c r="Q27" s="57">
        <f t="shared" ca="1" si="3"/>
        <v>0</v>
      </c>
      <c r="R27" s="57">
        <f t="shared" si="4"/>
        <v>0</v>
      </c>
      <c r="S27" s="57">
        <f t="shared" ca="1" si="5"/>
        <v>0</v>
      </c>
      <c r="T27" s="3" t="str">
        <f t="shared" si="6"/>
        <v>Leistungswert eintragen</v>
      </c>
      <c r="U27" s="3">
        <f t="shared" si="7"/>
        <v>132.5</v>
      </c>
      <c r="V27" s="3">
        <f t="shared" si="8"/>
        <v>0</v>
      </c>
    </row>
    <row r="28" spans="1:22" ht="15" customHeight="1" x14ac:dyDescent="0.2">
      <c r="A28" s="120">
        <v>7</v>
      </c>
      <c r="B28" s="134" t="s">
        <v>228</v>
      </c>
      <c r="C28" s="135" t="s">
        <v>213</v>
      </c>
      <c r="D28" s="135" t="s">
        <v>225</v>
      </c>
      <c r="E28" s="135" t="s">
        <v>218</v>
      </c>
      <c r="F28" s="135" t="s">
        <v>219</v>
      </c>
      <c r="G28" s="136">
        <v>34.92</v>
      </c>
      <c r="H28" s="136"/>
      <c r="I28" s="136"/>
      <c r="J28" s="120" t="s">
        <v>259</v>
      </c>
      <c r="K28" s="136">
        <v>5</v>
      </c>
      <c r="L28" s="57">
        <f>VLOOKUP(K28,Reinigungstage!A10:B31,2,FALSE)</f>
        <v>239.5</v>
      </c>
      <c r="M28" s="57">
        <f t="shared" si="0"/>
        <v>8363.34</v>
      </c>
      <c r="N28" s="137">
        <f t="shared" si="1"/>
        <v>0</v>
      </c>
      <c r="O28" s="57">
        <f ca="1">IF('SVS UnterhaltsRG'!H61="",0,'SVS UnterhaltsRG'!H61)</f>
        <v>0</v>
      </c>
      <c r="P28" s="57">
        <f t="shared" si="2"/>
        <v>0</v>
      </c>
      <c r="Q28" s="57">
        <f t="shared" ca="1" si="3"/>
        <v>0</v>
      </c>
      <c r="R28" s="57">
        <f t="shared" si="4"/>
        <v>0</v>
      </c>
      <c r="S28" s="57">
        <f t="shared" ca="1" si="5"/>
        <v>0</v>
      </c>
      <c r="T28" s="3" t="str">
        <f t="shared" si="6"/>
        <v>Leistungswert eintragen</v>
      </c>
      <c r="U28" s="3">
        <f t="shared" si="7"/>
        <v>53.75</v>
      </c>
      <c r="V28" s="3">
        <f t="shared" si="8"/>
        <v>0</v>
      </c>
    </row>
    <row r="29" spans="1:22" ht="15" customHeight="1" x14ac:dyDescent="0.2">
      <c r="A29" s="120">
        <v>8</v>
      </c>
      <c r="B29" s="134" t="s">
        <v>229</v>
      </c>
      <c r="C29" s="135" t="s">
        <v>213</v>
      </c>
      <c r="D29" s="135" t="s">
        <v>230</v>
      </c>
      <c r="E29" s="135" t="s">
        <v>231</v>
      </c>
      <c r="F29" s="135" t="s">
        <v>219</v>
      </c>
      <c r="G29" s="136">
        <v>16.89</v>
      </c>
      <c r="H29" s="136"/>
      <c r="I29" s="136"/>
      <c r="J29" s="120" t="s">
        <v>259</v>
      </c>
      <c r="K29" s="136">
        <v>5</v>
      </c>
      <c r="L29" s="57">
        <f>VLOOKUP(K29,Reinigungstage!A10:B31,2,FALSE)</f>
        <v>239.5</v>
      </c>
      <c r="M29" s="57">
        <f t="shared" si="0"/>
        <v>4045.16</v>
      </c>
      <c r="N29" s="137">
        <f t="shared" si="1"/>
        <v>0</v>
      </c>
      <c r="O29" s="57">
        <f ca="1">IF('SVS UnterhaltsRG'!H61="",0,'SVS UnterhaltsRG'!H61)</f>
        <v>0</v>
      </c>
      <c r="P29" s="57">
        <f t="shared" si="2"/>
        <v>0</v>
      </c>
      <c r="Q29" s="57">
        <f t="shared" ca="1" si="3"/>
        <v>0</v>
      </c>
      <c r="R29" s="57">
        <f t="shared" si="4"/>
        <v>0</v>
      </c>
      <c r="S29" s="57">
        <f t="shared" ca="1" si="5"/>
        <v>0</v>
      </c>
      <c r="T29" s="3" t="str">
        <f t="shared" si="6"/>
        <v>Leistungswert eintragen</v>
      </c>
      <c r="U29" s="3">
        <f t="shared" si="7"/>
        <v>53.75</v>
      </c>
      <c r="V29" s="3">
        <f t="shared" si="8"/>
        <v>0</v>
      </c>
    </row>
    <row r="30" spans="1:22" ht="21" x14ac:dyDescent="0.2">
      <c r="A30" s="120">
        <v>9</v>
      </c>
      <c r="B30" s="134" t="s">
        <v>232</v>
      </c>
      <c r="C30" s="135" t="s">
        <v>213</v>
      </c>
      <c r="D30" s="135" t="s">
        <v>233</v>
      </c>
      <c r="E30" s="135" t="s">
        <v>234</v>
      </c>
      <c r="F30" s="135" t="s">
        <v>219</v>
      </c>
      <c r="G30" s="136">
        <v>16.89</v>
      </c>
      <c r="H30" s="136"/>
      <c r="I30" s="136"/>
      <c r="J30" s="120" t="s">
        <v>259</v>
      </c>
      <c r="K30" s="136">
        <v>0</v>
      </c>
      <c r="L30" s="57">
        <f>VLOOKUP(K30,Reinigungstage!A10:B31,2,FALSE)</f>
        <v>0</v>
      </c>
      <c r="M30" s="57">
        <f t="shared" si="0"/>
        <v>0</v>
      </c>
      <c r="N30" s="137">
        <f t="shared" si="1"/>
        <v>0</v>
      </c>
      <c r="O30" s="57">
        <f ca="1">IF('SVS UnterhaltsRG'!H61="",0,'SVS UnterhaltsRG'!H61)</f>
        <v>0</v>
      </c>
      <c r="P30" s="57">
        <f t="shared" si="2"/>
        <v>0</v>
      </c>
      <c r="Q30" s="57">
        <f t="shared" si="3"/>
        <v>0</v>
      </c>
      <c r="R30" s="57">
        <f t="shared" si="4"/>
        <v>0</v>
      </c>
      <c r="S30" s="57">
        <f t="shared" si="5"/>
        <v>0</v>
      </c>
      <c r="T30" s="3" t="str">
        <f t="shared" si="6"/>
        <v/>
      </c>
      <c r="U30" s="3">
        <f t="shared" si="7"/>
        <v>53.75</v>
      </c>
      <c r="V30" s="3">
        <f t="shared" si="8"/>
        <v>0</v>
      </c>
    </row>
    <row r="31" spans="1:22" ht="15" customHeight="1" x14ac:dyDescent="0.2">
      <c r="A31" s="120">
        <v>10</v>
      </c>
      <c r="B31" s="134" t="s">
        <v>235</v>
      </c>
      <c r="C31" s="135" t="s">
        <v>213</v>
      </c>
      <c r="D31" s="135" t="s">
        <v>233</v>
      </c>
      <c r="E31" s="135" t="s">
        <v>215</v>
      </c>
      <c r="F31" s="135" t="s">
        <v>216</v>
      </c>
      <c r="G31" s="136">
        <v>52.95</v>
      </c>
      <c r="H31" s="136">
        <v>6</v>
      </c>
      <c r="I31" s="136"/>
      <c r="J31" s="120" t="s">
        <v>258</v>
      </c>
      <c r="K31" s="136">
        <v>5</v>
      </c>
      <c r="L31" s="57">
        <f>VLOOKUP(K31,Reinigungstage!A10:B31,2,FALSE)</f>
        <v>239.5</v>
      </c>
      <c r="M31" s="57">
        <f t="shared" si="0"/>
        <v>12681.53</v>
      </c>
      <c r="N31" s="137">
        <f t="shared" si="1"/>
        <v>0</v>
      </c>
      <c r="O31" s="57">
        <f ca="1">IF('SVS UnterhaltsRG'!H61="",0,'SVS UnterhaltsRG'!H61)</f>
        <v>0</v>
      </c>
      <c r="P31" s="57">
        <f t="shared" si="2"/>
        <v>0</v>
      </c>
      <c r="Q31" s="57">
        <f t="shared" ca="1" si="3"/>
        <v>0</v>
      </c>
      <c r="R31" s="57">
        <f t="shared" si="4"/>
        <v>0</v>
      </c>
      <c r="S31" s="57">
        <f t="shared" ca="1" si="5"/>
        <v>0</v>
      </c>
      <c r="T31" s="3" t="str">
        <f t="shared" si="6"/>
        <v>Leistungswert eintragen</v>
      </c>
      <c r="U31" s="3">
        <f t="shared" si="7"/>
        <v>132.5</v>
      </c>
      <c r="V31" s="3">
        <f t="shared" si="8"/>
        <v>0</v>
      </c>
    </row>
    <row r="32" spans="1:22" ht="15" customHeight="1" x14ac:dyDescent="0.2">
      <c r="A32" s="120">
        <v>11</v>
      </c>
      <c r="B32" s="134" t="s">
        <v>236</v>
      </c>
      <c r="C32" s="135" t="s">
        <v>213</v>
      </c>
      <c r="D32" s="135" t="s">
        <v>237</v>
      </c>
      <c r="E32" s="135" t="s">
        <v>238</v>
      </c>
      <c r="F32" s="135" t="s">
        <v>216</v>
      </c>
      <c r="G32" s="136">
        <v>55.36</v>
      </c>
      <c r="H32" s="136"/>
      <c r="I32" s="136"/>
      <c r="J32" s="120" t="s">
        <v>261</v>
      </c>
      <c r="K32" s="136">
        <v>5</v>
      </c>
      <c r="L32" s="57">
        <f>VLOOKUP(K32,Reinigungstage!A10:B31,2,FALSE)</f>
        <v>239.5</v>
      </c>
      <c r="M32" s="57">
        <f t="shared" si="0"/>
        <v>13258.72</v>
      </c>
      <c r="N32" s="137">
        <f t="shared" si="1"/>
        <v>0</v>
      </c>
      <c r="O32" s="57">
        <f ca="1">IF('SVS UnterhaltsRG'!H61="",0,'SVS UnterhaltsRG'!H61)</f>
        <v>0</v>
      </c>
      <c r="P32" s="57">
        <f t="shared" si="2"/>
        <v>0</v>
      </c>
      <c r="Q32" s="57">
        <f t="shared" ca="1" si="3"/>
        <v>0</v>
      </c>
      <c r="R32" s="57">
        <f t="shared" si="4"/>
        <v>0</v>
      </c>
      <c r="S32" s="57">
        <f t="shared" ca="1" si="5"/>
        <v>0</v>
      </c>
      <c r="T32" s="3" t="str">
        <f t="shared" si="6"/>
        <v>Leistungswert eintragen</v>
      </c>
      <c r="U32" s="3">
        <f t="shared" si="7"/>
        <v>166.25</v>
      </c>
      <c r="V32" s="3">
        <f t="shared" si="8"/>
        <v>0</v>
      </c>
    </row>
    <row r="33" spans="1:22" ht="15" customHeight="1" x14ac:dyDescent="0.2">
      <c r="A33" s="120">
        <v>12</v>
      </c>
      <c r="B33" s="134" t="s">
        <v>239</v>
      </c>
      <c r="C33" s="135" t="s">
        <v>213</v>
      </c>
      <c r="D33" s="135" t="s">
        <v>214</v>
      </c>
      <c r="E33" s="135" t="s">
        <v>238</v>
      </c>
      <c r="F33" s="135" t="s">
        <v>216</v>
      </c>
      <c r="G33" s="136">
        <v>22.56</v>
      </c>
      <c r="H33" s="136"/>
      <c r="I33" s="136"/>
      <c r="J33" s="120" t="s">
        <v>261</v>
      </c>
      <c r="K33" s="136">
        <v>5</v>
      </c>
      <c r="L33" s="57">
        <f>VLOOKUP(K33,Reinigungstage!A10:B31,2,FALSE)</f>
        <v>239.5</v>
      </c>
      <c r="M33" s="57">
        <f t="shared" si="0"/>
        <v>5403.12</v>
      </c>
      <c r="N33" s="137">
        <f t="shared" si="1"/>
        <v>0</v>
      </c>
      <c r="O33" s="57">
        <f ca="1">IF('SVS UnterhaltsRG'!H61="",0,'SVS UnterhaltsRG'!H61)</f>
        <v>0</v>
      </c>
      <c r="P33" s="57">
        <f t="shared" si="2"/>
        <v>0</v>
      </c>
      <c r="Q33" s="57">
        <f t="shared" ca="1" si="3"/>
        <v>0</v>
      </c>
      <c r="R33" s="57">
        <f t="shared" si="4"/>
        <v>0</v>
      </c>
      <c r="S33" s="57">
        <f t="shared" ca="1" si="5"/>
        <v>0</v>
      </c>
      <c r="T33" s="3" t="str">
        <f t="shared" si="6"/>
        <v>Leistungswert eintragen</v>
      </c>
      <c r="U33" s="3">
        <f t="shared" si="7"/>
        <v>166.25</v>
      </c>
      <c r="V33" s="3">
        <f t="shared" si="8"/>
        <v>0</v>
      </c>
    </row>
    <row r="34" spans="1:22" ht="15" customHeight="1" x14ac:dyDescent="0.2">
      <c r="A34" s="120">
        <v>13</v>
      </c>
      <c r="B34" s="134" t="s">
        <v>240</v>
      </c>
      <c r="C34" s="135" t="s">
        <v>213</v>
      </c>
      <c r="D34" s="135" t="s">
        <v>214</v>
      </c>
      <c r="E34" s="135" t="s">
        <v>241</v>
      </c>
      <c r="F34" s="135" t="s">
        <v>216</v>
      </c>
      <c r="G34" s="136">
        <v>52.95</v>
      </c>
      <c r="H34" s="136">
        <v>4</v>
      </c>
      <c r="I34" s="136"/>
      <c r="J34" s="120" t="s">
        <v>262</v>
      </c>
      <c r="K34" s="136">
        <v>5</v>
      </c>
      <c r="L34" s="57">
        <f>VLOOKUP(K34,Reinigungstage!A10:B31,2,FALSE)</f>
        <v>239.5</v>
      </c>
      <c r="M34" s="57">
        <f t="shared" si="0"/>
        <v>12681.53</v>
      </c>
      <c r="N34" s="137">
        <f t="shared" si="1"/>
        <v>0</v>
      </c>
      <c r="O34" s="57">
        <f ca="1">IF('SVS UnterhaltsRG'!H61="",0,'SVS UnterhaltsRG'!H61)</f>
        <v>0</v>
      </c>
      <c r="P34" s="57">
        <f t="shared" si="2"/>
        <v>0</v>
      </c>
      <c r="Q34" s="57">
        <f t="shared" ca="1" si="3"/>
        <v>0</v>
      </c>
      <c r="R34" s="57">
        <f t="shared" si="4"/>
        <v>0</v>
      </c>
      <c r="S34" s="57">
        <f t="shared" ca="1" si="5"/>
        <v>0</v>
      </c>
      <c r="T34" s="3" t="str">
        <f t="shared" si="6"/>
        <v>Leistungswert eintragen</v>
      </c>
      <c r="U34" s="3">
        <f t="shared" si="7"/>
        <v>168.75</v>
      </c>
      <c r="V34" s="3">
        <f t="shared" si="8"/>
        <v>0</v>
      </c>
    </row>
    <row r="35" spans="1:22" ht="15" customHeight="1" x14ac:dyDescent="0.2">
      <c r="A35" s="120">
        <v>14</v>
      </c>
      <c r="B35" s="134" t="s">
        <v>242</v>
      </c>
      <c r="C35" s="135" t="s">
        <v>213</v>
      </c>
      <c r="D35" s="135" t="s">
        <v>214</v>
      </c>
      <c r="E35" s="135" t="s">
        <v>226</v>
      </c>
      <c r="F35" s="135" t="s">
        <v>216</v>
      </c>
      <c r="G35" s="136">
        <v>34.32</v>
      </c>
      <c r="H35" s="136"/>
      <c r="I35" s="136"/>
      <c r="J35" s="120" t="s">
        <v>258</v>
      </c>
      <c r="K35" s="136">
        <v>0</v>
      </c>
      <c r="L35" s="57">
        <f>VLOOKUP(K35,Reinigungstage!A10:B31,2,FALSE)</f>
        <v>0</v>
      </c>
      <c r="M35" s="57">
        <f t="shared" si="0"/>
        <v>0</v>
      </c>
      <c r="N35" s="137">
        <f t="shared" si="1"/>
        <v>0</v>
      </c>
      <c r="O35" s="57">
        <f ca="1">IF('SVS UnterhaltsRG'!H61="",0,'SVS UnterhaltsRG'!H61)</f>
        <v>0</v>
      </c>
      <c r="P35" s="57">
        <f t="shared" si="2"/>
        <v>0</v>
      </c>
      <c r="Q35" s="57">
        <f t="shared" si="3"/>
        <v>0</v>
      </c>
      <c r="R35" s="57">
        <f t="shared" si="4"/>
        <v>0</v>
      </c>
      <c r="S35" s="57">
        <f t="shared" si="5"/>
        <v>0</v>
      </c>
      <c r="T35" s="3" t="str">
        <f t="shared" si="6"/>
        <v/>
      </c>
      <c r="U35" s="3">
        <f t="shared" si="7"/>
        <v>132.5</v>
      </c>
      <c r="V35" s="3">
        <f t="shared" si="8"/>
        <v>0</v>
      </c>
    </row>
    <row r="36" spans="1:22" ht="15" customHeight="1" x14ac:dyDescent="0.2">
      <c r="A36" s="120">
        <v>15</v>
      </c>
      <c r="B36" s="134" t="s">
        <v>243</v>
      </c>
      <c r="C36" s="135" t="s">
        <v>213</v>
      </c>
      <c r="D36" s="135"/>
      <c r="E36" s="135" t="s">
        <v>244</v>
      </c>
      <c r="F36" s="135" t="s">
        <v>216</v>
      </c>
      <c r="G36" s="136">
        <v>53.45</v>
      </c>
      <c r="H36" s="136"/>
      <c r="I36" s="136"/>
      <c r="J36" s="120" t="s">
        <v>263</v>
      </c>
      <c r="K36" s="136">
        <v>5</v>
      </c>
      <c r="L36" s="57">
        <f>VLOOKUP(K36,Reinigungstage!A10:B31,2,FALSE)</f>
        <v>239.5</v>
      </c>
      <c r="M36" s="57">
        <f t="shared" si="0"/>
        <v>12801.28</v>
      </c>
      <c r="N36" s="137">
        <f t="shared" si="1"/>
        <v>0</v>
      </c>
      <c r="O36" s="57">
        <f ca="1">IF('SVS UnterhaltsRG'!H61="",0,'SVS UnterhaltsRG'!H61)</f>
        <v>0</v>
      </c>
      <c r="P36" s="57">
        <f t="shared" si="2"/>
        <v>0</v>
      </c>
      <c r="Q36" s="57">
        <f t="shared" ca="1" si="3"/>
        <v>0</v>
      </c>
      <c r="R36" s="57">
        <f t="shared" si="4"/>
        <v>0</v>
      </c>
      <c r="S36" s="57">
        <f t="shared" ca="1" si="5"/>
        <v>0</v>
      </c>
      <c r="T36" s="3" t="str">
        <f t="shared" si="6"/>
        <v>Leistungswert eintragen</v>
      </c>
      <c r="U36" s="3">
        <f t="shared" si="7"/>
        <v>136.25</v>
      </c>
      <c r="V36" s="3">
        <f t="shared" si="8"/>
        <v>0</v>
      </c>
    </row>
    <row r="37" spans="1:22" ht="15" customHeight="1" x14ac:dyDescent="0.2">
      <c r="A37" s="120">
        <v>16</v>
      </c>
      <c r="B37" s="134" t="s">
        <v>245</v>
      </c>
      <c r="C37" s="135" t="s">
        <v>213</v>
      </c>
      <c r="D37" s="135"/>
      <c r="E37" s="135" t="s">
        <v>246</v>
      </c>
      <c r="F37" s="135" t="s">
        <v>216</v>
      </c>
      <c r="G37" s="136">
        <v>9.83</v>
      </c>
      <c r="H37" s="136"/>
      <c r="I37" s="136"/>
      <c r="J37" s="120" t="s">
        <v>260</v>
      </c>
      <c r="K37" s="136">
        <v>1</v>
      </c>
      <c r="L37" s="57">
        <f>VLOOKUP(K37,Reinigungstage!A10:B31,2,FALSE)</f>
        <v>49.75</v>
      </c>
      <c r="M37" s="57">
        <f t="shared" si="0"/>
        <v>489.04</v>
      </c>
      <c r="N37" s="137">
        <f t="shared" si="1"/>
        <v>0</v>
      </c>
      <c r="O37" s="57">
        <f ca="1">IF('SVS UnterhaltsRG'!H61="",0,'SVS UnterhaltsRG'!H61)</f>
        <v>0</v>
      </c>
      <c r="P37" s="57">
        <f t="shared" si="2"/>
        <v>0</v>
      </c>
      <c r="Q37" s="57">
        <f t="shared" ca="1" si="3"/>
        <v>0</v>
      </c>
      <c r="R37" s="57">
        <f t="shared" si="4"/>
        <v>0</v>
      </c>
      <c r="S37" s="57">
        <f t="shared" ca="1" si="5"/>
        <v>0</v>
      </c>
      <c r="T37" s="3" t="str">
        <f t="shared" si="6"/>
        <v>Leistungswert eintragen</v>
      </c>
      <c r="U37" s="3">
        <f t="shared" si="7"/>
        <v>262.5</v>
      </c>
      <c r="V37" s="3">
        <f t="shared" si="8"/>
        <v>0</v>
      </c>
    </row>
    <row r="38" spans="1:22" ht="15" customHeight="1" x14ac:dyDescent="0.2">
      <c r="A38" s="120">
        <v>17</v>
      </c>
      <c r="B38" s="134" t="s">
        <v>247</v>
      </c>
      <c r="C38" s="135" t="s">
        <v>213</v>
      </c>
      <c r="D38" s="135"/>
      <c r="E38" s="135" t="s">
        <v>248</v>
      </c>
      <c r="F38" s="135" t="s">
        <v>216</v>
      </c>
      <c r="G38" s="136">
        <v>6.73</v>
      </c>
      <c r="H38" s="136"/>
      <c r="I38" s="136"/>
      <c r="J38" s="120" t="s">
        <v>260</v>
      </c>
      <c r="K38" s="136">
        <v>1</v>
      </c>
      <c r="L38" s="57">
        <f>VLOOKUP(K38,Reinigungstage!A10:B31,2,FALSE)</f>
        <v>49.75</v>
      </c>
      <c r="M38" s="57">
        <f t="shared" si="0"/>
        <v>334.82</v>
      </c>
      <c r="N38" s="137">
        <f t="shared" si="1"/>
        <v>0</v>
      </c>
      <c r="O38" s="57">
        <f ca="1">IF('SVS UnterhaltsRG'!H61="",0,'SVS UnterhaltsRG'!H61)</f>
        <v>0</v>
      </c>
      <c r="P38" s="57">
        <f t="shared" si="2"/>
        <v>0</v>
      </c>
      <c r="Q38" s="57">
        <f t="shared" ca="1" si="3"/>
        <v>0</v>
      </c>
      <c r="R38" s="57">
        <f t="shared" si="4"/>
        <v>0</v>
      </c>
      <c r="S38" s="57">
        <f t="shared" ca="1" si="5"/>
        <v>0</v>
      </c>
      <c r="T38" s="3" t="str">
        <f t="shared" si="6"/>
        <v>Leistungswert eintragen</v>
      </c>
      <c r="U38" s="3">
        <f t="shared" si="7"/>
        <v>262.5</v>
      </c>
      <c r="V38" s="3">
        <f t="shared" si="8"/>
        <v>0</v>
      </c>
    </row>
    <row r="39" spans="1:22" ht="21" x14ac:dyDescent="0.2">
      <c r="A39" s="120">
        <v>18</v>
      </c>
      <c r="B39" s="134" t="s">
        <v>249</v>
      </c>
      <c r="C39" s="135" t="s">
        <v>213</v>
      </c>
      <c r="D39" s="135"/>
      <c r="E39" s="135" t="s">
        <v>250</v>
      </c>
      <c r="F39" s="135" t="s">
        <v>216</v>
      </c>
      <c r="G39" s="136">
        <v>16.89</v>
      </c>
      <c r="H39" s="136"/>
      <c r="I39" s="136"/>
      <c r="J39" s="120" t="s">
        <v>259</v>
      </c>
      <c r="K39" s="136">
        <v>0</v>
      </c>
      <c r="L39" s="57">
        <f>VLOOKUP(K39,Reinigungstage!A10:B31,2,FALSE)</f>
        <v>0</v>
      </c>
      <c r="M39" s="57">
        <f t="shared" si="0"/>
        <v>0</v>
      </c>
      <c r="N39" s="137">
        <f t="shared" si="1"/>
        <v>0</v>
      </c>
      <c r="O39" s="57">
        <f ca="1">IF('SVS UnterhaltsRG'!H61="",0,'SVS UnterhaltsRG'!H61)</f>
        <v>0</v>
      </c>
      <c r="P39" s="57">
        <f t="shared" si="2"/>
        <v>0</v>
      </c>
      <c r="Q39" s="57">
        <f t="shared" si="3"/>
        <v>0</v>
      </c>
      <c r="R39" s="57">
        <f t="shared" si="4"/>
        <v>0</v>
      </c>
      <c r="S39" s="57">
        <f t="shared" si="5"/>
        <v>0</v>
      </c>
      <c r="T39" s="3" t="str">
        <f t="shared" si="6"/>
        <v/>
      </c>
      <c r="U39" s="3">
        <f t="shared" si="7"/>
        <v>53.75</v>
      </c>
      <c r="V39" s="3">
        <f t="shared" si="8"/>
        <v>0</v>
      </c>
    </row>
    <row r="40" spans="1:22" ht="15" customHeight="1" x14ac:dyDescent="0.2">
      <c r="A40" s="120">
        <v>19</v>
      </c>
      <c r="B40" s="134" t="s">
        <v>251</v>
      </c>
      <c r="C40" s="135" t="s">
        <v>213</v>
      </c>
      <c r="D40" s="135"/>
      <c r="E40" s="135" t="s">
        <v>252</v>
      </c>
      <c r="F40" s="135" t="s">
        <v>216</v>
      </c>
      <c r="G40" s="136">
        <v>16.89</v>
      </c>
      <c r="H40" s="136"/>
      <c r="I40" s="136"/>
      <c r="J40" s="120" t="s">
        <v>252</v>
      </c>
      <c r="K40" s="136">
        <v>0</v>
      </c>
      <c r="L40" s="57">
        <f>VLOOKUP(K40,Reinigungstage!A10:B31,2,FALSE)</f>
        <v>0</v>
      </c>
      <c r="M40" s="57">
        <f t="shared" si="0"/>
        <v>0</v>
      </c>
      <c r="N40" s="137">
        <f t="shared" si="1"/>
        <v>0</v>
      </c>
      <c r="O40" s="57">
        <f ca="1">IF('SVS UnterhaltsRG'!H61="",0,'SVS UnterhaltsRG'!H61)</f>
        <v>0</v>
      </c>
      <c r="P40" s="57">
        <f t="shared" si="2"/>
        <v>0</v>
      </c>
      <c r="Q40" s="57">
        <f t="shared" si="3"/>
        <v>0</v>
      </c>
      <c r="R40" s="57">
        <f t="shared" si="4"/>
        <v>0</v>
      </c>
      <c r="S40" s="57">
        <f t="shared" si="5"/>
        <v>0</v>
      </c>
      <c r="T40" s="3" t="str">
        <f t="shared" si="6"/>
        <v/>
      </c>
      <c r="U40" s="3">
        <f t="shared" si="7"/>
        <v>168.75</v>
      </c>
      <c r="V40" s="3">
        <f t="shared" si="8"/>
        <v>0</v>
      </c>
    </row>
    <row r="41" spans="1:22" ht="15" customHeight="1" x14ac:dyDescent="0.2">
      <c r="A41" s="120">
        <v>20</v>
      </c>
      <c r="B41" s="134" t="s">
        <v>253</v>
      </c>
      <c r="C41" s="135" t="s">
        <v>213</v>
      </c>
      <c r="D41" s="135"/>
      <c r="E41" s="135" t="s">
        <v>254</v>
      </c>
      <c r="F41" s="135" t="s">
        <v>219</v>
      </c>
      <c r="G41" s="136">
        <v>16.89</v>
      </c>
      <c r="H41" s="136"/>
      <c r="I41" s="136"/>
      <c r="J41" s="120" t="s">
        <v>261</v>
      </c>
      <c r="K41" s="136">
        <v>5</v>
      </c>
      <c r="L41" s="57">
        <f>VLOOKUP(K41,Reinigungstage!A10:B31,2,FALSE)</f>
        <v>239.5</v>
      </c>
      <c r="M41" s="57">
        <f t="shared" si="0"/>
        <v>4045.16</v>
      </c>
      <c r="N41" s="137">
        <f t="shared" si="1"/>
        <v>0</v>
      </c>
      <c r="O41" s="57">
        <f ca="1">IF('SVS UnterhaltsRG'!H61="",0,'SVS UnterhaltsRG'!H61)</f>
        <v>0</v>
      </c>
      <c r="P41" s="57">
        <f t="shared" si="2"/>
        <v>0</v>
      </c>
      <c r="Q41" s="57">
        <f t="shared" ca="1" si="3"/>
        <v>0</v>
      </c>
      <c r="R41" s="57">
        <f t="shared" si="4"/>
        <v>0</v>
      </c>
      <c r="S41" s="57">
        <f t="shared" ca="1" si="5"/>
        <v>0</v>
      </c>
      <c r="T41" s="3" t="str">
        <f t="shared" si="6"/>
        <v>Leistungswert eintragen</v>
      </c>
      <c r="U41" s="3">
        <f t="shared" si="7"/>
        <v>166.25</v>
      </c>
      <c r="V41" s="3">
        <f t="shared" si="8"/>
        <v>0</v>
      </c>
    </row>
    <row r="42" spans="1:22" ht="15" customHeight="1" x14ac:dyDescent="0.2">
      <c r="A42" s="120">
        <v>21</v>
      </c>
      <c r="B42" s="134" t="s">
        <v>255</v>
      </c>
      <c r="C42" s="135" t="s">
        <v>213</v>
      </c>
      <c r="D42" s="135"/>
      <c r="E42" s="135" t="s">
        <v>256</v>
      </c>
      <c r="F42" s="135" t="s">
        <v>219</v>
      </c>
      <c r="G42" s="136">
        <v>16.89</v>
      </c>
      <c r="H42" s="136"/>
      <c r="I42" s="136"/>
      <c r="J42" s="120" t="s">
        <v>264</v>
      </c>
      <c r="K42" s="136">
        <v>5</v>
      </c>
      <c r="L42" s="57">
        <f>VLOOKUP(K42,Reinigungstage!A10:B31,2,FALSE)</f>
        <v>239.5</v>
      </c>
      <c r="M42" s="57">
        <f t="shared" si="0"/>
        <v>4045.16</v>
      </c>
      <c r="N42" s="137">
        <f t="shared" si="1"/>
        <v>0</v>
      </c>
      <c r="O42" s="57">
        <f ca="1">IF('SVS UnterhaltsRG'!H61="",0,'SVS UnterhaltsRG'!H61)</f>
        <v>0</v>
      </c>
      <c r="P42" s="57">
        <f t="shared" si="2"/>
        <v>0</v>
      </c>
      <c r="Q42" s="57">
        <f t="shared" ca="1" si="3"/>
        <v>0</v>
      </c>
      <c r="R42" s="57">
        <f t="shared" si="4"/>
        <v>0</v>
      </c>
      <c r="S42" s="57">
        <f t="shared" ca="1" si="5"/>
        <v>0</v>
      </c>
      <c r="T42" s="3" t="str">
        <f t="shared" si="6"/>
        <v>Leistungswert eintragen</v>
      </c>
      <c r="U42" s="3">
        <f t="shared" si="7"/>
        <v>67.5</v>
      </c>
      <c r="V42" s="3">
        <f t="shared" si="8"/>
        <v>0</v>
      </c>
    </row>
    <row r="43" spans="1:22" ht="15" customHeight="1" x14ac:dyDescent="0.2">
      <c r="A43" s="120">
        <v>22</v>
      </c>
      <c r="B43" s="134" t="s">
        <v>257</v>
      </c>
      <c r="C43" s="135" t="s">
        <v>213</v>
      </c>
      <c r="D43" s="135" t="s">
        <v>230</v>
      </c>
      <c r="E43" s="135" t="s">
        <v>215</v>
      </c>
      <c r="F43" s="135" t="s">
        <v>216</v>
      </c>
      <c r="G43" s="136">
        <v>70.98</v>
      </c>
      <c r="H43" s="136">
        <v>4.4000000000000004</v>
      </c>
      <c r="I43" s="136"/>
      <c r="J43" s="120" t="s">
        <v>258</v>
      </c>
      <c r="K43" s="136">
        <v>5</v>
      </c>
      <c r="L43" s="57">
        <f>VLOOKUP(K43,Reinigungstage!A10:B31,2,FALSE)</f>
        <v>239.5</v>
      </c>
      <c r="M43" s="57">
        <f t="shared" si="0"/>
        <v>16999.71</v>
      </c>
      <c r="N43" s="137">
        <f t="shared" si="1"/>
        <v>0</v>
      </c>
      <c r="O43" s="57">
        <f ca="1">IF('SVS UnterhaltsRG'!H61="",0,'SVS UnterhaltsRG'!H61)</f>
        <v>0</v>
      </c>
      <c r="P43" s="57">
        <f t="shared" si="2"/>
        <v>0</v>
      </c>
      <c r="Q43" s="57">
        <f t="shared" ca="1" si="3"/>
        <v>0</v>
      </c>
      <c r="R43" s="57">
        <f t="shared" si="4"/>
        <v>0</v>
      </c>
      <c r="S43" s="57">
        <f t="shared" ca="1" si="5"/>
        <v>0</v>
      </c>
      <c r="T43" s="3" t="str">
        <f t="shared" si="6"/>
        <v>Leistungswert eintragen</v>
      </c>
      <c r="U43" s="3">
        <f t="shared" si="7"/>
        <v>132.5</v>
      </c>
      <c r="V43" s="3">
        <f t="shared" si="8"/>
        <v>0</v>
      </c>
    </row>
  </sheetData>
  <sheetProtection algorithmName="SHA-512" hashValue="yikKLoHthDz1zmFPQHhV8fUdjuKm5tBURH4x5zuuvQfJj99ejK7CUzw/JI/xv318VXFRI8jlNcP9FcEtGj9L/A==" saltValue="EMaOh8Y4/H9acbXFo35zvw==" spinCount="100000" sheet="1" objects="1" scenarios="1"/>
  <sortState xmlns:xlrd2="http://schemas.microsoft.com/office/spreadsheetml/2017/richdata2" ref="U4:U11">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7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71" priority="5" operator="containsText" text="Bitte prüfen Sie diese.">
      <formula>NOT(ISERROR(SEARCH("Bitte prüfen Sie diese.",L9)))</formula>
    </cfRule>
  </conditionalFormatting>
  <conditionalFormatting sqref="L10">
    <cfRule type="containsText" dxfId="7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9" priority="3" operator="containsText" text="lediglich Fehleingaben vermeiden wollen.">
      <formula>NOT(ISERROR(SEARCH("lediglich Fehleingaben vermeiden wollen.",L11)))</formula>
    </cfRule>
  </conditionalFormatting>
  <conditionalFormatting sqref="M11">
    <cfRule type="containsText" dxfId="6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7" priority="7" operator="containsText" text="für die Objektart prüfen.">
      <formula>NOT(ISERROR(SEARCH("für die Objektart prüfen.",M12)))</formula>
    </cfRule>
  </conditionalFormatting>
  <conditionalFormatting sqref="N13">
    <cfRule type="expression" dxfId="66" priority="2" stopIfTrue="1">
      <formula>N13=0</formula>
    </cfRule>
  </conditionalFormatting>
  <conditionalFormatting sqref="N14">
    <cfRule type="expression" dxfId="65" priority="1">
      <formula>N14=0</formula>
    </cfRule>
  </conditionalFormatting>
  <conditionalFormatting sqref="N22:N43">
    <cfRule type="expression" dxfId="64" priority="11">
      <formula>V22=0</formula>
    </cfRule>
    <cfRule type="expression" dxfId="63" priority="12" stopIfTrue="1">
      <formula>V22=1</formula>
    </cfRule>
  </conditionalFormatting>
  <conditionalFormatting sqref="O13">
    <cfRule type="containsText" dxfId="6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61" priority="9" operator="containsText" text="Wert(e) prüfen.">
      <formula>NOT(ISERROR(SEARCH("Wert(e) prüfen.",O14)))</formula>
    </cfRule>
  </conditionalFormatting>
  <conditionalFormatting sqref="T22:T43">
    <cfRule type="containsText" dxfId="60" priority="13" stopIfTrue="1" operator="containsText" text="SVS prüfen">
      <formula>NOT(ISERROR(SEARCH("SVS prüfen",T22)))</formula>
    </cfRule>
    <cfRule type="containsText" dxfId="59" priority="14" stopIfTrue="1" operator="containsText" text="Leistungswert eintragen">
      <formula>NOT(ISERROR(SEARCH("Leistungswert eintragen",T22)))</formula>
    </cfRule>
  </conditionalFormatting>
  <hyperlinks>
    <hyperlink ref="M1" location="Inhaltsverzeichnis!A1" display="Zurück zum Inhaltsverzeichnis" xr:uid="{72F3BD11-DDA7-4B0D-840A-ECD6EBF7302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Spatzen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CCE0-CCDC-44EB-94DC-04E223A78C76}">
  <sheetPr codeName="Tabelle34">
    <tabColor indexed="40"/>
  </sheetPr>
  <dimension ref="A1:X40"/>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95" t="s">
        <v>158</v>
      </c>
      <c r="B2" s="196"/>
      <c r="C2" s="196"/>
      <c r="D2" s="196"/>
      <c r="E2" s="197"/>
      <c r="G2" s="198" t="s">
        <v>171</v>
      </c>
      <c r="H2" s="198" t="s">
        <v>163</v>
      </c>
      <c r="I2" s="198" t="s">
        <v>164</v>
      </c>
      <c r="J2" s="198" t="s">
        <v>183</v>
      </c>
      <c r="M2" s="101" t="b">
        <v>0</v>
      </c>
      <c r="N2" s="15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51"/>
      <c r="P2" s="151"/>
      <c r="Q2" s="151"/>
    </row>
    <row r="3" spans="1:22" ht="24" customHeight="1" x14ac:dyDescent="0.2">
      <c r="A3" s="121" t="s">
        <v>166</v>
      </c>
      <c r="B3" s="122"/>
      <c r="C3" s="122"/>
      <c r="D3" s="122"/>
      <c r="E3" s="123"/>
      <c r="G3" s="199"/>
      <c r="H3" s="199"/>
      <c r="I3" s="199"/>
      <c r="J3" s="199"/>
      <c r="M3" s="101" t="b">
        <v>0</v>
      </c>
      <c r="N3" s="151"/>
      <c r="O3" s="151"/>
      <c r="P3" s="151"/>
      <c r="Q3" s="151"/>
    </row>
    <row r="4" spans="1:22" ht="18.600000000000001" customHeight="1" x14ac:dyDescent="0.2">
      <c r="A4" s="193" t="s">
        <v>91</v>
      </c>
      <c r="B4" s="181" t="str">
        <f>IF(Inhaltsverzeichnis!C3="","",Inhaltsverzeichnis!C3)</f>
        <v/>
      </c>
      <c r="C4" s="182"/>
      <c r="D4" s="182"/>
      <c r="E4" s="183"/>
      <c r="G4" s="120" t="s">
        <v>252</v>
      </c>
      <c r="H4" s="124"/>
      <c r="I4" s="125">
        <f ca="1">SUMIF('Kal Grund Kita Spatzen'!J22:M40,$G$4,'Kal Grund Kita Spatzen'!M22:M40)</f>
        <v>16.89</v>
      </c>
      <c r="J4" s="79">
        <f>COUNTIFS('Kal Grund Kita Spatzen'!J22:M40,$G$4)</f>
        <v>1</v>
      </c>
      <c r="M4" s="101" t="b">
        <v>0</v>
      </c>
      <c r="N4" s="151"/>
      <c r="O4" s="151"/>
      <c r="P4" s="151"/>
      <c r="Q4" s="151"/>
      <c r="U4" s="120" t="s">
        <v>252</v>
      </c>
      <c r="V4" s="3">
        <v>17.125</v>
      </c>
    </row>
    <row r="5" spans="1:22" ht="15" customHeight="1" x14ac:dyDescent="0.2">
      <c r="A5" s="194"/>
      <c r="B5" s="184"/>
      <c r="C5" s="185"/>
      <c r="D5" s="185"/>
      <c r="E5" s="186"/>
      <c r="G5" s="120" t="s">
        <v>258</v>
      </c>
      <c r="H5" s="124"/>
      <c r="I5" s="125">
        <f ca="1">SUMIF('Kal Grund Kita Spatzen'!J22:M40,$G$5,'Kal Grund Kita Spatzen'!M22:M40)</f>
        <v>298.46000000000004</v>
      </c>
      <c r="J5" s="79">
        <f>COUNTIFS('Kal Grund Kita Spatzen'!J22:M40,$G$5)</f>
        <v>6</v>
      </c>
      <c r="M5" s="101" t="b">
        <v>0</v>
      </c>
      <c r="N5" s="151"/>
      <c r="O5" s="151"/>
      <c r="P5" s="151"/>
      <c r="Q5" s="151"/>
      <c r="U5" s="120" t="s">
        <v>258</v>
      </c>
      <c r="V5" s="3">
        <v>15</v>
      </c>
    </row>
    <row r="6" spans="1:22" ht="15" customHeight="1" x14ac:dyDescent="0.2">
      <c r="A6" s="126" t="s">
        <v>181</v>
      </c>
      <c r="B6" s="187" t="s">
        <v>200</v>
      </c>
      <c r="C6" s="188"/>
      <c r="D6" s="188"/>
      <c r="E6" s="189"/>
      <c r="G6" s="120" t="s">
        <v>259</v>
      </c>
      <c r="H6" s="124"/>
      <c r="I6" s="125">
        <f ca="1">SUMIF('Kal Grund Kita Spatzen'!J22:M40,$G$6,'Kal Grund Kita Spatzen'!M22:M40)</f>
        <v>115.27</v>
      </c>
      <c r="J6" s="79">
        <f>COUNTIFS('Kal Grund Kita Spatzen'!J22:M40,$G$6)</f>
        <v>6</v>
      </c>
      <c r="U6" s="120" t="s">
        <v>259</v>
      </c>
      <c r="V6" s="3">
        <v>8.5</v>
      </c>
    </row>
    <row r="7" spans="1:22" ht="15" customHeight="1" x14ac:dyDescent="0.2">
      <c r="A7" s="127" t="s">
        <v>179</v>
      </c>
      <c r="B7" s="190" t="s">
        <v>201</v>
      </c>
      <c r="C7" s="188"/>
      <c r="D7" s="188"/>
      <c r="E7" s="189"/>
      <c r="G7" s="120" t="s">
        <v>262</v>
      </c>
      <c r="H7" s="124"/>
      <c r="I7" s="125">
        <f ca="1">SUMIF('Kal Grund Kita Spatzen'!J22:M40,$G$7,'Kal Grund Kita Spatzen'!M22:M40)</f>
        <v>52.95</v>
      </c>
      <c r="J7" s="79">
        <f>COUNTIFS('Kal Grund Kita Spatzen'!J22:M40,$G$7)</f>
        <v>1</v>
      </c>
      <c r="U7" s="120" t="s">
        <v>262</v>
      </c>
      <c r="V7" s="3">
        <v>23.25</v>
      </c>
    </row>
    <row r="8" spans="1:22" ht="15" customHeight="1" x14ac:dyDescent="0.2">
      <c r="A8" s="127" t="s">
        <v>180</v>
      </c>
      <c r="B8" s="187" t="s">
        <v>202</v>
      </c>
      <c r="C8" s="188"/>
      <c r="D8" s="188"/>
      <c r="E8" s="189"/>
      <c r="G8" s="120" t="s">
        <v>263</v>
      </c>
      <c r="H8" s="124"/>
      <c r="I8" s="125">
        <f ca="1">SUMIF('Kal Grund Kita Spatzen'!J22:M40,$G$8,'Kal Grund Kita Spatzen'!M22:M40)</f>
        <v>53.45</v>
      </c>
      <c r="J8" s="79">
        <f>COUNTIFS('Kal Grund Kita Spatzen'!J22:M40,$G$8)</f>
        <v>1</v>
      </c>
      <c r="L8" s="138" t="str">
        <f>IF(N14&gt;0,"Ihre Eintragungen der Leistungswerte liegen weit über den Erfahrungswerten aus der Preisschätzung.","")</f>
        <v/>
      </c>
      <c r="U8" s="120" t="s">
        <v>260</v>
      </c>
      <c r="V8" s="3">
        <v>21.13</v>
      </c>
    </row>
    <row r="9" spans="1:22" ht="15" customHeight="1" x14ac:dyDescent="0.2">
      <c r="A9" s="126" t="s">
        <v>178</v>
      </c>
      <c r="B9" s="191" t="s">
        <v>199</v>
      </c>
      <c r="C9" s="188"/>
      <c r="D9" s="188"/>
      <c r="E9" s="189"/>
      <c r="G9" s="120" t="s">
        <v>261</v>
      </c>
      <c r="H9" s="124"/>
      <c r="I9" s="125">
        <f ca="1">SUMIF('Kal Grund Kita Spatzen'!J22:M40,$G$9,'Kal Grund Kita Spatzen'!M22:M40)</f>
        <v>94.81</v>
      </c>
      <c r="J9" s="79">
        <f>COUNTIFS('Kal Grund Kita Spatzen'!J22:M40,$G$9)</f>
        <v>3</v>
      </c>
      <c r="L9" s="138" t="str">
        <f>IF(N14&gt;0,"Bitte prüfen Sie diese.","")</f>
        <v/>
      </c>
      <c r="U9" s="120" t="s">
        <v>263</v>
      </c>
      <c r="V9" s="3">
        <v>15</v>
      </c>
    </row>
    <row r="10" spans="1:22" ht="15" customHeight="1" x14ac:dyDescent="0.2">
      <c r="A10" s="127" t="s">
        <v>160</v>
      </c>
      <c r="B10" s="187" t="s">
        <v>203</v>
      </c>
      <c r="C10" s="188"/>
      <c r="D10" s="188"/>
      <c r="E10" s="189"/>
      <c r="G10" s="120" t="s">
        <v>264</v>
      </c>
      <c r="H10" s="124"/>
      <c r="I10" s="125">
        <f ca="1">SUMIF('Kal Grund Kita Spatzen'!J22:M40,$G$10,'Kal Grund Kita Spatzen'!M22:M40)</f>
        <v>16.89</v>
      </c>
      <c r="J10" s="79">
        <f>COUNTIFS('Kal Grund Kita Spatzen'!J22:M40,$G$10)</f>
        <v>1</v>
      </c>
      <c r="L10" s="138" t="str">
        <f>IF(N14&gt;0,"Beachten Sie, dass Sie frei in der Kalkulation dieser Leistungswerte sind und wir durch den Hinweis","")</f>
        <v/>
      </c>
      <c r="U10" s="120" t="s">
        <v>261</v>
      </c>
      <c r="V10" s="3">
        <v>24.13</v>
      </c>
    </row>
    <row r="11" spans="1:22" ht="15" customHeight="1" x14ac:dyDescent="0.2">
      <c r="A11" s="127" t="s">
        <v>161</v>
      </c>
      <c r="B11" s="192" t="s">
        <v>204</v>
      </c>
      <c r="C11" s="188"/>
      <c r="D11" s="188"/>
      <c r="E11" s="189"/>
      <c r="L11" s="138" t="str">
        <f>IF(N14&gt;0,"lediglich Fehleingaben vermeiden wollen.","")</f>
        <v/>
      </c>
      <c r="U11" s="120" t="s">
        <v>264</v>
      </c>
      <c r="V11" s="3">
        <v>14.13</v>
      </c>
    </row>
    <row r="12" spans="1:22" ht="15" customHeight="1" x14ac:dyDescent="0.2">
      <c r="A12" s="127" t="s">
        <v>162</v>
      </c>
      <c r="B12" s="187" t="s">
        <v>205</v>
      </c>
      <c r="C12" s="188"/>
      <c r="D12" s="188"/>
      <c r="E12" s="189"/>
    </row>
    <row r="13" spans="1:22" ht="15" customHeight="1" x14ac:dyDescent="0.2">
      <c r="A13" s="127" t="s">
        <v>165</v>
      </c>
      <c r="B13" s="178" t="str">
        <f>HYPERLINK("http://maps.google.de/maps?hl=de&amp;bav=on.2,or.r_qf.&amp;bvm=bv.44770516,d.Yms&amp;biw=1395&amp;bih=916&amp;um=1&amp;ie=UTF-8&amp;q="&amp;B7&amp;"+"&amp;B8&amp;"+"&amp;B10&amp;"+"&amp;B11&amp;"+"&amp;B12&amp;"","In Google-Maps anzeigen (wenn Internet verfügbar)")</f>
        <v>In Google-Maps anzeigen (wenn Internet verfügbar)</v>
      </c>
      <c r="C13" s="179"/>
      <c r="D13" s="179"/>
      <c r="E13" s="180"/>
    </row>
    <row r="14" spans="1:22" ht="15" customHeight="1" x14ac:dyDescent="0.2">
      <c r="N14" s="128">
        <f>COUNTIF(X22:X$40,1)</f>
        <v>0</v>
      </c>
      <c r="O14" s="3" t="str">
        <f>IF(N14&gt;0,"Wert(e) prüfen.","")</f>
        <v/>
      </c>
      <c r="S14" s="130">
        <f>IF(COUNTA($S$22:$S$40)-COUNTBLANK($S$22:$S$40)=0,"",COUNTA($S$22:$S$40)-COUNTBLANK($S$22:$S$40))</f>
        <v>19</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31" t="s">
        <v>124</v>
      </c>
      <c r="B21" s="12"/>
      <c r="C21" s="12"/>
      <c r="D21" s="12"/>
      <c r="E21" s="12"/>
      <c r="F21" s="12"/>
      <c r="G21" s="132">
        <f>SUM($G$22:$G$40)</f>
        <v>648.71999999999991</v>
      </c>
      <c r="H21" s="132">
        <f>SUM($H$22:$H$40)</f>
        <v>32.299999999999997</v>
      </c>
      <c r="I21" s="132">
        <f>SUM($I$22:$I$40)</f>
        <v>0</v>
      </c>
      <c r="J21" s="57"/>
      <c r="K21" s="57"/>
      <c r="L21" s="133">
        <f>MAX(L22:L40)</f>
        <v>1</v>
      </c>
      <c r="M21" s="132">
        <f>SUM($M$22:$M$40)</f>
        <v>648.71999999999991</v>
      </c>
      <c r="N21" s="57"/>
      <c r="O21" s="57"/>
      <c r="P21" s="132">
        <f>SUM($P$22:$P$40)</f>
        <v>0</v>
      </c>
      <c r="Q21" s="132">
        <f>SUM($Q$22:$Q$40)</f>
        <v>0</v>
      </c>
      <c r="R21" s="132">
        <f>ROUND(IF(Q21=0,0,Q21/L21),2)</f>
        <v>0</v>
      </c>
    </row>
    <row r="22" spans="1:24" ht="15" customHeight="1" x14ac:dyDescent="0.2">
      <c r="A22" s="120">
        <v>1</v>
      </c>
      <c r="B22" s="134" t="s">
        <v>212</v>
      </c>
      <c r="C22" s="135" t="s">
        <v>213</v>
      </c>
      <c r="D22" s="135" t="s">
        <v>214</v>
      </c>
      <c r="E22" s="135" t="s">
        <v>215</v>
      </c>
      <c r="F22" s="135" t="s">
        <v>216</v>
      </c>
      <c r="G22" s="136">
        <v>52.34</v>
      </c>
      <c r="H22" s="136">
        <v>5.9</v>
      </c>
      <c r="I22" s="136"/>
      <c r="J22" s="120" t="s">
        <v>258</v>
      </c>
      <c r="K22" s="120" t="s">
        <v>148</v>
      </c>
      <c r="L22" s="57">
        <f>VLOOKUP(K22,Reinigungstage!A10:D31,4,FALSE)</f>
        <v>1</v>
      </c>
      <c r="M22" s="57">
        <f t="shared" ref="M22:M40" si="0">ROUND(IF(L22=0,0,L22*G22),2)</f>
        <v>52.34</v>
      </c>
      <c r="N22" s="137">
        <f t="shared" ref="N22:N40" si="1">VLOOKUP(J22,$G$4:$H$10,2,FALSE)</f>
        <v>0</v>
      </c>
      <c r="O22" s="57">
        <f ca="1">IF('SVS GrundRG'!H61="",0,'SVS GrundRG'!H61)</f>
        <v>0</v>
      </c>
      <c r="P22" s="57">
        <f t="shared" ref="P22:P40" si="2">ROUND(IF(N22=0,0,M22/N22),2)</f>
        <v>0</v>
      </c>
      <c r="Q22" s="57">
        <f t="shared" ref="Q22:Q40" si="3">ROUND(IF(P22=0,0,P22*O22),2)</f>
        <v>0</v>
      </c>
      <c r="R22" s="57">
        <f t="shared" ref="R22:R40" si="4">ROUND(IF(P22=0,0,Q22/L22),2)</f>
        <v>0</v>
      </c>
      <c r="S22" s="3" t="str">
        <f t="shared" ref="S22:S40" si="5">IF(M22=0,"",IF(N22=0,"Leistungswert eintragen",IF(O22=0,"SVS prüfen","")))</f>
        <v>Leistungswert eintragen</v>
      </c>
      <c r="U22" s="3">
        <f t="shared" ref="U22:U40" si="6">VLOOKUP(J22,$U$4:$V$11,2,FALSE)</f>
        <v>15</v>
      </c>
      <c r="V22" s="3">
        <f t="shared" ref="V22:V40" si="7">U22*30%</f>
        <v>4.5</v>
      </c>
      <c r="W22" s="3">
        <f t="shared" ref="W22:W40" si="8">SUM(U22:V22)</f>
        <v>19.5</v>
      </c>
      <c r="X22" s="3" t="str">
        <f t="shared" ref="X22:X40" si="9">IF(N22=0,"",IF(W22&lt;N22,1,IF(W22&gt;=N22,0,"")))</f>
        <v/>
      </c>
    </row>
    <row r="23" spans="1:24" ht="15" customHeight="1" x14ac:dyDescent="0.2">
      <c r="A23" s="120">
        <v>2</v>
      </c>
      <c r="B23" s="134" t="s">
        <v>217</v>
      </c>
      <c r="C23" s="135" t="s">
        <v>213</v>
      </c>
      <c r="D23" s="135" t="s">
        <v>214</v>
      </c>
      <c r="E23" s="135" t="s">
        <v>218</v>
      </c>
      <c r="F23" s="135" t="s">
        <v>219</v>
      </c>
      <c r="G23" s="136">
        <v>27.4</v>
      </c>
      <c r="H23" s="136"/>
      <c r="I23" s="136"/>
      <c r="J23" s="120" t="s">
        <v>259</v>
      </c>
      <c r="K23" s="120" t="s">
        <v>148</v>
      </c>
      <c r="L23" s="57">
        <f>VLOOKUP(K23,Reinigungstage!A10:D31,4,FALSE)</f>
        <v>1</v>
      </c>
      <c r="M23" s="57">
        <f t="shared" si="0"/>
        <v>27.4</v>
      </c>
      <c r="N23" s="137">
        <f t="shared" si="1"/>
        <v>0</v>
      </c>
      <c r="O23" s="57">
        <f ca="1">IF('SVS GrundRG'!H61="",0,'SVS GrundRG'!H61)</f>
        <v>0</v>
      </c>
      <c r="P23" s="57">
        <f t="shared" si="2"/>
        <v>0</v>
      </c>
      <c r="Q23" s="57">
        <f t="shared" si="3"/>
        <v>0</v>
      </c>
      <c r="R23" s="57">
        <f t="shared" si="4"/>
        <v>0</v>
      </c>
      <c r="S23" s="3" t="str">
        <f t="shared" si="5"/>
        <v>Leistungswert eintragen</v>
      </c>
      <c r="U23" s="3">
        <f t="shared" si="6"/>
        <v>8.5</v>
      </c>
      <c r="V23" s="3">
        <f t="shared" si="7"/>
        <v>2.5499999999999998</v>
      </c>
      <c r="W23" s="3">
        <f t="shared" si="8"/>
        <v>11.05</v>
      </c>
      <c r="X23" s="3" t="str">
        <f t="shared" si="9"/>
        <v/>
      </c>
    </row>
    <row r="24" spans="1:24" ht="15" customHeight="1" x14ac:dyDescent="0.2">
      <c r="A24" s="120">
        <v>3</v>
      </c>
      <c r="B24" s="134" t="s">
        <v>222</v>
      </c>
      <c r="C24" s="135" t="s">
        <v>213</v>
      </c>
      <c r="D24" s="135"/>
      <c r="E24" s="135" t="s">
        <v>223</v>
      </c>
      <c r="F24" s="135" t="s">
        <v>219</v>
      </c>
      <c r="G24" s="136">
        <v>2.2799999999999998</v>
      </c>
      <c r="H24" s="136"/>
      <c r="I24" s="136"/>
      <c r="J24" s="120" t="s">
        <v>259</v>
      </c>
      <c r="K24" s="120" t="s">
        <v>148</v>
      </c>
      <c r="L24" s="57">
        <f>VLOOKUP(K24,Reinigungstage!A10:D31,4,FALSE)</f>
        <v>1</v>
      </c>
      <c r="M24" s="57">
        <f t="shared" si="0"/>
        <v>2.2799999999999998</v>
      </c>
      <c r="N24" s="137">
        <f t="shared" si="1"/>
        <v>0</v>
      </c>
      <c r="O24" s="57">
        <f ca="1">IF('SVS GrundRG'!H61="",0,'SVS GrundRG'!H61)</f>
        <v>0</v>
      </c>
      <c r="P24" s="57">
        <f t="shared" si="2"/>
        <v>0</v>
      </c>
      <c r="Q24" s="57">
        <f t="shared" si="3"/>
        <v>0</v>
      </c>
      <c r="R24" s="57">
        <f t="shared" si="4"/>
        <v>0</v>
      </c>
      <c r="S24" s="3" t="str">
        <f t="shared" si="5"/>
        <v>Leistungswert eintragen</v>
      </c>
      <c r="U24" s="3">
        <f t="shared" si="6"/>
        <v>8.5</v>
      </c>
      <c r="V24" s="3">
        <f t="shared" si="7"/>
        <v>2.5499999999999998</v>
      </c>
      <c r="W24" s="3">
        <f t="shared" si="8"/>
        <v>11.05</v>
      </c>
      <c r="X24" s="3" t="str">
        <f t="shared" si="9"/>
        <v/>
      </c>
    </row>
    <row r="25" spans="1:24" ht="15" customHeight="1" x14ac:dyDescent="0.2">
      <c r="A25" s="120">
        <v>4</v>
      </c>
      <c r="B25" s="134" t="s">
        <v>224</v>
      </c>
      <c r="C25" s="135" t="s">
        <v>213</v>
      </c>
      <c r="D25" s="135" t="s">
        <v>225</v>
      </c>
      <c r="E25" s="135" t="s">
        <v>226</v>
      </c>
      <c r="F25" s="135" t="s">
        <v>216</v>
      </c>
      <c r="G25" s="136">
        <v>34.92</v>
      </c>
      <c r="H25" s="136"/>
      <c r="I25" s="136"/>
      <c r="J25" s="120" t="s">
        <v>258</v>
      </c>
      <c r="K25" s="120" t="s">
        <v>148</v>
      </c>
      <c r="L25" s="57">
        <f>VLOOKUP(K25,Reinigungstage!A10:D31,4,FALSE)</f>
        <v>1</v>
      </c>
      <c r="M25" s="57">
        <f t="shared" si="0"/>
        <v>34.92</v>
      </c>
      <c r="N25" s="137">
        <f t="shared" si="1"/>
        <v>0</v>
      </c>
      <c r="O25" s="57">
        <f ca="1">IF('SVS GrundRG'!H61="",0,'SVS GrundRG'!H61)</f>
        <v>0</v>
      </c>
      <c r="P25" s="57">
        <f t="shared" si="2"/>
        <v>0</v>
      </c>
      <c r="Q25" s="57">
        <f t="shared" si="3"/>
        <v>0</v>
      </c>
      <c r="R25" s="57">
        <f t="shared" si="4"/>
        <v>0</v>
      </c>
      <c r="S25" s="3" t="str">
        <f t="shared" si="5"/>
        <v>Leistungswert eintragen</v>
      </c>
      <c r="U25" s="3">
        <f t="shared" si="6"/>
        <v>15</v>
      </c>
      <c r="V25" s="3">
        <f t="shared" si="7"/>
        <v>4.5</v>
      </c>
      <c r="W25" s="3">
        <f t="shared" si="8"/>
        <v>19.5</v>
      </c>
      <c r="X25" s="3" t="str">
        <f t="shared" si="9"/>
        <v/>
      </c>
    </row>
    <row r="26" spans="1:24" ht="15" customHeight="1" x14ac:dyDescent="0.2">
      <c r="A26" s="120">
        <v>5</v>
      </c>
      <c r="B26" s="134" t="s">
        <v>227</v>
      </c>
      <c r="C26" s="135" t="s">
        <v>213</v>
      </c>
      <c r="D26" s="135" t="s">
        <v>225</v>
      </c>
      <c r="E26" s="135" t="s">
        <v>215</v>
      </c>
      <c r="F26" s="135" t="s">
        <v>216</v>
      </c>
      <c r="G26" s="136">
        <v>52.95</v>
      </c>
      <c r="H26" s="136">
        <v>12</v>
      </c>
      <c r="I26" s="136"/>
      <c r="J26" s="120" t="s">
        <v>258</v>
      </c>
      <c r="K26" s="120" t="s">
        <v>148</v>
      </c>
      <c r="L26" s="57">
        <f>VLOOKUP(K26,Reinigungstage!A10:D31,4,FALSE)</f>
        <v>1</v>
      </c>
      <c r="M26" s="57">
        <f t="shared" si="0"/>
        <v>52.95</v>
      </c>
      <c r="N26" s="137">
        <f t="shared" si="1"/>
        <v>0</v>
      </c>
      <c r="O26" s="57">
        <f ca="1">IF('SVS GrundRG'!H61="",0,'SVS GrundRG'!H61)</f>
        <v>0</v>
      </c>
      <c r="P26" s="57">
        <f t="shared" si="2"/>
        <v>0</v>
      </c>
      <c r="Q26" s="57">
        <f t="shared" si="3"/>
        <v>0</v>
      </c>
      <c r="R26" s="57">
        <f t="shared" si="4"/>
        <v>0</v>
      </c>
      <c r="S26" s="3" t="str">
        <f t="shared" si="5"/>
        <v>Leistungswert eintragen</v>
      </c>
      <c r="U26" s="3">
        <f t="shared" si="6"/>
        <v>15</v>
      </c>
      <c r="V26" s="3">
        <f t="shared" si="7"/>
        <v>4.5</v>
      </c>
      <c r="W26" s="3">
        <f t="shared" si="8"/>
        <v>19.5</v>
      </c>
      <c r="X26" s="3" t="str">
        <f t="shared" si="9"/>
        <v/>
      </c>
    </row>
    <row r="27" spans="1:24" ht="15" customHeight="1" x14ac:dyDescent="0.2">
      <c r="A27" s="120">
        <v>6</v>
      </c>
      <c r="B27" s="134" t="s">
        <v>228</v>
      </c>
      <c r="C27" s="135" t="s">
        <v>213</v>
      </c>
      <c r="D27" s="135" t="s">
        <v>225</v>
      </c>
      <c r="E27" s="135" t="s">
        <v>218</v>
      </c>
      <c r="F27" s="135" t="s">
        <v>219</v>
      </c>
      <c r="G27" s="136">
        <v>34.92</v>
      </c>
      <c r="H27" s="136"/>
      <c r="I27" s="136"/>
      <c r="J27" s="120" t="s">
        <v>259</v>
      </c>
      <c r="K27" s="120" t="s">
        <v>148</v>
      </c>
      <c r="L27" s="57">
        <f>VLOOKUP(K27,Reinigungstage!A10:D31,4,FALSE)</f>
        <v>1</v>
      </c>
      <c r="M27" s="57">
        <f t="shared" si="0"/>
        <v>34.92</v>
      </c>
      <c r="N27" s="137">
        <f t="shared" si="1"/>
        <v>0</v>
      </c>
      <c r="O27" s="57">
        <f ca="1">IF('SVS GrundRG'!H61="",0,'SVS GrundRG'!H61)</f>
        <v>0</v>
      </c>
      <c r="P27" s="57">
        <f t="shared" si="2"/>
        <v>0</v>
      </c>
      <c r="Q27" s="57">
        <f t="shared" si="3"/>
        <v>0</v>
      </c>
      <c r="R27" s="57">
        <f t="shared" si="4"/>
        <v>0</v>
      </c>
      <c r="S27" s="3" t="str">
        <f t="shared" si="5"/>
        <v>Leistungswert eintragen</v>
      </c>
      <c r="U27" s="3">
        <f t="shared" si="6"/>
        <v>8.5</v>
      </c>
      <c r="V27" s="3">
        <f t="shared" si="7"/>
        <v>2.5499999999999998</v>
      </c>
      <c r="W27" s="3">
        <f t="shared" si="8"/>
        <v>11.05</v>
      </c>
      <c r="X27" s="3" t="str">
        <f t="shared" si="9"/>
        <v/>
      </c>
    </row>
    <row r="28" spans="1:24" ht="15" customHeight="1" x14ac:dyDescent="0.2">
      <c r="A28" s="120">
        <v>7</v>
      </c>
      <c r="B28" s="134" t="s">
        <v>229</v>
      </c>
      <c r="C28" s="135" t="s">
        <v>213</v>
      </c>
      <c r="D28" s="135" t="s">
        <v>230</v>
      </c>
      <c r="E28" s="135" t="s">
        <v>231</v>
      </c>
      <c r="F28" s="135" t="s">
        <v>219</v>
      </c>
      <c r="G28" s="136">
        <v>16.89</v>
      </c>
      <c r="H28" s="136"/>
      <c r="I28" s="136"/>
      <c r="J28" s="120" t="s">
        <v>259</v>
      </c>
      <c r="K28" s="120" t="s">
        <v>148</v>
      </c>
      <c r="L28" s="57">
        <f>VLOOKUP(K28,Reinigungstage!A10:D31,4,FALSE)</f>
        <v>1</v>
      </c>
      <c r="M28" s="57">
        <f t="shared" si="0"/>
        <v>16.89</v>
      </c>
      <c r="N28" s="137">
        <f t="shared" si="1"/>
        <v>0</v>
      </c>
      <c r="O28" s="57">
        <f ca="1">IF('SVS GrundRG'!H61="",0,'SVS GrundRG'!H61)</f>
        <v>0</v>
      </c>
      <c r="P28" s="57">
        <f t="shared" si="2"/>
        <v>0</v>
      </c>
      <c r="Q28" s="57">
        <f t="shared" si="3"/>
        <v>0</v>
      </c>
      <c r="R28" s="57">
        <f t="shared" si="4"/>
        <v>0</v>
      </c>
      <c r="S28" s="3" t="str">
        <f t="shared" si="5"/>
        <v>Leistungswert eintragen</v>
      </c>
      <c r="U28" s="3">
        <f t="shared" si="6"/>
        <v>8.5</v>
      </c>
      <c r="V28" s="3">
        <f t="shared" si="7"/>
        <v>2.5499999999999998</v>
      </c>
      <c r="W28" s="3">
        <f t="shared" si="8"/>
        <v>11.05</v>
      </c>
      <c r="X28" s="3" t="str">
        <f t="shared" si="9"/>
        <v/>
      </c>
    </row>
    <row r="29" spans="1:24" ht="21" x14ac:dyDescent="0.2">
      <c r="A29" s="120">
        <v>8</v>
      </c>
      <c r="B29" s="134" t="s">
        <v>232</v>
      </c>
      <c r="C29" s="135" t="s">
        <v>213</v>
      </c>
      <c r="D29" s="135" t="s">
        <v>233</v>
      </c>
      <c r="E29" s="135" t="s">
        <v>234</v>
      </c>
      <c r="F29" s="135" t="s">
        <v>219</v>
      </c>
      <c r="G29" s="136">
        <v>16.89</v>
      </c>
      <c r="H29" s="136"/>
      <c r="I29" s="136"/>
      <c r="J29" s="120" t="s">
        <v>259</v>
      </c>
      <c r="K29" s="120" t="s">
        <v>148</v>
      </c>
      <c r="L29" s="57">
        <f>VLOOKUP(K29,Reinigungstage!A10:D31,4,FALSE)</f>
        <v>1</v>
      </c>
      <c r="M29" s="57">
        <f t="shared" si="0"/>
        <v>16.89</v>
      </c>
      <c r="N29" s="137">
        <f t="shared" si="1"/>
        <v>0</v>
      </c>
      <c r="O29" s="57">
        <f ca="1">IF('SVS GrundRG'!H61="",0,'SVS GrundRG'!H61)</f>
        <v>0</v>
      </c>
      <c r="P29" s="57">
        <f t="shared" si="2"/>
        <v>0</v>
      </c>
      <c r="Q29" s="57">
        <f t="shared" si="3"/>
        <v>0</v>
      </c>
      <c r="R29" s="57">
        <f t="shared" si="4"/>
        <v>0</v>
      </c>
      <c r="S29" s="3" t="str">
        <f t="shared" si="5"/>
        <v>Leistungswert eintragen</v>
      </c>
      <c r="U29" s="3">
        <f t="shared" si="6"/>
        <v>8.5</v>
      </c>
      <c r="V29" s="3">
        <f t="shared" si="7"/>
        <v>2.5499999999999998</v>
      </c>
      <c r="W29" s="3">
        <f t="shared" si="8"/>
        <v>11.05</v>
      </c>
      <c r="X29" s="3" t="str">
        <f t="shared" si="9"/>
        <v/>
      </c>
    </row>
    <row r="30" spans="1:24" ht="15" customHeight="1" x14ac:dyDescent="0.2">
      <c r="A30" s="120">
        <v>9</v>
      </c>
      <c r="B30" s="134" t="s">
        <v>235</v>
      </c>
      <c r="C30" s="135" t="s">
        <v>213</v>
      </c>
      <c r="D30" s="135" t="s">
        <v>233</v>
      </c>
      <c r="E30" s="135" t="s">
        <v>215</v>
      </c>
      <c r="F30" s="135" t="s">
        <v>216</v>
      </c>
      <c r="G30" s="136">
        <v>52.95</v>
      </c>
      <c r="H30" s="136">
        <v>6</v>
      </c>
      <c r="I30" s="136"/>
      <c r="J30" s="120" t="s">
        <v>258</v>
      </c>
      <c r="K30" s="120" t="s">
        <v>148</v>
      </c>
      <c r="L30" s="57">
        <f>VLOOKUP(K30,Reinigungstage!A10:D31,4,FALSE)</f>
        <v>1</v>
      </c>
      <c r="M30" s="57">
        <f t="shared" si="0"/>
        <v>52.95</v>
      </c>
      <c r="N30" s="137">
        <f t="shared" si="1"/>
        <v>0</v>
      </c>
      <c r="O30" s="57">
        <f ca="1">IF('SVS GrundRG'!H61="",0,'SVS GrundRG'!H61)</f>
        <v>0</v>
      </c>
      <c r="P30" s="57">
        <f t="shared" si="2"/>
        <v>0</v>
      </c>
      <c r="Q30" s="57">
        <f t="shared" si="3"/>
        <v>0</v>
      </c>
      <c r="R30" s="57">
        <f t="shared" si="4"/>
        <v>0</v>
      </c>
      <c r="S30" s="3" t="str">
        <f t="shared" si="5"/>
        <v>Leistungswert eintragen</v>
      </c>
      <c r="U30" s="3">
        <f t="shared" si="6"/>
        <v>15</v>
      </c>
      <c r="V30" s="3">
        <f t="shared" si="7"/>
        <v>4.5</v>
      </c>
      <c r="W30" s="3">
        <f t="shared" si="8"/>
        <v>19.5</v>
      </c>
      <c r="X30" s="3" t="str">
        <f t="shared" si="9"/>
        <v/>
      </c>
    </row>
    <row r="31" spans="1:24" ht="15" customHeight="1" x14ac:dyDescent="0.2">
      <c r="A31" s="120">
        <v>10</v>
      </c>
      <c r="B31" s="134" t="s">
        <v>236</v>
      </c>
      <c r="C31" s="135" t="s">
        <v>213</v>
      </c>
      <c r="D31" s="135" t="s">
        <v>237</v>
      </c>
      <c r="E31" s="135" t="s">
        <v>238</v>
      </c>
      <c r="F31" s="135" t="s">
        <v>216</v>
      </c>
      <c r="G31" s="136">
        <v>55.36</v>
      </c>
      <c r="H31" s="136"/>
      <c r="I31" s="136"/>
      <c r="J31" s="120" t="s">
        <v>261</v>
      </c>
      <c r="K31" s="120" t="s">
        <v>148</v>
      </c>
      <c r="L31" s="57">
        <f>VLOOKUP(K31,Reinigungstage!A10:D31,4,FALSE)</f>
        <v>1</v>
      </c>
      <c r="M31" s="57">
        <f t="shared" si="0"/>
        <v>55.36</v>
      </c>
      <c r="N31" s="137">
        <f t="shared" si="1"/>
        <v>0</v>
      </c>
      <c r="O31" s="57">
        <f ca="1">IF('SVS GrundRG'!H61="",0,'SVS GrundRG'!H61)</f>
        <v>0</v>
      </c>
      <c r="P31" s="57">
        <f t="shared" si="2"/>
        <v>0</v>
      </c>
      <c r="Q31" s="57">
        <f t="shared" si="3"/>
        <v>0</v>
      </c>
      <c r="R31" s="57">
        <f t="shared" si="4"/>
        <v>0</v>
      </c>
      <c r="S31" s="3" t="str">
        <f t="shared" si="5"/>
        <v>Leistungswert eintragen</v>
      </c>
      <c r="U31" s="3">
        <f t="shared" si="6"/>
        <v>24.13</v>
      </c>
      <c r="V31" s="3">
        <f t="shared" si="7"/>
        <v>7.238999999999999</v>
      </c>
      <c r="W31" s="3">
        <f t="shared" si="8"/>
        <v>31.369</v>
      </c>
      <c r="X31" s="3" t="str">
        <f t="shared" si="9"/>
        <v/>
      </c>
    </row>
    <row r="32" spans="1:24" ht="15" customHeight="1" x14ac:dyDescent="0.2">
      <c r="A32" s="120">
        <v>11</v>
      </c>
      <c r="B32" s="134" t="s">
        <v>239</v>
      </c>
      <c r="C32" s="135" t="s">
        <v>213</v>
      </c>
      <c r="D32" s="135" t="s">
        <v>214</v>
      </c>
      <c r="E32" s="135" t="s">
        <v>238</v>
      </c>
      <c r="F32" s="135" t="s">
        <v>216</v>
      </c>
      <c r="G32" s="136">
        <v>22.56</v>
      </c>
      <c r="H32" s="136"/>
      <c r="I32" s="136"/>
      <c r="J32" s="120" t="s">
        <v>261</v>
      </c>
      <c r="K32" s="120" t="s">
        <v>148</v>
      </c>
      <c r="L32" s="57">
        <f>VLOOKUP(K32,Reinigungstage!A10:D31,4,FALSE)</f>
        <v>1</v>
      </c>
      <c r="M32" s="57">
        <f t="shared" si="0"/>
        <v>22.56</v>
      </c>
      <c r="N32" s="137">
        <f t="shared" si="1"/>
        <v>0</v>
      </c>
      <c r="O32" s="57">
        <f ca="1">IF('SVS GrundRG'!H61="",0,'SVS GrundRG'!H61)</f>
        <v>0</v>
      </c>
      <c r="P32" s="57">
        <f t="shared" si="2"/>
        <v>0</v>
      </c>
      <c r="Q32" s="57">
        <f t="shared" si="3"/>
        <v>0</v>
      </c>
      <c r="R32" s="57">
        <f t="shared" si="4"/>
        <v>0</v>
      </c>
      <c r="S32" s="3" t="str">
        <f t="shared" si="5"/>
        <v>Leistungswert eintragen</v>
      </c>
      <c r="U32" s="3">
        <f t="shared" si="6"/>
        <v>24.13</v>
      </c>
      <c r="V32" s="3">
        <f t="shared" si="7"/>
        <v>7.238999999999999</v>
      </c>
      <c r="W32" s="3">
        <f t="shared" si="8"/>
        <v>31.369</v>
      </c>
      <c r="X32" s="3" t="str">
        <f t="shared" si="9"/>
        <v/>
      </c>
    </row>
    <row r="33" spans="1:24" ht="15" customHeight="1" x14ac:dyDescent="0.2">
      <c r="A33" s="120">
        <v>12</v>
      </c>
      <c r="B33" s="134" t="s">
        <v>240</v>
      </c>
      <c r="C33" s="135" t="s">
        <v>213</v>
      </c>
      <c r="D33" s="135" t="s">
        <v>214</v>
      </c>
      <c r="E33" s="135" t="s">
        <v>241</v>
      </c>
      <c r="F33" s="135" t="s">
        <v>216</v>
      </c>
      <c r="G33" s="136">
        <v>52.95</v>
      </c>
      <c r="H33" s="136">
        <v>4</v>
      </c>
      <c r="I33" s="136"/>
      <c r="J33" s="120" t="s">
        <v>262</v>
      </c>
      <c r="K33" s="120" t="s">
        <v>148</v>
      </c>
      <c r="L33" s="57">
        <f>VLOOKUP(K33,Reinigungstage!A10:D31,4,FALSE)</f>
        <v>1</v>
      </c>
      <c r="M33" s="57">
        <f t="shared" si="0"/>
        <v>52.95</v>
      </c>
      <c r="N33" s="137">
        <f t="shared" si="1"/>
        <v>0</v>
      </c>
      <c r="O33" s="57">
        <f ca="1">IF('SVS GrundRG'!H61="",0,'SVS GrundRG'!H61)</f>
        <v>0</v>
      </c>
      <c r="P33" s="57">
        <f t="shared" si="2"/>
        <v>0</v>
      </c>
      <c r="Q33" s="57">
        <f t="shared" si="3"/>
        <v>0</v>
      </c>
      <c r="R33" s="57">
        <f t="shared" si="4"/>
        <v>0</v>
      </c>
      <c r="S33" s="3" t="str">
        <f t="shared" si="5"/>
        <v>Leistungswert eintragen</v>
      </c>
      <c r="U33" s="3">
        <f t="shared" si="6"/>
        <v>23.25</v>
      </c>
      <c r="V33" s="3">
        <f t="shared" si="7"/>
        <v>6.9749999999999996</v>
      </c>
      <c r="W33" s="3">
        <f t="shared" si="8"/>
        <v>30.225000000000001</v>
      </c>
      <c r="X33" s="3" t="str">
        <f t="shared" si="9"/>
        <v/>
      </c>
    </row>
    <row r="34" spans="1:24" ht="15" customHeight="1" x14ac:dyDescent="0.2">
      <c r="A34" s="120">
        <v>13</v>
      </c>
      <c r="B34" s="134" t="s">
        <v>242</v>
      </c>
      <c r="C34" s="135" t="s">
        <v>213</v>
      </c>
      <c r="D34" s="135" t="s">
        <v>214</v>
      </c>
      <c r="E34" s="135" t="s">
        <v>226</v>
      </c>
      <c r="F34" s="135" t="s">
        <v>216</v>
      </c>
      <c r="G34" s="136">
        <v>34.32</v>
      </c>
      <c r="H34" s="136"/>
      <c r="I34" s="136"/>
      <c r="J34" s="120" t="s">
        <v>258</v>
      </c>
      <c r="K34" s="120" t="s">
        <v>148</v>
      </c>
      <c r="L34" s="57">
        <f>VLOOKUP(K34,Reinigungstage!A10:D31,4,FALSE)</f>
        <v>1</v>
      </c>
      <c r="M34" s="57">
        <f t="shared" si="0"/>
        <v>34.32</v>
      </c>
      <c r="N34" s="137">
        <f t="shared" si="1"/>
        <v>0</v>
      </c>
      <c r="O34" s="57">
        <f ca="1">IF('SVS GrundRG'!H61="",0,'SVS GrundRG'!H61)</f>
        <v>0</v>
      </c>
      <c r="P34" s="57">
        <f t="shared" si="2"/>
        <v>0</v>
      </c>
      <c r="Q34" s="57">
        <f t="shared" si="3"/>
        <v>0</v>
      </c>
      <c r="R34" s="57">
        <f t="shared" si="4"/>
        <v>0</v>
      </c>
      <c r="S34" s="3" t="str">
        <f t="shared" si="5"/>
        <v>Leistungswert eintragen</v>
      </c>
      <c r="U34" s="3">
        <f t="shared" si="6"/>
        <v>15</v>
      </c>
      <c r="V34" s="3">
        <f t="shared" si="7"/>
        <v>4.5</v>
      </c>
      <c r="W34" s="3">
        <f t="shared" si="8"/>
        <v>19.5</v>
      </c>
      <c r="X34" s="3" t="str">
        <f t="shared" si="9"/>
        <v/>
      </c>
    </row>
    <row r="35" spans="1:24" ht="15" customHeight="1" x14ac:dyDescent="0.2">
      <c r="A35" s="120">
        <v>14</v>
      </c>
      <c r="B35" s="134" t="s">
        <v>243</v>
      </c>
      <c r="C35" s="135" t="s">
        <v>213</v>
      </c>
      <c r="D35" s="135"/>
      <c r="E35" s="135" t="s">
        <v>244</v>
      </c>
      <c r="F35" s="135" t="s">
        <v>216</v>
      </c>
      <c r="G35" s="136">
        <v>53.45</v>
      </c>
      <c r="H35" s="136"/>
      <c r="I35" s="136"/>
      <c r="J35" s="120" t="s">
        <v>263</v>
      </c>
      <c r="K35" s="120" t="s">
        <v>148</v>
      </c>
      <c r="L35" s="57">
        <f>VLOOKUP(K35,Reinigungstage!A10:D31,4,FALSE)</f>
        <v>1</v>
      </c>
      <c r="M35" s="57">
        <f t="shared" si="0"/>
        <v>53.45</v>
      </c>
      <c r="N35" s="137">
        <f t="shared" si="1"/>
        <v>0</v>
      </c>
      <c r="O35" s="57">
        <f ca="1">IF('SVS GrundRG'!H61="",0,'SVS GrundRG'!H61)</f>
        <v>0</v>
      </c>
      <c r="P35" s="57">
        <f t="shared" si="2"/>
        <v>0</v>
      </c>
      <c r="Q35" s="57">
        <f t="shared" si="3"/>
        <v>0</v>
      </c>
      <c r="R35" s="57">
        <f t="shared" si="4"/>
        <v>0</v>
      </c>
      <c r="S35" s="3" t="str">
        <f t="shared" si="5"/>
        <v>Leistungswert eintragen</v>
      </c>
      <c r="U35" s="3">
        <f t="shared" si="6"/>
        <v>15</v>
      </c>
      <c r="V35" s="3">
        <f t="shared" si="7"/>
        <v>4.5</v>
      </c>
      <c r="W35" s="3">
        <f t="shared" si="8"/>
        <v>19.5</v>
      </c>
      <c r="X35" s="3" t="str">
        <f t="shared" si="9"/>
        <v/>
      </c>
    </row>
    <row r="36" spans="1:24" ht="21" x14ac:dyDescent="0.2">
      <c r="A36" s="120">
        <v>15</v>
      </c>
      <c r="B36" s="134" t="s">
        <v>249</v>
      </c>
      <c r="C36" s="135" t="s">
        <v>213</v>
      </c>
      <c r="D36" s="135"/>
      <c r="E36" s="135" t="s">
        <v>250</v>
      </c>
      <c r="F36" s="135" t="s">
        <v>216</v>
      </c>
      <c r="G36" s="136">
        <v>16.89</v>
      </c>
      <c r="H36" s="136"/>
      <c r="I36" s="136"/>
      <c r="J36" s="120" t="s">
        <v>259</v>
      </c>
      <c r="K36" s="120" t="s">
        <v>148</v>
      </c>
      <c r="L36" s="57">
        <f>VLOOKUP(K36,Reinigungstage!A10:D31,4,FALSE)</f>
        <v>1</v>
      </c>
      <c r="M36" s="57">
        <f t="shared" si="0"/>
        <v>16.89</v>
      </c>
      <c r="N36" s="137">
        <f t="shared" si="1"/>
        <v>0</v>
      </c>
      <c r="O36" s="57">
        <f ca="1">IF('SVS GrundRG'!H61="",0,'SVS GrundRG'!H61)</f>
        <v>0</v>
      </c>
      <c r="P36" s="57">
        <f t="shared" si="2"/>
        <v>0</v>
      </c>
      <c r="Q36" s="57">
        <f t="shared" si="3"/>
        <v>0</v>
      </c>
      <c r="R36" s="57">
        <f t="shared" si="4"/>
        <v>0</v>
      </c>
      <c r="S36" s="3" t="str">
        <f t="shared" si="5"/>
        <v>Leistungswert eintragen</v>
      </c>
      <c r="U36" s="3">
        <f t="shared" si="6"/>
        <v>8.5</v>
      </c>
      <c r="V36" s="3">
        <f t="shared" si="7"/>
        <v>2.5499999999999998</v>
      </c>
      <c r="W36" s="3">
        <f t="shared" si="8"/>
        <v>11.05</v>
      </c>
      <c r="X36" s="3" t="str">
        <f t="shared" si="9"/>
        <v/>
      </c>
    </row>
    <row r="37" spans="1:24" ht="15" customHeight="1" x14ac:dyDescent="0.2">
      <c r="A37" s="120">
        <v>16</v>
      </c>
      <c r="B37" s="134" t="s">
        <v>251</v>
      </c>
      <c r="C37" s="135" t="s">
        <v>213</v>
      </c>
      <c r="D37" s="135"/>
      <c r="E37" s="135" t="s">
        <v>252</v>
      </c>
      <c r="F37" s="135" t="s">
        <v>216</v>
      </c>
      <c r="G37" s="136">
        <v>16.89</v>
      </c>
      <c r="H37" s="136"/>
      <c r="I37" s="136"/>
      <c r="J37" s="120" t="s">
        <v>252</v>
      </c>
      <c r="K37" s="120" t="s">
        <v>148</v>
      </c>
      <c r="L37" s="57">
        <f>VLOOKUP(K37,Reinigungstage!A10:D31,4,FALSE)</f>
        <v>1</v>
      </c>
      <c r="M37" s="57">
        <f t="shared" si="0"/>
        <v>16.89</v>
      </c>
      <c r="N37" s="137">
        <f t="shared" si="1"/>
        <v>0</v>
      </c>
      <c r="O37" s="57">
        <f ca="1">IF('SVS GrundRG'!H61="",0,'SVS GrundRG'!H61)</f>
        <v>0</v>
      </c>
      <c r="P37" s="57">
        <f t="shared" si="2"/>
        <v>0</v>
      </c>
      <c r="Q37" s="57">
        <f t="shared" si="3"/>
        <v>0</v>
      </c>
      <c r="R37" s="57">
        <f t="shared" si="4"/>
        <v>0</v>
      </c>
      <c r="S37" s="3" t="str">
        <f t="shared" si="5"/>
        <v>Leistungswert eintragen</v>
      </c>
      <c r="U37" s="3">
        <f t="shared" si="6"/>
        <v>17.125</v>
      </c>
      <c r="V37" s="3">
        <f t="shared" si="7"/>
        <v>5.1375000000000002</v>
      </c>
      <c r="W37" s="3">
        <f t="shared" si="8"/>
        <v>22.262499999999999</v>
      </c>
      <c r="X37" s="3" t="str">
        <f t="shared" si="9"/>
        <v/>
      </c>
    </row>
    <row r="38" spans="1:24" ht="15" customHeight="1" x14ac:dyDescent="0.2">
      <c r="A38" s="120">
        <v>17</v>
      </c>
      <c r="B38" s="134" t="s">
        <v>253</v>
      </c>
      <c r="C38" s="135" t="s">
        <v>213</v>
      </c>
      <c r="D38" s="135"/>
      <c r="E38" s="135" t="s">
        <v>254</v>
      </c>
      <c r="F38" s="135" t="s">
        <v>219</v>
      </c>
      <c r="G38" s="136">
        <v>16.89</v>
      </c>
      <c r="H38" s="136"/>
      <c r="I38" s="136"/>
      <c r="J38" s="120" t="s">
        <v>261</v>
      </c>
      <c r="K38" s="120" t="s">
        <v>148</v>
      </c>
      <c r="L38" s="57">
        <f>VLOOKUP(K38,Reinigungstage!A10:D31,4,FALSE)</f>
        <v>1</v>
      </c>
      <c r="M38" s="57">
        <f t="shared" si="0"/>
        <v>16.89</v>
      </c>
      <c r="N38" s="137">
        <f t="shared" si="1"/>
        <v>0</v>
      </c>
      <c r="O38" s="57">
        <f ca="1">IF('SVS GrundRG'!H61="",0,'SVS GrundRG'!H61)</f>
        <v>0</v>
      </c>
      <c r="P38" s="57">
        <f t="shared" si="2"/>
        <v>0</v>
      </c>
      <c r="Q38" s="57">
        <f t="shared" si="3"/>
        <v>0</v>
      </c>
      <c r="R38" s="57">
        <f t="shared" si="4"/>
        <v>0</v>
      </c>
      <c r="S38" s="3" t="str">
        <f t="shared" si="5"/>
        <v>Leistungswert eintragen</v>
      </c>
      <c r="U38" s="3">
        <f t="shared" si="6"/>
        <v>24.13</v>
      </c>
      <c r="V38" s="3">
        <f t="shared" si="7"/>
        <v>7.238999999999999</v>
      </c>
      <c r="W38" s="3">
        <f t="shared" si="8"/>
        <v>31.369</v>
      </c>
      <c r="X38" s="3" t="str">
        <f t="shared" si="9"/>
        <v/>
      </c>
    </row>
    <row r="39" spans="1:24" ht="15" customHeight="1" x14ac:dyDescent="0.2">
      <c r="A39" s="120">
        <v>18</v>
      </c>
      <c r="B39" s="134" t="s">
        <v>255</v>
      </c>
      <c r="C39" s="135" t="s">
        <v>213</v>
      </c>
      <c r="D39" s="135"/>
      <c r="E39" s="135" t="s">
        <v>256</v>
      </c>
      <c r="F39" s="135" t="s">
        <v>219</v>
      </c>
      <c r="G39" s="136">
        <v>16.89</v>
      </c>
      <c r="H39" s="136"/>
      <c r="I39" s="136"/>
      <c r="J39" s="120" t="s">
        <v>264</v>
      </c>
      <c r="K39" s="120" t="s">
        <v>148</v>
      </c>
      <c r="L39" s="57">
        <f>VLOOKUP(K39,Reinigungstage!A10:D31,4,FALSE)</f>
        <v>1</v>
      </c>
      <c r="M39" s="57">
        <f t="shared" si="0"/>
        <v>16.89</v>
      </c>
      <c r="N39" s="137">
        <f t="shared" si="1"/>
        <v>0</v>
      </c>
      <c r="O39" s="57">
        <f ca="1">IF('SVS GrundRG'!H61="",0,'SVS GrundRG'!H61)</f>
        <v>0</v>
      </c>
      <c r="P39" s="57">
        <f t="shared" si="2"/>
        <v>0</v>
      </c>
      <c r="Q39" s="57">
        <f t="shared" si="3"/>
        <v>0</v>
      </c>
      <c r="R39" s="57">
        <f t="shared" si="4"/>
        <v>0</v>
      </c>
      <c r="S39" s="3" t="str">
        <f t="shared" si="5"/>
        <v>Leistungswert eintragen</v>
      </c>
      <c r="U39" s="3">
        <f t="shared" si="6"/>
        <v>14.13</v>
      </c>
      <c r="V39" s="3">
        <f t="shared" si="7"/>
        <v>4.2389999999999999</v>
      </c>
      <c r="W39" s="3">
        <f t="shared" si="8"/>
        <v>18.369</v>
      </c>
      <c r="X39" s="3" t="str">
        <f t="shared" si="9"/>
        <v/>
      </c>
    </row>
    <row r="40" spans="1:24" ht="15" customHeight="1" x14ac:dyDescent="0.2">
      <c r="A40" s="120">
        <v>19</v>
      </c>
      <c r="B40" s="134" t="s">
        <v>257</v>
      </c>
      <c r="C40" s="135" t="s">
        <v>213</v>
      </c>
      <c r="D40" s="135" t="s">
        <v>230</v>
      </c>
      <c r="E40" s="135" t="s">
        <v>215</v>
      </c>
      <c r="F40" s="135" t="s">
        <v>216</v>
      </c>
      <c r="G40" s="136">
        <v>70.98</v>
      </c>
      <c r="H40" s="136">
        <v>4.4000000000000004</v>
      </c>
      <c r="I40" s="136"/>
      <c r="J40" s="120" t="s">
        <v>258</v>
      </c>
      <c r="K40" s="120" t="s">
        <v>148</v>
      </c>
      <c r="L40" s="57">
        <f>VLOOKUP(K40,Reinigungstage!A10:D31,4,FALSE)</f>
        <v>1</v>
      </c>
      <c r="M40" s="57">
        <f t="shared" si="0"/>
        <v>70.98</v>
      </c>
      <c r="N40" s="137">
        <f t="shared" si="1"/>
        <v>0</v>
      </c>
      <c r="O40" s="57">
        <f ca="1">IF('SVS GrundRG'!H61="",0,'SVS GrundRG'!H61)</f>
        <v>0</v>
      </c>
      <c r="P40" s="57">
        <f t="shared" si="2"/>
        <v>0</v>
      </c>
      <c r="Q40" s="57">
        <f t="shared" si="3"/>
        <v>0</v>
      </c>
      <c r="R40" s="57">
        <f t="shared" si="4"/>
        <v>0</v>
      </c>
      <c r="S40" s="3" t="str">
        <f t="shared" si="5"/>
        <v>Leistungswert eintragen</v>
      </c>
      <c r="U40" s="3">
        <f t="shared" si="6"/>
        <v>15</v>
      </c>
      <c r="V40" s="3">
        <f t="shared" si="7"/>
        <v>4.5</v>
      </c>
      <c r="W40" s="3">
        <f t="shared" si="8"/>
        <v>19.5</v>
      </c>
      <c r="X40" s="3" t="str">
        <f t="shared" si="9"/>
        <v/>
      </c>
    </row>
  </sheetData>
  <sheetProtection algorithmName="SHA-512" hashValue="5vRcTa8gZcVsLbJmTHqR2Lwkf1IMIRP+OtoKbvvq1O3VWnBLbWQlMK5xNwV/qTvxmGlVVuJCK3N/tf4CnBqbpQ==" saltValue="IlTE8Q0x8T41uO1r6A4RDg==" spinCount="100000" sheet="1" objects="1" scenarios="1"/>
  <sortState xmlns:xlrd2="http://schemas.microsoft.com/office/spreadsheetml/2017/richdata2" ref="U4:U11">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5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7" priority="5" operator="containsText" text="Bitte prüfen Sie diese.">
      <formula>NOT(ISERROR(SEARCH("Bitte prüfen Sie diese.",L9)))</formula>
    </cfRule>
  </conditionalFormatting>
  <conditionalFormatting sqref="L10">
    <cfRule type="containsText" dxfId="5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5" priority="3" operator="containsText" text="lediglich Fehleingaben vermeiden wollen.">
      <formula>NOT(ISERROR(SEARCH("lediglich Fehleingaben vermeiden wollen.",L11)))</formula>
    </cfRule>
  </conditionalFormatting>
  <conditionalFormatting sqref="M11">
    <cfRule type="containsText" dxfId="5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3" priority="7" operator="containsText" text="für die Objektart prüfen.">
      <formula>NOT(ISERROR(SEARCH("für die Objektart prüfen.",M12)))</formula>
    </cfRule>
  </conditionalFormatting>
  <conditionalFormatting sqref="N13">
    <cfRule type="expression" dxfId="52" priority="2" stopIfTrue="1">
      <formula>N13=0</formula>
    </cfRule>
  </conditionalFormatting>
  <conditionalFormatting sqref="N14">
    <cfRule type="expression" dxfId="51" priority="1">
      <formula>N14=0</formula>
    </cfRule>
  </conditionalFormatting>
  <conditionalFormatting sqref="N22:N40">
    <cfRule type="expression" dxfId="50" priority="11">
      <formula>X22=0</formula>
    </cfRule>
    <cfRule type="expression" dxfId="49" priority="12" stopIfTrue="1">
      <formula>X22=1</formula>
    </cfRule>
  </conditionalFormatting>
  <conditionalFormatting sqref="O13">
    <cfRule type="containsText" dxfId="4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7" priority="9" operator="containsText" text="Wert(e) prüfen.">
      <formula>NOT(ISERROR(SEARCH("Wert(e) prüfen.",O14)))</formula>
    </cfRule>
  </conditionalFormatting>
  <conditionalFormatting sqref="S22:S40">
    <cfRule type="containsText" dxfId="46" priority="13" stopIfTrue="1" operator="containsText" text="SVS prüfen">
      <formula>NOT(ISERROR(SEARCH("SVS prüfen",S22)))</formula>
    </cfRule>
    <cfRule type="containsText" dxfId="45" priority="14" stopIfTrue="1" operator="containsText" text="Leistungswert eintragen">
      <formula>NOT(ISERROR(SEARCH("Leistungswert eintragen",S22)))</formula>
    </cfRule>
  </conditionalFormatting>
  <hyperlinks>
    <hyperlink ref="M1" location="Inhaltsverzeichnis!A1" display="Zurück zum Inhaltsverzeichnis" xr:uid="{26EFE6CA-BA58-47A9-9561-C18267B5FDD4}"/>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Spatzen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6B3C-8315-4BE8-B7EC-7D5BA2B3F1C8}">
  <sheetPr codeName="Tabelle23">
    <tabColor indexed="40"/>
  </sheetPr>
  <dimension ref="A1:V2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95" t="s">
        <v>158</v>
      </c>
      <c r="B2" s="196"/>
      <c r="C2" s="196"/>
      <c r="D2" s="196" t="b">
        <v>0</v>
      </c>
      <c r="E2" s="197"/>
      <c r="G2" s="198" t="s">
        <v>171</v>
      </c>
      <c r="H2" s="198" t="s">
        <v>163</v>
      </c>
      <c r="I2" s="198" t="s">
        <v>164</v>
      </c>
      <c r="J2" s="198" t="s">
        <v>183</v>
      </c>
      <c r="M2" s="28" t="b">
        <v>0</v>
      </c>
      <c r="N2" s="15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51"/>
      <c r="P2" s="151"/>
      <c r="Q2" s="151"/>
    </row>
    <row r="3" spans="1:22" ht="21" customHeight="1" x14ac:dyDescent="0.2">
      <c r="A3" s="121" t="s">
        <v>210</v>
      </c>
      <c r="B3" s="122"/>
      <c r="C3" s="122"/>
      <c r="D3" s="122"/>
      <c r="E3" s="123"/>
      <c r="G3" s="199"/>
      <c r="H3" s="199" t="b">
        <v>0</v>
      </c>
      <c r="I3" s="199"/>
      <c r="J3" s="199"/>
      <c r="M3" s="28" t="b">
        <v>0</v>
      </c>
      <c r="N3" s="151"/>
      <c r="O3" s="151"/>
      <c r="P3" s="151"/>
      <c r="Q3" s="151"/>
    </row>
    <row r="4" spans="1:22" ht="15" customHeight="1" x14ac:dyDescent="0.2">
      <c r="A4" s="193" t="s">
        <v>91</v>
      </c>
      <c r="B4" s="181" t="str">
        <f>IF(Inhaltsverzeichnis!C3="","",Inhaltsverzeichnis!C3)</f>
        <v/>
      </c>
      <c r="C4" s="182"/>
      <c r="D4" s="182"/>
      <c r="E4" s="183"/>
      <c r="G4" s="120" t="s">
        <v>252</v>
      </c>
      <c r="H4" s="124"/>
      <c r="I4" s="125">
        <f ca="1">SUMIF('Kal Unter Bed Kita Spatzen'!J22:M25,$G$4,'Kal Unter Bed Kita Spatzen'!M22:M25)</f>
        <v>675.6</v>
      </c>
      <c r="J4" s="79">
        <f>COUNTIFS('Kal Unter Bed Kita Spatzen'!J22:M25,$G$4)</f>
        <v>1</v>
      </c>
      <c r="M4" s="28" t="b">
        <v>0</v>
      </c>
      <c r="N4" s="151"/>
      <c r="O4" s="151"/>
      <c r="P4" s="151"/>
      <c r="Q4" s="151"/>
      <c r="U4" s="120" t="s">
        <v>252</v>
      </c>
      <c r="V4" s="3">
        <v>168.75</v>
      </c>
    </row>
    <row r="5" spans="1:22" ht="15" customHeight="1" x14ac:dyDescent="0.2">
      <c r="A5" s="194"/>
      <c r="B5" s="184"/>
      <c r="C5" s="185"/>
      <c r="D5" s="185"/>
      <c r="E5" s="186"/>
      <c r="G5" s="120" t="s">
        <v>258</v>
      </c>
      <c r="H5" s="124"/>
      <c r="I5" s="125">
        <f ca="1">SUMIF('Kal Unter Bed Kita Spatzen'!J22:M25,$G$5,'Kal Unter Bed Kita Spatzen'!M22:M25)</f>
        <v>1372.8</v>
      </c>
      <c r="J5" s="79">
        <f>COUNTIFS('Kal Unter Bed Kita Spatzen'!J22:M25,$G$5)</f>
        <v>1</v>
      </c>
      <c r="M5" s="28" t="b">
        <v>0</v>
      </c>
      <c r="N5" s="151"/>
      <c r="O5" s="151"/>
      <c r="P5" s="151"/>
      <c r="Q5" s="151"/>
      <c r="U5" s="120" t="s">
        <v>258</v>
      </c>
      <c r="V5" s="3">
        <v>132.5</v>
      </c>
    </row>
    <row r="6" spans="1:22" ht="15" customHeight="1" x14ac:dyDescent="0.2">
      <c r="A6" s="126" t="s">
        <v>181</v>
      </c>
      <c r="B6" s="187" t="s">
        <v>200</v>
      </c>
      <c r="C6" s="188"/>
      <c r="D6" s="188"/>
      <c r="E6" s="189"/>
      <c r="G6" s="120" t="s">
        <v>259</v>
      </c>
      <c r="H6" s="124"/>
      <c r="I6" s="125">
        <f ca="1">SUMIF('Kal Unter Bed Kita Spatzen'!J22:M25,$G$6,'Kal Unter Bed Kita Spatzen'!M22:M25)</f>
        <v>1351.2</v>
      </c>
      <c r="J6" s="79">
        <f>COUNTIFS('Kal Unter Bed Kita Spatzen'!J22:M25,$G$6)</f>
        <v>2</v>
      </c>
      <c r="U6" s="120" t="s">
        <v>259</v>
      </c>
      <c r="V6" s="3">
        <v>53.75</v>
      </c>
    </row>
    <row r="7" spans="1:22" ht="15" customHeight="1" x14ac:dyDescent="0.2">
      <c r="A7" s="127" t="s">
        <v>179</v>
      </c>
      <c r="B7" s="190" t="s">
        <v>201</v>
      </c>
      <c r="C7" s="188"/>
      <c r="D7" s="188"/>
      <c r="E7" s="189"/>
      <c r="U7" s="120" t="s">
        <v>262</v>
      </c>
      <c r="V7" s="3">
        <v>168.75</v>
      </c>
    </row>
    <row r="8" spans="1:22" ht="15" customHeight="1" x14ac:dyDescent="0.2">
      <c r="A8" s="127" t="s">
        <v>180</v>
      </c>
      <c r="B8" s="187" t="s">
        <v>202</v>
      </c>
      <c r="C8" s="188"/>
      <c r="D8" s="188"/>
      <c r="E8" s="189"/>
      <c r="U8" s="120" t="s">
        <v>260</v>
      </c>
      <c r="V8" s="3">
        <v>262.5</v>
      </c>
    </row>
    <row r="9" spans="1:22" ht="15" customHeight="1" x14ac:dyDescent="0.2">
      <c r="A9" s="126" t="s">
        <v>178</v>
      </c>
      <c r="B9" s="191" t="s">
        <v>199</v>
      </c>
      <c r="C9" s="188"/>
      <c r="D9" s="188"/>
      <c r="E9" s="189"/>
      <c r="U9" s="120" t="s">
        <v>263</v>
      </c>
      <c r="V9" s="3">
        <v>136.25</v>
      </c>
    </row>
    <row r="10" spans="1:22" ht="15" customHeight="1" x14ac:dyDescent="0.2">
      <c r="A10" s="127" t="s">
        <v>160</v>
      </c>
      <c r="B10" s="187" t="s">
        <v>203</v>
      </c>
      <c r="C10" s="188"/>
      <c r="D10" s="188"/>
      <c r="E10" s="189"/>
      <c r="U10" s="120" t="s">
        <v>261</v>
      </c>
      <c r="V10" s="3">
        <v>166.25</v>
      </c>
    </row>
    <row r="11" spans="1:22" ht="15" customHeight="1" x14ac:dyDescent="0.2">
      <c r="A11" s="127" t="s">
        <v>161</v>
      </c>
      <c r="B11" s="192" t="s">
        <v>204</v>
      </c>
      <c r="C11" s="188"/>
      <c r="D11" s="188"/>
      <c r="E11" s="189"/>
      <c r="M11" s="3" t="str">
        <f>IF(N13&gt;0,"Bitte die Leistungswerte im Leistungsverzeichnis/ Tabellenblatt Leistungsrichtwerte","")</f>
        <v/>
      </c>
      <c r="U11" s="120" t="s">
        <v>264</v>
      </c>
      <c r="V11" s="3">
        <v>67.5</v>
      </c>
    </row>
    <row r="12" spans="1:22" ht="15" customHeight="1" x14ac:dyDescent="0.2">
      <c r="A12" s="127" t="s">
        <v>162</v>
      </c>
      <c r="B12" s="187" t="s">
        <v>205</v>
      </c>
      <c r="C12" s="188"/>
      <c r="D12" s="188"/>
      <c r="E12" s="189"/>
      <c r="M12" s="3" t="str">
        <f>IF(N13&gt;0,"für die Objektart prüfen.","")</f>
        <v/>
      </c>
    </row>
    <row r="13" spans="1:22" ht="15" customHeight="1" x14ac:dyDescent="0.2">
      <c r="A13" s="127" t="s">
        <v>165</v>
      </c>
      <c r="B13" s="178" t="str">
        <f>HYPERLINK("http://maps.google.de/maps?hl=de&amp;bav=on.2,or.r_qf.&amp;bvm=bv.44770516,d.Yms&amp;biw=1395&amp;bih=916&amp;um=1&amp;ie=UTF-8&amp;q="&amp;B7&amp;"+"&amp;B8&amp;"+"&amp;B10&amp;"+"&amp;B11&amp;"+"&amp;B12&amp;"","In Google-Maps anzeigen (wenn Internet verfügbar)")</f>
        <v>In Google-Maps anzeigen (wenn Internet verfügbar)</v>
      </c>
      <c r="C13" s="179"/>
      <c r="D13" s="179"/>
      <c r="E13" s="180"/>
      <c r="N13" s="128">
        <f>COUNTIF(V22:V$25,1)</f>
        <v>0</v>
      </c>
      <c r="O13" s="3" t="str">
        <f>IF(N13&gt;0,"Wert(e) überschritten, bitte mit dem Angebot plausibel darlegen.","")</f>
        <v/>
      </c>
    </row>
    <row r="14" spans="1:22" ht="15" customHeight="1" x14ac:dyDescent="0.2">
      <c r="N14" s="129">
        <f>COUNTIF(V22:V$25,0)</f>
        <v>4</v>
      </c>
      <c r="O14" s="3" t="str">
        <f>IF(N14&gt;0,"Wert(e) korrekt","")</f>
        <v>Wert(e) korrekt</v>
      </c>
      <c r="T14" s="130">
        <f>IF(COUNTA($T$22:$T$25)-COUNTBLANK($T$22:$T$25)=0,"",COUNTA($T$22:$T$25)-COUNTBLANK($T$22:$T$25))</f>
        <v>4</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31" t="s">
        <v>124</v>
      </c>
      <c r="B21" s="12"/>
      <c r="C21" s="12"/>
      <c r="D21" s="12"/>
      <c r="E21" s="12"/>
      <c r="F21" s="12"/>
      <c r="G21" s="132">
        <f>SUM($G$22:$G$25)</f>
        <v>84.99</v>
      </c>
      <c r="H21" s="132">
        <f>SUM($H$22:$H$25)</f>
        <v>0</v>
      </c>
      <c r="I21" s="132">
        <f>SUM($I$22:$I$25)</f>
        <v>0</v>
      </c>
      <c r="J21" s="57"/>
      <c r="K21" s="57"/>
      <c r="L21" s="133">
        <f>MAX(L22:L25)</f>
        <v>40</v>
      </c>
      <c r="M21" s="132">
        <f>SUM($M$22:$M$25)</f>
        <v>3399.6</v>
      </c>
      <c r="N21" s="57"/>
      <c r="O21" s="57"/>
      <c r="P21" s="132">
        <f>SUM($P$22:$P$25)</f>
        <v>0</v>
      </c>
      <c r="Q21" s="132">
        <f ca="1">SUM($Q$22:$Q$25)</f>
        <v>0</v>
      </c>
      <c r="R21" s="132">
        <f>ROUND(IF(L21=0,0,P21/L21),2)</f>
        <v>0</v>
      </c>
      <c r="S21" s="132">
        <f ca="1">ROUND(IF(L21=0,0,Q21/L21),2)</f>
        <v>0</v>
      </c>
    </row>
    <row r="22" spans="1:22" ht="21" x14ac:dyDescent="0.2">
      <c r="A22" s="120">
        <v>1</v>
      </c>
      <c r="B22" s="134" t="s">
        <v>232</v>
      </c>
      <c r="C22" s="135" t="s">
        <v>213</v>
      </c>
      <c r="D22" s="135" t="s">
        <v>233</v>
      </c>
      <c r="E22" s="135" t="s">
        <v>234</v>
      </c>
      <c r="F22" s="135" t="s">
        <v>219</v>
      </c>
      <c r="G22" s="136">
        <v>16.89</v>
      </c>
      <c r="H22" s="136"/>
      <c r="I22" s="136"/>
      <c r="J22" s="120" t="s">
        <v>259</v>
      </c>
      <c r="K22" s="120" t="s">
        <v>151</v>
      </c>
      <c r="L22" s="57">
        <f>VLOOKUP(K22,Reinigungstage!A10:F31,6,FALSE)</f>
        <v>40</v>
      </c>
      <c r="M22" s="57">
        <f t="shared" ref="M22:M25" si="0">ROUND(IF(L22=0,0,L22*G22),2)</f>
        <v>675.6</v>
      </c>
      <c r="N22" s="137">
        <f t="shared" ref="N22:N25" si="1">VLOOKUP(J22,$G$4:$H$11,2,FALSE)</f>
        <v>0</v>
      </c>
      <c r="O22" s="57">
        <f ca="1">IF('SVS UnterhaltsRG'!H61="",0,'SVS UnterhaltsRG'!H61)</f>
        <v>0</v>
      </c>
      <c r="P22" s="57">
        <f t="shared" ref="P22:P25" si="2">ROUND(IF(N22=0,0,M22/N22),2)</f>
        <v>0</v>
      </c>
      <c r="Q22" s="57">
        <f t="shared" ref="Q22:Q25" ca="1" si="3">IF(M22=0,0,IF(O22="",0,ROUND(P22*O22,2)))</f>
        <v>0</v>
      </c>
      <c r="R22" s="57">
        <f t="shared" ref="R22:R25" si="4">ROUND(IF(P22=0,0,P22/L22),2)</f>
        <v>0</v>
      </c>
      <c r="S22" s="57">
        <f t="shared" ref="S22:S25" ca="1" si="5">ROUND(IF(Q22=0,0,Q22/L22),2)</f>
        <v>0</v>
      </c>
      <c r="T22" s="3" t="str">
        <f t="shared" ref="T22:T25" si="6">IF(M22=0,"",IF(N22=0,"Leistungswert eintragen",IF(O22=0,"SVS prüfen","")))</f>
        <v>Leistungswert eintragen</v>
      </c>
      <c r="U22" s="3">
        <f t="shared" ref="U22:U25" si="7">VLOOKUP(J22,$U$4:$V$11,2,FALSE)</f>
        <v>53.75</v>
      </c>
      <c r="V22" s="3">
        <f t="shared" ref="V22:V25" si="8">IF(M22=0,0,IF(U22&lt;N22,1,IF(U22&gt;=N22,0,"")))</f>
        <v>0</v>
      </c>
    </row>
    <row r="23" spans="1:22" ht="15" customHeight="1" x14ac:dyDescent="0.2">
      <c r="A23" s="120">
        <v>2</v>
      </c>
      <c r="B23" s="134" t="s">
        <v>242</v>
      </c>
      <c r="C23" s="135" t="s">
        <v>213</v>
      </c>
      <c r="D23" s="135" t="s">
        <v>214</v>
      </c>
      <c r="E23" s="135" t="s">
        <v>226</v>
      </c>
      <c r="F23" s="135" t="s">
        <v>216</v>
      </c>
      <c r="G23" s="136">
        <v>34.32</v>
      </c>
      <c r="H23" s="136"/>
      <c r="I23" s="136"/>
      <c r="J23" s="120" t="s">
        <v>258</v>
      </c>
      <c r="K23" s="120" t="s">
        <v>151</v>
      </c>
      <c r="L23" s="57">
        <f>VLOOKUP(K23,Reinigungstage!A10:F31,6,FALSE)</f>
        <v>40</v>
      </c>
      <c r="M23" s="57">
        <f t="shared" si="0"/>
        <v>1372.8</v>
      </c>
      <c r="N23" s="137">
        <f t="shared" si="1"/>
        <v>0</v>
      </c>
      <c r="O23" s="57">
        <f ca="1">IF('SVS UnterhaltsRG'!H61="",0,'SVS UnterhaltsRG'!H61)</f>
        <v>0</v>
      </c>
      <c r="P23" s="57">
        <f t="shared" si="2"/>
        <v>0</v>
      </c>
      <c r="Q23" s="57">
        <f t="shared" ca="1" si="3"/>
        <v>0</v>
      </c>
      <c r="R23" s="57">
        <f t="shared" si="4"/>
        <v>0</v>
      </c>
      <c r="S23" s="57">
        <f t="shared" ca="1" si="5"/>
        <v>0</v>
      </c>
      <c r="T23" s="3" t="str">
        <f t="shared" si="6"/>
        <v>Leistungswert eintragen</v>
      </c>
      <c r="U23" s="3">
        <f t="shared" si="7"/>
        <v>132.5</v>
      </c>
      <c r="V23" s="3">
        <f t="shared" si="8"/>
        <v>0</v>
      </c>
    </row>
    <row r="24" spans="1:22" ht="21" x14ac:dyDescent="0.2">
      <c r="A24" s="120">
        <v>3</v>
      </c>
      <c r="B24" s="134" t="s">
        <v>249</v>
      </c>
      <c r="C24" s="135" t="s">
        <v>213</v>
      </c>
      <c r="D24" s="135"/>
      <c r="E24" s="135" t="s">
        <v>250</v>
      </c>
      <c r="F24" s="135" t="s">
        <v>216</v>
      </c>
      <c r="G24" s="136">
        <v>16.89</v>
      </c>
      <c r="H24" s="136"/>
      <c r="I24" s="136"/>
      <c r="J24" s="120" t="s">
        <v>259</v>
      </c>
      <c r="K24" s="120" t="s">
        <v>151</v>
      </c>
      <c r="L24" s="57">
        <f>VLOOKUP(K24,Reinigungstage!A10:F31,6,FALSE)</f>
        <v>40</v>
      </c>
      <c r="M24" s="57">
        <f t="shared" si="0"/>
        <v>675.6</v>
      </c>
      <c r="N24" s="137">
        <f t="shared" si="1"/>
        <v>0</v>
      </c>
      <c r="O24" s="57">
        <f ca="1">IF('SVS UnterhaltsRG'!H61="",0,'SVS UnterhaltsRG'!H61)</f>
        <v>0</v>
      </c>
      <c r="P24" s="57">
        <f t="shared" si="2"/>
        <v>0</v>
      </c>
      <c r="Q24" s="57">
        <f t="shared" ca="1" si="3"/>
        <v>0</v>
      </c>
      <c r="R24" s="57">
        <f t="shared" si="4"/>
        <v>0</v>
      </c>
      <c r="S24" s="57">
        <f t="shared" ca="1" si="5"/>
        <v>0</v>
      </c>
      <c r="T24" s="3" t="str">
        <f t="shared" si="6"/>
        <v>Leistungswert eintragen</v>
      </c>
      <c r="U24" s="3">
        <f t="shared" si="7"/>
        <v>53.75</v>
      </c>
      <c r="V24" s="3">
        <f t="shared" si="8"/>
        <v>0</v>
      </c>
    </row>
    <row r="25" spans="1:22" ht="15" customHeight="1" x14ac:dyDescent="0.2">
      <c r="A25" s="120">
        <v>4</v>
      </c>
      <c r="B25" s="134" t="s">
        <v>251</v>
      </c>
      <c r="C25" s="135" t="s">
        <v>213</v>
      </c>
      <c r="D25" s="135"/>
      <c r="E25" s="135" t="s">
        <v>252</v>
      </c>
      <c r="F25" s="135" t="s">
        <v>216</v>
      </c>
      <c r="G25" s="136">
        <v>16.89</v>
      </c>
      <c r="H25" s="136"/>
      <c r="I25" s="136"/>
      <c r="J25" s="120" t="s">
        <v>252</v>
      </c>
      <c r="K25" s="120" t="s">
        <v>151</v>
      </c>
      <c r="L25" s="57">
        <f>VLOOKUP(K25,Reinigungstage!A10:F31,6,FALSE)</f>
        <v>40</v>
      </c>
      <c r="M25" s="57">
        <f t="shared" si="0"/>
        <v>675.6</v>
      </c>
      <c r="N25" s="137">
        <f t="shared" si="1"/>
        <v>0</v>
      </c>
      <c r="O25" s="57">
        <f ca="1">IF('SVS UnterhaltsRG'!H61="",0,'SVS UnterhaltsRG'!H61)</f>
        <v>0</v>
      </c>
      <c r="P25" s="57">
        <f t="shared" si="2"/>
        <v>0</v>
      </c>
      <c r="Q25" s="57">
        <f t="shared" ca="1" si="3"/>
        <v>0</v>
      </c>
      <c r="R25" s="57">
        <f t="shared" si="4"/>
        <v>0</v>
      </c>
      <c r="S25" s="57">
        <f t="shared" ca="1" si="5"/>
        <v>0</v>
      </c>
      <c r="T25" s="3" t="str">
        <f t="shared" si="6"/>
        <v>Leistungswert eintragen</v>
      </c>
      <c r="U25" s="3">
        <f t="shared" si="7"/>
        <v>168.75</v>
      </c>
      <c r="V25" s="3">
        <f t="shared" si="8"/>
        <v>0</v>
      </c>
    </row>
  </sheetData>
  <sheetProtection algorithmName="SHA-512" hashValue="V0LaQngxCIAzs+IkxhW6GQRdISN6wOiQ81FFRfdVZ8uUEplw7of6detAM2Qh+5A0uIQvp0Rl/oCUfCgvk0pCvQ==" saltValue="es0Dmbmgqv/7o32kNXwGzA==" spinCount="100000" sheet="1" objects="1" scenarios="1"/>
  <sortState xmlns:xlrd2="http://schemas.microsoft.com/office/spreadsheetml/2017/richdata2" ref="U4:U11">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4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3" priority="5" operator="containsText" text="Bitte prüfen Sie diese.">
      <formula>NOT(ISERROR(SEARCH("Bitte prüfen Sie diese.",L9)))</formula>
    </cfRule>
  </conditionalFormatting>
  <conditionalFormatting sqref="L10">
    <cfRule type="containsText" dxfId="4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41" priority="3" operator="containsText" text="lediglich Fehleingaben vermeiden wollen.">
      <formula>NOT(ISERROR(SEARCH("lediglich Fehleingaben vermeiden wollen.",L11)))</formula>
    </cfRule>
  </conditionalFormatting>
  <conditionalFormatting sqref="M11">
    <cfRule type="containsText" dxfId="4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9" priority="7" operator="containsText" text="für die Objektart prüfen.">
      <formula>NOT(ISERROR(SEARCH("für die Objektart prüfen.",M12)))</formula>
    </cfRule>
  </conditionalFormatting>
  <conditionalFormatting sqref="N13">
    <cfRule type="expression" dxfId="38" priority="2" stopIfTrue="1">
      <formula>N13=0</formula>
    </cfRule>
  </conditionalFormatting>
  <conditionalFormatting sqref="N14">
    <cfRule type="expression" dxfId="37" priority="1">
      <formula>N14=0</formula>
    </cfRule>
  </conditionalFormatting>
  <conditionalFormatting sqref="N22:N25">
    <cfRule type="expression" dxfId="36" priority="11">
      <formula>V22=0</formula>
    </cfRule>
    <cfRule type="expression" dxfId="35" priority="12" stopIfTrue="1">
      <formula>V22=1</formula>
    </cfRule>
  </conditionalFormatting>
  <conditionalFormatting sqref="O13">
    <cfRule type="containsText" dxfId="3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3" priority="9" operator="containsText" text="Wert(e) prüfen.">
      <formula>NOT(ISERROR(SEARCH("Wert(e) prüfen.",O14)))</formula>
    </cfRule>
  </conditionalFormatting>
  <conditionalFormatting sqref="T22:T25">
    <cfRule type="containsText" dxfId="32" priority="13" stopIfTrue="1" operator="containsText" text="SVS prüfen">
      <formula>NOT(ISERROR(SEARCH("SVS prüfen",T22)))</formula>
    </cfRule>
    <cfRule type="containsText" dxfId="31" priority="14" stopIfTrue="1" operator="containsText" text="Leistungswert eintragen">
      <formula>NOT(ISERROR(SEARCH("Leistungswert eintragen",T22)))</formula>
    </cfRule>
  </conditionalFormatting>
  <hyperlinks>
    <hyperlink ref="M1" location="Inhaltsverzeichnis!A1" display="Zurück zum Inhaltsverzeichnis" xr:uid="{990ADBBB-2595-4481-B312-91E2EBCC90AB}"/>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Bed Kita Spatzen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22</vt:i4>
      </vt:variant>
    </vt:vector>
  </HeadingPairs>
  <TitlesOfParts>
    <vt:vector size="37" baseType="lpstr">
      <vt:lpstr>Inhaltsverzeichnis</vt:lpstr>
      <vt:lpstr>Preisübersicht</vt:lpstr>
      <vt:lpstr>Preisübersicht (nach Bedarf)</vt:lpstr>
      <vt:lpstr>SVS UnterhaltsRG</vt:lpstr>
      <vt:lpstr>SVS GrundRG</vt:lpstr>
      <vt:lpstr>SVS Wirtschaft</vt:lpstr>
      <vt:lpstr>Kal Unter Kita Spatzen</vt:lpstr>
      <vt:lpstr>Kal Grund Kita Spatzen</vt:lpstr>
      <vt:lpstr>Kal Unter Bed Kita Spatzen</vt:lpstr>
      <vt:lpstr>Kal Unter Kita Winnie P</vt:lpstr>
      <vt:lpstr>Kal Grund Kita Winnie P</vt:lpstr>
      <vt:lpstr>Kal Verbrauch Gesamt</vt:lpstr>
      <vt:lpstr>Kal Wirtschaft Gesamt</vt:lpstr>
      <vt:lpstr>Kal Wirtschaft Bed</vt:lpstr>
      <vt:lpstr>Reinigungstage</vt:lpstr>
      <vt:lpstr>Inhaltsverzeichnis!Druckbereich</vt:lpstr>
      <vt:lpstr>'Kal Grund Kita Spatzen'!Druckbereich</vt:lpstr>
      <vt:lpstr>'Kal Grund Kita Winnie P'!Druckbereich</vt:lpstr>
      <vt:lpstr>'Kal Unter Bed Kita Spatzen'!Druckbereich</vt:lpstr>
      <vt:lpstr>'Kal Unter Kita Spatzen'!Druckbereich</vt:lpstr>
      <vt:lpstr>'Kal Unter Kita Winnie P'!Druckbereich</vt:lpstr>
      <vt:lpstr>'Kal Verbrauch Gesamt'!Druckbereich</vt:lpstr>
      <vt:lpstr>'Kal Wirtschaft Bed'!Druckbereich</vt:lpstr>
      <vt:lpstr>'Kal Wirtschaft Gesamt'!Druckbereich</vt:lpstr>
      <vt:lpstr>Preisübersicht!Druckbereich</vt:lpstr>
      <vt:lpstr>'Preisübersicht (nach Bedarf)'!Druckbereich</vt:lpstr>
      <vt:lpstr>Reinigungstage!Druckbereich</vt:lpstr>
      <vt:lpstr>'SVS GrundRG'!Druckbereich</vt:lpstr>
      <vt:lpstr>'SVS UnterhaltsRG'!Druckbereich</vt:lpstr>
      <vt:lpstr>'SVS Wirtschaft'!Druckbereich</vt:lpstr>
      <vt:lpstr>'Kal Grund Kita Spatzen'!Drucktitel</vt:lpstr>
      <vt:lpstr>'Kal Grund Kita Winnie P'!Drucktitel</vt:lpstr>
      <vt:lpstr>'Kal Unter Bed Kita Spatzen'!Drucktitel</vt:lpstr>
      <vt:lpstr>'Kal Unter Kita Spatzen'!Drucktitel</vt:lpstr>
      <vt:lpstr>'Kal Unter Kita Winnie P'!Drucktitel</vt:lpstr>
      <vt:lpstr>Preisübersicht!Drucktitel</vt:lpstr>
      <vt:lpstr>'Preisübersicht (nach Bedarf)'!Drucktitel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2026-03-12T13:07:53Z</cp:lastPrinted>
  <dcterms:created xsi:type="dcterms:W3CDTF">2012-06-08T19:50:39Z</dcterms:created>
  <dcterms:modified xsi:type="dcterms:W3CDTF">2026-03-24T10:32:02Z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