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7.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8.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9.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10.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11.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12.xml" ContentType="application/vnd.openxmlformats-officedocument.drawing+xml"/>
  <Override PartName="/xl/ctrlProps/ctrlProp30.xml" ContentType="application/vnd.ms-excel.controlproperties+xml"/>
  <Override PartName="/xl/drawings/drawing13.xml" ContentType="application/vnd.openxmlformats-officedocument.drawing+xml"/>
  <Override PartName="/xl/ctrlProps/ctrlProp31.xml" ContentType="application/vnd.ms-excel.controlproperties+xml"/>
  <Override PartName="/xl/drawings/drawing14.xml" ContentType="application/vnd.openxmlformats-officedocument.drawing+xml"/>
  <Override PartName="/xl/ctrlProps/ctrlProp32.xml" ContentType="application/vnd.ms-excel.controlproperties+xml"/>
  <Override PartName="/xl/drawings/drawing15.xml" ContentType="application/vnd.openxmlformats-officedocument.drawing+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DieseArbeitsmappe" defaultThemeVersion="124226"/>
  <mc:AlternateContent xmlns:mc="http://schemas.openxmlformats.org/markup-compatibility/2006">
    <mc:Choice Requires="x15">
      <x15ac:absPath xmlns:x15ac="http://schemas.microsoft.com/office/spreadsheetml/2010/11/ac" url="S:\Kunden\Staßfurt, Stadtpflegebetrieb\Reinigung 2025\4-Leistungsbeschreibungen\2-ERK\"/>
    </mc:Choice>
  </mc:AlternateContent>
  <xr:revisionPtr revIDLastSave="0" documentId="13_ncr:1_{B4CBA98A-C249-48FC-B07C-35DEC70D4B5B}" xr6:coauthVersionLast="47" xr6:coauthVersionMax="47" xr10:uidLastSave="{00000000-0000-0000-0000-000000000000}"/>
  <workbookProtection workbookAlgorithmName="SHA-512" workbookHashValue="AY1NXA5N01TQL7qoetIYMyR2THlGy3W+nKjYb16VgFTAjcyKB5BNGOopI+q5OtWcNGu3PXdh5s62X8yobrrt9A==" workbookSaltValue="rxkCIx+RmJYMa/UCtja+oQ==" workbookSpinCount="100000" lockStructure="1"/>
  <bookViews>
    <workbookView xWindow="-120" yWindow="-120" windowWidth="38640" windowHeight="21120" tabRatio="861" xr2:uid="{00000000-000D-0000-FFFF-FFFF00000000}"/>
  </bookViews>
  <sheets>
    <sheet name="Inhaltsverzeichnis" sheetId="1" r:id="rId1"/>
    <sheet name="Preisübersicht" sheetId="3" r:id="rId2"/>
    <sheet name="Preisübersicht (nach Bedarf)" sheetId="68" r:id="rId3"/>
    <sheet name="SVS UnterhaltsRG" sheetId="38" r:id="rId4"/>
    <sheet name="SVS GrundRG" sheetId="29" r:id="rId5"/>
    <sheet name="SVS Sonderreinigung" sheetId="67" r:id="rId6"/>
    <sheet name="SVS Wirtschaft" sheetId="51" r:id="rId7"/>
    <sheet name="Kal Unter Kita Regenb" sheetId="62" r:id="rId8"/>
    <sheet name="Kal Grund Kita Regenb" sheetId="64" r:id="rId9"/>
    <sheet name="Kal Unter Kita Teichspa" sheetId="63" r:id="rId10"/>
    <sheet name="Kal Grund Kita Teichspa" sheetId="65" r:id="rId11"/>
    <sheet name="Kal Sonderreinigung Bed" sheetId="66" r:id="rId12"/>
    <sheet name="Kal Verbrauch Gesamt" sheetId="26" r:id="rId13"/>
    <sheet name="Kal Wirtschaft Gesamt" sheetId="24" r:id="rId14"/>
    <sheet name="Reinigungstage" sheetId="46" r:id="rId15"/>
  </sheets>
  <definedNames>
    <definedName name="berAuftragskosten" localSheetId="8">SVS #REF!</definedName>
    <definedName name="berAuftragskosten" localSheetId="10">SVS #REF!</definedName>
    <definedName name="berAuftragskosten" localSheetId="11">SVS #REF!</definedName>
    <definedName name="berAuftragskosten" localSheetId="7">SVS #REF!</definedName>
    <definedName name="berAuftragskosten" localSheetId="9">SVS #REF!</definedName>
    <definedName name="berAuftragskosten" localSheetId="2">SVS #REF!</definedName>
    <definedName name="berAuftragskosten" localSheetId="5">SVS #REF!</definedName>
    <definedName name="berAuftragskosten">SVS #REF!</definedName>
    <definedName name="BereichSVSGrundWC">#REF!</definedName>
    <definedName name="berRGTageObjekt">#REF!</definedName>
    <definedName name="_xlnm.Print_Area" localSheetId="0">Inhaltsverzeichnis!$A$1:$L$24</definedName>
    <definedName name="_xlnm.Print_Area" localSheetId="8">'Kal Grund Kita Regenb'!$A$1:$R$34</definedName>
    <definedName name="_xlnm.Print_Area" localSheetId="10">'Kal Grund Kita Teichspa'!$A$1:$R$44</definedName>
    <definedName name="_xlnm.Print_Area" localSheetId="11">'Kal Sonderreinigung Bed'!$A$1:$G$5</definedName>
    <definedName name="_xlnm.Print_Area" localSheetId="7">'Kal Unter Kita Regenb'!$A$1:$S$35</definedName>
    <definedName name="_xlnm.Print_Area" localSheetId="9">'Kal Unter Kita Teichspa'!$A$1:$S$45</definedName>
    <definedName name="_xlnm.Print_Area" localSheetId="12">'Kal Verbrauch Gesamt'!$A$1:$G$25</definedName>
    <definedName name="_xlnm.Print_Area" localSheetId="13">'Kal Wirtschaft Gesamt'!$A$1:$J$19</definedName>
    <definedName name="_xlnm.Print_Area" localSheetId="1">Preisübersicht!$A$1:$I$8</definedName>
    <definedName name="_xlnm.Print_Area" localSheetId="2">'Preisübersicht (nach Bedarf)'!$A$1:$E$6</definedName>
    <definedName name="_xlnm.Print_Area" localSheetId="14">Reinigungstage!$A$1:$G$31</definedName>
    <definedName name="_xlnm.Print_Area" localSheetId="4">'SVS GrundRG'!$A$1:$I$79</definedName>
    <definedName name="_xlnm.Print_Area" localSheetId="5">'SVS Sonderreinigung'!$A$1:$I$79</definedName>
    <definedName name="_xlnm.Print_Area" localSheetId="3">'SVS UnterhaltsRG'!$A$1:$I$79</definedName>
    <definedName name="_xlnm.Print_Area" localSheetId="6">'SVS Wirtschaft'!$A$1:$J$79</definedName>
    <definedName name="_xlnm.Print_Titles" localSheetId="8">'Kal Grund Kita Regenb'!$20:$21</definedName>
    <definedName name="_xlnm.Print_Titles" localSheetId="10">'Kal Grund Kita Teichspa'!$20:$21</definedName>
    <definedName name="_xlnm.Print_Titles" localSheetId="7">'Kal Unter Kita Regenb'!$20:$21</definedName>
    <definedName name="_xlnm.Print_Titles" localSheetId="9">'Kal Unter Kita Teichspa'!$20:$21</definedName>
    <definedName name="_xlnm.Print_Titles" localSheetId="1">Preisübersicht!$1:$5</definedName>
    <definedName name="_xlnm.Print_Titles" localSheetId="2">'Preisübersicht (nach Bedarf)'!$1:$5</definedName>
    <definedName name="Ferien">#REF!</definedName>
    <definedName name="sAuftragskosten" localSheetId="8">SVS #REF!</definedName>
    <definedName name="sAuftragskosten" localSheetId="10">SVS #REF!</definedName>
    <definedName name="sAuftragskosten" localSheetId="11">SVS #REF!</definedName>
    <definedName name="sAuftragskosten" localSheetId="7">SVS #REF!</definedName>
    <definedName name="sAuftragskosten" localSheetId="9">SVS #REF!</definedName>
    <definedName name="sAuftragskosten" localSheetId="2">SVS #REF!</definedName>
    <definedName name="sAuftragskosten" localSheetId="5">SVS #REF!</definedName>
    <definedName name="sAuftragskosten">SVS #REF!</definedName>
    <definedName name="SVListe">#REF!</definedName>
    <definedName name="TTListe">#REF!</definedName>
    <definedName name="Turnus">#REF!</definedName>
    <definedName name="TurnusKita" localSheetId="11">#REF!</definedName>
    <definedName name="TurnusKita">#REF!</definedName>
    <definedName name="TurnusSchule" localSheetId="11">#REF!</definedName>
    <definedName name="TurnusSchule">#REF!</definedName>
    <definedName name="TurnusVerwaltung" localSheetId="11">#REF!</definedName>
    <definedName name="TurnusVerwal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24" l="1"/>
  <c r="H7" i="24"/>
  <c r="H8" i="24"/>
  <c r="H9" i="24"/>
  <c r="G9" i="24" s="1"/>
  <c r="H10" i="24"/>
  <c r="G10" i="24" s="1"/>
  <c r="H11" i="24"/>
  <c r="H12" i="24"/>
  <c r="G12" i="24" s="1"/>
  <c r="H5" i="24"/>
  <c r="H24" i="1"/>
  <c r="H23" i="1"/>
  <c r="E7" i="3"/>
  <c r="E6" i="3"/>
  <c r="L21" i="65"/>
  <c r="L21" i="63"/>
  <c r="L21" i="64"/>
  <c r="L21" i="62"/>
  <c r="J24" i="1"/>
  <c r="C6" i="68"/>
  <c r="E6" i="68" s="1"/>
  <c r="D6" i="68" s="1"/>
  <c r="B3" i="68"/>
  <c r="C2" i="68"/>
  <c r="H3" i="26"/>
  <c r="G9" i="26"/>
  <c r="H9" i="26"/>
  <c r="G10" i="26"/>
  <c r="H10" i="26"/>
  <c r="G11" i="26"/>
  <c r="H11" i="26"/>
  <c r="G12" i="26"/>
  <c r="H12" i="26"/>
  <c r="G13" i="26"/>
  <c r="H13" i="26"/>
  <c r="B2" i="66"/>
  <c r="C2" i="67"/>
  <c r="D76" i="67"/>
  <c r="K68" i="67"/>
  <c r="K67" i="67"/>
  <c r="K66" i="67"/>
  <c r="K65" i="67"/>
  <c r="K60" i="67"/>
  <c r="H60" i="67"/>
  <c r="H57" i="67"/>
  <c r="F57" i="67"/>
  <c r="K56" i="67"/>
  <c r="H56" i="67"/>
  <c r="K55" i="67"/>
  <c r="H55" i="67"/>
  <c r="K54" i="67"/>
  <c r="H54" i="67"/>
  <c r="K53" i="67"/>
  <c r="H53" i="67"/>
  <c r="K52" i="67"/>
  <c r="H52" i="67"/>
  <c r="K51" i="67"/>
  <c r="H51" i="67"/>
  <c r="K50" i="67"/>
  <c r="H50" i="67"/>
  <c r="K48" i="67"/>
  <c r="H48" i="67"/>
  <c r="K47" i="67"/>
  <c r="H47" i="67"/>
  <c r="K46" i="67"/>
  <c r="H46" i="67"/>
  <c r="H42" i="67"/>
  <c r="K42" i="67" s="1"/>
  <c r="F42" i="67"/>
  <c r="K41" i="67"/>
  <c r="H41" i="67"/>
  <c r="K40" i="67"/>
  <c r="H40" i="67"/>
  <c r="K39" i="67"/>
  <c r="H39" i="67"/>
  <c r="K38" i="67"/>
  <c r="H38" i="67"/>
  <c r="H34" i="67"/>
  <c r="K34" i="67" s="1"/>
  <c r="F34" i="67"/>
  <c r="F59" i="67" s="1"/>
  <c r="K33" i="67"/>
  <c r="H33" i="67"/>
  <c r="K32" i="67"/>
  <c r="H32" i="67"/>
  <c r="F28" i="67"/>
  <c r="K27" i="67"/>
  <c r="H27" i="67"/>
  <c r="K25" i="67"/>
  <c r="D23" i="67"/>
  <c r="D21" i="67"/>
  <c r="D19" i="67"/>
  <c r="D17" i="67"/>
  <c r="H14" i="67"/>
  <c r="K14" i="67" s="1"/>
  <c r="F14" i="67"/>
  <c r="D26" i="67" s="1"/>
  <c r="K13" i="67"/>
  <c r="H13" i="67"/>
  <c r="K12" i="67"/>
  <c r="H12" i="67"/>
  <c r="K11" i="67"/>
  <c r="H11" i="67"/>
  <c r="K10" i="67"/>
  <c r="H10" i="67"/>
  <c r="K9" i="67"/>
  <c r="H9" i="67"/>
  <c r="E1" i="67"/>
  <c r="H5" i="66"/>
  <c r="H3" i="66" s="1"/>
  <c r="G5" i="66"/>
  <c r="D2" i="66"/>
  <c r="E23" i="1"/>
  <c r="F6" i="1"/>
  <c r="H8" i="26"/>
  <c r="G8" i="26"/>
  <c r="H7" i="26"/>
  <c r="G7" i="26"/>
  <c r="H6" i="26"/>
  <c r="G6" i="26"/>
  <c r="H5" i="26"/>
  <c r="G5" i="26"/>
  <c r="U44" i="65"/>
  <c r="U43" i="65"/>
  <c r="U42" i="65"/>
  <c r="U41" i="65"/>
  <c r="U40" i="65"/>
  <c r="U39" i="65"/>
  <c r="U38" i="65"/>
  <c r="U37" i="65"/>
  <c r="U36" i="65"/>
  <c r="U35" i="65"/>
  <c r="U34" i="65"/>
  <c r="U33" i="65"/>
  <c r="U32" i="65"/>
  <c r="U31" i="65"/>
  <c r="U30" i="65"/>
  <c r="U29" i="65"/>
  <c r="U28" i="65"/>
  <c r="U27" i="65"/>
  <c r="U26" i="65"/>
  <c r="U25" i="65"/>
  <c r="U24" i="65"/>
  <c r="U23" i="65"/>
  <c r="U22" i="65"/>
  <c r="N44" i="65"/>
  <c r="N43" i="65"/>
  <c r="N42" i="65"/>
  <c r="N41" i="65"/>
  <c r="N40" i="65"/>
  <c r="N39" i="65"/>
  <c r="N38" i="65"/>
  <c r="N37" i="65"/>
  <c r="N36" i="65"/>
  <c r="N35" i="65"/>
  <c r="P35" i="65" s="1"/>
  <c r="N34" i="65"/>
  <c r="P34" i="65" s="1"/>
  <c r="N33" i="65"/>
  <c r="N32" i="65"/>
  <c r="N31" i="65"/>
  <c r="N30" i="65"/>
  <c r="N29" i="65"/>
  <c r="N28" i="65"/>
  <c r="N27" i="65"/>
  <c r="N26" i="65"/>
  <c r="N25" i="65"/>
  <c r="N24" i="65"/>
  <c r="N23" i="65"/>
  <c r="P23" i="65" s="1"/>
  <c r="N22" i="65"/>
  <c r="I21" i="65"/>
  <c r="H21" i="65"/>
  <c r="G21" i="65"/>
  <c r="V44" i="65"/>
  <c r="W44" i="65" s="1"/>
  <c r="X44" i="65" s="1"/>
  <c r="P44" i="65"/>
  <c r="V43" i="65"/>
  <c r="W43" i="65" s="1"/>
  <c r="X43" i="65" s="1"/>
  <c r="P43" i="65"/>
  <c r="V42" i="65"/>
  <c r="W42" i="65" s="1"/>
  <c r="X42" i="65" s="1"/>
  <c r="P42" i="65"/>
  <c r="V41" i="65"/>
  <c r="W41" i="65" s="1"/>
  <c r="X41" i="65" s="1"/>
  <c r="P41" i="65"/>
  <c r="V40" i="65"/>
  <c r="W40" i="65" s="1"/>
  <c r="X40" i="65" s="1"/>
  <c r="P40" i="65"/>
  <c r="V39" i="65"/>
  <c r="W39" i="65" s="1"/>
  <c r="X39" i="65" s="1"/>
  <c r="P39" i="65"/>
  <c r="V38" i="65"/>
  <c r="W38" i="65" s="1"/>
  <c r="X38" i="65" s="1"/>
  <c r="P38" i="65"/>
  <c r="V37" i="65"/>
  <c r="W37" i="65" s="1"/>
  <c r="X37" i="65" s="1"/>
  <c r="P37" i="65"/>
  <c r="V36" i="65"/>
  <c r="W36" i="65" s="1"/>
  <c r="X36" i="65" s="1"/>
  <c r="P36" i="65"/>
  <c r="V35" i="65"/>
  <c r="W35" i="65" s="1"/>
  <c r="X35" i="65" s="1"/>
  <c r="U34" i="64"/>
  <c r="U33" i="64"/>
  <c r="U32" i="64"/>
  <c r="U31" i="64"/>
  <c r="U30" i="64"/>
  <c r="U29" i="64"/>
  <c r="U28" i="64"/>
  <c r="U27" i="64"/>
  <c r="U26" i="64"/>
  <c r="U25" i="64"/>
  <c r="U24" i="64"/>
  <c r="U23" i="64"/>
  <c r="U22" i="64"/>
  <c r="N34" i="64"/>
  <c r="N33" i="64"/>
  <c r="N32" i="64"/>
  <c r="N31" i="64"/>
  <c r="N30" i="64"/>
  <c r="N29" i="64"/>
  <c r="N28" i="64"/>
  <c r="N27" i="64"/>
  <c r="N26" i="64"/>
  <c r="N25" i="64"/>
  <c r="N24" i="64"/>
  <c r="N23" i="64"/>
  <c r="N22" i="64"/>
  <c r="I21" i="64"/>
  <c r="H21" i="64"/>
  <c r="G21" i="64"/>
  <c r="V34" i="64"/>
  <c r="W34" i="64" s="1"/>
  <c r="X34" i="64" s="1"/>
  <c r="P34" i="64"/>
  <c r="V33" i="64"/>
  <c r="W33" i="64" s="1"/>
  <c r="X33" i="64" s="1"/>
  <c r="P33" i="64"/>
  <c r="V32" i="64"/>
  <c r="W32" i="64" s="1"/>
  <c r="X32" i="64" s="1"/>
  <c r="P32" i="64"/>
  <c r="V31" i="64"/>
  <c r="W31" i="64" s="1"/>
  <c r="X31" i="64" s="1"/>
  <c r="P31" i="64"/>
  <c r="V30" i="64"/>
  <c r="W30" i="64" s="1"/>
  <c r="X30" i="64" s="1"/>
  <c r="P30" i="64"/>
  <c r="V29" i="64"/>
  <c r="W29" i="64" s="1"/>
  <c r="X29" i="64" s="1"/>
  <c r="P29" i="64"/>
  <c r="V28" i="64"/>
  <c r="W28" i="64" s="1"/>
  <c r="X28" i="64" s="1"/>
  <c r="P28" i="64"/>
  <c r="V27" i="64"/>
  <c r="W27" i="64" s="1"/>
  <c r="X27" i="64" s="1"/>
  <c r="P27" i="64"/>
  <c r="V26" i="64"/>
  <c r="W26" i="64" s="1"/>
  <c r="X26" i="64" s="1"/>
  <c r="P26" i="64"/>
  <c r="V25" i="64"/>
  <c r="W25" i="64" s="1"/>
  <c r="X25" i="64" s="1"/>
  <c r="P25" i="64"/>
  <c r="V24" i="64"/>
  <c r="W24" i="64" s="1"/>
  <c r="V23" i="64"/>
  <c r="W23" i="64" s="1"/>
  <c r="V22" i="64"/>
  <c r="W22" i="64" s="1"/>
  <c r="U45" i="63"/>
  <c r="U44" i="63"/>
  <c r="U43" i="63"/>
  <c r="U42" i="63"/>
  <c r="U41" i="63"/>
  <c r="U40" i="63"/>
  <c r="U39" i="63"/>
  <c r="U38" i="63"/>
  <c r="U37" i="63"/>
  <c r="U36" i="63"/>
  <c r="U35" i="63"/>
  <c r="U34" i="63"/>
  <c r="U33" i="63"/>
  <c r="U32" i="63"/>
  <c r="U31" i="63"/>
  <c r="U30" i="63"/>
  <c r="U29" i="63"/>
  <c r="U28" i="63"/>
  <c r="U27" i="63"/>
  <c r="U26" i="63"/>
  <c r="U25" i="63"/>
  <c r="U24" i="63"/>
  <c r="U23" i="63"/>
  <c r="U22" i="63"/>
  <c r="N45" i="63"/>
  <c r="N44" i="63"/>
  <c r="N43" i="63"/>
  <c r="P43" i="63" s="1"/>
  <c r="R43" i="63" s="1"/>
  <c r="N42" i="63"/>
  <c r="N41" i="63"/>
  <c r="N40" i="63"/>
  <c r="N39" i="63"/>
  <c r="N38" i="63"/>
  <c r="P38" i="63" s="1"/>
  <c r="R38" i="63" s="1"/>
  <c r="N37" i="63"/>
  <c r="P37" i="63" s="1"/>
  <c r="R37" i="63" s="1"/>
  <c r="N36" i="63"/>
  <c r="N35" i="63"/>
  <c r="N34" i="63"/>
  <c r="P34" i="63" s="1"/>
  <c r="R34" i="63" s="1"/>
  <c r="N33" i="63"/>
  <c r="N32" i="63"/>
  <c r="P32" i="63" s="1"/>
  <c r="R32" i="63" s="1"/>
  <c r="N31" i="63"/>
  <c r="N30" i="63"/>
  <c r="P30" i="63" s="1"/>
  <c r="R30" i="63" s="1"/>
  <c r="N29" i="63"/>
  <c r="P29" i="63" s="1"/>
  <c r="R29" i="63" s="1"/>
  <c r="N28" i="63"/>
  <c r="N27" i="63"/>
  <c r="P27" i="63" s="1"/>
  <c r="R27" i="63" s="1"/>
  <c r="N26" i="63"/>
  <c r="P26" i="63" s="1"/>
  <c r="R26" i="63" s="1"/>
  <c r="N25" i="63"/>
  <c r="P25" i="63" s="1"/>
  <c r="R25" i="63" s="1"/>
  <c r="N24" i="63"/>
  <c r="N23" i="63"/>
  <c r="N22" i="63"/>
  <c r="P22" i="63" s="1"/>
  <c r="I21" i="63"/>
  <c r="H21" i="63"/>
  <c r="G21" i="63"/>
  <c r="P45" i="63"/>
  <c r="R45" i="63" s="1"/>
  <c r="P44" i="63"/>
  <c r="R44" i="63" s="1"/>
  <c r="P42" i="63"/>
  <c r="R42" i="63" s="1"/>
  <c r="P41" i="63"/>
  <c r="R41" i="63" s="1"/>
  <c r="P40" i="63"/>
  <c r="R40" i="63" s="1"/>
  <c r="P39" i="63"/>
  <c r="R39" i="63" s="1"/>
  <c r="P36" i="63"/>
  <c r="R36" i="63" s="1"/>
  <c r="P35" i="63"/>
  <c r="R35" i="63" s="1"/>
  <c r="P33" i="63"/>
  <c r="R33" i="63" s="1"/>
  <c r="P31" i="63"/>
  <c r="R31" i="63" s="1"/>
  <c r="P28" i="63"/>
  <c r="R28" i="63" s="1"/>
  <c r="P24" i="63"/>
  <c r="R24" i="63" s="1"/>
  <c r="P23" i="63"/>
  <c r="R23" i="63" s="1"/>
  <c r="U35" i="62"/>
  <c r="U34" i="62"/>
  <c r="U33" i="62"/>
  <c r="U32" i="62"/>
  <c r="U31" i="62"/>
  <c r="U30" i="62"/>
  <c r="U29" i="62"/>
  <c r="U28" i="62"/>
  <c r="U27" i="62"/>
  <c r="U26" i="62"/>
  <c r="U25" i="62"/>
  <c r="U24" i="62"/>
  <c r="U23" i="62"/>
  <c r="U22" i="62"/>
  <c r="N35" i="62"/>
  <c r="N34" i="62"/>
  <c r="N33" i="62"/>
  <c r="N32" i="62"/>
  <c r="N31" i="62"/>
  <c r="N30" i="62"/>
  <c r="N29" i="62"/>
  <c r="N28" i="62"/>
  <c r="P28" i="62" s="1"/>
  <c r="R28" i="62" s="1"/>
  <c r="N27" i="62"/>
  <c r="P27" i="62" s="1"/>
  <c r="R27" i="62" s="1"/>
  <c r="N26" i="62"/>
  <c r="P26" i="62" s="1"/>
  <c r="R26" i="62" s="1"/>
  <c r="N25" i="62"/>
  <c r="P25" i="62" s="1"/>
  <c r="R25" i="62" s="1"/>
  <c r="N24" i="62"/>
  <c r="P24" i="62" s="1"/>
  <c r="R24" i="62" s="1"/>
  <c r="N23" i="62"/>
  <c r="P23" i="62" s="1"/>
  <c r="R23" i="62" s="1"/>
  <c r="N22" i="62"/>
  <c r="P22" i="62" s="1"/>
  <c r="R21" i="62"/>
  <c r="I21" i="62"/>
  <c r="H21" i="62"/>
  <c r="G21" i="62"/>
  <c r="P35" i="62"/>
  <c r="R35" i="62" s="1"/>
  <c r="P34" i="62"/>
  <c r="R34" i="62" s="1"/>
  <c r="P33" i="62"/>
  <c r="R33" i="62" s="1"/>
  <c r="P32" i="62"/>
  <c r="R32" i="62" s="1"/>
  <c r="P31" i="62"/>
  <c r="R31" i="62" s="1"/>
  <c r="P30" i="62"/>
  <c r="R30" i="62" s="1"/>
  <c r="P29" i="62"/>
  <c r="R29" i="62" s="1"/>
  <c r="H19" i="24"/>
  <c r="G19" i="24" s="1"/>
  <c r="H17" i="24"/>
  <c r="G17" i="24" s="1"/>
  <c r="L44" i="65"/>
  <c r="M44" i="65" s="1"/>
  <c r="L43" i="65"/>
  <c r="M43" i="65" s="1"/>
  <c r="L42" i="65"/>
  <c r="M42" i="65" s="1"/>
  <c r="L41" i="65"/>
  <c r="M41" i="65" s="1"/>
  <c r="L40" i="65"/>
  <c r="M40" i="65" s="1"/>
  <c r="L39" i="65"/>
  <c r="M39" i="65" s="1"/>
  <c r="L38" i="65"/>
  <c r="M38" i="65" s="1"/>
  <c r="L37" i="65"/>
  <c r="M37" i="65" s="1"/>
  <c r="L36" i="65"/>
  <c r="M36" i="65" s="1"/>
  <c r="L35" i="65"/>
  <c r="M35" i="65" s="1"/>
  <c r="L34" i="65"/>
  <c r="M34" i="65" s="1"/>
  <c r="L33" i="65"/>
  <c r="M33" i="65" s="1"/>
  <c r="L32" i="65"/>
  <c r="M32" i="65" s="1"/>
  <c r="L31" i="65"/>
  <c r="M31" i="65" s="1"/>
  <c r="L30" i="65"/>
  <c r="M30" i="65" s="1"/>
  <c r="L29" i="65"/>
  <c r="M29" i="65" s="1"/>
  <c r="L28" i="65"/>
  <c r="M28" i="65" s="1"/>
  <c r="L27" i="65"/>
  <c r="M27" i="65" s="1"/>
  <c r="L26" i="65"/>
  <c r="M26" i="65" s="1"/>
  <c r="L25" i="65"/>
  <c r="M25" i="65" s="1"/>
  <c r="L24" i="65"/>
  <c r="M24" i="65" s="1"/>
  <c r="L23" i="65"/>
  <c r="M23" i="65" s="1"/>
  <c r="L22" i="65"/>
  <c r="L34" i="64"/>
  <c r="M34" i="64" s="1"/>
  <c r="L33" i="64"/>
  <c r="M33" i="64" s="1"/>
  <c r="L32" i="64"/>
  <c r="M32" i="64" s="1"/>
  <c r="L31" i="64"/>
  <c r="M31" i="64" s="1"/>
  <c r="L30" i="64"/>
  <c r="M30" i="64" s="1"/>
  <c r="L29" i="64"/>
  <c r="M29" i="64" s="1"/>
  <c r="L28" i="64"/>
  <c r="M28" i="64" s="1"/>
  <c r="L27" i="64"/>
  <c r="M27" i="64" s="1"/>
  <c r="L26" i="64"/>
  <c r="M26" i="64" s="1"/>
  <c r="L25" i="64"/>
  <c r="M25" i="64" s="1"/>
  <c r="L24" i="64"/>
  <c r="M24" i="64" s="1"/>
  <c r="L23" i="64"/>
  <c r="M23" i="64" s="1"/>
  <c r="L22" i="64"/>
  <c r="M22" i="64" s="1"/>
  <c r="L45" i="63"/>
  <c r="M45" i="63" s="1"/>
  <c r="L44" i="63"/>
  <c r="M44" i="63" s="1"/>
  <c r="L43" i="63"/>
  <c r="M43" i="63" s="1"/>
  <c r="L42" i="63"/>
  <c r="M42" i="63" s="1"/>
  <c r="L41" i="63"/>
  <c r="M41" i="63" s="1"/>
  <c r="L40" i="63"/>
  <c r="M40" i="63" s="1"/>
  <c r="L39" i="63"/>
  <c r="M39" i="63" s="1"/>
  <c r="L38" i="63"/>
  <c r="M38" i="63" s="1"/>
  <c r="L37" i="63"/>
  <c r="M37" i="63" s="1"/>
  <c r="L36" i="63"/>
  <c r="M36" i="63" s="1"/>
  <c r="L35" i="63"/>
  <c r="M35" i="63" s="1"/>
  <c r="L34" i="63"/>
  <c r="M34" i="63" s="1"/>
  <c r="L33" i="63"/>
  <c r="M33" i="63" s="1"/>
  <c r="L32" i="63"/>
  <c r="M32" i="63" s="1"/>
  <c r="L31" i="63"/>
  <c r="M31" i="63" s="1"/>
  <c r="L30" i="63"/>
  <c r="M30" i="63" s="1"/>
  <c r="L29" i="63"/>
  <c r="M29" i="63" s="1"/>
  <c r="L28" i="63"/>
  <c r="M28" i="63" s="1"/>
  <c r="L27" i="63"/>
  <c r="M27" i="63" s="1"/>
  <c r="L26" i="63"/>
  <c r="M26" i="63" s="1"/>
  <c r="L25" i="63"/>
  <c r="M25" i="63" s="1"/>
  <c r="L24" i="63"/>
  <c r="M24" i="63" s="1"/>
  <c r="L23" i="63"/>
  <c r="M23" i="63" s="1"/>
  <c r="L22" i="63"/>
  <c r="M22" i="63" s="1"/>
  <c r="L35" i="62"/>
  <c r="M35" i="62" s="1"/>
  <c r="L33" i="62"/>
  <c r="M33" i="62" s="1"/>
  <c r="L32" i="62"/>
  <c r="M32" i="62" s="1"/>
  <c r="L31" i="62"/>
  <c r="M31" i="62" s="1"/>
  <c r="L30" i="62"/>
  <c r="M30" i="62" s="1"/>
  <c r="L29" i="62"/>
  <c r="M29" i="62" s="1"/>
  <c r="L28" i="62"/>
  <c r="M28" i="62" s="1"/>
  <c r="L27" i="62"/>
  <c r="M27" i="62" s="1"/>
  <c r="L26" i="62"/>
  <c r="M26" i="62" s="1"/>
  <c r="L25" i="62"/>
  <c r="M25" i="62" s="1"/>
  <c r="L24" i="62"/>
  <c r="M24" i="62" s="1"/>
  <c r="L22" i="62"/>
  <c r="M22" i="62" s="1"/>
  <c r="G22" i="46"/>
  <c r="G21" i="46"/>
  <c r="G20" i="46"/>
  <c r="G19" i="46"/>
  <c r="G18" i="46"/>
  <c r="G17" i="46"/>
  <c r="G16" i="46"/>
  <c r="G15" i="46"/>
  <c r="G14" i="46"/>
  <c r="G13" i="46"/>
  <c r="G12" i="46"/>
  <c r="G11" i="46"/>
  <c r="G10" i="46"/>
  <c r="F22" i="46"/>
  <c r="F21" i="46"/>
  <c r="F20" i="46"/>
  <c r="F19" i="46"/>
  <c r="F18" i="46"/>
  <c r="F17" i="46"/>
  <c r="F16" i="46"/>
  <c r="F15" i="46"/>
  <c r="F14" i="46"/>
  <c r="F13" i="46"/>
  <c r="F12" i="46"/>
  <c r="F11" i="46"/>
  <c r="F10" i="46"/>
  <c r="E22" i="46"/>
  <c r="E21" i="46"/>
  <c r="D22" i="46"/>
  <c r="D21" i="46"/>
  <c r="C22" i="46"/>
  <c r="C21" i="46"/>
  <c r="C20" i="46"/>
  <c r="C19" i="46"/>
  <c r="C18" i="46"/>
  <c r="C17" i="46"/>
  <c r="C16" i="46"/>
  <c r="C15" i="46"/>
  <c r="C14" i="46"/>
  <c r="C13" i="46"/>
  <c r="C12" i="46"/>
  <c r="C11" i="46"/>
  <c r="C10" i="46"/>
  <c r="B22" i="46"/>
  <c r="B21" i="46"/>
  <c r="B20" i="46"/>
  <c r="B19" i="46"/>
  <c r="B18" i="46"/>
  <c r="B17" i="46"/>
  <c r="B16" i="46"/>
  <c r="B15" i="46"/>
  <c r="B14" i="46"/>
  <c r="B13" i="46"/>
  <c r="B12" i="46"/>
  <c r="B11" i="46"/>
  <c r="B10" i="46"/>
  <c r="B13" i="65"/>
  <c r="B4" i="65"/>
  <c r="N2" i="65"/>
  <c r="B13" i="64"/>
  <c r="B4" i="64"/>
  <c r="N2" i="64"/>
  <c r="B13" i="63"/>
  <c r="B4" i="63"/>
  <c r="N2" i="63"/>
  <c r="B13" i="62"/>
  <c r="B4" i="62"/>
  <c r="N2" i="62"/>
  <c r="R21" i="63" l="1"/>
  <c r="E24" i="1"/>
  <c r="P24" i="64"/>
  <c r="X24" i="64"/>
  <c r="H59" i="67"/>
  <c r="K57" i="67"/>
  <c r="H28" i="67"/>
  <c r="D24" i="67"/>
  <c r="D22" i="67"/>
  <c r="D20" i="67"/>
  <c r="D18" i="67"/>
  <c r="H29" i="67"/>
  <c r="K29" i="67" s="1"/>
  <c r="F26" i="67"/>
  <c r="H26" i="67" s="1"/>
  <c r="G11" i="24"/>
  <c r="H18" i="24"/>
  <c r="G18" i="24" s="1"/>
  <c r="G8" i="24"/>
  <c r="H16" i="24"/>
  <c r="G16" i="24" s="1"/>
  <c r="H14" i="24"/>
  <c r="G14" i="24" s="1"/>
  <c r="G6" i="24"/>
  <c r="H15" i="24"/>
  <c r="G15" i="24" s="1"/>
  <c r="H13" i="24"/>
  <c r="G13" i="24" s="1"/>
  <c r="G5" i="24"/>
  <c r="G7" i="24"/>
  <c r="M22" i="65"/>
  <c r="I8" i="65"/>
  <c r="J8" i="65"/>
  <c r="J9" i="65"/>
  <c r="I10" i="65"/>
  <c r="J10" i="65"/>
  <c r="M21" i="64"/>
  <c r="I4" i="64"/>
  <c r="J7" i="64"/>
  <c r="I6" i="64"/>
  <c r="J9" i="64"/>
  <c r="J4" i="64"/>
  <c r="I5" i="64"/>
  <c r="J5" i="64"/>
  <c r="I9" i="64"/>
  <c r="I8" i="64"/>
  <c r="J6" i="64"/>
  <c r="J8" i="64"/>
  <c r="I7" i="64"/>
  <c r="V45" i="63"/>
  <c r="V44" i="63"/>
  <c r="V43" i="63"/>
  <c r="V42" i="63"/>
  <c r="V41" i="63"/>
  <c r="V40" i="63"/>
  <c r="V39" i="63"/>
  <c r="V38" i="63"/>
  <c r="V37" i="63"/>
  <c r="V36" i="63"/>
  <c r="T35" i="63"/>
  <c r="Q35" i="63"/>
  <c r="S35" i="63" s="1"/>
  <c r="V35" i="63"/>
  <c r="V34" i="63"/>
  <c r="V33" i="63"/>
  <c r="V32" i="63"/>
  <c r="V31" i="63"/>
  <c r="V30" i="63"/>
  <c r="V29" i="63"/>
  <c r="V28" i="63"/>
  <c r="V27" i="63"/>
  <c r="V26" i="63"/>
  <c r="V25" i="63"/>
  <c r="V24" i="63"/>
  <c r="V23" i="63"/>
  <c r="M21" i="63"/>
  <c r="J8" i="63"/>
  <c r="I8" i="63"/>
  <c r="I5" i="63"/>
  <c r="I10" i="63"/>
  <c r="I6" i="63"/>
  <c r="J10" i="63"/>
  <c r="J7" i="63"/>
  <c r="I9" i="63"/>
  <c r="I4" i="63"/>
  <c r="I7" i="63"/>
  <c r="J4" i="63"/>
  <c r="J11" i="63"/>
  <c r="J9" i="63"/>
  <c r="J5" i="63"/>
  <c r="V22" i="63"/>
  <c r="J6" i="63"/>
  <c r="I11" i="63"/>
  <c r="V35" i="62"/>
  <c r="V33" i="62"/>
  <c r="V32" i="62"/>
  <c r="Q31" i="62"/>
  <c r="S31" i="62" s="1"/>
  <c r="T31" i="62"/>
  <c r="V31" i="62"/>
  <c r="V30" i="62"/>
  <c r="Q29" i="62"/>
  <c r="S29" i="62" s="1"/>
  <c r="T29" i="62"/>
  <c r="V29" i="62"/>
  <c r="V28" i="62"/>
  <c r="V27" i="62"/>
  <c r="V26" i="62"/>
  <c r="V25" i="62"/>
  <c r="Q24" i="62"/>
  <c r="S24" i="62" s="1"/>
  <c r="T24" i="62"/>
  <c r="V24" i="62"/>
  <c r="V22" i="62"/>
  <c r="L34" i="62"/>
  <c r="M34" i="62" s="1"/>
  <c r="L23" i="62"/>
  <c r="V34" i="65"/>
  <c r="W34" i="65" s="1"/>
  <c r="X34" i="65" s="1"/>
  <c r="V33" i="65"/>
  <c r="W33" i="65" s="1"/>
  <c r="V32" i="65"/>
  <c r="W32" i="65" s="1"/>
  <c r="V31" i="65"/>
  <c r="W31" i="65" s="1"/>
  <c r="V30" i="65"/>
  <c r="W30" i="65" s="1"/>
  <c r="V29" i="65"/>
  <c r="W29" i="65" s="1"/>
  <c r="X29" i="65" s="1"/>
  <c r="V28" i="65"/>
  <c r="W28" i="65" s="1"/>
  <c r="X28" i="65" s="1"/>
  <c r="V27" i="65"/>
  <c r="W27" i="65" s="1"/>
  <c r="X27" i="65" s="1"/>
  <c r="V26" i="65"/>
  <c r="W26" i="65" s="1"/>
  <c r="X26" i="65" s="1"/>
  <c r="V25" i="65"/>
  <c r="W25" i="65" s="1"/>
  <c r="X25" i="65" s="1"/>
  <c r="V24" i="65"/>
  <c r="W24" i="65" s="1"/>
  <c r="X24" i="65" s="1"/>
  <c r="V23" i="65"/>
  <c r="W23" i="65" s="1"/>
  <c r="X23" i="65" s="1"/>
  <c r="V22" i="65"/>
  <c r="W22" i="65" s="1"/>
  <c r="X22" i="65" s="1"/>
  <c r="X33" i="65"/>
  <c r="P33" i="65"/>
  <c r="X32" i="65"/>
  <c r="P32" i="65"/>
  <c r="X31" i="65"/>
  <c r="P31" i="65"/>
  <c r="X30" i="65"/>
  <c r="P30" i="65"/>
  <c r="P29" i="65"/>
  <c r="P28" i="65"/>
  <c r="P27" i="65"/>
  <c r="P26" i="65"/>
  <c r="P25" i="65"/>
  <c r="P24" i="65"/>
  <c r="P22" i="65"/>
  <c r="X23" i="64"/>
  <c r="P23" i="64"/>
  <c r="X22" i="64"/>
  <c r="P22" i="64"/>
  <c r="R22" i="63"/>
  <c r="P21" i="63"/>
  <c r="P21" i="62"/>
  <c r="R22" i="62"/>
  <c r="D17" i="51"/>
  <c r="D17" i="29"/>
  <c r="D17" i="38"/>
  <c r="D18" i="38"/>
  <c r="F18" i="38" s="1"/>
  <c r="D19" i="38"/>
  <c r="D20" i="38"/>
  <c r="F20" i="38" s="1"/>
  <c r="D21" i="38"/>
  <c r="D22" i="38"/>
  <c r="F22" i="38"/>
  <c r="D76" i="51"/>
  <c r="D76" i="29"/>
  <c r="F24" i="67" l="1"/>
  <c r="H24" i="67"/>
  <c r="F22" i="67"/>
  <c r="H22" i="67" s="1"/>
  <c r="F20" i="67"/>
  <c r="H20" i="67" s="1"/>
  <c r="F18" i="67"/>
  <c r="H61" i="67"/>
  <c r="F5" i="66" s="1"/>
  <c r="K61" i="67"/>
  <c r="M21" i="65"/>
  <c r="I5" i="65"/>
  <c r="J4" i="65"/>
  <c r="J5" i="65"/>
  <c r="I6" i="65"/>
  <c r="J6" i="65"/>
  <c r="I7" i="65"/>
  <c r="J7" i="65"/>
  <c r="I9" i="65"/>
  <c r="I4" i="65"/>
  <c r="V34" i="62"/>
  <c r="N14" i="63"/>
  <c r="O14" i="63" s="1"/>
  <c r="N13" i="63"/>
  <c r="M23" i="62"/>
  <c r="J4" i="62"/>
  <c r="I8" i="62"/>
  <c r="I7" i="62"/>
  <c r="J9" i="62"/>
  <c r="I6" i="62"/>
  <c r="I9" i="62"/>
  <c r="I5" i="62"/>
  <c r="J10" i="62"/>
  <c r="J8" i="62"/>
  <c r="J6" i="62"/>
  <c r="I10" i="62"/>
  <c r="J5" i="62"/>
  <c r="J7" i="62"/>
  <c r="N14" i="65"/>
  <c r="P21" i="65"/>
  <c r="N14" i="64"/>
  <c r="P21" i="64"/>
  <c r="H18" i="38"/>
  <c r="H20" i="38"/>
  <c r="K23" i="67" l="1"/>
  <c r="K19" i="67"/>
  <c r="K17" i="67"/>
  <c r="K21" i="67"/>
  <c r="K28" i="67"/>
  <c r="A1" i="67"/>
  <c r="K5" i="67"/>
  <c r="F61" i="67"/>
  <c r="F62" i="67" s="1"/>
  <c r="K62" i="67" s="1"/>
  <c r="F29" i="67"/>
  <c r="H18" i="67"/>
  <c r="V23" i="62"/>
  <c r="I4" i="62"/>
  <c r="M21" i="62"/>
  <c r="M12" i="63"/>
  <c r="M11" i="63"/>
  <c r="O13" i="63"/>
  <c r="L8" i="65"/>
  <c r="L10" i="65"/>
  <c r="L11" i="65"/>
  <c r="O14" i="65"/>
  <c r="L9" i="65"/>
  <c r="L8" i="64"/>
  <c r="O14" i="64"/>
  <c r="L11" i="64"/>
  <c r="L10" i="64"/>
  <c r="L9" i="64"/>
  <c r="D76" i="38"/>
  <c r="D23" i="38" s="1"/>
  <c r="D24" i="38" s="1"/>
  <c r="F24" i="38" s="1"/>
  <c r="F57" i="51"/>
  <c r="F42" i="51"/>
  <c r="F34" i="51"/>
  <c r="F59" i="51" s="1"/>
  <c r="F57" i="29"/>
  <c r="F42" i="29"/>
  <c r="F34" i="29"/>
  <c r="F59" i="29" s="1"/>
  <c r="F57" i="38"/>
  <c r="F42" i="38"/>
  <c r="F34" i="38"/>
  <c r="F59" i="38" s="1"/>
  <c r="E2" i="24"/>
  <c r="N13" i="62" l="1"/>
  <c r="N14" i="62"/>
  <c r="O14" i="62" s="1"/>
  <c r="F28" i="51"/>
  <c r="D23" i="51"/>
  <c r="D21" i="51"/>
  <c r="D19" i="51"/>
  <c r="F28" i="29"/>
  <c r="D23" i="29"/>
  <c r="D21" i="29"/>
  <c r="D19" i="29"/>
  <c r="F28" i="38"/>
  <c r="M12" i="62" l="1"/>
  <c r="O13" i="62"/>
  <c r="M11" i="62"/>
  <c r="B2" i="26"/>
  <c r="B2" i="24"/>
  <c r="D2" i="26" l="1"/>
  <c r="E1" i="51" l="1"/>
  <c r="C2" i="38" l="1"/>
  <c r="C2" i="29"/>
  <c r="C2" i="51"/>
  <c r="C2" i="3" l="1"/>
  <c r="E1" i="46" l="1"/>
  <c r="E1" i="29"/>
  <c r="E1" i="38"/>
  <c r="I2" i="1"/>
  <c r="K68" i="51" l="1"/>
  <c r="K67" i="51"/>
  <c r="K66" i="51"/>
  <c r="K65" i="51"/>
  <c r="K60" i="51"/>
  <c r="K56" i="51"/>
  <c r="H56" i="51"/>
  <c r="K55" i="51"/>
  <c r="H55" i="51"/>
  <c r="K54" i="51"/>
  <c r="H54" i="51"/>
  <c r="K53" i="51"/>
  <c r="H53" i="51"/>
  <c r="K52" i="51"/>
  <c r="H52" i="51"/>
  <c r="K51" i="51"/>
  <c r="H51" i="51"/>
  <c r="K50" i="51"/>
  <c r="H50" i="51"/>
  <c r="K48" i="51"/>
  <c r="H48" i="51"/>
  <c r="K47" i="51"/>
  <c r="H47" i="51"/>
  <c r="K46" i="51"/>
  <c r="H46" i="51"/>
  <c r="K41" i="51"/>
  <c r="H41" i="51"/>
  <c r="K40" i="51"/>
  <c r="H40" i="51"/>
  <c r="K39" i="51"/>
  <c r="H39" i="51"/>
  <c r="K38" i="51"/>
  <c r="H38" i="51"/>
  <c r="K33" i="51"/>
  <c r="H33" i="51"/>
  <c r="K32" i="51"/>
  <c r="H32" i="51"/>
  <c r="H28" i="51"/>
  <c r="K27" i="51"/>
  <c r="H27" i="51"/>
  <c r="K25" i="51"/>
  <c r="F14" i="51"/>
  <c r="D26" i="51" s="1"/>
  <c r="K13" i="51"/>
  <c r="H13" i="51"/>
  <c r="H14" i="51" s="1"/>
  <c r="K14" i="51" s="1"/>
  <c r="K12" i="51"/>
  <c r="H12" i="51"/>
  <c r="K11" i="51"/>
  <c r="H11" i="51"/>
  <c r="K10" i="51"/>
  <c r="H10" i="51"/>
  <c r="K9" i="51"/>
  <c r="H9" i="51"/>
  <c r="H34" i="51" l="1"/>
  <c r="K34" i="51" s="1"/>
  <c r="H42" i="51"/>
  <c r="K42" i="51" s="1"/>
  <c r="H57" i="51"/>
  <c r="H59" i="51" s="1"/>
  <c r="H60" i="51" s="1"/>
  <c r="F26" i="51"/>
  <c r="H26" i="51" s="1"/>
  <c r="D18" i="51"/>
  <c r="D20" i="51"/>
  <c r="D22" i="51"/>
  <c r="D24" i="51"/>
  <c r="H61" i="51"/>
  <c r="K61" i="51"/>
  <c r="I18" i="24" l="1"/>
  <c r="I19" i="24"/>
  <c r="I16" i="24"/>
  <c r="I17" i="24"/>
  <c r="I14" i="24"/>
  <c r="I15" i="24"/>
  <c r="I13" i="24"/>
  <c r="I12" i="24"/>
  <c r="I10" i="24"/>
  <c r="I11" i="24"/>
  <c r="I8" i="24"/>
  <c r="I9" i="24"/>
  <c r="I6" i="24"/>
  <c r="I7" i="24"/>
  <c r="I5" i="24"/>
  <c r="K17" i="51"/>
  <c r="F61" i="51"/>
  <c r="F62" i="51" s="1"/>
  <c r="K62" i="51" s="1"/>
  <c r="K5" i="51"/>
  <c r="K28" i="51"/>
  <c r="K23" i="51"/>
  <c r="K21" i="51"/>
  <c r="K19" i="51"/>
  <c r="H29" i="51"/>
  <c r="K29" i="51" s="1"/>
  <c r="K57" i="51"/>
  <c r="A1" i="51"/>
  <c r="F22" i="51"/>
  <c r="H22" i="51" s="1"/>
  <c r="F24" i="51"/>
  <c r="H24" i="51" s="1"/>
  <c r="F20" i="51"/>
  <c r="H20" i="51" s="1"/>
  <c r="F18" i="51"/>
  <c r="F29" i="51" s="1"/>
  <c r="K14" i="24" l="1"/>
  <c r="J14" i="24"/>
  <c r="K12" i="24"/>
  <c r="J12" i="24"/>
  <c r="K17" i="24"/>
  <c r="J17" i="24"/>
  <c r="K15" i="24"/>
  <c r="J15" i="24"/>
  <c r="K13" i="24"/>
  <c r="J13" i="24"/>
  <c r="K16" i="24"/>
  <c r="J16" i="24"/>
  <c r="K18" i="24"/>
  <c r="J18" i="24"/>
  <c r="K19" i="24"/>
  <c r="J19" i="24"/>
  <c r="K10" i="24"/>
  <c r="J10" i="24"/>
  <c r="K11" i="24"/>
  <c r="J11" i="24"/>
  <c r="K8" i="24"/>
  <c r="J8" i="24"/>
  <c r="K9" i="24"/>
  <c r="J9" i="24"/>
  <c r="K6" i="24"/>
  <c r="J6" i="24"/>
  <c r="K7" i="24"/>
  <c r="J7" i="24"/>
  <c r="K5" i="24"/>
  <c r="J5" i="24"/>
  <c r="I23" i="1" s="1"/>
  <c r="H18" i="51"/>
  <c r="B2" i="46"/>
  <c r="I24" i="1" l="1"/>
  <c r="F7" i="3"/>
  <c r="F6" i="3"/>
  <c r="K3" i="24"/>
  <c r="K68" i="29"/>
  <c r="K67" i="29"/>
  <c r="K66" i="29"/>
  <c r="K65" i="29"/>
  <c r="K60" i="29"/>
  <c r="K56" i="29"/>
  <c r="K55" i="29"/>
  <c r="K54" i="29"/>
  <c r="K53" i="29"/>
  <c r="K52" i="29"/>
  <c r="K51" i="29"/>
  <c r="K50" i="29"/>
  <c r="K48" i="29"/>
  <c r="K47" i="29"/>
  <c r="K46" i="29"/>
  <c r="K41" i="29"/>
  <c r="K40" i="29"/>
  <c r="K39" i="29"/>
  <c r="K38" i="29"/>
  <c r="K33" i="29"/>
  <c r="K32" i="29"/>
  <c r="K27" i="29"/>
  <c r="K25" i="29"/>
  <c r="K13" i="29"/>
  <c r="K12" i="29"/>
  <c r="K11" i="29"/>
  <c r="K10" i="29"/>
  <c r="K9" i="29"/>
  <c r="K68" i="38"/>
  <c r="K67" i="38"/>
  <c r="K66" i="38"/>
  <c r="K65" i="38"/>
  <c r="K60" i="38"/>
  <c r="K56" i="38"/>
  <c r="K55" i="38"/>
  <c r="K54" i="38"/>
  <c r="K53" i="38"/>
  <c r="K52" i="38"/>
  <c r="K51" i="38"/>
  <c r="K50" i="38"/>
  <c r="K48" i="38"/>
  <c r="K47" i="38"/>
  <c r="K46" i="38"/>
  <c r="K41" i="38"/>
  <c r="K40" i="38"/>
  <c r="K39" i="38"/>
  <c r="K38" i="38"/>
  <c r="K33" i="38"/>
  <c r="K32" i="38"/>
  <c r="K27" i="38"/>
  <c r="K25" i="38"/>
  <c r="K13" i="38"/>
  <c r="K12" i="38"/>
  <c r="K11" i="38"/>
  <c r="K10" i="38"/>
  <c r="K9" i="38"/>
  <c r="H56" i="29"/>
  <c r="H55" i="29"/>
  <c r="H54" i="29"/>
  <c r="H53" i="29"/>
  <c r="H52" i="29"/>
  <c r="H51" i="29"/>
  <c r="H50" i="29"/>
  <c r="H48" i="29"/>
  <c r="H47" i="29"/>
  <c r="H46" i="29"/>
  <c r="H41" i="29"/>
  <c r="H40" i="29"/>
  <c r="H39" i="29"/>
  <c r="H38" i="29"/>
  <c r="H33" i="29"/>
  <c r="H32" i="29"/>
  <c r="H28" i="29"/>
  <c r="H27" i="29"/>
  <c r="H13" i="29"/>
  <c r="H14" i="29" s="1"/>
  <c r="K14" i="29" s="1"/>
  <c r="H12" i="29"/>
  <c r="H11" i="29"/>
  <c r="H10" i="29"/>
  <c r="H9" i="29"/>
  <c r="H56" i="38"/>
  <c r="H55" i="38"/>
  <c r="H54" i="38"/>
  <c r="H53" i="38"/>
  <c r="H52" i="38"/>
  <c r="H51" i="38"/>
  <c r="H50" i="38"/>
  <c r="H48" i="38"/>
  <c r="H47" i="38"/>
  <c r="H46" i="38"/>
  <c r="H41" i="38"/>
  <c r="H40" i="38"/>
  <c r="H39" i="38"/>
  <c r="H38" i="38"/>
  <c r="H33" i="38"/>
  <c r="H32" i="38"/>
  <c r="H28" i="38"/>
  <c r="H27" i="38"/>
  <c r="H13" i="38"/>
  <c r="H14" i="38" s="1"/>
  <c r="K14" i="38" s="1"/>
  <c r="H12" i="38"/>
  <c r="H11" i="38"/>
  <c r="H10" i="38"/>
  <c r="H9" i="38"/>
  <c r="F14" i="38"/>
  <c r="D26" i="38" s="1"/>
  <c r="F26" i="38" s="1"/>
  <c r="F14" i="29"/>
  <c r="D18" i="29" s="1"/>
  <c r="B3" i="3"/>
  <c r="D20" i="29" l="1"/>
  <c r="F20" i="29" s="1"/>
  <c r="D26" i="29"/>
  <c r="F26" i="29" s="1"/>
  <c r="H34" i="38"/>
  <c r="K34" i="38" s="1"/>
  <c r="F18" i="29"/>
  <c r="D24" i="29"/>
  <c r="F24" i="29" s="1"/>
  <c r="D22" i="29"/>
  <c r="H42" i="38"/>
  <c r="K42" i="38" s="1"/>
  <c r="H57" i="38"/>
  <c r="H22" i="38"/>
  <c r="H34" i="29"/>
  <c r="K34" i="29" s="1"/>
  <c r="H42" i="29"/>
  <c r="K42" i="29" s="1"/>
  <c r="H57" i="29"/>
  <c r="H26" i="38"/>
  <c r="K61" i="38"/>
  <c r="H61" i="38"/>
  <c r="K61" i="29"/>
  <c r="H61" i="29"/>
  <c r="O43" i="65" l="1"/>
  <c r="O44" i="65"/>
  <c r="O41" i="65"/>
  <c r="O42" i="65"/>
  <c r="O39" i="65"/>
  <c r="O40" i="65"/>
  <c r="O37" i="65"/>
  <c r="O38" i="65"/>
  <c r="O35" i="65"/>
  <c r="O36" i="65"/>
  <c r="O34" i="65"/>
  <c r="O32" i="65"/>
  <c r="O33" i="65"/>
  <c r="O30" i="65"/>
  <c r="O31" i="65"/>
  <c r="O28" i="65"/>
  <c r="O29" i="65"/>
  <c r="O26" i="65"/>
  <c r="O27" i="65"/>
  <c r="O24" i="65"/>
  <c r="O25" i="65"/>
  <c r="O22" i="65"/>
  <c r="O23" i="65"/>
  <c r="O33" i="64"/>
  <c r="O34" i="64"/>
  <c r="O31" i="64"/>
  <c r="O32" i="64"/>
  <c r="O30" i="64"/>
  <c r="O28" i="64"/>
  <c r="O29" i="64"/>
  <c r="O26" i="64"/>
  <c r="O27" i="64"/>
  <c r="O24" i="64"/>
  <c r="O25" i="64"/>
  <c r="O22" i="64"/>
  <c r="O23" i="64"/>
  <c r="O44" i="63"/>
  <c r="O45" i="63"/>
  <c r="O42" i="63"/>
  <c r="O43" i="63"/>
  <c r="O40" i="63"/>
  <c r="O41" i="63"/>
  <c r="O38" i="63"/>
  <c r="O39" i="63"/>
  <c r="O36" i="63"/>
  <c r="O37" i="63"/>
  <c r="O34" i="63"/>
  <c r="O35" i="63"/>
  <c r="O32" i="63"/>
  <c r="O33" i="63"/>
  <c r="O30" i="63"/>
  <c r="O31" i="63"/>
  <c r="O28" i="63"/>
  <c r="O29" i="63"/>
  <c r="O26" i="63"/>
  <c r="O27" i="63"/>
  <c r="O24" i="63"/>
  <c r="O25" i="63"/>
  <c r="O22" i="63"/>
  <c r="O23" i="63"/>
  <c r="O34" i="62"/>
  <c r="O35" i="62"/>
  <c r="O32" i="62"/>
  <c r="O33" i="62"/>
  <c r="O30" i="62"/>
  <c r="O31" i="62"/>
  <c r="O28" i="62"/>
  <c r="O29" i="62"/>
  <c r="O26" i="62"/>
  <c r="O27" i="62"/>
  <c r="O24" i="62"/>
  <c r="O25" i="62"/>
  <c r="O22" i="62"/>
  <c r="O23" i="62"/>
  <c r="K17" i="29"/>
  <c r="K17" i="38"/>
  <c r="K19" i="38"/>
  <c r="H18" i="29"/>
  <c r="F61" i="29"/>
  <c r="F62" i="29" s="1"/>
  <c r="K62" i="29" s="1"/>
  <c r="F61" i="38"/>
  <c r="F62" i="38" s="1"/>
  <c r="K5" i="29"/>
  <c r="K5" i="38"/>
  <c r="K28" i="29"/>
  <c r="K23" i="29"/>
  <c r="K21" i="29"/>
  <c r="K19" i="29"/>
  <c r="K28" i="38"/>
  <c r="K23" i="38"/>
  <c r="K21" i="38"/>
  <c r="H26" i="29"/>
  <c r="H20" i="29"/>
  <c r="A1" i="29"/>
  <c r="A1" i="38"/>
  <c r="F22" i="29"/>
  <c r="H22" i="29" s="1"/>
  <c r="H24" i="38"/>
  <c r="H59" i="38"/>
  <c r="H60" i="38" s="1"/>
  <c r="K57" i="38"/>
  <c r="H29" i="29"/>
  <c r="K29" i="29" s="1"/>
  <c r="F29" i="38"/>
  <c r="H29" i="38"/>
  <c r="K29" i="38" s="1"/>
  <c r="H59" i="29"/>
  <c r="H60" i="29" s="1"/>
  <c r="K57" i="29"/>
  <c r="H24" i="29"/>
  <c r="S33" i="65" l="1"/>
  <c r="Q33" i="65"/>
  <c r="R33" i="65" s="1"/>
  <c r="S42" i="65"/>
  <c r="Q42" i="65"/>
  <c r="R42" i="65" s="1"/>
  <c r="Q37" i="65"/>
  <c r="R37" i="65" s="1"/>
  <c r="S37" i="65"/>
  <c r="S35" i="65"/>
  <c r="Q35" i="65"/>
  <c r="R35" i="65" s="1"/>
  <c r="S36" i="65"/>
  <c r="Q36" i="65"/>
  <c r="R36" i="65" s="1"/>
  <c r="S25" i="65"/>
  <c r="Q25" i="65"/>
  <c r="R25" i="65" s="1"/>
  <c r="S22" i="65"/>
  <c r="Q22" i="65"/>
  <c r="R22" i="65" s="1"/>
  <c r="S34" i="65"/>
  <c r="Q34" i="65"/>
  <c r="R34" i="65" s="1"/>
  <c r="S39" i="65"/>
  <c r="Q39" i="65"/>
  <c r="R39" i="65" s="1"/>
  <c r="S40" i="65"/>
  <c r="Q40" i="65"/>
  <c r="R40" i="65" s="1"/>
  <c r="S38" i="65"/>
  <c r="Q38" i="65"/>
  <c r="R38" i="65" s="1"/>
  <c r="S43" i="65"/>
  <c r="Q43" i="65"/>
  <c r="R43" i="65" s="1"/>
  <c r="S44" i="65"/>
  <c r="Q44" i="65"/>
  <c r="R44" i="65" s="1"/>
  <c r="S31" i="65"/>
  <c r="Q31" i="65"/>
  <c r="R31" i="65" s="1"/>
  <c r="S28" i="65"/>
  <c r="Q28" i="65"/>
  <c r="R28" i="65" s="1"/>
  <c r="S27" i="65"/>
  <c r="Q27" i="65"/>
  <c r="R27" i="65" s="1"/>
  <c r="S41" i="65"/>
  <c r="Q41" i="65"/>
  <c r="R41" i="65" s="1"/>
  <c r="S30" i="65"/>
  <c r="Q30" i="65"/>
  <c r="R30" i="65" s="1"/>
  <c r="S29" i="65"/>
  <c r="Q29" i="65"/>
  <c r="R29" i="65" s="1"/>
  <c r="S26" i="65"/>
  <c r="Q26" i="65"/>
  <c r="R26" i="65" s="1"/>
  <c r="S24" i="65"/>
  <c r="Q24" i="65"/>
  <c r="R24" i="65" s="1"/>
  <c r="Q23" i="65"/>
  <c r="R23" i="65" s="1"/>
  <c r="S23" i="65"/>
  <c r="S32" i="65"/>
  <c r="Q32" i="65"/>
  <c r="Q33" i="63"/>
  <c r="S33" i="63" s="1"/>
  <c r="T33" i="63"/>
  <c r="Q43" i="63"/>
  <c r="S43" i="63" s="1"/>
  <c r="T43" i="63"/>
  <c r="Q38" i="63"/>
  <c r="S38" i="63" s="1"/>
  <c r="T38" i="63"/>
  <c r="Q36" i="63"/>
  <c r="S36" i="63" s="1"/>
  <c r="T36" i="63"/>
  <c r="Q37" i="63"/>
  <c r="S37" i="63" s="1"/>
  <c r="T37" i="63"/>
  <c r="Q25" i="63"/>
  <c r="S25" i="63" s="1"/>
  <c r="T25" i="63"/>
  <c r="Q22" i="63"/>
  <c r="S22" i="63" s="1"/>
  <c r="T22" i="63"/>
  <c r="Q34" i="63"/>
  <c r="S34" i="63" s="1"/>
  <c r="T34" i="63"/>
  <c r="Q40" i="63"/>
  <c r="S40" i="63" s="1"/>
  <c r="T40" i="63"/>
  <c r="Q41" i="63"/>
  <c r="S41" i="63" s="1"/>
  <c r="T41" i="63"/>
  <c r="Q39" i="63"/>
  <c r="S39" i="63" s="1"/>
  <c r="T39" i="63"/>
  <c r="Q44" i="63"/>
  <c r="S44" i="63" s="1"/>
  <c r="T44" i="63"/>
  <c r="Q45" i="63"/>
  <c r="S45" i="63" s="1"/>
  <c r="T45" i="63"/>
  <c r="Q31" i="63"/>
  <c r="S31" i="63" s="1"/>
  <c r="T31" i="63"/>
  <c r="Q28" i="63"/>
  <c r="S28" i="63" s="1"/>
  <c r="T28" i="63"/>
  <c r="Q27" i="63"/>
  <c r="S27" i="63" s="1"/>
  <c r="T27" i="63"/>
  <c r="Q42" i="63"/>
  <c r="S42" i="63" s="1"/>
  <c r="T42" i="63"/>
  <c r="Q30" i="63"/>
  <c r="S30" i="63" s="1"/>
  <c r="T30" i="63"/>
  <c r="Q29" i="63"/>
  <c r="S29" i="63" s="1"/>
  <c r="T29" i="63"/>
  <c r="Q26" i="63"/>
  <c r="T26" i="63"/>
  <c r="Q24" i="63"/>
  <c r="S24" i="63" s="1"/>
  <c r="T24" i="63"/>
  <c r="Q23" i="63"/>
  <c r="S23" i="63" s="1"/>
  <c r="T23" i="63"/>
  <c r="Q32" i="63"/>
  <c r="S32" i="63" s="1"/>
  <c r="T32" i="63"/>
  <c r="S29" i="64"/>
  <c r="Q29" i="64"/>
  <c r="R29" i="64" s="1"/>
  <c r="S26" i="64"/>
  <c r="Q26" i="64"/>
  <c r="R26" i="64" s="1"/>
  <c r="S25" i="64"/>
  <c r="Q25" i="64"/>
  <c r="R25" i="64" s="1"/>
  <c r="S22" i="64"/>
  <c r="Q22" i="64"/>
  <c r="R22" i="64" s="1"/>
  <c r="S34" i="64"/>
  <c r="Q34" i="64"/>
  <c r="R34" i="64" s="1"/>
  <c r="S33" i="64"/>
  <c r="Q33" i="64"/>
  <c r="R33" i="64" s="1"/>
  <c r="S31" i="64"/>
  <c r="Q31" i="64"/>
  <c r="R31" i="64" s="1"/>
  <c r="S32" i="64"/>
  <c r="Q32" i="64"/>
  <c r="R32" i="64" s="1"/>
  <c r="S30" i="64"/>
  <c r="Q30" i="64"/>
  <c r="R30" i="64" s="1"/>
  <c r="S28" i="64"/>
  <c r="Q28" i="64"/>
  <c r="R28" i="64" s="1"/>
  <c r="S27" i="64"/>
  <c r="Q27" i="64"/>
  <c r="R27" i="64" s="1"/>
  <c r="S24" i="64"/>
  <c r="Q24" i="64"/>
  <c r="R24" i="64" s="1"/>
  <c r="S23" i="64"/>
  <c r="Q23" i="64"/>
  <c r="Q26" i="62"/>
  <c r="S26" i="62" s="1"/>
  <c r="T26" i="62"/>
  <c r="Q25" i="62"/>
  <c r="S25" i="62" s="1"/>
  <c r="T25" i="62"/>
  <c r="Q22" i="62"/>
  <c r="S22" i="62" s="1"/>
  <c r="T22" i="62"/>
  <c r="Q35" i="62"/>
  <c r="S35" i="62" s="1"/>
  <c r="T35" i="62"/>
  <c r="Q34" i="62"/>
  <c r="S34" i="62" s="1"/>
  <c r="T34" i="62"/>
  <c r="Q32" i="62"/>
  <c r="S32" i="62" s="1"/>
  <c r="T32" i="62"/>
  <c r="Q33" i="62"/>
  <c r="S33" i="62" s="1"/>
  <c r="T33" i="62"/>
  <c r="Q30" i="62"/>
  <c r="S30" i="62" s="1"/>
  <c r="T30" i="62"/>
  <c r="Q28" i="62"/>
  <c r="S28" i="62" s="1"/>
  <c r="T28" i="62"/>
  <c r="Q27" i="62"/>
  <c r="S27" i="62" s="1"/>
  <c r="T27" i="62"/>
  <c r="Q23" i="62"/>
  <c r="T23" i="62"/>
  <c r="F29" i="29"/>
  <c r="K62" i="38"/>
  <c r="S14" i="65" l="1"/>
  <c r="Q21" i="65"/>
  <c r="R32" i="65"/>
  <c r="S26" i="63"/>
  <c r="Q21" i="63"/>
  <c r="S21" i="63" s="1"/>
  <c r="T14" i="63"/>
  <c r="S14" i="64"/>
  <c r="Q21" i="64"/>
  <c r="R23" i="64"/>
  <c r="T14" i="62"/>
  <c r="S23" i="62"/>
  <c r="Q21" i="62"/>
  <c r="S21" i="62" s="1"/>
  <c r="D7" i="3" l="1"/>
  <c r="G24" i="1"/>
  <c r="R21" i="65"/>
  <c r="F24" i="1"/>
  <c r="C7" i="3"/>
  <c r="D6" i="3"/>
  <c r="G23" i="1"/>
  <c r="R21" i="64"/>
  <c r="C6" i="3"/>
  <c r="F23" i="1"/>
  <c r="K24" i="1" l="1"/>
  <c r="L24" i="1" s="1"/>
  <c r="G7" i="3"/>
  <c r="I7" i="3" s="1"/>
  <c r="H7" i="3" s="1"/>
  <c r="G6" i="3"/>
  <c r="K23" i="1"/>
  <c r="L23" i="1" s="1"/>
  <c r="G8" i="3" l="1"/>
  <c r="I6" i="3"/>
  <c r="H6" i="3" l="1"/>
  <c r="H8" i="3" s="1"/>
  <c r="I8" i="3"/>
</calcChain>
</file>

<file path=xl/sharedStrings.xml><?xml version="1.0" encoding="utf-8"?>
<sst xmlns="http://schemas.openxmlformats.org/spreadsheetml/2006/main" count="1585" uniqueCount="323">
  <si>
    <t>Inhaltsverzeichnis</t>
  </si>
  <si>
    <t>1.00</t>
  </si>
  <si>
    <t>Produktiver Stundenlohn</t>
  </si>
  <si>
    <t>%</t>
  </si>
  <si>
    <t>€</t>
  </si>
  <si>
    <t>2.00</t>
  </si>
  <si>
    <t>Lohngebundene Kosten</t>
  </si>
  <si>
    <t>2.10</t>
  </si>
  <si>
    <t>Soziallöhne</t>
  </si>
  <si>
    <t>2.11</t>
  </si>
  <si>
    <t>Gesetzliche Feiertage</t>
  </si>
  <si>
    <t>2.12</t>
  </si>
  <si>
    <t>Urlaubsentgelt</t>
  </si>
  <si>
    <t>2.13</t>
  </si>
  <si>
    <t>Zusätzliches Urlaubsentgelt</t>
  </si>
  <si>
    <t>2.14</t>
  </si>
  <si>
    <t>Lohnfortzahlung im Krankheitsfall</t>
  </si>
  <si>
    <t>2.15</t>
  </si>
  <si>
    <t>Arbeitsfreistellung</t>
  </si>
  <si>
    <t>Zwischensumme Soziallöhne</t>
  </si>
  <si>
    <t>2.20</t>
  </si>
  <si>
    <t>Sozialversicherungsbeiträge auf Fertigungslohn und Soziallöhne (Arbeitgeberanteil)</t>
  </si>
  <si>
    <t>2.21</t>
  </si>
  <si>
    <t>Krankenversicherung auf Soziallöhne</t>
  </si>
  <si>
    <t>2.22</t>
  </si>
  <si>
    <t>Rentenversicherung auf Soziallöhne</t>
  </si>
  <si>
    <t>2.23</t>
  </si>
  <si>
    <t>Arbeitslosenversicherung auf Soziallöhne</t>
  </si>
  <si>
    <t>2.24</t>
  </si>
  <si>
    <t>Pflegeversicherung auf Soziallöhne</t>
  </si>
  <si>
    <t>2.25</t>
  </si>
  <si>
    <t>U2 Mutterschaftsaufwendungen auf Soziallöhne</t>
  </si>
  <si>
    <t>2.30</t>
  </si>
  <si>
    <t>2.31</t>
  </si>
  <si>
    <t>Zwischensumme Lohnkosten inkl. Sozialabgaben (Summe 2.10 - 2.31)</t>
  </si>
  <si>
    <t>Zusätzliche lohngebundene Kosten</t>
  </si>
  <si>
    <t>2.50</t>
  </si>
  <si>
    <t>Haftpflichtversicherung</t>
  </si>
  <si>
    <t>2.60</t>
  </si>
  <si>
    <t>Sonstige Personalkosten</t>
  </si>
  <si>
    <t>Summe lohngebundene Kosten (Summe 2.10 - 2.60)</t>
  </si>
  <si>
    <t>3.00</t>
  </si>
  <si>
    <t>Sonstige auftragsbezogene Kosten</t>
  </si>
  <si>
    <t>3.10</t>
  </si>
  <si>
    <t>Aufsichtslohn Vorarbeiter</t>
  </si>
  <si>
    <t>inkl. Soziale Folgekosten f. Aufsichtslohn</t>
  </si>
  <si>
    <t>3.20</t>
  </si>
  <si>
    <t>Fahrkostenzuschuss</t>
  </si>
  <si>
    <t>3.30</t>
  </si>
  <si>
    <t>Fertigungsmaterial; Maschinen, Geräte, AfA, etc.</t>
  </si>
  <si>
    <t>3.40</t>
  </si>
  <si>
    <t>Sondereinzelkosten</t>
  </si>
  <si>
    <t>Zwischensumme sonstige auftragsbezogene Kosten (Summe 3.10 - 3.40)</t>
  </si>
  <si>
    <t>4.00</t>
  </si>
  <si>
    <t>Unternehmensbezogene Kosten</t>
  </si>
  <si>
    <t>4.10</t>
  </si>
  <si>
    <t>Gehälter</t>
  </si>
  <si>
    <t>4.11</t>
  </si>
  <si>
    <t>Technische Angestellte, inkl. Lohnfolgekosten</t>
  </si>
  <si>
    <t>4.12</t>
  </si>
  <si>
    <t>4.20</t>
  </si>
  <si>
    <t>Fuhrparkkosten</t>
  </si>
  <si>
    <t>4.30</t>
  </si>
  <si>
    <t>Fertigungshilfskosten</t>
  </si>
  <si>
    <t>4.31</t>
  </si>
  <si>
    <t>Löhne Hilfsdienste, inkl. Lohnfolgekosten</t>
  </si>
  <si>
    <t>4.32</t>
  </si>
  <si>
    <t>Sonstige Betriebskosten</t>
  </si>
  <si>
    <t>4.40</t>
  </si>
  <si>
    <t>Schwerbehindertenabgabe</t>
  </si>
  <si>
    <t>4.50</t>
  </si>
  <si>
    <t>Sonstige Verwaltungskosten</t>
  </si>
  <si>
    <t>4.60</t>
  </si>
  <si>
    <t>Betriebsratskosten</t>
  </si>
  <si>
    <t>4.70</t>
  </si>
  <si>
    <t>Sonstige Kosten (Verbandsbeiträge, Zertifizierung etc.)</t>
  </si>
  <si>
    <t>4.80</t>
  </si>
  <si>
    <t>Gewerbesteuer</t>
  </si>
  <si>
    <t>Zwischensumme unternehmensbezogene Kosten (Summe 4.10 - 4.80)</t>
  </si>
  <si>
    <t>5.00</t>
  </si>
  <si>
    <t>Selbstkosten (Summe 1.00 - 4.80)</t>
  </si>
  <si>
    <t>6.00</t>
  </si>
  <si>
    <t>Zuschlag für Wagnis + Gewinn auf Selbstkosten</t>
  </si>
  <si>
    <t>Stundenverrechnungssatz Normalstunde</t>
  </si>
  <si>
    <t>Kalkulationszuschlag (Pos 6 - Pos 1)</t>
  </si>
  <si>
    <t>Basisdaten</t>
  </si>
  <si>
    <t>Anzahl Tage</t>
  </si>
  <si>
    <t>durchschnittliche Urlaubstage</t>
  </si>
  <si>
    <t>durchschnittliche Krankheitstage</t>
  </si>
  <si>
    <t>bezahlte Freistellungen</t>
  </si>
  <si>
    <t>Feiertage</t>
  </si>
  <si>
    <t>Bieter</t>
  </si>
  <si>
    <t>lfd. Nr.</t>
  </si>
  <si>
    <t>Etage</t>
  </si>
  <si>
    <t>Bereich</t>
  </si>
  <si>
    <t>Bodenart</t>
  </si>
  <si>
    <t>Objektname</t>
  </si>
  <si>
    <t>Raum-
nummer</t>
  </si>
  <si>
    <t>Raumbe-
zeichnung</t>
  </si>
  <si>
    <t>Reinigungs-
gruppe</t>
  </si>
  <si>
    <t>Zurück zum Inhaltsverzeichnis</t>
  </si>
  <si>
    <t>Kalkulation des Stundenverrechnungssatzes Grundreinigung</t>
  </si>
  <si>
    <t>Kalkulation des Stundenverrechnungssatzes Unterhaltsreinigung</t>
  </si>
  <si>
    <t>Bieter:</t>
  </si>
  <si>
    <t>Reini-
gungs-
intervall</t>
  </si>
  <si>
    <t>Leistungs-
werte 
(m²/h)</t>
  </si>
  <si>
    <t>aufge-
legter 
Teppich</t>
  </si>
  <si>
    <t>Anzahl 
Schmutz-
fang</t>
  </si>
  <si>
    <t>Reini-
gungs-
tage / Jahr</t>
  </si>
  <si>
    <t>Reinigungs-
fläche / Jahr 
(m²)</t>
  </si>
  <si>
    <t>SVS
(€/h)</t>
  </si>
  <si>
    <t>Reinigungs-
stunden / 
Jahr</t>
  </si>
  <si>
    <t>Preis / Jahr 
(€)</t>
  </si>
  <si>
    <t>Objekt</t>
  </si>
  <si>
    <t>Netto-Preis / Jahr (€)</t>
  </si>
  <si>
    <t>Reinigungs-
fläche 
(m²)</t>
  </si>
  <si>
    <t>Reinigungsart</t>
  </si>
  <si>
    <t>Leistungs-
tage/Jahr</t>
  </si>
  <si>
    <t>Menge je Woche</t>
  </si>
  <si>
    <t>Leistungs-stunden pro Tag in h</t>
  </si>
  <si>
    <t>Leistungs-stunden pro Jahr in h</t>
  </si>
  <si>
    <t>SVS (€/h)</t>
  </si>
  <si>
    <t>Artikel</t>
  </si>
  <si>
    <t>Die gesetzliche Unfallversicherung richtet sich nach der Gefahrenklasse, die für den Betrieb gilt.</t>
  </si>
  <si>
    <t>Gesamt</t>
  </si>
  <si>
    <t>Kaufmännische Angestellte, inkl. Lohnfolgekosten</t>
  </si>
  <si>
    <r>
      <t>Krankenversicherung auf Produktivlohn</t>
    </r>
    <r>
      <rPr>
        <vertAlign val="superscript"/>
        <sz val="8"/>
        <rFont val="Verdana"/>
        <family val="2"/>
      </rPr>
      <t>1</t>
    </r>
  </si>
  <si>
    <r>
      <t>Rentenversicherung auf Produktivlohn</t>
    </r>
    <r>
      <rPr>
        <vertAlign val="superscript"/>
        <sz val="8"/>
        <rFont val="Verdana"/>
        <family val="2"/>
      </rPr>
      <t>2</t>
    </r>
  </si>
  <si>
    <r>
      <t>Arbeitslosenversicherung auf Produktivlohn</t>
    </r>
    <r>
      <rPr>
        <vertAlign val="superscript"/>
        <sz val="8"/>
        <rFont val="Verdana"/>
        <family val="2"/>
      </rPr>
      <t>3</t>
    </r>
  </si>
  <si>
    <r>
      <t>Pflegeversicherung auf Produktivlohn</t>
    </r>
    <r>
      <rPr>
        <vertAlign val="superscript"/>
        <sz val="8"/>
        <rFont val="Verdana"/>
        <family val="2"/>
      </rPr>
      <t>4</t>
    </r>
  </si>
  <si>
    <r>
      <t>U2 Mutterschaftsaufwendungen auf Produktivlohn</t>
    </r>
    <r>
      <rPr>
        <vertAlign val="superscript"/>
        <sz val="8"/>
        <rFont val="Verdana"/>
        <family val="2"/>
      </rPr>
      <t>5</t>
    </r>
  </si>
  <si>
    <r>
      <t>Gesetzliche Unfallversicherung</t>
    </r>
    <r>
      <rPr>
        <vertAlign val="superscript"/>
        <sz val="8"/>
        <rFont val="Verdana"/>
        <family val="2"/>
      </rPr>
      <t>6</t>
    </r>
  </si>
  <si>
    <r>
      <t>Insolvenzgeldumlage</t>
    </r>
    <r>
      <rPr>
        <vertAlign val="superscript"/>
        <sz val="8"/>
        <rFont val="Verdana"/>
        <family val="2"/>
      </rPr>
      <t>7</t>
    </r>
  </si>
  <si>
    <t xml:space="preserve">Krankenversicherung (gesetzlicher Arbeitgeberanteil): </t>
  </si>
  <si>
    <t xml:space="preserve">Rentenversicherung (gesetzlicher Arbeitgeberanteil): </t>
  </si>
  <si>
    <t xml:space="preserve">Arbeitslosenversicherung (gesetzlicher Arbeitgeberanteil): </t>
  </si>
  <si>
    <t xml:space="preserve">Pflegeversicherung (gesetzlicher Arbeitgeberanteil alle Bundesländer außer Sachsen: hier 0,5% Abzug): </t>
  </si>
  <si>
    <t>Insolvenzgeldumlage (gesetzlicher Arbeitgeberanteil - trägt der Arbeitgeber allein):</t>
  </si>
  <si>
    <t>Bundesland</t>
  </si>
  <si>
    <t>Preis für eine Reinigung 
(€)</t>
  </si>
  <si>
    <t>Reini-gungen / Jahr</t>
  </si>
  <si>
    <t>M2</t>
  </si>
  <si>
    <t>M1</t>
  </si>
  <si>
    <t>J6</t>
  </si>
  <si>
    <t>J5</t>
  </si>
  <si>
    <t>J4</t>
  </si>
  <si>
    <t>J3</t>
  </si>
  <si>
    <t>J2</t>
  </si>
  <si>
    <t>J1</t>
  </si>
  <si>
    <t>J0,5</t>
  </si>
  <si>
    <t>Objektart</t>
  </si>
  <si>
    <t>nB</t>
  </si>
  <si>
    <t>Reinigungs-intervall</t>
  </si>
  <si>
    <t>Einheit</t>
  </si>
  <si>
    <t>Reinigungstage</t>
  </si>
  <si>
    <t>Nettopreis</t>
  </si>
  <si>
    <t>Bruttopreis</t>
  </si>
  <si>
    <t>Kalkulation des Stundenverrechnungssatzes Wirtschaftsleistungen</t>
  </si>
  <si>
    <t>Kalkulation</t>
  </si>
  <si>
    <t>Unterhaltsreinigung</t>
  </si>
  <si>
    <t>Straße</t>
  </si>
  <si>
    <t>PLZ</t>
  </si>
  <si>
    <t>Ort</t>
  </si>
  <si>
    <t xml:space="preserve">Leistungs-werte 
(m²/h) </t>
  </si>
  <si>
    <t>Jahres- 
reinigungs-
fläche (m²)</t>
  </si>
  <si>
    <t>Lage</t>
  </si>
  <si>
    <t>Grundreinigung</t>
  </si>
  <si>
    <t>Vertragsbeginn</t>
  </si>
  <si>
    <t>Vertragsende</t>
  </si>
  <si>
    <t>Verlängerung</t>
  </si>
  <si>
    <t>max. Laufzeit bis</t>
  </si>
  <si>
    <t>Reinigungs-gruppe 
(RG)</t>
  </si>
  <si>
    <t>Unternehmen</t>
  </si>
  <si>
    <t>Telefon</t>
  </si>
  <si>
    <t>Fax</t>
  </si>
  <si>
    <t>Ansprechpartner</t>
  </si>
  <si>
    <t>E-Mailadresse</t>
  </si>
  <si>
    <t>Internetadresse</t>
  </si>
  <si>
    <t>Kurzname</t>
  </si>
  <si>
    <t>Gebäude</t>
  </si>
  <si>
    <t>Gebäudeteil</t>
  </si>
  <si>
    <t>Los</t>
  </si>
  <si>
    <t>Stunden für eine Reinigung (h)</t>
  </si>
  <si>
    <t>Anzahl 
der Räume</t>
  </si>
  <si>
    <t>Preisübersicht</t>
  </si>
  <si>
    <r>
      <t xml:space="preserve">Kalkulation </t>
    </r>
    <r>
      <rPr>
        <b/>
        <sz val="8"/>
        <rFont val="Verdana"/>
        <family val="2"/>
      </rPr>
      <t>Wirtschaftsleistungen</t>
    </r>
  </si>
  <si>
    <r>
      <rPr>
        <b/>
        <sz val="8"/>
        <rFont val="Verdana"/>
        <family val="2"/>
      </rPr>
      <t>Reinigungstage</t>
    </r>
    <r>
      <rPr>
        <sz val="8"/>
        <rFont val="Verdana"/>
        <family val="2"/>
      </rPr>
      <t xml:space="preserve"> pro Objekt und Reinigungsart</t>
    </r>
  </si>
  <si>
    <r>
      <rPr>
        <b/>
        <sz val="8"/>
        <rFont val="Verdana"/>
        <family val="2"/>
      </rPr>
      <t>Preisübersicht</t>
    </r>
    <r>
      <rPr>
        <sz val="8"/>
        <rFont val="Verdana"/>
        <family val="2"/>
      </rPr>
      <t xml:space="preserve"> pro Jahr (in €)</t>
    </r>
  </si>
  <si>
    <t>Anzahl / 
Jahr</t>
  </si>
  <si>
    <t>Preis pro 
Einheit (€)</t>
  </si>
  <si>
    <t>Netto-Preis / 
Jahr (€)</t>
  </si>
  <si>
    <t>maximale Reinigungstage
im Jahr für
Reinigungsintervall 5</t>
  </si>
  <si>
    <t>Reinigungsintervall</t>
  </si>
  <si>
    <t>Ausfüllhinweise 
(nur 1 Häkchen setzen):</t>
  </si>
  <si>
    <t/>
  </si>
  <si>
    <r>
      <t xml:space="preserve">Vorgaben
</t>
    </r>
    <r>
      <rPr>
        <sz val="8"/>
        <rFont val="Verdana"/>
        <family val="2"/>
      </rPr>
      <t>Die Vorgaben bei den Sozialversicherungsbeiträgen entsprechen den gesetzlichen Mindestangaben.</t>
    </r>
  </si>
  <si>
    <t>2026
in %</t>
  </si>
  <si>
    <t>Krankenversicherungzusatzbeitrag
(halber Zusatzbeitrag Arbeitgeberanteil vom durchschnittlichen Zusatzbeitrag von 2,90 %)</t>
  </si>
  <si>
    <t>Kita Regenb</t>
  </si>
  <si>
    <t>Los 10</t>
  </si>
  <si>
    <t>Kindertagesstätte Regenbogen</t>
  </si>
  <si>
    <t>Friedensallee 22</t>
  </si>
  <si>
    <t>39443</t>
  </si>
  <si>
    <t>Staßfurt OT Hohenerxleben</t>
  </si>
  <si>
    <t>Kita Teichspa</t>
  </si>
  <si>
    <t>Kindertagesstätte Teichspatzen</t>
  </si>
  <si>
    <t>An der Röthe 6</t>
  </si>
  <si>
    <t>Staßfurt OT Brumby</t>
  </si>
  <si>
    <t>Kalkulation Verbrauchsmaterial</t>
  </si>
  <si>
    <t>2.01</t>
  </si>
  <si>
    <t>1. OG</t>
  </si>
  <si>
    <t>gesamt</t>
  </si>
  <si>
    <t>Flur</t>
  </si>
  <si>
    <t>Textil</t>
  </si>
  <si>
    <t>2.04</t>
  </si>
  <si>
    <t>Büro</t>
  </si>
  <si>
    <t>2.06</t>
  </si>
  <si>
    <t>Hort</t>
  </si>
  <si>
    <t>Spielzimmer</t>
  </si>
  <si>
    <t>Linoleum</t>
  </si>
  <si>
    <t>1.01</t>
  </si>
  <si>
    <t>EG</t>
  </si>
  <si>
    <t xml:space="preserve">Flur gesamt </t>
  </si>
  <si>
    <t>1.02</t>
  </si>
  <si>
    <t>Küche</t>
  </si>
  <si>
    <t>1.03</t>
  </si>
  <si>
    <t>Gruppenraum</t>
  </si>
  <si>
    <t>1.04</t>
  </si>
  <si>
    <t>1.05</t>
  </si>
  <si>
    <t>Essenraum</t>
  </si>
  <si>
    <t>1.06</t>
  </si>
  <si>
    <t>WC Jungen</t>
  </si>
  <si>
    <t>1.07</t>
  </si>
  <si>
    <t>Abstellraum</t>
  </si>
  <si>
    <t>1.08</t>
  </si>
  <si>
    <t>WC kleine Gruppe</t>
  </si>
  <si>
    <t>Fliesen</t>
  </si>
  <si>
    <t>1.09</t>
  </si>
  <si>
    <t>WC große Gruppe</t>
  </si>
  <si>
    <t>1.10</t>
  </si>
  <si>
    <t>WC</t>
  </si>
  <si>
    <t>Treppenhaus</t>
  </si>
  <si>
    <t>Holz</t>
  </si>
  <si>
    <t>Verkehr</t>
  </si>
  <si>
    <t>Gruppe</t>
  </si>
  <si>
    <t>Versorgung</t>
  </si>
  <si>
    <t>Sanitär</t>
  </si>
  <si>
    <t>Technik</t>
  </si>
  <si>
    <t>Treppe</t>
  </si>
  <si>
    <t xml:space="preserve">EG </t>
  </si>
  <si>
    <t>Haupteingang Flur</t>
  </si>
  <si>
    <t>Windfang</t>
  </si>
  <si>
    <t>5</t>
  </si>
  <si>
    <t>WC/Waschraum</t>
  </si>
  <si>
    <t>Waschraum</t>
  </si>
  <si>
    <t>Sanitär Personal</t>
  </si>
  <si>
    <t>Umkleideraum</t>
  </si>
  <si>
    <t>Putzmittelraum</t>
  </si>
  <si>
    <t>Garderobe</t>
  </si>
  <si>
    <t>Flur/Spielecke</t>
  </si>
  <si>
    <t>Außentreppe Eingang</t>
  </si>
  <si>
    <t>Beton</t>
  </si>
  <si>
    <t>Außentreppe hinten</t>
  </si>
  <si>
    <t>KG</t>
  </si>
  <si>
    <t>Treppe zum KG</t>
  </si>
  <si>
    <t>Kreativraum</t>
  </si>
  <si>
    <t>WC Keller</t>
  </si>
  <si>
    <t>Umkleide</t>
  </si>
  <si>
    <t>Papierhandtücher, 
Recyclingpapier natur
2-lagig,
Blattgröße ca. 24,5 cm x 23 cm,
5. 000 Blatt pro Einheit</t>
  </si>
  <si>
    <t>Karton</t>
  </si>
  <si>
    <t>Recycling-Tissue-Toilettenpapier, 
2 lagig, 
Blattgröße 11x9,4 cm,
250 Blatt pro Rolle, 
100% Altpapier,
64 Rollen pro Einheit</t>
  </si>
  <si>
    <t>Paket</t>
  </si>
  <si>
    <t>* Waschlotion</t>
  </si>
  <si>
    <t>Liter</t>
  </si>
  <si>
    <t>* Flächendesinfektion</t>
  </si>
  <si>
    <t>Küchenleistung:
Wirtschaftsleistung 1100 - 1145</t>
  </si>
  <si>
    <t>Küchenleistung:
Wirtschaftsleistung 1150 - 1220</t>
  </si>
  <si>
    <t>Küchenleistung:
Wirtschaftsleistung 1225 - 1230</t>
  </si>
  <si>
    <t>Küchenleistung:
Wirtschaftsleistung 1235 - 1240</t>
  </si>
  <si>
    <t>Küchenleistung:
Wirtschaftsleistung 1245 - 1260</t>
  </si>
  <si>
    <t>Wäscheleistung:
Wirtschaftsleistung 1265</t>
  </si>
  <si>
    <t>Wäscheleistung:
Wirtschaftsleistung 1270 - 1280</t>
  </si>
  <si>
    <t>Wäscheleistung:
Wirtschaftsleistung 1285</t>
  </si>
  <si>
    <t>Kita</t>
  </si>
  <si>
    <t>UnterhaltsRG</t>
  </si>
  <si>
    <t>Reinigungs-häufigkeit</t>
  </si>
  <si>
    <t>GrundRG</t>
  </si>
  <si>
    <t>Wirtschaft</t>
  </si>
  <si>
    <t>Verbrauch</t>
  </si>
  <si>
    <t>Preiszusammenstellung Los 10</t>
  </si>
  <si>
    <t>Jahrespreis in €</t>
  </si>
  <si>
    <t>MwSt.</t>
  </si>
  <si>
    <t>Jahrespreis Reinigung</t>
  </si>
  <si>
    <t>SVS UnterhaltsRG</t>
  </si>
  <si>
    <t>SVS GrundRG</t>
  </si>
  <si>
    <t>SVS Wirtschaft</t>
  </si>
  <si>
    <t>Wertungspreis (netto) in €</t>
  </si>
  <si>
    <t>Wertungspreis (brutto) in €</t>
  </si>
  <si>
    <r>
      <t xml:space="preserve">Kalkulation </t>
    </r>
    <r>
      <rPr>
        <b/>
        <sz val="8"/>
        <rFont val="Verdana"/>
        <family val="2"/>
      </rPr>
      <t>Sonderreinigung</t>
    </r>
    <r>
      <rPr>
        <sz val="8"/>
        <rFont val="Verdana"/>
        <family val="2"/>
      </rPr>
      <t xml:space="preserve"> (nach Bedarf)</t>
    </r>
  </si>
  <si>
    <t>Bemerkung</t>
  </si>
  <si>
    <t>Anzahl
(Stück)</t>
  </si>
  <si>
    <t>Leistungswerte
(Stück/h)</t>
  </si>
  <si>
    <t>SVS 
(€/h)</t>
  </si>
  <si>
    <t>Netto-Preis
(€)</t>
  </si>
  <si>
    <t>verunreinigte Bettwäsche durch Einnässen oder Einkoten</t>
  </si>
  <si>
    <t>Kalkulation des Stundenverrechnungssatzes Sonderreinigung</t>
  </si>
  <si>
    <t>Sachsen-Anhalt</t>
  </si>
  <si>
    <t>* Handdesinfektion</t>
  </si>
  <si>
    <r>
      <rPr>
        <b/>
        <sz val="8"/>
        <rFont val="Verdana"/>
        <family val="2"/>
      </rPr>
      <t>Preisübersicht nach Bedarf</t>
    </r>
    <r>
      <rPr>
        <sz val="8"/>
        <rFont val="Verdana"/>
        <family val="2"/>
      </rPr>
      <t xml:space="preserve"> pro Jahr (in €)</t>
    </r>
  </si>
  <si>
    <t>Preiszusammenstellung nach Bedarf</t>
  </si>
  <si>
    <t>SonderRG (nach Bedarf)</t>
  </si>
  <si>
    <t>SVS Sonderreinigung</t>
  </si>
  <si>
    <t>Preisübersicht (nach Bedarf)</t>
  </si>
  <si>
    <t>Reinigungstage 
 maximal
 (UnterhaltsRG)</t>
  </si>
  <si>
    <t>Schmutz-
fang in m²</t>
  </si>
  <si>
    <t>Der angegebene Verbrauch stellt eine Prognose des voraussichtlichen Bezugs von Sanitärverbrauchsmaterialien dar.</t>
  </si>
  <si>
    <t>Die tatsächlichen Werte können vom geplanten Bedarf abweichen.</t>
  </si>
  <si>
    <t>Die Abrechnung erfolgt auf Grundlage des nachweislich ermittelten tatsächlichen Verbrauchs.</t>
  </si>
  <si>
    <t>* Da die Produktbeschreibungen nicht vollständig vorliegen, gilt folgende Festlegung: Der Auftragnehmer liefert das benötigte Verbrauchsmaterial.</t>
  </si>
  <si>
    <t>Im Lieferschein sind die einzelnen Positionen detailliert aufzuführen.</t>
  </si>
  <si>
    <t xml:space="preserve">Eine vom Auftraggeber benannte Person überprüft anschließend, ob die Anzahl der gelieferten Positionen mit den Angaben im Lieferschein übereinstimmt. </t>
  </si>
  <si>
    <t>Eine Kopie des Lieferscheins ist dieser Kontrollperson auszuhändigen.</t>
  </si>
  <si>
    <t>Die Abrechnung erfolgt anschließend auf Basis der im Lieferschein dokumentierten Angaben.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</si>
</sst>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 _€_-;\-* #,##0.00\ _€_-;_-* &quot;-&quot;??\ _€_-;_-@_-"/>
    <numFmt numFmtId="165" formatCode="_-* #,##0.00\ [$€]_-;\-* #,##0.00\ [$€]_-;_-* &quot;-&quot;??\ [$€]_-;_-@_-"/>
    <numFmt numFmtId="166" formatCode="0.000"/>
    <numFmt numFmtId="167" formatCode="#,##0.000"/>
    <numFmt numFmtId="168" formatCode="&quot;Bitte &quot;0&quot; Werte eintragen.&quot;"/>
    <numFmt numFmtId="169" formatCode="&quot;Bitte &quot;0&quot; Wert(e) eintragen.&quot;"/>
  </numFmts>
  <fonts count="44" x14ac:knownFonts="1">
    <font>
      <sz val="10"/>
      <name val="Arial"/>
    </font>
    <font>
      <sz val="10"/>
      <name val="Arial"/>
      <family val="2"/>
    </font>
    <font>
      <sz val="10"/>
      <name val="Verdana"/>
      <family val="2"/>
    </font>
    <font>
      <sz val="8"/>
      <name val="Arial"/>
      <family val="2"/>
    </font>
    <font>
      <sz val="8"/>
      <name val="Verdana"/>
      <family val="2"/>
    </font>
    <font>
      <sz val="10"/>
      <name val="Arial"/>
      <family val="2"/>
    </font>
    <font>
      <i/>
      <sz val="8"/>
      <name val="Verdana"/>
      <family val="2"/>
    </font>
    <font>
      <u/>
      <sz val="10"/>
      <color indexed="12"/>
      <name val="Arial"/>
      <family val="2"/>
    </font>
    <font>
      <b/>
      <sz val="8"/>
      <name val="Verdana"/>
      <family val="2"/>
    </font>
    <font>
      <sz val="10"/>
      <name val="Arial"/>
      <family val="2"/>
    </font>
    <font>
      <u/>
      <sz val="8"/>
      <color indexed="12"/>
      <name val="Verdana"/>
      <family val="2"/>
    </font>
    <font>
      <b/>
      <sz val="18"/>
      <color indexed="56"/>
      <name val="Cambria"/>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Arial"/>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Verdana"/>
      <family val="2"/>
    </font>
    <font>
      <sz val="8"/>
      <color indexed="10"/>
      <name val="Verdana"/>
      <family val="2"/>
    </font>
    <font>
      <vertAlign val="superscript"/>
      <sz val="8"/>
      <name val="Verdana"/>
      <family val="2"/>
    </font>
    <font>
      <b/>
      <sz val="10"/>
      <name val="Verdana"/>
      <family val="2"/>
    </font>
    <font>
      <sz val="8"/>
      <color indexed="8"/>
      <name val="Verdana"/>
      <family val="2"/>
    </font>
    <font>
      <sz val="8"/>
      <color rgb="FFFF0000"/>
      <name val="Verdana"/>
      <family val="2"/>
    </font>
    <font>
      <sz val="11"/>
      <color rgb="FF222222"/>
      <name val="Verdana"/>
      <family val="2"/>
    </font>
    <font>
      <sz val="8"/>
      <color theme="0"/>
      <name val="Verdana"/>
      <family val="2"/>
    </font>
    <font>
      <u/>
      <sz val="10"/>
      <color theme="10"/>
      <name val="Verdana"/>
      <family val="2"/>
    </font>
    <font>
      <sz val="10"/>
      <color theme="1"/>
      <name val="Verdana"/>
      <family val="2"/>
    </font>
    <font>
      <sz val="8"/>
      <color theme="0" tint="-0.14999847407452621"/>
      <name val="Verdana"/>
      <family val="2"/>
    </font>
    <font>
      <sz val="8"/>
      <color rgb="FF000000"/>
      <name val="Segoe UI"/>
      <family val="2"/>
    </font>
    <font>
      <sz val="8"/>
      <color indexed="55"/>
      <name val="Verdana"/>
      <family val="2"/>
    </font>
    <font>
      <sz val="8"/>
      <color rgb="FF9C0000"/>
      <name val="Verdana"/>
      <family val="2"/>
    </font>
    <font>
      <sz val="8"/>
      <color indexed="9"/>
      <name val="Verdana"/>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rgb="FFD2E6C4"/>
        <bgColor indexed="64"/>
      </patternFill>
    </fill>
    <fill>
      <patternFill patternType="solid">
        <fgColor rgb="FFFFC7CE"/>
        <bgColor indexed="64"/>
      </patternFill>
    </fill>
    <fill>
      <patternFill patternType="solid">
        <fgColor indexed="50"/>
        <bgColor indexed="64"/>
      </patternFill>
    </fill>
    <fill>
      <patternFill patternType="solid">
        <fgColor rgb="FFFFFF00"/>
        <bgColor indexed="64"/>
      </patternFill>
    </fill>
    <fill>
      <patternFill patternType="lightGray"/>
    </fill>
  </fills>
  <borders count="2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s>
  <cellStyleXfs count="6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5" fillId="20" borderId="2" applyNumberFormat="0" applyAlignment="0" applyProtection="0"/>
    <xf numFmtId="0" fontId="16" fillId="7" borderId="2" applyNumberFormat="0" applyAlignment="0" applyProtection="0"/>
    <xf numFmtId="0" fontId="17" fillId="0" borderId="3" applyNumberFormat="0" applyFill="0" applyAlignment="0" applyProtection="0"/>
    <xf numFmtId="0" fontId="18" fillId="0" borderId="0" applyNumberForma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0" fontId="19" fillId="4" borderId="0" applyNumberFormat="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21" fillId="21" borderId="0" applyNumberFormat="0" applyBorder="0" applyAlignment="0" applyProtection="0"/>
    <xf numFmtId="0" fontId="5" fillId="22" borderId="4" applyNumberFormat="0" applyFont="0" applyAlignment="0" applyProtection="0"/>
    <xf numFmtId="0" fontId="22" fillId="3" borderId="0" applyNumberFormat="0" applyBorder="0" applyAlignment="0" applyProtection="0"/>
    <xf numFmtId="0" fontId="5" fillId="0" borderId="0"/>
    <xf numFmtId="0" fontId="2" fillId="0" borderId="0"/>
    <xf numFmtId="0" fontId="29" fillId="0" borderId="0"/>
    <xf numFmtId="0" fontId="5" fillId="0" borderId="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xf numFmtId="0" fontId="26" fillId="0" borderId="8" applyNumberFormat="0" applyFill="0" applyAlignment="0" applyProtection="0"/>
    <xf numFmtId="0" fontId="27" fillId="0" borderId="0" applyNumberFormat="0" applyFill="0" applyBorder="0" applyAlignment="0" applyProtection="0"/>
    <xf numFmtId="0" fontId="28" fillId="23" borderId="9" applyNumberFormat="0" applyAlignment="0" applyProtection="0"/>
    <xf numFmtId="0" fontId="1" fillId="0" borderId="0"/>
    <xf numFmtId="0" fontId="37" fillId="0" borderId="0" applyNumberFormat="0" applyFill="0" applyBorder="0" applyAlignment="0" applyProtection="0"/>
    <xf numFmtId="0" fontId="38" fillId="0" borderId="0"/>
    <xf numFmtId="0" fontId="1"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cellStyleXfs>
  <cellXfs count="233">
    <xf numFmtId="0" fontId="0" fillId="0" borderId="0" xfId="0"/>
    <xf numFmtId="0" fontId="4" fillId="24" borderId="10"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0" fillId="0" borderId="0" xfId="39" applyFont="1" applyAlignment="1" applyProtection="1">
      <alignment vertical="center"/>
    </xf>
    <xf numFmtId="0" fontId="4" fillId="0" borderId="0" xfId="0" applyFont="1"/>
    <xf numFmtId="2" fontId="8" fillId="26" borderId="11" xfId="0" applyNumberFormat="1" applyFont="1" applyFill="1" applyBorder="1" applyAlignment="1" applyProtection="1">
      <alignment horizontal="center" vertical="center"/>
      <protection locked="0"/>
    </xf>
    <xf numFmtId="166" fontId="4" fillId="26" borderId="11" xfId="0" applyNumberFormat="1" applyFont="1" applyFill="1" applyBorder="1" applyAlignment="1" applyProtection="1">
      <alignment horizontal="center" vertical="center"/>
      <protection locked="0"/>
    </xf>
    <xf numFmtId="2" fontId="6" fillId="26" borderId="13" xfId="0" applyNumberFormat="1" applyFont="1" applyFill="1" applyBorder="1" applyAlignment="1" applyProtection="1">
      <alignment vertical="center"/>
      <protection locked="0"/>
    </xf>
    <xf numFmtId="2" fontId="6" fillId="26" borderId="12" xfId="0" applyNumberFormat="1" applyFont="1" applyFill="1" applyBorder="1" applyAlignment="1" applyProtection="1">
      <alignment vertical="center"/>
      <protection locked="0"/>
    </xf>
    <xf numFmtId="2" fontId="6" fillId="26" borderId="0" xfId="0" applyNumberFormat="1" applyFont="1" applyFill="1" applyAlignment="1" applyProtection="1">
      <alignment vertical="center"/>
      <protection locked="0"/>
    </xf>
    <xf numFmtId="0" fontId="4" fillId="0" borderId="10" xfId="0" applyFont="1" applyBorder="1" applyAlignment="1">
      <alignment vertical="center" wrapText="1"/>
    </xf>
    <xf numFmtId="0" fontId="4" fillId="0" borderId="0" xfId="55" applyFont="1" applyAlignment="1">
      <alignment vertical="center"/>
    </xf>
    <xf numFmtId="0" fontId="4" fillId="0" borderId="0" xfId="55" applyFont="1"/>
    <xf numFmtId="0" fontId="4" fillId="0" borderId="0" xfId="55" applyFont="1" applyAlignment="1">
      <alignment horizontal="left" vertical="center"/>
    </xf>
    <xf numFmtId="0" fontId="4" fillId="0" borderId="0" xfId="58" applyFont="1" applyAlignment="1">
      <alignment vertical="center"/>
    </xf>
    <xf numFmtId="2" fontId="8" fillId="26" borderId="11" xfId="58" applyNumberFormat="1" applyFont="1" applyFill="1" applyBorder="1" applyAlignment="1" applyProtection="1">
      <alignment horizontal="center" vertical="center"/>
      <protection locked="0"/>
    </xf>
    <xf numFmtId="166" fontId="4" fillId="26" borderId="11" xfId="58" applyNumberFormat="1" applyFont="1" applyFill="1" applyBorder="1" applyAlignment="1" applyProtection="1">
      <alignment horizontal="center" vertical="center"/>
      <protection locked="0"/>
    </xf>
    <xf numFmtId="2" fontId="6" fillId="26" borderId="13" xfId="58" applyNumberFormat="1" applyFont="1" applyFill="1" applyBorder="1" applyAlignment="1" applyProtection="1">
      <alignment vertical="center"/>
      <protection locked="0"/>
    </xf>
    <xf numFmtId="2" fontId="6" fillId="26" borderId="12" xfId="58" applyNumberFormat="1" applyFont="1" applyFill="1" applyBorder="1" applyAlignment="1" applyProtection="1">
      <alignment vertical="center"/>
      <protection locked="0"/>
    </xf>
    <xf numFmtId="2" fontId="6" fillId="26" borderId="0" xfId="58" applyNumberFormat="1" applyFont="1" applyFill="1" applyAlignment="1" applyProtection="1">
      <alignment vertical="center"/>
      <protection locked="0"/>
    </xf>
    <xf numFmtId="49" fontId="4" fillId="26" borderId="10" xfId="0" applyNumberFormat="1" applyFont="1" applyFill="1" applyBorder="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vertical="center" wrapText="1"/>
    </xf>
    <xf numFmtId="0" fontId="30" fillId="0" borderId="0" xfId="0" applyFont="1" applyAlignment="1">
      <alignment vertical="center"/>
    </xf>
    <xf numFmtId="0" fontId="2" fillId="0" borderId="0" xfId="58" applyFont="1" applyAlignment="1">
      <alignment vertical="center"/>
    </xf>
    <xf numFmtId="0" fontId="4" fillId="0" borderId="11" xfId="0" applyFont="1" applyBorder="1" applyAlignment="1">
      <alignment vertical="center"/>
    </xf>
    <xf numFmtId="0" fontId="4" fillId="0" borderId="11" xfId="0" applyFont="1" applyBorder="1" applyAlignment="1">
      <alignment horizontal="left" vertical="center"/>
    </xf>
    <xf numFmtId="0" fontId="4" fillId="0" borderId="0" xfId="0" applyFont="1" applyAlignment="1">
      <alignment horizontal="center" vertical="center" wrapText="1"/>
    </xf>
    <xf numFmtId="0" fontId="10" fillId="0" borderId="0" xfId="59" applyFont="1" applyAlignment="1" applyProtection="1">
      <alignment vertical="center"/>
    </xf>
    <xf numFmtId="0" fontId="6" fillId="0" borderId="0" xfId="55" applyFont="1" applyAlignment="1">
      <alignment vertical="center"/>
    </xf>
    <xf numFmtId="0" fontId="10" fillId="0" borderId="0" xfId="60" applyFont="1" applyAlignment="1" applyProtection="1">
      <alignment vertical="center"/>
    </xf>
    <xf numFmtId="0" fontId="4" fillId="0" borderId="0" xfId="55" applyFont="1" applyAlignment="1" applyProtection="1">
      <alignment vertical="center"/>
      <protection locked="0"/>
    </xf>
    <xf numFmtId="168" fontId="34" fillId="0" borderId="0" xfId="55" applyNumberFormat="1" applyFont="1" applyAlignment="1">
      <alignment horizontal="left" vertical="center"/>
    </xf>
    <xf numFmtId="0" fontId="4" fillId="0" borderId="0" xfId="55" applyFont="1" applyAlignment="1">
      <alignment vertical="center" wrapText="1"/>
    </xf>
    <xf numFmtId="0" fontId="2" fillId="0" borderId="0" xfId="55" applyFont="1" applyAlignment="1">
      <alignment vertical="center"/>
    </xf>
    <xf numFmtId="0" fontId="10" fillId="0" borderId="0" xfId="39" applyFont="1" applyAlignment="1" applyProtection="1">
      <alignment horizontal="left" vertical="center"/>
    </xf>
    <xf numFmtId="0" fontId="4" fillId="0" borderId="11" xfId="55" applyFont="1" applyBorder="1" applyAlignment="1">
      <alignment vertical="center" wrapText="1"/>
    </xf>
    <xf numFmtId="0" fontId="4" fillId="24" borderId="16" xfId="55" applyFont="1" applyFill="1" applyBorder="1" applyAlignment="1">
      <alignment horizontal="center" vertical="center" wrapText="1"/>
    </xf>
    <xf numFmtId="0" fontId="4" fillId="24" borderId="16" xfId="55" applyFont="1" applyFill="1" applyBorder="1" applyAlignment="1">
      <alignment horizontal="center" vertical="center"/>
    </xf>
    <xf numFmtId="0" fontId="4" fillId="24" borderId="19" xfId="55" applyFont="1" applyFill="1" applyBorder="1" applyAlignment="1">
      <alignment horizontal="center" vertical="center" wrapText="1"/>
    </xf>
    <xf numFmtId="0" fontId="4" fillId="0" borderId="10" xfId="55" applyFont="1" applyBorder="1" applyAlignment="1">
      <alignment vertical="center"/>
    </xf>
    <xf numFmtId="0" fontId="4" fillId="0" borderId="10" xfId="55" applyFont="1" applyBorder="1" applyAlignment="1">
      <alignment vertical="center" wrapText="1"/>
    </xf>
    <xf numFmtId="4" fontId="4" fillId="0" borderId="10" xfId="55" applyNumberFormat="1" applyFont="1" applyBorder="1" applyAlignment="1">
      <alignment horizontal="center" vertical="center" wrapText="1"/>
    </xf>
    <xf numFmtId="4" fontId="4" fillId="0" borderId="10" xfId="55" applyNumberFormat="1" applyFont="1" applyBorder="1" applyAlignment="1">
      <alignment vertical="center" wrapText="1"/>
    </xf>
    <xf numFmtId="0" fontId="4" fillId="0" borderId="0" xfId="55" applyFont="1" applyAlignment="1">
      <alignment vertical="top"/>
    </xf>
    <xf numFmtId="169" fontId="34" fillId="0" borderId="0" xfId="55" applyNumberFormat="1" applyFont="1" applyAlignment="1">
      <alignment horizontal="left" vertical="center"/>
    </xf>
    <xf numFmtId="0" fontId="4" fillId="24" borderId="10" xfId="55" applyFont="1" applyFill="1" applyBorder="1" applyAlignment="1">
      <alignment horizontal="center" vertical="center"/>
    </xf>
    <xf numFmtId="0" fontId="4" fillId="0" borderId="10" xfId="55" applyFont="1" applyBorder="1" applyAlignment="1">
      <alignment horizontal="center" vertical="center"/>
    </xf>
    <xf numFmtId="4" fontId="4" fillId="30" borderId="10" xfId="55" applyNumberFormat="1" applyFont="1" applyFill="1" applyBorder="1" applyAlignment="1" applyProtection="1">
      <alignment vertical="center" wrapText="1"/>
      <protection locked="0"/>
    </xf>
    <xf numFmtId="0" fontId="43" fillId="0" borderId="0" xfId="55" applyFont="1"/>
    <xf numFmtId="2" fontId="8" fillId="26" borderId="11" xfId="55" applyNumberFormat="1" applyFont="1" applyFill="1" applyBorder="1" applyAlignment="1" applyProtection="1">
      <alignment horizontal="center" vertical="center"/>
      <protection locked="0"/>
    </xf>
    <xf numFmtId="166" fontId="4" fillId="26" borderId="11" xfId="55" applyNumberFormat="1" applyFont="1" applyFill="1" applyBorder="1" applyAlignment="1" applyProtection="1">
      <alignment horizontal="center" vertical="center"/>
      <protection locked="0"/>
    </xf>
    <xf numFmtId="2" fontId="6" fillId="26" borderId="13" xfId="55" applyNumberFormat="1" applyFont="1" applyFill="1" applyBorder="1" applyAlignment="1" applyProtection="1">
      <alignment vertical="center"/>
      <protection locked="0"/>
    </xf>
    <xf numFmtId="2" fontId="6" fillId="26" borderId="12" xfId="55" applyNumberFormat="1" applyFont="1" applyFill="1" applyBorder="1" applyAlignment="1" applyProtection="1">
      <alignment vertical="center"/>
      <protection locked="0"/>
    </xf>
    <xf numFmtId="2" fontId="6" fillId="26" borderId="0" xfId="55" applyNumberFormat="1" applyFont="1" applyFill="1" applyAlignment="1" applyProtection="1">
      <alignment vertical="center"/>
      <protection locked="0"/>
    </xf>
    <xf numFmtId="0" fontId="4" fillId="0" borderId="0" xfId="0" applyFont="1" applyAlignment="1" applyProtection="1">
      <alignment vertical="center"/>
      <protection locked="0"/>
    </xf>
    <xf numFmtId="4" fontId="4" fillId="0" borderId="10" xfId="0" applyNumberFormat="1" applyFont="1" applyBorder="1" applyAlignment="1">
      <alignment vertical="center" wrapText="1"/>
    </xf>
    <xf numFmtId="4" fontId="4" fillId="0" borderId="0" xfId="0" applyNumberFormat="1" applyFont="1" applyAlignment="1">
      <alignment vertical="center" wrapText="1"/>
    </xf>
    <xf numFmtId="4" fontId="10" fillId="0" borderId="23" xfId="39" applyNumberFormat="1" applyFont="1" applyBorder="1" applyAlignment="1" applyProtection="1">
      <alignment vertical="center" wrapText="1"/>
    </xf>
    <xf numFmtId="4" fontId="10" fillId="31" borderId="23" xfId="39" applyNumberFormat="1" applyFont="1" applyFill="1" applyBorder="1" applyAlignment="1" applyProtection="1">
      <alignment vertical="center" wrapText="1"/>
    </xf>
    <xf numFmtId="3" fontId="4" fillId="0" borderId="10" xfId="0" applyNumberFormat="1" applyFont="1" applyBorder="1" applyAlignment="1">
      <alignment horizontal="center" vertical="center" wrapText="1"/>
    </xf>
    <xf numFmtId="0" fontId="4" fillId="0" borderId="10" xfId="55" applyFont="1" applyBorder="1" applyAlignment="1">
      <alignment horizontal="center" vertical="center" wrapText="1"/>
    </xf>
    <xf numFmtId="4" fontId="4" fillId="0" borderId="10" xfId="55" applyNumberFormat="1" applyFont="1" applyBorder="1" applyAlignment="1">
      <alignment horizontal="right" vertical="center" wrapText="1"/>
    </xf>
    <xf numFmtId="0" fontId="4" fillId="0" borderId="23" xfId="55" applyFont="1" applyBorder="1" applyAlignment="1">
      <alignment horizontal="center" vertical="center"/>
    </xf>
    <xf numFmtId="0" fontId="4" fillId="0" borderId="23" xfId="55" applyFont="1" applyBorder="1" applyAlignment="1">
      <alignment vertical="center"/>
    </xf>
    <xf numFmtId="0" fontId="4" fillId="0" borderId="23" xfId="55" applyFont="1" applyBorder="1" applyAlignment="1">
      <alignment vertical="center" wrapText="1"/>
    </xf>
    <xf numFmtId="4" fontId="4" fillId="0" borderId="23" xfId="55" applyNumberFormat="1" applyFont="1" applyBorder="1" applyAlignment="1">
      <alignment horizontal="center" vertical="center" wrapText="1"/>
    </xf>
    <xf numFmtId="4" fontId="4" fillId="0" borderId="23" xfId="55" applyNumberFormat="1" applyFont="1" applyBorder="1" applyAlignment="1">
      <alignment horizontal="right" vertical="center" wrapText="1"/>
    </xf>
    <xf numFmtId="0" fontId="4" fillId="0" borderId="0" xfId="0" applyFont="1" applyAlignment="1">
      <alignment horizontal="right"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167" fontId="4" fillId="0" borderId="10" xfId="55" applyNumberFormat="1" applyFont="1" applyBorder="1" applyAlignment="1">
      <alignment horizontal="center" vertical="center"/>
    </xf>
    <xf numFmtId="0" fontId="34" fillId="0" borderId="0" xfId="0" applyFont="1" applyAlignment="1">
      <alignment horizontal="left" vertical="center"/>
    </xf>
    <xf numFmtId="0" fontId="4" fillId="0" borderId="0" xfId="44" applyFont="1" applyAlignment="1">
      <alignment horizontal="left" vertical="center" wrapText="1"/>
    </xf>
    <xf numFmtId="0" fontId="4" fillId="24" borderId="10" xfId="0" applyFont="1" applyFill="1" applyBorder="1" applyAlignment="1">
      <alignment horizontal="left" vertical="center"/>
    </xf>
    <xf numFmtId="14" fontId="4" fillId="0" borderId="10" xfId="0" applyNumberFormat="1" applyFont="1" applyBorder="1" applyAlignment="1">
      <alignment vertical="center"/>
    </xf>
    <xf numFmtId="0" fontId="39" fillId="0" borderId="0" xfId="0" applyFont="1" applyAlignment="1">
      <alignment vertical="center"/>
    </xf>
    <xf numFmtId="0" fontId="4" fillId="0" borderId="10" xfId="0" applyFont="1" applyBorder="1" applyAlignment="1">
      <alignment vertical="center"/>
    </xf>
    <xf numFmtId="0" fontId="4" fillId="24" borderId="23" xfId="0" applyFont="1" applyFill="1" applyBorder="1" applyAlignment="1">
      <alignment horizontal="center" vertical="center" wrapText="1"/>
    </xf>
    <xf numFmtId="0" fontId="4" fillId="0" borderId="23" xfId="44" applyFont="1" applyBorder="1" applyAlignment="1">
      <alignment vertical="center" wrapText="1"/>
    </xf>
    <xf numFmtId="4" fontId="4" fillId="0" borderId="23" xfId="0" applyNumberFormat="1" applyFont="1" applyBorder="1" applyAlignment="1">
      <alignment horizontal="center" vertical="center" wrapText="1"/>
    </xf>
    <xf numFmtId="4" fontId="4" fillId="0" borderId="23" xfId="0" applyNumberFormat="1" applyFont="1" applyBorder="1" applyAlignment="1">
      <alignment vertical="center" wrapText="1"/>
    </xf>
    <xf numFmtId="2" fontId="34" fillId="0" borderId="0" xfId="0" applyNumberFormat="1" applyFont="1" applyAlignment="1">
      <alignment vertical="center"/>
    </xf>
    <xf numFmtId="2" fontId="4" fillId="0" borderId="0" xfId="0" applyNumberFormat="1" applyFont="1" applyAlignment="1">
      <alignment vertical="center"/>
    </xf>
    <xf numFmtId="2" fontId="8" fillId="0" borderId="0" xfId="0" applyNumberFormat="1" applyFont="1" applyAlignment="1">
      <alignment vertical="center"/>
    </xf>
    <xf numFmtId="166" fontId="8" fillId="0" borderId="11" xfId="0" applyNumberFormat="1" applyFont="1" applyBorder="1" applyAlignment="1">
      <alignment horizontal="center" vertical="center"/>
    </xf>
    <xf numFmtId="0" fontId="34" fillId="0" borderId="0" xfId="0" applyFont="1" applyAlignment="1">
      <alignment vertical="center"/>
    </xf>
    <xf numFmtId="2" fontId="4" fillId="0" borderId="0" xfId="0" applyNumberFormat="1" applyFont="1" applyAlignment="1">
      <alignment horizontal="center" vertical="center"/>
    </xf>
    <xf numFmtId="2" fontId="8" fillId="0" borderId="0" xfId="0" applyNumberFormat="1" applyFont="1" applyAlignment="1">
      <alignment horizontal="center" vertical="center"/>
    </xf>
    <xf numFmtId="0" fontId="35" fillId="0" borderId="0" xfId="0" applyFont="1" applyAlignment="1">
      <alignment vertical="center"/>
    </xf>
    <xf numFmtId="2" fontId="4" fillId="0" borderId="11" xfId="0" applyNumberFormat="1" applyFont="1" applyBorder="1" applyAlignment="1">
      <alignment horizontal="center" vertical="center"/>
    </xf>
    <xf numFmtId="166" fontId="8" fillId="0" borderId="12" xfId="0" applyNumberFormat="1" applyFont="1" applyBorder="1" applyAlignment="1">
      <alignment horizontal="center" vertical="center"/>
    </xf>
    <xf numFmtId="2" fontId="8" fillId="0" borderId="12" xfId="0" applyNumberFormat="1" applyFont="1" applyBorder="1" applyAlignment="1">
      <alignment horizontal="center" vertical="center"/>
    </xf>
    <xf numFmtId="166" fontId="4" fillId="0" borderId="11" xfId="0" applyNumberFormat="1" applyFont="1" applyBorder="1" applyAlignment="1">
      <alignment horizontal="center" vertical="center"/>
    </xf>
    <xf numFmtId="167" fontId="4" fillId="0" borderId="11" xfId="0" applyNumberFormat="1" applyFont="1" applyBorder="1" applyAlignment="1">
      <alignment horizontal="center" vertical="center"/>
    </xf>
    <xf numFmtId="167" fontId="4" fillId="0" borderId="0" xfId="0" applyNumberFormat="1" applyFont="1" applyAlignment="1">
      <alignment horizontal="center" vertical="center"/>
    </xf>
    <xf numFmtId="166" fontId="8" fillId="0" borderId="0" xfId="0" applyNumberFormat="1" applyFont="1" applyAlignment="1">
      <alignment horizontal="center" vertical="center"/>
    </xf>
    <xf numFmtId="2" fontId="6" fillId="0" borderId="0" xfId="0" applyNumberFormat="1" applyFont="1" applyAlignment="1">
      <alignment vertical="center"/>
    </xf>
    <xf numFmtId="0" fontId="36" fillId="0" borderId="0" xfId="0" applyFont="1" applyAlignment="1" applyProtection="1">
      <alignment vertical="center"/>
      <protection locked="0"/>
    </xf>
    <xf numFmtId="2" fontId="34" fillId="0" borderId="0" xfId="55" applyNumberFormat="1" applyFont="1" applyAlignment="1">
      <alignment horizontal="left" vertical="center"/>
    </xf>
    <xf numFmtId="2" fontId="4" fillId="0" borderId="0" xfId="55" applyNumberFormat="1" applyFont="1" applyAlignment="1">
      <alignment vertical="center"/>
    </xf>
    <xf numFmtId="2" fontId="8" fillId="0" borderId="0" xfId="55" applyNumberFormat="1" applyFont="1" applyAlignment="1">
      <alignment vertical="center"/>
    </xf>
    <xf numFmtId="166" fontId="8" fillId="0" borderId="11" xfId="55" applyNumberFormat="1" applyFont="1" applyBorder="1" applyAlignment="1">
      <alignment horizontal="center" vertical="center"/>
    </xf>
    <xf numFmtId="0" fontId="34" fillId="0" borderId="0" xfId="55" applyFont="1" applyAlignment="1">
      <alignment vertical="center"/>
    </xf>
    <xf numFmtId="2" fontId="4" fillId="0" borderId="0" xfId="55" applyNumberFormat="1" applyFont="1" applyAlignment="1">
      <alignment horizontal="center" vertical="center"/>
    </xf>
    <xf numFmtId="2" fontId="8" fillId="0" borderId="0" xfId="55" applyNumberFormat="1" applyFont="1" applyAlignment="1">
      <alignment horizontal="center" vertical="center"/>
    </xf>
    <xf numFmtId="0" fontId="35" fillId="0" borderId="0" xfId="55" applyFont="1" applyAlignment="1">
      <alignment vertical="center"/>
    </xf>
    <xf numFmtId="2" fontId="4" fillId="0" borderId="11" xfId="55" applyNumberFormat="1" applyFont="1" applyBorder="1" applyAlignment="1">
      <alignment horizontal="center" vertical="center"/>
    </xf>
    <xf numFmtId="166" fontId="8" fillId="0" borderId="12" xfId="55" applyNumberFormat="1" applyFont="1" applyBorder="1" applyAlignment="1">
      <alignment horizontal="center" vertical="center"/>
    </xf>
    <xf numFmtId="2" fontId="8" fillId="0" borderId="12" xfId="55" applyNumberFormat="1" applyFont="1" applyBorder="1" applyAlignment="1">
      <alignment horizontal="center" vertical="center"/>
    </xf>
    <xf numFmtId="166" fontId="4" fillId="0" borderId="11" xfId="55" applyNumberFormat="1" applyFont="1" applyBorder="1" applyAlignment="1">
      <alignment horizontal="center" vertical="center"/>
    </xf>
    <xf numFmtId="167" fontId="4" fillId="0" borderId="11" xfId="55" applyNumberFormat="1" applyFont="1" applyBorder="1" applyAlignment="1">
      <alignment horizontal="center" vertical="center"/>
    </xf>
    <xf numFmtId="167" fontId="4" fillId="0" borderId="0" xfId="55" applyNumberFormat="1" applyFont="1" applyAlignment="1">
      <alignment horizontal="center" vertical="center"/>
    </xf>
    <xf numFmtId="166" fontId="8" fillId="0" borderId="0" xfId="55" applyNumberFormat="1" applyFont="1" applyAlignment="1">
      <alignment horizontal="center" vertical="center"/>
    </xf>
    <xf numFmtId="2" fontId="6" fillId="0" borderId="0" xfId="55" applyNumberFormat="1" applyFont="1" applyAlignment="1">
      <alignment vertical="center"/>
    </xf>
    <xf numFmtId="0" fontId="4" fillId="0" borderId="0" xfId="55" applyFont="1" applyAlignment="1">
      <alignment horizontal="right" vertical="center" wrapText="1"/>
    </xf>
    <xf numFmtId="0" fontId="4" fillId="0" borderId="0" xfId="58" applyFont="1" applyAlignment="1">
      <alignment horizontal="left" vertical="center"/>
    </xf>
    <xf numFmtId="2" fontId="4" fillId="0" borderId="0" xfId="58" applyNumberFormat="1" applyFont="1" applyAlignment="1">
      <alignment vertical="center"/>
    </xf>
    <xf numFmtId="2" fontId="8" fillId="0" borderId="0" xfId="58" applyNumberFormat="1" applyFont="1" applyAlignment="1">
      <alignment vertical="center"/>
    </xf>
    <xf numFmtId="166" fontId="8" fillId="0" borderId="11" xfId="58" applyNumberFormat="1" applyFont="1" applyBorder="1" applyAlignment="1">
      <alignment horizontal="center" vertical="center"/>
    </xf>
    <xf numFmtId="2" fontId="4" fillId="0" borderId="0" xfId="58" applyNumberFormat="1" applyFont="1" applyAlignment="1">
      <alignment horizontal="center" vertical="center"/>
    </xf>
    <xf numFmtId="2" fontId="8" fillId="0" borderId="0" xfId="58" applyNumberFormat="1" applyFont="1" applyAlignment="1">
      <alignment horizontal="center" vertical="center"/>
    </xf>
    <xf numFmtId="0" fontId="35" fillId="0" borderId="0" xfId="58" applyFont="1" applyAlignment="1">
      <alignment vertical="center"/>
    </xf>
    <xf numFmtId="2" fontId="4" fillId="0" borderId="11" xfId="58" applyNumberFormat="1" applyFont="1" applyBorder="1" applyAlignment="1">
      <alignment horizontal="center" vertical="center"/>
    </xf>
    <xf numFmtId="0" fontId="34" fillId="0" borderId="0" xfId="58" applyFont="1" applyAlignment="1">
      <alignment vertical="center"/>
    </xf>
    <xf numFmtId="166" fontId="8" fillId="0" borderId="12" xfId="58" applyNumberFormat="1" applyFont="1" applyBorder="1" applyAlignment="1">
      <alignment horizontal="center" vertical="center"/>
    </xf>
    <xf numFmtId="2" fontId="8" fillId="0" borderId="12" xfId="58" applyNumberFormat="1" applyFont="1" applyBorder="1" applyAlignment="1">
      <alignment horizontal="center" vertical="center"/>
    </xf>
    <xf numFmtId="166" fontId="4" fillId="0" borderId="11" xfId="58" applyNumberFormat="1" applyFont="1" applyBorder="1" applyAlignment="1">
      <alignment horizontal="center" vertical="center"/>
    </xf>
    <xf numFmtId="167" fontId="4" fillId="0" borderId="11" xfId="58" applyNumberFormat="1" applyFont="1" applyBorder="1" applyAlignment="1">
      <alignment horizontal="center" vertical="center"/>
    </xf>
    <xf numFmtId="167" fontId="4" fillId="0" borderId="0" xfId="58" applyNumberFormat="1" applyFont="1" applyAlignment="1">
      <alignment horizontal="center" vertical="center"/>
    </xf>
    <xf numFmtId="166" fontId="8" fillId="0" borderId="0" xfId="58" applyNumberFormat="1" applyFont="1" applyAlignment="1">
      <alignment horizontal="center" vertical="center"/>
    </xf>
    <xf numFmtId="2" fontId="6" fillId="0" borderId="0" xfId="58" applyNumberFormat="1" applyFont="1" applyAlignment="1">
      <alignment vertical="center"/>
    </xf>
    <xf numFmtId="0" fontId="4" fillId="0" borderId="0" xfId="58" applyFont="1" applyAlignment="1">
      <alignment horizontal="right" vertical="center" wrapText="1"/>
    </xf>
    <xf numFmtId="0" fontId="4" fillId="0" borderId="0" xfId="58" applyFont="1" applyAlignment="1" applyProtection="1">
      <alignment vertical="center"/>
      <protection locked="0"/>
    </xf>
    <xf numFmtId="0" fontId="4" fillId="0" borderId="10" xfId="0" applyFont="1" applyBorder="1" applyAlignment="1">
      <alignment horizontal="center" vertical="center" wrapText="1"/>
    </xf>
    <xf numFmtId="0" fontId="32" fillId="24" borderId="20" xfId="0" applyFont="1" applyFill="1" applyBorder="1" applyAlignment="1">
      <alignment vertical="center"/>
    </xf>
    <xf numFmtId="0" fontId="8" fillId="24" borderId="11" xfId="0" applyFont="1" applyFill="1" applyBorder="1" applyAlignment="1">
      <alignment vertical="center"/>
    </xf>
    <xf numFmtId="0" fontId="8" fillId="24" borderId="21" xfId="0" applyFont="1" applyFill="1" applyBorder="1" applyAlignment="1">
      <alignment vertical="center"/>
    </xf>
    <xf numFmtId="4" fontId="4" fillId="26" borderId="10" xfId="0" applyNumberFormat="1" applyFont="1" applyFill="1" applyBorder="1" applyAlignment="1" applyProtection="1">
      <alignment vertical="center"/>
      <protection locked="0"/>
    </xf>
    <xf numFmtId="4" fontId="4" fillId="0" borderId="10" xfId="0" applyNumberFormat="1" applyFont="1" applyBorder="1" applyAlignment="1">
      <alignment vertical="center"/>
    </xf>
    <xf numFmtId="0" fontId="4" fillId="24" borderId="14" xfId="0" applyFont="1" applyFill="1" applyBorder="1" applyAlignment="1">
      <alignment horizontal="left" vertical="center" wrapText="1"/>
    </xf>
    <xf numFmtId="0" fontId="4" fillId="24" borderId="14" xfId="0" applyFont="1" applyFill="1" applyBorder="1" applyAlignment="1">
      <alignment vertical="center" wrapText="1"/>
    </xf>
    <xf numFmtId="0" fontId="42" fillId="28" borderId="0" xfId="0" applyFont="1" applyFill="1" applyAlignment="1">
      <alignment vertical="center"/>
    </xf>
    <xf numFmtId="0" fontId="4" fillId="29" borderId="0" xfId="0" applyFont="1" applyFill="1" applyAlignment="1">
      <alignment vertical="center"/>
    </xf>
    <xf numFmtId="168" fontId="34" fillId="0" borderId="0" xfId="0" applyNumberFormat="1" applyFont="1" applyAlignment="1">
      <alignment horizontal="left" vertical="center"/>
    </xf>
    <xf numFmtId="0" fontId="4" fillId="25" borderId="10" xfId="0" applyFont="1" applyFill="1" applyBorder="1" applyAlignment="1">
      <alignment vertical="center" wrapText="1"/>
    </xf>
    <xf numFmtId="4" fontId="4" fillId="25" borderId="10" xfId="0" applyNumberFormat="1" applyFont="1" applyFill="1" applyBorder="1" applyAlignment="1">
      <alignment vertical="center" wrapText="1"/>
    </xf>
    <xf numFmtId="4" fontId="43" fillId="0" borderId="10" xfId="0" applyNumberFormat="1" applyFont="1" applyBorder="1" applyAlignment="1">
      <alignment vertical="center" wrapText="1"/>
    </xf>
    <xf numFmtId="49" fontId="4" fillId="0" borderId="10"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26" borderId="10" xfId="0" applyNumberFormat="1" applyFont="1" applyFill="1" applyBorder="1" applyAlignment="1" applyProtection="1">
      <alignment vertical="center" wrapText="1"/>
      <protection locked="0"/>
    </xf>
    <xf numFmtId="0" fontId="42" fillId="0" borderId="0" xfId="0" applyFont="1" applyAlignment="1">
      <alignment vertical="center"/>
    </xf>
    <xf numFmtId="2" fontId="4" fillId="0" borderId="10" xfId="0" applyNumberFormat="1" applyFont="1" applyBorder="1" applyAlignment="1">
      <alignment horizontal="center" vertical="center" wrapText="1"/>
    </xf>
    <xf numFmtId="0" fontId="4" fillId="24" borderId="10" xfId="0" applyFont="1" applyFill="1" applyBorder="1" applyAlignment="1">
      <alignment horizontal="center" vertical="center"/>
    </xf>
    <xf numFmtId="4" fontId="4" fillId="0" borderId="10" xfId="0" applyNumberFormat="1" applyFont="1" applyBorder="1" applyAlignment="1">
      <alignment horizontal="center" vertical="center"/>
    </xf>
    <xf numFmtId="0" fontId="4" fillId="0" borderId="10" xfId="0" applyFont="1" applyBorder="1"/>
    <xf numFmtId="4" fontId="33" fillId="0" borderId="10" xfId="0" applyNumberFormat="1" applyFont="1" applyBorder="1" applyAlignment="1">
      <alignment horizontal="center" vertical="center"/>
    </xf>
    <xf numFmtId="4" fontId="41" fillId="0" borderId="10" xfId="0" applyNumberFormat="1" applyFont="1" applyBorder="1" applyAlignment="1">
      <alignment horizontal="center" vertical="center"/>
    </xf>
    <xf numFmtId="4" fontId="41" fillId="31" borderId="10" xfId="0" applyNumberFormat="1" applyFont="1" applyFill="1" applyBorder="1" applyAlignment="1">
      <alignment horizontal="center" vertical="center"/>
    </xf>
    <xf numFmtId="4" fontId="41" fillId="27" borderId="10" xfId="0" applyNumberFormat="1" applyFont="1" applyFill="1" applyBorder="1" applyAlignment="1">
      <alignment horizontal="center" vertical="center"/>
    </xf>
    <xf numFmtId="4" fontId="4" fillId="27" borderId="10" xfId="0" applyNumberFormat="1" applyFont="1" applyFill="1" applyBorder="1" applyAlignment="1">
      <alignment horizontal="center" vertical="center"/>
    </xf>
    <xf numFmtId="4" fontId="4" fillId="31" borderId="10" xfId="0" applyNumberFormat="1" applyFont="1" applyFill="1" applyBorder="1" applyAlignment="1">
      <alignment horizontal="center" vertical="center"/>
    </xf>
    <xf numFmtId="0" fontId="36" fillId="0" borderId="0" xfId="0" applyFont="1" applyAlignment="1" applyProtection="1">
      <alignment horizontal="center" vertical="center"/>
      <protection locked="0"/>
    </xf>
    <xf numFmtId="4" fontId="4" fillId="26" borderId="10" xfId="55" applyNumberFormat="1" applyFont="1" applyFill="1" applyBorder="1" applyAlignment="1" applyProtection="1">
      <alignment horizontal="right" vertical="center" wrapText="1"/>
      <protection locked="0"/>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24" borderId="10" xfId="0" applyFont="1" applyFill="1" applyBorder="1" applyAlignment="1">
      <alignment horizontal="center" vertical="center" wrapText="1"/>
    </xf>
    <xf numFmtId="0" fontId="4" fillId="0" borderId="10" xfId="0" applyFont="1" applyBorder="1" applyAlignment="1">
      <alignment horizontal="right" vertical="center" wrapText="1"/>
    </xf>
    <xf numFmtId="3" fontId="4" fillId="0" borderId="10" xfId="0" applyNumberFormat="1" applyFont="1" applyBorder="1" applyAlignment="1">
      <alignment horizontal="center" vertical="center" wrapText="1"/>
    </xf>
    <xf numFmtId="4" fontId="4" fillId="0" borderId="10" xfId="0" applyNumberFormat="1" applyFont="1" applyBorder="1" applyAlignment="1">
      <alignment horizontal="right" vertical="center" wrapText="1"/>
    </xf>
    <xf numFmtId="0" fontId="4" fillId="0" borderId="0" xfId="0" applyFont="1" applyAlignment="1">
      <alignment horizontal="center" vertical="center" wrapText="1"/>
    </xf>
    <xf numFmtId="0" fontId="4" fillId="24" borderId="14"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2" fontId="8" fillId="24" borderId="16" xfId="0" applyNumberFormat="1" applyFont="1" applyFill="1" applyBorder="1" applyAlignment="1">
      <alignment horizontal="center" vertical="center" wrapText="1"/>
    </xf>
    <xf numFmtId="2" fontId="8" fillId="24" borderId="18" xfId="0" applyNumberFormat="1" applyFont="1" applyFill="1" applyBorder="1" applyAlignment="1">
      <alignment horizontal="center" vertical="center" wrapText="1"/>
    </xf>
    <xf numFmtId="2" fontId="8" fillId="24" borderId="19" xfId="0" applyNumberFormat="1" applyFont="1" applyFill="1" applyBorder="1" applyAlignment="1">
      <alignment horizontal="center" vertical="center"/>
    </xf>
    <xf numFmtId="2" fontId="8" fillId="24" borderId="13" xfId="0" applyNumberFormat="1" applyFont="1" applyFill="1" applyBorder="1" applyAlignment="1">
      <alignment horizontal="center" vertical="center"/>
    </xf>
    <xf numFmtId="2" fontId="8" fillId="24" borderId="17" xfId="0" applyNumberFormat="1" applyFont="1" applyFill="1" applyBorder="1" applyAlignment="1">
      <alignment horizontal="center" vertical="center"/>
    </xf>
    <xf numFmtId="2" fontId="8" fillId="24" borderId="20" xfId="0" applyNumberFormat="1" applyFont="1" applyFill="1" applyBorder="1" applyAlignment="1">
      <alignment horizontal="center" vertical="center"/>
    </xf>
    <xf numFmtId="2" fontId="8" fillId="24" borderId="11" xfId="0" applyNumberFormat="1" applyFont="1" applyFill="1" applyBorder="1" applyAlignment="1">
      <alignment horizontal="center" vertical="center"/>
    </xf>
    <xf numFmtId="2" fontId="8" fillId="24" borderId="21" xfId="0" applyNumberFormat="1" applyFont="1" applyFill="1" applyBorder="1" applyAlignment="1">
      <alignment horizontal="center" vertical="center"/>
    </xf>
    <xf numFmtId="2" fontId="32" fillId="24" borderId="0" xfId="0" applyNumberFormat="1" applyFont="1" applyFill="1" applyAlignment="1">
      <alignment horizontal="left" vertical="center"/>
    </xf>
    <xf numFmtId="2" fontId="8" fillId="0" borderId="0" xfId="0" applyNumberFormat="1" applyFont="1" applyAlignment="1">
      <alignment horizontal="left" vertical="center"/>
    </xf>
    <xf numFmtId="2" fontId="8" fillId="0" borderId="0" xfId="0" applyNumberFormat="1" applyFont="1" applyAlignment="1">
      <alignment horizontal="left" vertical="center" wrapText="1"/>
    </xf>
    <xf numFmtId="0" fontId="4" fillId="0" borderId="10" xfId="55" applyFont="1" applyBorder="1" applyAlignment="1">
      <alignment horizontal="center" vertical="center"/>
    </xf>
    <xf numFmtId="2" fontId="8" fillId="0" borderId="0" xfId="55" applyNumberFormat="1" applyFont="1" applyAlignment="1">
      <alignment horizontal="left" vertical="center"/>
    </xf>
    <xf numFmtId="2" fontId="8" fillId="24" borderId="16" xfId="55" applyNumberFormat="1" applyFont="1" applyFill="1" applyBorder="1" applyAlignment="1">
      <alignment horizontal="center" vertical="center" wrapText="1"/>
    </xf>
    <xf numFmtId="2" fontId="8" fillId="24" borderId="18" xfId="55" applyNumberFormat="1" applyFont="1" applyFill="1" applyBorder="1" applyAlignment="1">
      <alignment horizontal="center" vertical="center" wrapText="1"/>
    </xf>
    <xf numFmtId="2" fontId="8" fillId="24" borderId="19" xfId="55" applyNumberFormat="1" applyFont="1" applyFill="1" applyBorder="1" applyAlignment="1">
      <alignment horizontal="center" vertical="center"/>
    </xf>
    <xf numFmtId="2" fontId="8" fillId="24" borderId="13" xfId="55" applyNumberFormat="1" applyFont="1" applyFill="1" applyBorder="1" applyAlignment="1">
      <alignment horizontal="center" vertical="center"/>
    </xf>
    <xf numFmtId="2" fontId="8" fillId="24" borderId="17" xfId="55" applyNumberFormat="1" applyFont="1" applyFill="1" applyBorder="1" applyAlignment="1">
      <alignment horizontal="center" vertical="center"/>
    </xf>
    <xf numFmtId="2" fontId="8" fillId="24" borderId="20" xfId="55" applyNumberFormat="1" applyFont="1" applyFill="1" applyBorder="1" applyAlignment="1">
      <alignment horizontal="center" vertical="center"/>
    </xf>
    <xf numFmtId="2" fontId="8" fillId="24" borderId="11" xfId="55" applyNumberFormat="1" applyFont="1" applyFill="1" applyBorder="1" applyAlignment="1">
      <alignment horizontal="center" vertical="center"/>
    </xf>
    <xf numFmtId="2" fontId="8" fillId="24" borderId="21" xfId="55" applyNumberFormat="1" applyFont="1" applyFill="1" applyBorder="1" applyAlignment="1">
      <alignment horizontal="center" vertical="center"/>
    </xf>
    <xf numFmtId="167" fontId="4" fillId="0" borderId="10" xfId="55" applyNumberFormat="1" applyFont="1" applyBorder="1" applyAlignment="1">
      <alignment horizontal="center" vertical="center"/>
    </xf>
    <xf numFmtId="2" fontId="8" fillId="0" borderId="0" xfId="55" applyNumberFormat="1" applyFont="1" applyAlignment="1">
      <alignment horizontal="left" vertical="center" wrapText="1"/>
    </xf>
    <xf numFmtId="0" fontId="4" fillId="0" borderId="0" xfId="55" applyFont="1" applyAlignment="1">
      <alignment horizontal="left" vertical="center" wrapText="1"/>
    </xf>
    <xf numFmtId="2" fontId="32" fillId="24" borderId="0" xfId="55" applyNumberFormat="1" applyFont="1" applyFill="1" applyAlignment="1">
      <alignment horizontal="left" vertical="center"/>
    </xf>
    <xf numFmtId="0" fontId="4" fillId="0" borderId="0" xfId="58" applyFont="1" applyAlignment="1">
      <alignment horizontal="left" vertical="center" wrapText="1"/>
    </xf>
    <xf numFmtId="2" fontId="8" fillId="0" borderId="0" xfId="58" applyNumberFormat="1" applyFont="1" applyAlignment="1">
      <alignment horizontal="left" vertical="center"/>
    </xf>
    <xf numFmtId="2" fontId="32" fillId="24" borderId="0" xfId="58" applyNumberFormat="1" applyFont="1" applyFill="1" applyAlignment="1">
      <alignment horizontal="left" vertical="center"/>
    </xf>
    <xf numFmtId="2" fontId="8" fillId="0" borderId="0" xfId="58" applyNumberFormat="1" applyFont="1" applyAlignment="1">
      <alignment horizontal="left" vertical="center" wrapText="1"/>
    </xf>
    <xf numFmtId="0" fontId="4" fillId="24" borderId="22" xfId="0" applyFont="1" applyFill="1" applyBorder="1" applyAlignment="1">
      <alignment horizontal="left" vertical="center" wrapText="1"/>
    </xf>
    <xf numFmtId="0" fontId="4" fillId="24" borderId="20" xfId="0" applyFont="1" applyFill="1" applyBorder="1" applyAlignment="1">
      <alignment horizontal="left" vertical="center" wrapText="1"/>
    </xf>
    <xf numFmtId="0" fontId="4" fillId="24" borderId="19" xfId="0" applyFont="1" applyFill="1" applyBorder="1" applyAlignment="1">
      <alignment vertical="center" wrapText="1"/>
    </xf>
    <xf numFmtId="0" fontId="4" fillId="24" borderId="13" xfId="0" applyFont="1" applyFill="1" applyBorder="1" applyAlignment="1">
      <alignment vertical="center" wrapText="1"/>
    </xf>
    <xf numFmtId="0" fontId="4" fillId="24" borderId="17" xfId="0" applyFont="1" applyFill="1" applyBorder="1" applyAlignment="1">
      <alignment vertical="center" wrapText="1"/>
    </xf>
    <xf numFmtId="0" fontId="4" fillId="24" borderId="16" xfId="0" applyFont="1" applyFill="1" applyBorder="1" applyAlignment="1">
      <alignment horizontal="center" vertical="center" wrapText="1"/>
    </xf>
    <xf numFmtId="0" fontId="4" fillId="24" borderId="18" xfId="0" applyFont="1" applyFill="1" applyBorder="1" applyAlignment="1">
      <alignment horizontal="center" vertical="center" wrapText="1"/>
    </xf>
    <xf numFmtId="0" fontId="10" fillId="0" borderId="14" xfId="39" applyFont="1" applyBorder="1" applyAlignment="1" applyProtection="1">
      <alignment horizontal="left" vertical="center"/>
    </xf>
    <xf numFmtId="0" fontId="10" fillId="0" borderId="12" xfId="39" applyFont="1" applyBorder="1" applyAlignment="1" applyProtection="1">
      <alignment horizontal="left" vertical="center"/>
    </xf>
    <xf numFmtId="0" fontId="10" fillId="0" borderId="15" xfId="39" applyFont="1" applyBorder="1" applyAlignment="1" applyProtection="1">
      <alignment horizontal="left" vertical="center"/>
    </xf>
    <xf numFmtId="0" fontId="4" fillId="0" borderId="19" xfId="0" applyFont="1" applyBorder="1" applyAlignment="1">
      <alignment horizontal="left" vertical="center" wrapText="1"/>
    </xf>
    <xf numFmtId="0" fontId="4" fillId="0" borderId="13"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11" xfId="0" applyFont="1" applyBorder="1" applyAlignment="1">
      <alignment horizontal="left" vertical="center" wrapText="1"/>
    </xf>
    <xf numFmtId="0" fontId="4" fillId="0" borderId="21" xfId="0" applyFont="1" applyBorder="1" applyAlignment="1">
      <alignment horizontal="left" vertical="center" wrapText="1"/>
    </xf>
    <xf numFmtId="0" fontId="4" fillId="0" borderId="14" xfId="44"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8" fillId="0" borderId="14" xfId="44" applyFont="1" applyBorder="1" applyAlignment="1">
      <alignment horizontal="left" vertical="center"/>
    </xf>
    <xf numFmtId="0" fontId="4" fillId="0" borderId="14" xfId="0" applyFont="1" applyBorder="1" applyAlignment="1">
      <alignment horizontal="left" vertical="center"/>
    </xf>
    <xf numFmtId="49" fontId="4" fillId="0" borderId="14" xfId="44" applyNumberFormat="1" applyFont="1" applyBorder="1" applyAlignment="1">
      <alignment horizontal="left" vertical="center"/>
    </xf>
    <xf numFmtId="0" fontId="4" fillId="0" borderId="0" xfId="55" applyFont="1" applyAlignment="1">
      <alignment horizontal="center" vertical="center" wrapText="1"/>
    </xf>
    <xf numFmtId="0" fontId="4" fillId="0" borderId="11" xfId="55" applyFont="1" applyBorder="1" applyAlignment="1">
      <alignment horizontal="center" vertical="center" wrapText="1"/>
    </xf>
    <xf numFmtId="0" fontId="4" fillId="0" borderId="11" xfId="55" applyFont="1" applyBorder="1" applyAlignment="1">
      <alignment horizontal="left" vertical="center" wrapText="1"/>
    </xf>
    <xf numFmtId="0" fontId="4" fillId="0" borderId="0" xfId="55" applyFont="1" applyAlignment="1">
      <alignment vertical="center" wrapText="1"/>
    </xf>
  </cellXfs>
  <cellStyles count="61">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Euro" xfId="30" xr:uid="{00000000-0005-0000-0000-00001D000000}"/>
    <cellStyle name="Euro 2" xfId="31" xr:uid="{00000000-0005-0000-0000-00001E000000}"/>
    <cellStyle name="Euro 3" xfId="32" xr:uid="{00000000-0005-0000-0000-00001F000000}"/>
    <cellStyle name="Gut 2" xfId="33" xr:uid="{00000000-0005-0000-0000-000020000000}"/>
    <cellStyle name="Hyperlink 2" xfId="34" xr:uid="{00000000-0005-0000-0000-000021000000}"/>
    <cellStyle name="Hyperlink 2 2" xfId="35" xr:uid="{00000000-0005-0000-0000-000022000000}"/>
    <cellStyle name="Hyperlink 2_Stundenverrechnungssatzkalkulation Unterhalts-Grund-Glasreinigung" xfId="36" xr:uid="{00000000-0005-0000-0000-000023000000}"/>
    <cellStyle name="Hyperlink_ERK Sicht- und Vollreinigungrf" xfId="37" xr:uid="{00000000-0005-0000-0000-000024000000}"/>
    <cellStyle name="Hyperlink_Tabelle1 2" xfId="59" xr:uid="{26C4F5BF-AB6A-4865-A0FE-CA8287DD32F9}"/>
    <cellStyle name="Komma 2" xfId="38" xr:uid="{00000000-0005-0000-0000-000026000000}"/>
    <cellStyle name="Link" xfId="39" builtinId="8"/>
    <cellStyle name="Link 2" xfId="60" xr:uid="{89552312-80C8-41E8-8BC3-D0AE3C9A9E31}"/>
    <cellStyle name="Link 3" xfId="56" xr:uid="{57A2AD7F-9443-4742-9233-41E9E4ADE050}"/>
    <cellStyle name="Neutral 2" xfId="40" xr:uid="{00000000-0005-0000-0000-000028000000}"/>
    <cellStyle name="Notiz 2" xfId="41" xr:uid="{00000000-0005-0000-0000-000029000000}"/>
    <cellStyle name="Schlecht 2" xfId="42" xr:uid="{00000000-0005-0000-0000-00002A000000}"/>
    <cellStyle name="Standard" xfId="0" builtinId="0"/>
    <cellStyle name="Standard 2" xfId="43" xr:uid="{00000000-0005-0000-0000-00002C000000}"/>
    <cellStyle name="Standard 2 2" xfId="55" xr:uid="{9271D7D4-DD00-4BDA-AD8D-A2E81E1F1DC0}"/>
    <cellStyle name="Standard 3" xfId="44" xr:uid="{00000000-0005-0000-0000-00002D000000}"/>
    <cellStyle name="Standard 4" xfId="45" xr:uid="{00000000-0005-0000-0000-00002E000000}"/>
    <cellStyle name="Standard 5" xfId="46" xr:uid="{00000000-0005-0000-0000-00002F000000}"/>
    <cellStyle name="Standard 6" xfId="58" xr:uid="{4045BEC2-7581-41A7-A782-533FFF685E66}"/>
    <cellStyle name="Standard 7" xfId="57" xr:uid="{ADCBA415-3384-4DC5-B28D-34E9C91EE81E}"/>
    <cellStyle name="Überschrift 1 2" xfId="47" xr:uid="{00000000-0005-0000-0000-000031000000}"/>
    <cellStyle name="Überschrift 2 2" xfId="48" xr:uid="{00000000-0005-0000-0000-000032000000}"/>
    <cellStyle name="Überschrift 3 2" xfId="49" xr:uid="{00000000-0005-0000-0000-000033000000}"/>
    <cellStyle name="Überschrift 4 2" xfId="50" xr:uid="{00000000-0005-0000-0000-000034000000}"/>
    <cellStyle name="Überschrift 5" xfId="51" xr:uid="{00000000-0005-0000-0000-000035000000}"/>
    <cellStyle name="Verknüpfte Zelle 2" xfId="52" xr:uid="{00000000-0005-0000-0000-000036000000}"/>
    <cellStyle name="Warnender Text 2" xfId="53" xr:uid="{00000000-0005-0000-0000-000037000000}"/>
    <cellStyle name="Zelle überprüfen 2" xfId="54" xr:uid="{00000000-0005-0000-0000-000038000000}"/>
  </cellStyles>
  <dxfs count="63">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bgColor rgb="FFFFC7CE"/>
        </patternFill>
      </fill>
    </dxf>
    <dxf>
      <font>
        <color rgb="FF9C0006"/>
      </font>
      <fill>
        <patternFill>
          <bgColor rgb="FFFFC7CE"/>
        </patternFill>
      </fill>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62"/>
      <tableStyleElement type="headerRow" dxfId="61"/>
    </tableStyle>
  </tableStyles>
  <colors>
    <mruColors>
      <color rgb="FFFF0000"/>
      <color rgb="FFABFFAB"/>
      <color rgb="FF99FF99"/>
      <color rgb="FF66FF66"/>
      <color rgb="FFC7E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H3" lockText="1"/>
</file>

<file path=xl/ctrlProps/ctrlProp10.xml><?xml version="1.0" encoding="utf-8"?>
<formControlPr xmlns="http://schemas.microsoft.com/office/spreadsheetml/2009/9/main" objectType="CheckBox" fmlaLink="D1" lockText="1"/>
</file>

<file path=xl/ctrlProps/ctrlProp11.xml><?xml version="1.0" encoding="utf-8"?>
<formControlPr xmlns="http://schemas.microsoft.com/office/spreadsheetml/2009/9/main" objectType="CheckBox" fmlaLink="D2" lockText="1"/>
</file>

<file path=xl/ctrlProps/ctrlProp12.xml><?xml version="1.0" encoding="utf-8"?>
<formControlPr xmlns="http://schemas.microsoft.com/office/spreadsheetml/2009/9/main" objectType="CheckBox" fmlaLink="D1" lockText="1"/>
</file>

<file path=xl/ctrlProps/ctrlProp13.xml><?xml version="1.0" encoding="utf-8"?>
<formControlPr xmlns="http://schemas.microsoft.com/office/spreadsheetml/2009/9/main" objectType="CheckBox" fmlaLink="D2" lockText="1"/>
</file>

<file path=xl/ctrlProps/ctrlProp14.xml><?xml version="1.0" encoding="utf-8"?>
<formControlPr xmlns="http://schemas.microsoft.com/office/spreadsheetml/2009/9/main" objectType="CheckBox" fmlaLink="M2" lockText="1"/>
</file>

<file path=xl/ctrlProps/ctrlProp15.xml><?xml version="1.0" encoding="utf-8"?>
<formControlPr xmlns="http://schemas.microsoft.com/office/spreadsheetml/2009/9/main" objectType="CheckBox" fmlaLink="M3" lockText="1"/>
</file>

<file path=xl/ctrlProps/ctrlProp16.xml><?xml version="1.0" encoding="utf-8"?>
<formControlPr xmlns="http://schemas.microsoft.com/office/spreadsheetml/2009/9/main" objectType="CheckBox" fmlaLink="M4" lockText="1"/>
</file>

<file path=xl/ctrlProps/ctrlProp17.xml><?xml version="1.0" encoding="utf-8"?>
<formControlPr xmlns="http://schemas.microsoft.com/office/spreadsheetml/2009/9/main" objectType="CheckBox" fmlaLink="M5" lockText="1"/>
</file>

<file path=xl/ctrlProps/ctrlProp18.xml><?xml version="1.0" encoding="utf-8"?>
<formControlPr xmlns="http://schemas.microsoft.com/office/spreadsheetml/2009/9/main" objectType="CheckBox" fmlaLink="M2" lockText="1"/>
</file>

<file path=xl/ctrlProps/ctrlProp19.xml><?xml version="1.0" encoding="utf-8"?>
<formControlPr xmlns="http://schemas.microsoft.com/office/spreadsheetml/2009/9/main" objectType="CheckBox" fmlaLink="M3" lockText="1"/>
</file>

<file path=xl/ctrlProps/ctrlProp2.xml><?xml version="1.0" encoding="utf-8"?>
<formControlPr xmlns="http://schemas.microsoft.com/office/spreadsheetml/2009/9/main" objectType="CheckBox" fmlaLink="$H$4" lockText="1"/>
</file>

<file path=xl/ctrlProps/ctrlProp20.xml><?xml version="1.0" encoding="utf-8"?>
<formControlPr xmlns="http://schemas.microsoft.com/office/spreadsheetml/2009/9/main" objectType="CheckBox" fmlaLink="M4" lockText="1"/>
</file>

<file path=xl/ctrlProps/ctrlProp21.xml><?xml version="1.0" encoding="utf-8"?>
<formControlPr xmlns="http://schemas.microsoft.com/office/spreadsheetml/2009/9/main" objectType="CheckBox" fmlaLink="M5" lockText="1"/>
</file>

<file path=xl/ctrlProps/ctrlProp22.xml><?xml version="1.0" encoding="utf-8"?>
<formControlPr xmlns="http://schemas.microsoft.com/office/spreadsheetml/2009/9/main" objectType="CheckBox" fmlaLink="M2" lockText="1"/>
</file>

<file path=xl/ctrlProps/ctrlProp23.xml><?xml version="1.0" encoding="utf-8"?>
<formControlPr xmlns="http://schemas.microsoft.com/office/spreadsheetml/2009/9/main" objectType="CheckBox" fmlaLink="M3" lockText="1"/>
</file>

<file path=xl/ctrlProps/ctrlProp24.xml><?xml version="1.0" encoding="utf-8"?>
<formControlPr xmlns="http://schemas.microsoft.com/office/spreadsheetml/2009/9/main" objectType="CheckBox" fmlaLink="M4" lockText="1"/>
</file>

<file path=xl/ctrlProps/ctrlProp25.xml><?xml version="1.0" encoding="utf-8"?>
<formControlPr xmlns="http://schemas.microsoft.com/office/spreadsheetml/2009/9/main" objectType="CheckBox" fmlaLink="M5" lockText="1"/>
</file>

<file path=xl/ctrlProps/ctrlProp26.xml><?xml version="1.0" encoding="utf-8"?>
<formControlPr xmlns="http://schemas.microsoft.com/office/spreadsheetml/2009/9/main" objectType="CheckBox" fmlaLink="M2" lockText="1"/>
</file>

<file path=xl/ctrlProps/ctrlProp27.xml><?xml version="1.0" encoding="utf-8"?>
<formControlPr xmlns="http://schemas.microsoft.com/office/spreadsheetml/2009/9/main" objectType="CheckBox" fmlaLink="M3" lockText="1"/>
</file>

<file path=xl/ctrlProps/ctrlProp28.xml><?xml version="1.0" encoding="utf-8"?>
<formControlPr xmlns="http://schemas.microsoft.com/office/spreadsheetml/2009/9/main" objectType="CheckBox" fmlaLink="M4" lockText="1"/>
</file>

<file path=xl/ctrlProps/ctrlProp29.xml><?xml version="1.0" encoding="utf-8"?>
<formControlPr xmlns="http://schemas.microsoft.com/office/spreadsheetml/2009/9/main" objectType="CheckBox" fmlaLink="M5" lockText="1"/>
</file>

<file path=xl/ctrlProps/ctrlProp3.xml><?xml version="1.0" encoding="utf-8"?>
<formControlPr xmlns="http://schemas.microsoft.com/office/spreadsheetml/2009/9/main" objectType="CheckBox" fmlaLink="$H$5" lockText="1"/>
</file>

<file path=xl/ctrlProps/ctrlProp30.xml><?xml version="1.0" encoding="utf-8"?>
<formControlPr xmlns="http://schemas.microsoft.com/office/spreadsheetml/2009/9/main" objectType="CheckBox" fmlaLink="C3" lockText="1"/>
</file>

<file path=xl/ctrlProps/ctrlProp31.xml><?xml version="1.0" encoding="utf-8"?>
<formControlPr xmlns="http://schemas.microsoft.com/office/spreadsheetml/2009/9/main" objectType="CheckBox" fmlaLink="C2" lockText="1"/>
</file>

<file path=xl/ctrlProps/ctrlProp32.xml><?xml version="1.0" encoding="utf-8"?>
<formControlPr xmlns="http://schemas.microsoft.com/office/spreadsheetml/2009/9/main" objectType="CheckBox" fmlaLink="D2" lockText="1"/>
</file>

<file path=xl/ctrlProps/ctrlProp33.xml><?xml version="1.0" encoding="utf-8"?>
<formControlPr xmlns="http://schemas.microsoft.com/office/spreadsheetml/2009/9/main" objectType="CheckBox" fmlaLink="D1" lockText="1"/>
</file>

<file path=xl/ctrlProps/ctrlProp4.xml><?xml version="1.0" encoding="utf-8"?>
<formControlPr xmlns="http://schemas.microsoft.com/office/spreadsheetml/2009/9/main" objectType="CheckBox" fmlaLink="B2" lockText="1"/>
</file>

<file path=xl/ctrlProps/ctrlProp5.xml><?xml version="1.0" encoding="utf-8"?>
<formControlPr xmlns="http://schemas.microsoft.com/office/spreadsheetml/2009/9/main" objectType="CheckBox" fmlaLink="B2" lockText="1"/>
</file>

<file path=xl/ctrlProps/ctrlProp6.xml><?xml version="1.0" encoding="utf-8"?>
<formControlPr xmlns="http://schemas.microsoft.com/office/spreadsheetml/2009/9/main" objectType="CheckBox" fmlaLink="D1" lockText="1"/>
</file>

<file path=xl/ctrlProps/ctrlProp7.xml><?xml version="1.0" encoding="utf-8"?>
<formControlPr xmlns="http://schemas.microsoft.com/office/spreadsheetml/2009/9/main" objectType="CheckBox" fmlaLink="D2" lockText="1"/>
</file>

<file path=xl/ctrlProps/ctrlProp8.xml><?xml version="1.0" encoding="utf-8"?>
<formControlPr xmlns="http://schemas.microsoft.com/office/spreadsheetml/2009/9/main" objectType="CheckBox" fmlaLink="D1" lockText="1"/>
</file>

<file path=xl/ctrlProps/ctrlProp9.xml><?xml version="1.0" encoding="utf-8"?>
<formControlPr xmlns="http://schemas.microsoft.com/office/spreadsheetml/2009/9/main" objectType="CheckBox" fmlaLink="D2"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xdr:row>
          <xdr:rowOff>0</xdr:rowOff>
        </xdr:from>
        <xdr:to>
          <xdr:col>7</xdr:col>
          <xdr:colOff>790575</xdr:colOff>
          <xdr:row>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790575</xdr:colOff>
          <xdr:row>4</xdr:row>
          <xdr:rowOff>28575</xdr:rowOff>
        </xdr:to>
        <xdr:sp macro="" textlink="">
          <xdr:nvSpPr>
            <xdr:cNvPr id="1026" name="Check Box 2" descr="Hinweis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19050</xdr:rowOff>
        </xdr:from>
        <xdr:to>
          <xdr:col>7</xdr:col>
          <xdr:colOff>790575</xdr:colOff>
          <xdr:row>5</xdr:row>
          <xdr:rowOff>57150</xdr:rowOff>
        </xdr:to>
        <xdr:sp macro="" textlink="">
          <xdr:nvSpPr>
            <xdr:cNvPr id="1027" name="Check Box 3" descr="Hinweis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900-000001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7522" name="Check Box 2" descr="Hinweis 2" hidden="1">
              <a:extLst>
                <a:ext uri="{63B3BB69-23CF-44E3-9099-C40C66FF867C}">
                  <a14:compatExt spid="_x0000_s107522"/>
                </a:ext>
                <a:ext uri="{FF2B5EF4-FFF2-40B4-BE49-F238E27FC236}">
                  <a16:creationId xmlns:a16="http://schemas.microsoft.com/office/drawing/2014/main" id="{00000000-0008-0000-0900-000002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7523" name="Check Box 3" descr="Hinweis 3" hidden="1">
              <a:extLst>
                <a:ext uri="{63B3BB69-23CF-44E3-9099-C40C66FF867C}">
                  <a14:compatExt spid="_x0000_s107523"/>
                </a:ext>
                <a:ext uri="{FF2B5EF4-FFF2-40B4-BE49-F238E27FC236}">
                  <a16:creationId xmlns:a16="http://schemas.microsoft.com/office/drawing/2014/main" id="{00000000-0008-0000-0900-000003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7524" name="Check Box 4" descr="Hinweis 3" hidden="1">
              <a:extLst>
                <a:ext uri="{63B3BB69-23CF-44E3-9099-C40C66FF867C}">
                  <a14:compatExt spid="_x0000_s107524"/>
                </a:ext>
                <a:ext uri="{FF2B5EF4-FFF2-40B4-BE49-F238E27FC236}">
                  <a16:creationId xmlns:a16="http://schemas.microsoft.com/office/drawing/2014/main" id="{00000000-0008-0000-0900-000004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00000000-0008-0000-0A00-000001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09570" name="Check Box 2" descr="Hinweis 2" hidden="1">
              <a:extLst>
                <a:ext uri="{63B3BB69-23CF-44E3-9099-C40C66FF867C}">
                  <a14:compatExt spid="_x0000_s109570"/>
                </a:ext>
                <a:ext uri="{FF2B5EF4-FFF2-40B4-BE49-F238E27FC236}">
                  <a16:creationId xmlns:a16="http://schemas.microsoft.com/office/drawing/2014/main" id="{00000000-0008-0000-0A00-000002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09571" name="Check Box 3" descr="Hinweis 3" hidden="1">
              <a:extLst>
                <a:ext uri="{63B3BB69-23CF-44E3-9099-C40C66FF867C}">
                  <a14:compatExt spid="_x0000_s109571"/>
                </a:ext>
                <a:ext uri="{FF2B5EF4-FFF2-40B4-BE49-F238E27FC236}">
                  <a16:creationId xmlns:a16="http://schemas.microsoft.com/office/drawing/2014/main" id="{00000000-0008-0000-0A00-000003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09572" name="Check Box 4" descr="Hinweis 3" hidden="1">
              <a:extLst>
                <a:ext uri="{63B3BB69-23CF-44E3-9099-C40C66FF867C}">
                  <a14:compatExt spid="_x0000_s109572"/>
                </a:ext>
                <a:ext uri="{FF2B5EF4-FFF2-40B4-BE49-F238E27FC236}">
                  <a16:creationId xmlns:a16="http://schemas.microsoft.com/office/drawing/2014/main" id="{00000000-0008-0000-0A00-000004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838200</xdr:colOff>
          <xdr:row>2</xdr:row>
          <xdr:rowOff>19050</xdr:rowOff>
        </xdr:from>
        <xdr:to>
          <xdr:col>2</xdr:col>
          <xdr:colOff>1562100</xdr:colOff>
          <xdr:row>2</xdr:row>
          <xdr:rowOff>285750</xdr:rowOff>
        </xdr:to>
        <xdr:sp macro="" textlink="">
          <xdr:nvSpPr>
            <xdr:cNvPr id="114689" name="Check Box 1" hidden="1">
              <a:extLst>
                <a:ext uri="{63B3BB69-23CF-44E3-9099-C40C66FF867C}">
                  <a14:compatExt spid="_x0000_s114689"/>
                </a:ext>
                <a:ext uri="{FF2B5EF4-FFF2-40B4-BE49-F238E27FC236}">
                  <a16:creationId xmlns:a16="http://schemas.microsoft.com/office/drawing/2014/main" id="{00000000-0008-0000-0B00-000001C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952500</xdr:colOff>
          <xdr:row>1</xdr:row>
          <xdr:rowOff>47625</xdr:rowOff>
        </xdr:from>
        <xdr:to>
          <xdr:col>2</xdr:col>
          <xdr:colOff>1733550</xdr:colOff>
          <xdr:row>2</xdr:row>
          <xdr:rowOff>38100</xdr:rowOff>
        </xdr:to>
        <xdr:sp macro="" textlink="">
          <xdr:nvSpPr>
            <xdr:cNvPr id="39940" name="Check Box 4" descr="Hinweis" hidden="1">
              <a:extLst>
                <a:ext uri="{63B3BB69-23CF-44E3-9099-C40C66FF867C}">
                  <a14:compatExt spid="_x0000_s39940"/>
                </a:ext>
                <a:ext uri="{FF2B5EF4-FFF2-40B4-BE49-F238E27FC236}">
                  <a16:creationId xmlns:a16="http://schemas.microsoft.com/office/drawing/2014/main" id="{00000000-0008-0000-0C00-0000049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1</xdr:row>
          <xdr:rowOff>38100</xdr:rowOff>
        </xdr:from>
        <xdr:to>
          <xdr:col>3</xdr:col>
          <xdr:colOff>885825</xdr:colOff>
          <xdr:row>2</xdr:row>
          <xdr:rowOff>38100</xdr:rowOff>
        </xdr:to>
        <xdr:sp macro="" textlink="">
          <xdr:nvSpPr>
            <xdr:cNvPr id="50177" name="Check Box 1" descr="Hinweis" hidden="1">
              <a:extLst>
                <a:ext uri="{63B3BB69-23CF-44E3-9099-C40C66FF867C}">
                  <a14:compatExt spid="_x0000_s50177"/>
                </a:ext>
                <a:ext uri="{FF2B5EF4-FFF2-40B4-BE49-F238E27FC236}">
                  <a16:creationId xmlns:a16="http://schemas.microsoft.com/office/drawing/2014/main" id="{00000000-0008-0000-0D00-000001C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0</xdr:row>
          <xdr:rowOff>247650</xdr:rowOff>
        </xdr:from>
        <xdr:to>
          <xdr:col>3</xdr:col>
          <xdr:colOff>809625</xdr:colOff>
          <xdr:row>1</xdr:row>
          <xdr:rowOff>114300</xdr:rowOff>
        </xdr:to>
        <xdr:sp macro="" textlink="">
          <xdr:nvSpPr>
            <xdr:cNvPr id="41985" name="Check Box 1" descr="Hinweis" hidden="1">
              <a:extLst>
                <a:ext uri="{63B3BB69-23CF-44E3-9099-C40C66FF867C}">
                  <a14:compatExt spid="_x0000_s41985"/>
                </a:ext>
                <a:ext uri="{FF2B5EF4-FFF2-40B4-BE49-F238E27FC236}">
                  <a16:creationId xmlns:a16="http://schemas.microsoft.com/office/drawing/2014/main" id="{00000000-0008-0000-0E00-000001A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28575</xdr:rowOff>
        </xdr:from>
        <xdr:to>
          <xdr:col>1</xdr:col>
          <xdr:colOff>933450</xdr:colOff>
          <xdr:row>1</xdr:row>
          <xdr:rowOff>285750</xdr:rowOff>
        </xdr:to>
        <xdr:sp macro="" textlink="">
          <xdr:nvSpPr>
            <xdr:cNvPr id="2050" name="Check Box 2" descr="Hinweis"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19050</xdr:rowOff>
        </xdr:from>
        <xdr:to>
          <xdr:col>1</xdr:col>
          <xdr:colOff>971550</xdr:colOff>
          <xdr:row>1</xdr:row>
          <xdr:rowOff>276225</xdr:rowOff>
        </xdr:to>
        <xdr:sp macro="" textlink="">
          <xdr:nvSpPr>
            <xdr:cNvPr id="116737" name="Check Box 1" descr="Hinweis" hidden="1">
              <a:extLst>
                <a:ext uri="{63B3BB69-23CF-44E3-9099-C40C66FF867C}">
                  <a14:compatExt spid="_x0000_s116737"/>
                </a:ext>
                <a:ext uri="{FF2B5EF4-FFF2-40B4-BE49-F238E27FC236}">
                  <a16:creationId xmlns:a16="http://schemas.microsoft.com/office/drawing/2014/main" id="{00000000-0008-0000-0200-000001C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123825</xdr:rowOff>
        </xdr:from>
        <xdr:to>
          <xdr:col>3</xdr:col>
          <xdr:colOff>552450</xdr:colOff>
          <xdr:row>0</xdr:row>
          <xdr:rowOff>409575</xdr:rowOff>
        </xdr:to>
        <xdr:sp macro="" textlink="">
          <xdr:nvSpPr>
            <xdr:cNvPr id="26626" name="Check Box 2" descr="Hinweis" hidden="1">
              <a:extLst>
                <a:ext uri="{63B3BB69-23CF-44E3-9099-C40C66FF867C}">
                  <a14:compatExt spid="_x0000_s26626"/>
                </a:ext>
                <a:ext uri="{FF2B5EF4-FFF2-40B4-BE49-F238E27FC236}">
                  <a16:creationId xmlns:a16="http://schemas.microsoft.com/office/drawing/2014/main" id="{00000000-0008-0000-0300-000002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276225</xdr:rowOff>
        </xdr:to>
        <xdr:sp macro="" textlink="">
          <xdr:nvSpPr>
            <xdr:cNvPr id="26628" name="Check Box 4" descr="Hinweis" hidden="1">
              <a:extLst>
                <a:ext uri="{63B3BB69-23CF-44E3-9099-C40C66FF867C}">
                  <a14:compatExt spid="_x0000_s26628"/>
                </a:ext>
                <a:ext uri="{FF2B5EF4-FFF2-40B4-BE49-F238E27FC236}">
                  <a16:creationId xmlns:a16="http://schemas.microsoft.com/office/drawing/2014/main" id="{00000000-0008-0000-0300-000004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95250</xdr:rowOff>
        </xdr:from>
        <xdr:to>
          <xdr:col>3</xdr:col>
          <xdr:colOff>552450</xdr:colOff>
          <xdr:row>0</xdr:row>
          <xdr:rowOff>381000</xdr:rowOff>
        </xdr:to>
        <xdr:sp macro="" textlink="">
          <xdr:nvSpPr>
            <xdr:cNvPr id="27649" name="Check Box 1" descr="Hinweis"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400050</xdr:rowOff>
        </xdr:from>
        <xdr:to>
          <xdr:col>3</xdr:col>
          <xdr:colOff>552450</xdr:colOff>
          <xdr:row>1</xdr:row>
          <xdr:rowOff>257175</xdr:rowOff>
        </xdr:to>
        <xdr:sp macro="" textlink="">
          <xdr:nvSpPr>
            <xdr:cNvPr id="27650" name="Check Box 2" descr="Hinweis"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2924175</xdr:colOff>
          <xdr:row>0</xdr:row>
          <xdr:rowOff>123825</xdr:rowOff>
        </xdr:from>
        <xdr:to>
          <xdr:col>3</xdr:col>
          <xdr:colOff>561975</xdr:colOff>
          <xdr:row>0</xdr:row>
          <xdr:rowOff>409575</xdr:rowOff>
        </xdr:to>
        <xdr:sp macro="" textlink="">
          <xdr:nvSpPr>
            <xdr:cNvPr id="115713" name="Check Box 1" descr="Hinweis" hidden="1">
              <a:extLst>
                <a:ext uri="{63B3BB69-23CF-44E3-9099-C40C66FF867C}">
                  <a14:compatExt spid="_x0000_s115713"/>
                </a:ext>
                <a:ext uri="{FF2B5EF4-FFF2-40B4-BE49-F238E27FC236}">
                  <a16:creationId xmlns:a16="http://schemas.microsoft.com/office/drawing/2014/main" id="{00000000-0008-0000-0500-000001C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2924175</xdr:colOff>
          <xdr:row>0</xdr:row>
          <xdr:rowOff>419100</xdr:rowOff>
        </xdr:from>
        <xdr:to>
          <xdr:col>3</xdr:col>
          <xdr:colOff>561975</xdr:colOff>
          <xdr:row>1</xdr:row>
          <xdr:rowOff>276225</xdr:rowOff>
        </xdr:to>
        <xdr:sp macro="" textlink="">
          <xdr:nvSpPr>
            <xdr:cNvPr id="115714" name="Check Box 2" descr="Hinweis" hidden="1">
              <a:extLst>
                <a:ext uri="{63B3BB69-23CF-44E3-9099-C40C66FF867C}">
                  <a14:compatExt spid="_x0000_s115714"/>
                </a:ext>
                <a:ext uri="{FF2B5EF4-FFF2-40B4-BE49-F238E27FC236}">
                  <a16:creationId xmlns:a16="http://schemas.microsoft.com/office/drawing/2014/main" id="{00000000-0008-0000-0500-000002C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133350</xdr:rowOff>
        </xdr:from>
        <xdr:to>
          <xdr:col>3</xdr:col>
          <xdr:colOff>552450</xdr:colOff>
          <xdr:row>0</xdr:row>
          <xdr:rowOff>419100</xdr:rowOff>
        </xdr:to>
        <xdr:sp macro="" textlink="">
          <xdr:nvSpPr>
            <xdr:cNvPr id="30723" name="Check Box 3" descr="Hinweis" hidden="1">
              <a:extLst>
                <a:ext uri="{63B3BB69-23CF-44E3-9099-C40C66FF867C}">
                  <a14:compatExt spid="_x0000_s30723"/>
                </a:ext>
                <a:ext uri="{FF2B5EF4-FFF2-40B4-BE49-F238E27FC236}">
                  <a16:creationId xmlns:a16="http://schemas.microsoft.com/office/drawing/2014/main" id="{00000000-0008-0000-0600-0000037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285750</xdr:rowOff>
        </xdr:to>
        <xdr:sp macro="" textlink="">
          <xdr:nvSpPr>
            <xdr:cNvPr id="30724" name="Check Box 4" descr="Hinweis" hidden="1">
              <a:extLst>
                <a:ext uri="{63B3BB69-23CF-44E3-9099-C40C66FF867C}">
                  <a14:compatExt spid="_x0000_s30724"/>
                </a:ext>
                <a:ext uri="{FF2B5EF4-FFF2-40B4-BE49-F238E27FC236}">
                  <a16:creationId xmlns:a16="http://schemas.microsoft.com/office/drawing/2014/main" id="{00000000-0008-0000-0600-0000047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700-000001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6498" name="Check Box 2" descr="Hinweis 2" hidden="1">
              <a:extLst>
                <a:ext uri="{63B3BB69-23CF-44E3-9099-C40C66FF867C}">
                  <a14:compatExt spid="_x0000_s106498"/>
                </a:ext>
                <a:ext uri="{FF2B5EF4-FFF2-40B4-BE49-F238E27FC236}">
                  <a16:creationId xmlns:a16="http://schemas.microsoft.com/office/drawing/2014/main" id="{00000000-0008-0000-0700-000002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6499" name="Check Box 3" descr="Hinweis 3" hidden="1">
              <a:extLst>
                <a:ext uri="{63B3BB69-23CF-44E3-9099-C40C66FF867C}">
                  <a14:compatExt spid="_x0000_s106499"/>
                </a:ext>
                <a:ext uri="{FF2B5EF4-FFF2-40B4-BE49-F238E27FC236}">
                  <a16:creationId xmlns:a16="http://schemas.microsoft.com/office/drawing/2014/main" id="{00000000-0008-0000-0700-000003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6500" name="Check Box 4" descr="Hinweis 3" hidden="1">
              <a:extLst>
                <a:ext uri="{63B3BB69-23CF-44E3-9099-C40C66FF867C}">
                  <a14:compatExt spid="_x0000_s106500"/>
                </a:ext>
                <a:ext uri="{FF2B5EF4-FFF2-40B4-BE49-F238E27FC236}">
                  <a16:creationId xmlns:a16="http://schemas.microsoft.com/office/drawing/2014/main" id="{00000000-0008-0000-0700-000004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800-000001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08546" name="Check Box 2" descr="Hinweis 2" hidden="1">
              <a:extLst>
                <a:ext uri="{63B3BB69-23CF-44E3-9099-C40C66FF867C}">
                  <a14:compatExt spid="_x0000_s108546"/>
                </a:ext>
                <a:ext uri="{FF2B5EF4-FFF2-40B4-BE49-F238E27FC236}">
                  <a16:creationId xmlns:a16="http://schemas.microsoft.com/office/drawing/2014/main" id="{00000000-0008-0000-0800-000002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08547" name="Check Box 3" descr="Hinweis 3" hidden="1">
              <a:extLst>
                <a:ext uri="{63B3BB69-23CF-44E3-9099-C40C66FF867C}">
                  <a14:compatExt spid="_x0000_s108547"/>
                </a:ext>
                <a:ext uri="{FF2B5EF4-FFF2-40B4-BE49-F238E27FC236}">
                  <a16:creationId xmlns:a16="http://schemas.microsoft.com/office/drawing/2014/main" id="{00000000-0008-0000-0800-000003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08548" name="Check Box 4" descr="Hinweis 3" hidden="1">
              <a:extLst>
                <a:ext uri="{63B3BB69-23CF-44E3-9099-C40C66FF867C}">
                  <a14:compatExt spid="_x0000_s108548"/>
                </a:ext>
                <a:ext uri="{FF2B5EF4-FFF2-40B4-BE49-F238E27FC236}">
                  <a16:creationId xmlns:a16="http://schemas.microsoft.com/office/drawing/2014/main" id="{00000000-0008-0000-0800-000004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25.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29.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trlProp" Target="../ctrlProps/ctrlProp3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trlProp" Target="../ctrlProps/ctrlProp3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trlProp" Target="../ctrlProps/ctrlProp3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17.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21.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42"/>
  </sheetPr>
  <dimension ref="A1:M981"/>
  <sheetViews>
    <sheetView showGridLines="0" tabSelected="1" zoomScaleNormal="100" workbookViewId="0">
      <selection activeCell="C3" sqref="C3"/>
    </sheetView>
  </sheetViews>
  <sheetFormatPr baseColWidth="10" defaultColWidth="11.42578125" defaultRowHeight="10.5" x14ac:dyDescent="0.2"/>
  <cols>
    <col min="1" max="1" width="5.28515625" style="3" customWidth="1"/>
    <col min="2" max="2" width="15.5703125" style="4" customWidth="1"/>
    <col min="3" max="3" width="32.42578125" style="4" customWidth="1"/>
    <col min="4" max="4" width="12" style="3" bestFit="1" customWidth="1"/>
    <col min="5" max="5" width="15.28515625" style="23" customWidth="1"/>
    <col min="6" max="6" width="12.28515625" style="3" customWidth="1"/>
    <col min="7" max="7" width="11.5703125" style="3" customWidth="1"/>
    <col min="8" max="8" width="12" style="3" customWidth="1"/>
    <col min="9" max="10" width="11.5703125" style="3" customWidth="1"/>
    <col min="11" max="12" width="12.7109375" style="3" customWidth="1"/>
    <col min="13" max="14" width="11.42578125" style="3" customWidth="1"/>
    <col min="15" max="16384" width="11.42578125" style="3"/>
  </cols>
  <sheetData>
    <row r="1" spans="1:13" x14ac:dyDescent="0.2">
      <c r="A1" s="74"/>
    </row>
    <row r="2" spans="1:13" ht="32.450000000000003" customHeight="1" x14ac:dyDescent="0.2">
      <c r="B2" s="75" t="s">
        <v>91</v>
      </c>
      <c r="G2" s="168" t="s">
        <v>193</v>
      </c>
      <c r="H2" s="168"/>
      <c r="I2" s="167" t="str">
        <f>IF(H3=TRUE,"Tragen Sie in die gelb markierten Felder die Angaben zu Ihrem Unternehmen ein.",IF(H4=TRUE,"Am vorteilhaftesten ist es, wenn Sie die Tabellen in dieser Datei anhand der unteren Reiter systematisch durchklicken. Es sind in allen Tabellen nur die GELBEN Zellen auszufüllen.
Die anderen Zellen sind gesperrt. Sie berechnen sich automatisch. ",IF(H5=TRUE,"Die mit Unterstrichen markierten Bezeichnungen für Tabellen, Zahlen und Texte sind verlinkt. Klicken Sie auf die Links, wenn Sie weitere Informationen in der betreffenden Tabelle suchen. ","")))</f>
        <v/>
      </c>
      <c r="J2" s="167"/>
      <c r="K2" s="167"/>
      <c r="L2" s="167"/>
      <c r="M2" s="167"/>
    </row>
    <row r="3" spans="1:13" ht="15" customHeight="1" x14ac:dyDescent="0.2">
      <c r="B3" s="76" t="s">
        <v>172</v>
      </c>
      <c r="C3" s="22"/>
      <c r="E3" s="76" t="s">
        <v>167</v>
      </c>
      <c r="F3" s="77">
        <v>46235</v>
      </c>
      <c r="G3" s="78"/>
      <c r="H3" s="57" t="b">
        <v>0</v>
      </c>
      <c r="I3" s="167"/>
      <c r="J3" s="167"/>
      <c r="K3" s="167"/>
      <c r="L3" s="167"/>
      <c r="M3" s="167"/>
    </row>
    <row r="4" spans="1:13" ht="15" customHeight="1" x14ac:dyDescent="0.2">
      <c r="B4" s="76" t="s">
        <v>160</v>
      </c>
      <c r="C4" s="22"/>
      <c r="E4" s="76" t="s">
        <v>168</v>
      </c>
      <c r="F4" s="77">
        <v>47695</v>
      </c>
      <c r="G4" s="78"/>
      <c r="H4" s="57" t="b">
        <v>0</v>
      </c>
      <c r="I4" s="167"/>
      <c r="J4" s="167"/>
      <c r="K4" s="167"/>
      <c r="L4" s="167"/>
      <c r="M4" s="167"/>
    </row>
    <row r="5" spans="1:13" ht="15" customHeight="1" x14ac:dyDescent="0.2">
      <c r="B5" s="76" t="s">
        <v>161</v>
      </c>
      <c r="C5" s="22"/>
      <c r="E5" s="76" t="s">
        <v>169</v>
      </c>
      <c r="F5" s="79">
        <v>2</v>
      </c>
      <c r="G5" s="78"/>
      <c r="H5" s="57" t="b">
        <v>0</v>
      </c>
      <c r="I5" s="167"/>
      <c r="J5" s="167"/>
      <c r="K5" s="167"/>
      <c r="L5" s="167"/>
      <c r="M5" s="167"/>
    </row>
    <row r="6" spans="1:13" ht="15" customHeight="1" x14ac:dyDescent="0.2">
      <c r="B6" s="76" t="s">
        <v>162</v>
      </c>
      <c r="C6" s="22"/>
      <c r="E6" s="76" t="s">
        <v>170</v>
      </c>
      <c r="F6" s="77">
        <f>DATE(YEAR($F$4)+$F$5,MONTH($F$4),DAY($F$4))</f>
        <v>48426</v>
      </c>
      <c r="I6" s="167"/>
      <c r="J6" s="167"/>
      <c r="K6" s="167"/>
      <c r="L6" s="167"/>
      <c r="M6" s="167"/>
    </row>
    <row r="7" spans="1:13" ht="15" customHeight="1" x14ac:dyDescent="0.2">
      <c r="B7" s="76" t="s">
        <v>173</v>
      </c>
      <c r="C7" s="22"/>
    </row>
    <row r="8" spans="1:13" ht="15" customHeight="1" x14ac:dyDescent="0.2">
      <c r="B8" s="76" t="s">
        <v>174</v>
      </c>
      <c r="C8" s="22"/>
    </row>
    <row r="9" spans="1:13" ht="15" customHeight="1" x14ac:dyDescent="0.2">
      <c r="B9" s="76" t="s">
        <v>175</v>
      </c>
      <c r="C9" s="22"/>
    </row>
    <row r="10" spans="1:13" ht="15" customHeight="1" x14ac:dyDescent="0.2">
      <c r="B10" s="76" t="s">
        <v>176</v>
      </c>
      <c r="C10" s="22"/>
    </row>
    <row r="11" spans="1:13" ht="15" customHeight="1" x14ac:dyDescent="0.2">
      <c r="B11" s="76" t="s">
        <v>177</v>
      </c>
      <c r="C11" s="22"/>
    </row>
    <row r="12" spans="1:13" ht="24.95" customHeight="1" x14ac:dyDescent="0.2"/>
    <row r="13" spans="1:13" ht="19.899999999999999" customHeight="1" x14ac:dyDescent="0.2">
      <c r="B13" s="4" t="s">
        <v>0</v>
      </c>
      <c r="C13" s="4" t="s">
        <v>199</v>
      </c>
      <c r="E13" s="3"/>
    </row>
    <row r="14" spans="1:13" ht="15" customHeight="1" x14ac:dyDescent="0.2">
      <c r="B14" s="37" t="s">
        <v>184</v>
      </c>
      <c r="E14" s="3"/>
    </row>
    <row r="15" spans="1:13" ht="15" customHeight="1" x14ac:dyDescent="0.2">
      <c r="B15" s="37" t="s">
        <v>312</v>
      </c>
      <c r="E15" s="3"/>
    </row>
    <row r="16" spans="1:13" ht="15" customHeight="1" x14ac:dyDescent="0.2">
      <c r="B16" s="37" t="s">
        <v>293</v>
      </c>
      <c r="E16" s="3"/>
    </row>
    <row r="17" spans="2:12" ht="15" customHeight="1" x14ac:dyDescent="0.2">
      <c r="B17" s="37" t="s">
        <v>294</v>
      </c>
      <c r="E17" s="3"/>
    </row>
    <row r="18" spans="2:12" ht="15" customHeight="1" x14ac:dyDescent="0.2">
      <c r="B18" s="37" t="s">
        <v>311</v>
      </c>
      <c r="E18" s="3"/>
    </row>
    <row r="19" spans="2:12" ht="15" customHeight="1" x14ac:dyDescent="0.2">
      <c r="B19" s="5" t="s">
        <v>295</v>
      </c>
      <c r="C19" s="3"/>
      <c r="E19" s="3"/>
    </row>
    <row r="20" spans="2:12" ht="15" customHeight="1" x14ac:dyDescent="0.2">
      <c r="B20" s="5" t="s">
        <v>154</v>
      </c>
      <c r="C20" s="3"/>
      <c r="E20" s="3"/>
    </row>
    <row r="21" spans="2:12" ht="15" customHeight="1" x14ac:dyDescent="0.2"/>
    <row r="22" spans="2:12" ht="90" customHeight="1" x14ac:dyDescent="0.2">
      <c r="B22" s="80" t="s">
        <v>178</v>
      </c>
      <c r="C22" s="80" t="s">
        <v>179</v>
      </c>
      <c r="D22" s="80" t="s">
        <v>180</v>
      </c>
      <c r="E22" s="80" t="s">
        <v>313</v>
      </c>
      <c r="F22" s="80" t="s">
        <v>284</v>
      </c>
      <c r="G22" s="80" t="s">
        <v>286</v>
      </c>
      <c r="H22" s="80" t="s">
        <v>288</v>
      </c>
      <c r="I22" s="80" t="s">
        <v>287</v>
      </c>
      <c r="J22" s="80" t="s">
        <v>310</v>
      </c>
      <c r="K22" s="80" t="s">
        <v>296</v>
      </c>
      <c r="L22" s="80" t="s">
        <v>297</v>
      </c>
    </row>
    <row r="23" spans="2:12" ht="15" customHeight="1" x14ac:dyDescent="0.2">
      <c r="B23" s="81" t="s">
        <v>198</v>
      </c>
      <c r="C23" s="81" t="s">
        <v>200</v>
      </c>
      <c r="D23" s="81" t="s">
        <v>194</v>
      </c>
      <c r="E23" s="82">
        <f>'Kal Unter Kita Regenb'!L21</f>
        <v>230.5</v>
      </c>
      <c r="F23" s="60">
        <f ca="1">'Kal Unter Kita Regenb'!Q21</f>
        <v>0</v>
      </c>
      <c r="G23" s="60">
        <f>'Kal Grund Kita Regenb'!Q21</f>
        <v>0</v>
      </c>
      <c r="H23" s="60">
        <f>SUMIF('Kal Verbrauch Gesamt'!$B$5:$B$13,B23,'Kal Verbrauch Gesamt'!$G$5:$G$13)</f>
        <v>0</v>
      </c>
      <c r="I23" s="60">
        <f ca="1">SUMIF('Kal Wirtschaft Gesamt'!$B$5:$B$19,B23,'Kal Wirtschaft Gesamt'!$J$5:$J$19)</f>
        <v>0</v>
      </c>
      <c r="J23" s="61"/>
      <c r="K23" s="83">
        <f ca="1">ROUND(SUM($F$23:$J$23),2)</f>
        <v>0</v>
      </c>
      <c r="L23" s="83">
        <f ca="1">ROUND($K$23* 1.19,2)</f>
        <v>0</v>
      </c>
    </row>
    <row r="24" spans="2:12" ht="15" customHeight="1" x14ac:dyDescent="0.2">
      <c r="B24" s="81" t="s">
        <v>204</v>
      </c>
      <c r="C24" s="81" t="s">
        <v>205</v>
      </c>
      <c r="D24" s="81" t="s">
        <v>194</v>
      </c>
      <c r="E24" s="82">
        <f>'Kal Unter Kita Teichspa'!L21</f>
        <v>237.5</v>
      </c>
      <c r="F24" s="60">
        <f ca="1">'Kal Unter Kita Teichspa'!Q21</f>
        <v>0</v>
      </c>
      <c r="G24" s="60">
        <f>'Kal Grund Kita Teichspa'!Q21</f>
        <v>0</v>
      </c>
      <c r="H24" s="60">
        <f>SUMIF('Kal Verbrauch Gesamt'!$B$5:$B$13,B24,'Kal Verbrauch Gesamt'!$G$5:$G$13)</f>
        <v>0</v>
      </c>
      <c r="I24" s="60">
        <f ca="1">SUMIF('Kal Wirtschaft Gesamt'!$B$5:$B$19,B24,'Kal Wirtschaft Gesamt'!$J$5:$J$19)</f>
        <v>0</v>
      </c>
      <c r="J24" s="60">
        <f>'Kal Sonderreinigung Bed'!$G$5</f>
        <v>0</v>
      </c>
      <c r="K24" s="83">
        <f ca="1">ROUND(SUM($F$24:$J$24),2)</f>
        <v>0</v>
      </c>
      <c r="L24" s="83">
        <f ca="1">ROUND($K$24* 1.19,2)</f>
        <v>0</v>
      </c>
    </row>
    <row r="25" spans="2:12" ht="15" customHeight="1" x14ac:dyDescent="0.2"/>
    <row r="26" spans="2:12" ht="15" customHeight="1" x14ac:dyDescent="0.2"/>
    <row r="27" spans="2:12" ht="15" customHeight="1" x14ac:dyDescent="0.2"/>
    <row r="28" spans="2:12" ht="15" customHeight="1" x14ac:dyDescent="0.2"/>
    <row r="29" spans="2:12" ht="15" customHeight="1" x14ac:dyDescent="0.2"/>
    <row r="30" spans="2:12" ht="15" customHeight="1" x14ac:dyDescent="0.2"/>
    <row r="31" spans="2:12" ht="15" customHeight="1" x14ac:dyDescent="0.2"/>
    <row r="32" spans="2: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sheetData>
  <sheetProtection algorithmName="SHA-512" hashValue="w8fqoiapArJTNfCSY+QJhZKuJywul1c6ebActtoOyNw9YT08IM80U+eTXvzQDRcD5ytawJI5rtOQaVnNrgsZiQ==" saltValue="uZGzblzIDRP0s8k4Ww5Smg==" spinCount="100000" sheet="1" objects="1" scenarios="1"/>
  <mergeCells count="2">
    <mergeCell ref="I2:M6"/>
    <mergeCell ref="G2:H2"/>
  </mergeCells>
  <phoneticPr fontId="3" type="noConversion"/>
  <hyperlinks>
    <hyperlink ref="B14" location="'Preisübersicht'!A1" display="Preisübersicht" xr:uid="{9866BFB8-C91D-41AF-B249-7A40964240FB}"/>
    <hyperlink ref="B16" location="'SVS UnterhaltsRG'!A1" display="SVS UnterhaltsRG" xr:uid="{F688D544-094B-45BF-937F-5776E5A5B98B}"/>
    <hyperlink ref="B17" location="'SVS GrundRG'!A1" display="SVS GrundRG" xr:uid="{88FCB33C-5777-4EEB-8D3E-02D5525FB62D}"/>
    <hyperlink ref="B19" location="'SVS Wirtschaft'!A1" display="SVS Wirtschaft" xr:uid="{6E34F0B3-18AE-4E42-9575-825FF456AEC8}"/>
    <hyperlink ref="B20" location="'Reinigungstage'!A1" display="Reinigungstage" xr:uid="{5414E795-5DE7-44C7-9D4B-9ED249C5B970}"/>
    <hyperlink ref="F23" location="'Kal Unter Kita Regenb'!$Q$21" display="'Kal Unter Kita Regenb'!$Q$21" xr:uid="{4C03547B-7F8E-4DF6-9000-F53BE8492D4E}"/>
    <hyperlink ref="F24" location="'Kal Unter Kita Teichspa'!$Q$21" display="'Kal Unter Kita Teichspa'!$Q$21" xr:uid="{A11E86D6-513A-45CA-A058-355D9B87351F}"/>
    <hyperlink ref="G23" location="'Kal Grund Kita Regenb'!$Q$21" display="'Kal Grund Kita Regenb'!$Q$21" xr:uid="{7FC9037D-4E7D-48E6-BAA0-DB14958878A2}"/>
    <hyperlink ref="G24" location="'Kal Grund Kita Teichspa'!$Q$21" display="'Kal Grund Kita Teichspa'!$Q$21" xr:uid="{8D6388FF-75B2-45BC-9CB3-4D1E14D0279A}"/>
    <hyperlink ref="H23" location="'Kal Verbrauch Gesamt'!G5:G8" display="'Kal Verbrauch Gesamt'!G5:G8" xr:uid="{6B9B601C-13AA-4A6B-A65F-08AE1D84863D}"/>
    <hyperlink ref="I23" location="'Kal Wirtschaft Gesamt'!J5:J12" display="'Kal Wirtschaft Gesamt'!J5:J12" xr:uid="{B1A6D39C-B68F-4BF6-B8C7-CAE674146BCD}"/>
    <hyperlink ref="J24" location="'Kal Sonderreinigung Bed'!G5" display="'Kal Sonderreinigung Bed'!G5" xr:uid="{2BB1E70F-DFE7-41BE-83A4-8A6B6C4B8E52}"/>
    <hyperlink ref="B18" location="'SVS Sonderreinigung'!A1" display="SVS Sonderreinigung" xr:uid="{66A60851-F50A-4E11-995F-1FE51F84F6DA}"/>
    <hyperlink ref="B15" location="'Preisübersicht (nach Bedarf)'!A1" display="Preisübersicht (nach Bedarf)" xr:uid="{46A9895C-70A9-48B2-A37E-6529F4A68198}"/>
    <hyperlink ref="H24" location="'Kal Verbrauch Gesamt'!G9:G13" display="'Kal Verbrauch Gesamt'!G9:G13" xr:uid="{6648FAB3-D66A-4323-9997-B516BC710A50}"/>
    <hyperlink ref="I24" location="'Kal Wirtschaft Gesamt'!J13:J19" display="'Kal Wirtschaft Gesamt'!J13:J19" xr:uid="{D190835D-8890-4C0A-A4FC-537DC3A2B245}"/>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&amp;N&amp;RInhaltsverzeichnis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2</xdr:row>
                    <xdr:rowOff>0</xdr:rowOff>
                  </from>
                  <to>
                    <xdr:col>7</xdr:col>
                    <xdr:colOff>790575</xdr:colOff>
                    <xdr:row>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ltText="Hinweis 2">
                <anchor moveWithCells="1">
                  <from>
                    <xdr:col>7</xdr:col>
                    <xdr:colOff>0</xdr:colOff>
                    <xdr:row>3</xdr:row>
                    <xdr:rowOff>0</xdr:rowOff>
                  </from>
                  <to>
                    <xdr:col>7</xdr:col>
                    <xdr:colOff>790575</xdr:colOff>
                    <xdr:row>4</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ltText="Hinweis 3">
                <anchor moveWithCells="1">
                  <from>
                    <xdr:col>7</xdr:col>
                    <xdr:colOff>0</xdr:colOff>
                    <xdr:row>4</xdr:row>
                    <xdr:rowOff>19050</xdr:rowOff>
                  </from>
                  <to>
                    <xdr:col>7</xdr:col>
                    <xdr:colOff>790575</xdr:colOff>
                    <xdr:row>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4545A-C4E5-4E1B-B482-932F1758B92B}">
  <sheetPr codeName="Tabelle33">
    <tabColor indexed="40"/>
  </sheetPr>
  <dimension ref="A1:V45"/>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28515625" style="3"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209" t="s">
        <v>158</v>
      </c>
      <c r="B2" s="210"/>
      <c r="C2" s="210"/>
      <c r="D2" s="210" t="b">
        <v>0</v>
      </c>
      <c r="E2" s="211"/>
      <c r="G2" s="212" t="s">
        <v>171</v>
      </c>
      <c r="H2" s="212" t="s">
        <v>163</v>
      </c>
      <c r="I2" s="212" t="s">
        <v>164</v>
      </c>
      <c r="J2" s="212" t="s">
        <v>183</v>
      </c>
      <c r="M2" s="57" t="b">
        <v>0</v>
      </c>
      <c r="N2" s="167"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67"/>
      <c r="P2" s="167"/>
      <c r="Q2" s="167"/>
    </row>
    <row r="3" spans="1:22" ht="21" customHeight="1" x14ac:dyDescent="0.2">
      <c r="A3" s="137" t="s">
        <v>159</v>
      </c>
      <c r="B3" s="138"/>
      <c r="C3" s="138"/>
      <c r="D3" s="138"/>
      <c r="E3" s="139"/>
      <c r="G3" s="213"/>
      <c r="H3" s="213" t="b">
        <v>0</v>
      </c>
      <c r="I3" s="213"/>
      <c r="J3" s="213"/>
      <c r="M3" s="57" t="b">
        <v>0</v>
      </c>
      <c r="N3" s="167"/>
      <c r="O3" s="167"/>
      <c r="P3" s="167"/>
      <c r="Q3" s="167"/>
    </row>
    <row r="4" spans="1:22" ht="15" customHeight="1" x14ac:dyDescent="0.2">
      <c r="A4" s="207" t="s">
        <v>91</v>
      </c>
      <c r="B4" s="217" t="str">
        <f>IF(Inhaltsverzeichnis!C3="","",Inhaltsverzeichnis!C3)</f>
        <v/>
      </c>
      <c r="C4" s="218"/>
      <c r="D4" s="218"/>
      <c r="E4" s="219"/>
      <c r="G4" s="136" t="s">
        <v>215</v>
      </c>
      <c r="H4" s="140"/>
      <c r="I4" s="141">
        <f ca="1">SUMIF('Kal Unter Kita Teichspa'!J22:M45,$G$4,'Kal Unter Kita Teichspa'!M22:M45)</f>
        <v>770.2</v>
      </c>
      <c r="J4" s="79">
        <f>COUNTIFS('Kal Unter Kita Teichspa'!J22:M45,$G$4)</f>
        <v>1</v>
      </c>
      <c r="M4" s="57" t="b">
        <v>0</v>
      </c>
      <c r="N4" s="167"/>
      <c r="O4" s="167"/>
      <c r="P4" s="167"/>
      <c r="Q4" s="167"/>
      <c r="U4" s="136" t="s">
        <v>215</v>
      </c>
      <c r="V4" s="3">
        <v>168.75</v>
      </c>
    </row>
    <row r="5" spans="1:22" ht="15" customHeight="1" x14ac:dyDescent="0.2">
      <c r="A5" s="208"/>
      <c r="B5" s="220"/>
      <c r="C5" s="221"/>
      <c r="D5" s="221"/>
      <c r="E5" s="222"/>
      <c r="G5" s="136" t="s">
        <v>244</v>
      </c>
      <c r="H5" s="140"/>
      <c r="I5" s="141">
        <f ca="1">SUMIF('Kal Unter Kita Teichspa'!J22:M45,$G$5,'Kal Unter Kita Teichspa'!M22:M45)</f>
        <v>36503.219999999994</v>
      </c>
      <c r="J5" s="79">
        <f>COUNTIFS('Kal Unter Kita Teichspa'!J22:M45,$G$5)</f>
        <v>6</v>
      </c>
      <c r="M5" s="57" t="b">
        <v>0</v>
      </c>
      <c r="N5" s="167"/>
      <c r="O5" s="167"/>
      <c r="P5" s="167"/>
      <c r="Q5" s="167"/>
      <c r="U5" s="136" t="s">
        <v>244</v>
      </c>
      <c r="V5" s="3">
        <v>132.5</v>
      </c>
    </row>
    <row r="6" spans="1:22" ht="15" customHeight="1" x14ac:dyDescent="0.2">
      <c r="A6" s="142" t="s">
        <v>181</v>
      </c>
      <c r="B6" s="223" t="s">
        <v>199</v>
      </c>
      <c r="C6" s="224"/>
      <c r="D6" s="224"/>
      <c r="E6" s="225"/>
      <c r="G6" s="136" t="s">
        <v>246</v>
      </c>
      <c r="H6" s="140"/>
      <c r="I6" s="141">
        <f ca="1">SUMIF('Kal Unter Kita Teichspa'!J22:M45,$G$6,'Kal Unter Kita Teichspa'!M22:M45)</f>
        <v>10375.500000000002</v>
      </c>
      <c r="J6" s="79">
        <f>COUNTIFS('Kal Unter Kita Teichspa'!J22:M45,$G$6)</f>
        <v>5</v>
      </c>
      <c r="U6" s="136" t="s">
        <v>246</v>
      </c>
      <c r="V6" s="3">
        <v>53.75</v>
      </c>
    </row>
    <row r="7" spans="1:22" ht="15" customHeight="1" x14ac:dyDescent="0.2">
      <c r="A7" s="143" t="s">
        <v>179</v>
      </c>
      <c r="B7" s="226" t="s">
        <v>205</v>
      </c>
      <c r="C7" s="224"/>
      <c r="D7" s="224"/>
      <c r="E7" s="225"/>
      <c r="G7" s="136" t="s">
        <v>247</v>
      </c>
      <c r="H7" s="140"/>
      <c r="I7" s="141">
        <f ca="1">SUMIF('Kal Unter Kita Teichspa'!J22:M45,$G$7,'Kal Unter Kita Teichspa'!M22:M45)</f>
        <v>0</v>
      </c>
      <c r="J7" s="79">
        <f>COUNTIFS('Kal Unter Kita Teichspa'!J22:M45,$G$7)</f>
        <v>1</v>
      </c>
      <c r="U7" s="136" t="s">
        <v>247</v>
      </c>
      <c r="V7" s="3">
        <v>262.5</v>
      </c>
    </row>
    <row r="8" spans="1:22" ht="15" customHeight="1" x14ac:dyDescent="0.2">
      <c r="A8" s="143" t="s">
        <v>180</v>
      </c>
      <c r="B8" s="223"/>
      <c r="C8" s="224"/>
      <c r="D8" s="224"/>
      <c r="E8" s="225"/>
      <c r="G8" s="136" t="s">
        <v>248</v>
      </c>
      <c r="H8" s="140"/>
      <c r="I8" s="141">
        <f ca="1">SUMIF('Kal Unter Kita Teichspa'!J22:M45,$G$8,'Kal Unter Kita Teichspa'!M22:M45)</f>
        <v>1110.6400000000001</v>
      </c>
      <c r="J8" s="79">
        <f>COUNTIFS('Kal Unter Kita Teichspa'!J22:M45,$G$8)</f>
        <v>3</v>
      </c>
      <c r="U8" s="136" t="s">
        <v>248</v>
      </c>
      <c r="V8" s="3">
        <v>136.25</v>
      </c>
    </row>
    <row r="9" spans="1:22" ht="15" customHeight="1" x14ac:dyDescent="0.2">
      <c r="A9" s="142" t="s">
        <v>178</v>
      </c>
      <c r="B9" s="227" t="s">
        <v>204</v>
      </c>
      <c r="C9" s="224"/>
      <c r="D9" s="224"/>
      <c r="E9" s="225"/>
      <c r="G9" s="136" t="s">
        <v>267</v>
      </c>
      <c r="H9" s="140"/>
      <c r="I9" s="141">
        <f ca="1">SUMIF('Kal Unter Kita Teichspa'!J22:M45,$G$9,'Kal Unter Kita Teichspa'!M22:M45)</f>
        <v>4025.63</v>
      </c>
      <c r="J9" s="79">
        <f>COUNTIFS('Kal Unter Kita Teichspa'!J22:M45,$G$9)</f>
        <v>1</v>
      </c>
      <c r="U9" s="136" t="s">
        <v>267</v>
      </c>
      <c r="V9" s="3">
        <v>163.75</v>
      </c>
    </row>
    <row r="10" spans="1:22" ht="15" customHeight="1" x14ac:dyDescent="0.2">
      <c r="A10" s="143" t="s">
        <v>160</v>
      </c>
      <c r="B10" s="223" t="s">
        <v>206</v>
      </c>
      <c r="C10" s="224"/>
      <c r="D10" s="224"/>
      <c r="E10" s="225"/>
      <c r="G10" s="136" t="s">
        <v>243</v>
      </c>
      <c r="H10" s="140"/>
      <c r="I10" s="141">
        <f ca="1">SUMIF('Kal Unter Kita Teichspa'!J22:M45,$G$10,'Kal Unter Kita Teichspa'!M22:M45)</f>
        <v>20246.78</v>
      </c>
      <c r="J10" s="79">
        <f>COUNTIFS('Kal Unter Kita Teichspa'!J22:M45,$G$10)</f>
        <v>6</v>
      </c>
      <c r="U10" s="136" t="s">
        <v>243</v>
      </c>
      <c r="V10" s="3">
        <v>166.25</v>
      </c>
    </row>
    <row r="11" spans="1:22" ht="15" customHeight="1" x14ac:dyDescent="0.2">
      <c r="A11" s="143" t="s">
        <v>161</v>
      </c>
      <c r="B11" s="228" t="s">
        <v>202</v>
      </c>
      <c r="C11" s="224"/>
      <c r="D11" s="224"/>
      <c r="E11" s="225"/>
      <c r="G11" s="136" t="s">
        <v>245</v>
      </c>
      <c r="H11" s="140"/>
      <c r="I11" s="141">
        <f ca="1">SUMIF('Kal Unter Kita Teichspa'!J22:M45,$G$11,'Kal Unter Kita Teichspa'!M22:M45)</f>
        <v>3180.13</v>
      </c>
      <c r="J11" s="79">
        <f>COUNTIFS('Kal Unter Kita Teichspa'!J22:M45,$G$11)</f>
        <v>1</v>
      </c>
      <c r="M11" s="3" t="str">
        <f>IF(N13&gt;0,"Bitte die Leistungswerte im Leistungsverzeichnis/ Tabellenblatt Leistungsrichtwerte","")</f>
        <v/>
      </c>
      <c r="U11" s="136" t="s">
        <v>245</v>
      </c>
      <c r="V11" s="3">
        <v>67.5</v>
      </c>
    </row>
    <row r="12" spans="1:22" ht="15" customHeight="1" x14ac:dyDescent="0.2">
      <c r="A12" s="143" t="s">
        <v>162</v>
      </c>
      <c r="B12" s="223" t="s">
        <v>207</v>
      </c>
      <c r="C12" s="224"/>
      <c r="D12" s="224"/>
      <c r="E12" s="225"/>
      <c r="M12" s="3" t="str">
        <f>IF(N13&gt;0,"für die Objektart prüfen.","")</f>
        <v/>
      </c>
    </row>
    <row r="13" spans="1:22" ht="15" customHeight="1" x14ac:dyDescent="0.2">
      <c r="A13" s="143" t="s">
        <v>165</v>
      </c>
      <c r="B13" s="214" t="str">
        <f>HYPERLINK("http://maps.google.de/maps?hl=de&amp;bav=on.2,or.r_qf.&amp;bvm=bv.44770516,d.Yms&amp;biw=1395&amp;bih=916&amp;um=1&amp;ie=UTF-8&amp;q="&amp;B7&amp;"+"&amp;B8&amp;"+"&amp;B10&amp;"+"&amp;B11&amp;"+"&amp;B12&amp;"","In Google-Maps anzeigen (wenn Internet verfügbar)")</f>
        <v>In Google-Maps anzeigen (wenn Internet verfügbar)</v>
      </c>
      <c r="C13" s="215"/>
      <c r="D13" s="215"/>
      <c r="E13" s="216"/>
      <c r="N13" s="144">
        <f>COUNTIF(V22:V$45,1)</f>
        <v>0</v>
      </c>
      <c r="O13" s="3" t="str">
        <f>IF(N13&gt;0,"Wert(e) überschritten, bitte mit dem Angebot plausibel darlegen.","")</f>
        <v/>
      </c>
    </row>
    <row r="14" spans="1:22" ht="15" customHeight="1" x14ac:dyDescent="0.2">
      <c r="N14" s="145">
        <f>COUNTIF(V22:V$45,0)</f>
        <v>24</v>
      </c>
      <c r="O14" s="3" t="str">
        <f>IF(N14&gt;0,"Wert(e) korrekt","")</f>
        <v>Wert(e) korrekt</v>
      </c>
      <c r="T14" s="146">
        <f>IF(COUNTA($T$22:$T$45)-COUNTBLANK($T$22:$T$45)=0,"",COUNTA($T$22:$T$45)-COUNTBLANK($T$22:$T$45))</f>
        <v>23</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115</v>
      </c>
      <c r="H20" s="1" t="s">
        <v>106</v>
      </c>
      <c r="I20" s="1" t="s">
        <v>314</v>
      </c>
      <c r="J20" s="1" t="s">
        <v>99</v>
      </c>
      <c r="K20" s="1" t="s">
        <v>104</v>
      </c>
      <c r="L20" s="1" t="s">
        <v>140</v>
      </c>
      <c r="M20" s="1" t="s">
        <v>109</v>
      </c>
      <c r="N20" s="1" t="s">
        <v>105</v>
      </c>
      <c r="O20" s="1" t="s">
        <v>110</v>
      </c>
      <c r="P20" s="1" t="s">
        <v>111</v>
      </c>
      <c r="Q20" s="1" t="s">
        <v>112</v>
      </c>
      <c r="R20" s="1" t="s">
        <v>182</v>
      </c>
      <c r="S20" s="1" t="s">
        <v>139</v>
      </c>
    </row>
    <row r="21" spans="1:22" ht="29.1" customHeight="1" x14ac:dyDescent="0.2">
      <c r="A21" s="147" t="s">
        <v>124</v>
      </c>
      <c r="B21" s="12"/>
      <c r="C21" s="12"/>
      <c r="D21" s="12"/>
      <c r="E21" s="12"/>
      <c r="F21" s="12"/>
      <c r="G21" s="148">
        <f>SUM($G$22:$G$45)</f>
        <v>426.12999999999994</v>
      </c>
      <c r="H21" s="148">
        <f>SUM($H$22:$H$45)</f>
        <v>14.2</v>
      </c>
      <c r="I21" s="148">
        <f>SUM($I$22:$I$45)</f>
        <v>3.3</v>
      </c>
      <c r="J21" s="58"/>
      <c r="K21" s="58"/>
      <c r="L21" s="149">
        <f>MAX(L22:L45)</f>
        <v>237.5</v>
      </c>
      <c r="M21" s="148">
        <f>SUM($M$22:$M$45)</f>
        <v>76212.099999999991</v>
      </c>
      <c r="N21" s="58"/>
      <c r="O21" s="58"/>
      <c r="P21" s="148">
        <f>SUM($P$22:$P$45)</f>
        <v>0</v>
      </c>
      <c r="Q21" s="148">
        <f ca="1">SUM($Q$22:$Q$45)</f>
        <v>0</v>
      </c>
      <c r="R21" s="148">
        <f>ROUND(IF(L21=0,0,P21/L21),2)</f>
        <v>0</v>
      </c>
      <c r="S21" s="148">
        <f ca="1">ROUND(IF(L21=0,0,Q21/L21),2)</f>
        <v>0</v>
      </c>
    </row>
    <row r="22" spans="1:22" ht="15" customHeight="1" x14ac:dyDescent="0.2">
      <c r="A22" s="136">
        <v>1</v>
      </c>
      <c r="B22" s="150">
        <v>1</v>
      </c>
      <c r="C22" s="151" t="s">
        <v>249</v>
      </c>
      <c r="D22" s="151"/>
      <c r="E22" s="151" t="s">
        <v>250</v>
      </c>
      <c r="F22" s="151" t="s">
        <v>236</v>
      </c>
      <c r="G22" s="152">
        <v>13.76</v>
      </c>
      <c r="H22" s="152"/>
      <c r="I22" s="155">
        <v>1.8</v>
      </c>
      <c r="J22" s="136" t="s">
        <v>243</v>
      </c>
      <c r="K22" s="152">
        <v>5</v>
      </c>
      <c r="L22" s="58">
        <f>VLOOKUP(K22,Reinigungstage!A10:C31,3,FALSE)</f>
        <v>237.5</v>
      </c>
      <c r="M22" s="58">
        <f t="shared" ref="M22:M45" si="0">ROUND(IF(L22=0,0,L22*G22),2)</f>
        <v>3268</v>
      </c>
      <c r="N22" s="153">
        <f t="shared" ref="N22:N45" si="1">VLOOKUP(J22,$G$4:$H$11,2,FALSE)</f>
        <v>0</v>
      </c>
      <c r="O22" s="58">
        <f ca="1">IF('SVS UnterhaltsRG'!H61="",0,'SVS UnterhaltsRG'!H61)</f>
        <v>0</v>
      </c>
      <c r="P22" s="58">
        <f t="shared" ref="P22:P45" si="2">ROUND(IF(N22=0,0,M22/N22),2)</f>
        <v>0</v>
      </c>
      <c r="Q22" s="58">
        <f t="shared" ref="Q22:Q45" ca="1" si="3">IF(M22=0,0,IF(O22="",0,ROUND(P22*O22,2)))</f>
        <v>0</v>
      </c>
      <c r="R22" s="58">
        <f t="shared" ref="R22:R45" si="4">ROUND(IF(P22=0,0,P22/L22),2)</f>
        <v>0</v>
      </c>
      <c r="S22" s="58">
        <f t="shared" ref="S22:S45" ca="1" si="5">ROUND(IF(Q22=0,0,Q22/L22),2)</f>
        <v>0</v>
      </c>
      <c r="T22" s="3" t="str">
        <f t="shared" ref="T22:T45" si="6">IF(M22=0,"",IF(N22=0,"Leistungswert eintragen",IF(O22=0,"SVS prüfen","")))</f>
        <v>Leistungswert eintragen</v>
      </c>
      <c r="U22" s="3">
        <f t="shared" ref="U22:U45" si="7">VLOOKUP(J22,$U$4:$V$11,2,FALSE)</f>
        <v>166.25</v>
      </c>
      <c r="V22" s="3">
        <f t="shared" ref="V22:V45" si="8">IF(M22=0,0,IF(U22&lt;N22,1,IF(U22&gt;=N22,0,"")))</f>
        <v>0</v>
      </c>
    </row>
    <row r="23" spans="1:22" ht="15" customHeight="1" x14ac:dyDescent="0.2">
      <c r="A23" s="136">
        <v>2</v>
      </c>
      <c r="B23" s="150">
        <v>2</v>
      </c>
      <c r="C23" s="151" t="s">
        <v>221</v>
      </c>
      <c r="D23" s="151"/>
      <c r="E23" s="151" t="s">
        <v>226</v>
      </c>
      <c r="F23" s="151" t="s">
        <v>219</v>
      </c>
      <c r="G23" s="152">
        <v>20.54</v>
      </c>
      <c r="H23" s="152"/>
      <c r="I23" s="155"/>
      <c r="J23" s="136" t="s">
        <v>244</v>
      </c>
      <c r="K23" s="152">
        <v>5</v>
      </c>
      <c r="L23" s="58">
        <f>VLOOKUP(K23,Reinigungstage!A10:C31,3,FALSE)</f>
        <v>237.5</v>
      </c>
      <c r="M23" s="58">
        <f t="shared" si="0"/>
        <v>4878.25</v>
      </c>
      <c r="N23" s="153">
        <f t="shared" si="1"/>
        <v>0</v>
      </c>
      <c r="O23" s="58">
        <f ca="1">IF('SVS UnterhaltsRG'!H61="",0,'SVS UnterhaltsRG'!H61)</f>
        <v>0</v>
      </c>
      <c r="P23" s="58">
        <f t="shared" si="2"/>
        <v>0</v>
      </c>
      <c r="Q23" s="58">
        <f t="shared" ca="1" si="3"/>
        <v>0</v>
      </c>
      <c r="R23" s="58">
        <f t="shared" si="4"/>
        <v>0</v>
      </c>
      <c r="S23" s="58">
        <f t="shared" ca="1" si="5"/>
        <v>0</v>
      </c>
      <c r="T23" s="3" t="str">
        <f t="shared" si="6"/>
        <v>Leistungswert eintragen</v>
      </c>
      <c r="U23" s="3">
        <f t="shared" si="7"/>
        <v>132.5</v>
      </c>
      <c r="V23" s="3">
        <f t="shared" si="8"/>
        <v>0</v>
      </c>
    </row>
    <row r="24" spans="1:22" ht="15" customHeight="1" x14ac:dyDescent="0.2">
      <c r="A24" s="136">
        <v>3</v>
      </c>
      <c r="B24" s="150">
        <v>3</v>
      </c>
      <c r="C24" s="151" t="s">
        <v>221</v>
      </c>
      <c r="D24" s="151"/>
      <c r="E24" s="151" t="s">
        <v>226</v>
      </c>
      <c r="F24" s="151" t="s">
        <v>219</v>
      </c>
      <c r="G24" s="152">
        <v>19.64</v>
      </c>
      <c r="H24" s="152"/>
      <c r="I24" s="155"/>
      <c r="J24" s="136" t="s">
        <v>244</v>
      </c>
      <c r="K24" s="152">
        <v>5</v>
      </c>
      <c r="L24" s="58">
        <f>VLOOKUP(K24,Reinigungstage!A10:C31,3,FALSE)</f>
        <v>237.5</v>
      </c>
      <c r="M24" s="58">
        <f t="shared" si="0"/>
        <v>4664.5</v>
      </c>
      <c r="N24" s="153">
        <f t="shared" si="1"/>
        <v>0</v>
      </c>
      <c r="O24" s="58">
        <f ca="1">IF('SVS UnterhaltsRG'!H61="",0,'SVS UnterhaltsRG'!H61)</f>
        <v>0</v>
      </c>
      <c r="P24" s="58">
        <f t="shared" si="2"/>
        <v>0</v>
      </c>
      <c r="Q24" s="58">
        <f t="shared" ca="1" si="3"/>
        <v>0</v>
      </c>
      <c r="R24" s="58">
        <f t="shared" si="4"/>
        <v>0</v>
      </c>
      <c r="S24" s="58">
        <f t="shared" ca="1" si="5"/>
        <v>0</v>
      </c>
      <c r="T24" s="3" t="str">
        <f t="shared" si="6"/>
        <v>Leistungswert eintragen</v>
      </c>
      <c r="U24" s="3">
        <f t="shared" si="7"/>
        <v>132.5</v>
      </c>
      <c r="V24" s="3">
        <f t="shared" si="8"/>
        <v>0</v>
      </c>
    </row>
    <row r="25" spans="1:22" ht="15" customHeight="1" x14ac:dyDescent="0.2">
      <c r="A25" s="136">
        <v>4</v>
      </c>
      <c r="B25" s="150">
        <v>4</v>
      </c>
      <c r="C25" s="151" t="s">
        <v>221</v>
      </c>
      <c r="D25" s="151"/>
      <c r="E25" s="151" t="s">
        <v>251</v>
      </c>
      <c r="F25" s="151" t="s">
        <v>236</v>
      </c>
      <c r="G25" s="152">
        <v>6.25</v>
      </c>
      <c r="H25" s="152"/>
      <c r="I25" s="155">
        <v>1.5</v>
      </c>
      <c r="J25" s="136" t="s">
        <v>243</v>
      </c>
      <c r="K25" s="152">
        <v>5</v>
      </c>
      <c r="L25" s="58">
        <f>VLOOKUP(K25,Reinigungstage!A10:C31,3,FALSE)</f>
        <v>237.5</v>
      </c>
      <c r="M25" s="58">
        <f t="shared" si="0"/>
        <v>1484.38</v>
      </c>
      <c r="N25" s="153">
        <f t="shared" si="1"/>
        <v>0</v>
      </c>
      <c r="O25" s="58">
        <f ca="1">IF('SVS UnterhaltsRG'!H61="",0,'SVS UnterhaltsRG'!H61)</f>
        <v>0</v>
      </c>
      <c r="P25" s="58">
        <f t="shared" si="2"/>
        <v>0</v>
      </c>
      <c r="Q25" s="58">
        <f t="shared" ca="1" si="3"/>
        <v>0</v>
      </c>
      <c r="R25" s="58">
        <f t="shared" si="4"/>
        <v>0</v>
      </c>
      <c r="S25" s="58">
        <f t="shared" ca="1" si="5"/>
        <v>0</v>
      </c>
      <c r="T25" s="3" t="str">
        <f t="shared" si="6"/>
        <v>Leistungswert eintragen</v>
      </c>
      <c r="U25" s="3">
        <f t="shared" si="7"/>
        <v>166.25</v>
      </c>
      <c r="V25" s="3">
        <f t="shared" si="8"/>
        <v>0</v>
      </c>
    </row>
    <row r="26" spans="1:22" ht="15" customHeight="1" x14ac:dyDescent="0.2">
      <c r="A26" s="136">
        <v>5</v>
      </c>
      <c r="B26" s="150" t="s">
        <v>252</v>
      </c>
      <c r="C26" s="151" t="s">
        <v>221</v>
      </c>
      <c r="D26" s="151"/>
      <c r="E26" s="151" t="s">
        <v>226</v>
      </c>
      <c r="F26" s="151" t="s">
        <v>219</v>
      </c>
      <c r="G26" s="152">
        <v>63.71</v>
      </c>
      <c r="H26" s="152">
        <v>6.5</v>
      </c>
      <c r="I26" s="155"/>
      <c r="J26" s="136" t="s">
        <v>244</v>
      </c>
      <c r="K26" s="152">
        <v>5</v>
      </c>
      <c r="L26" s="58">
        <f>VLOOKUP(K26,Reinigungstage!A10:C31,3,FALSE)</f>
        <v>237.5</v>
      </c>
      <c r="M26" s="58">
        <f t="shared" si="0"/>
        <v>15131.13</v>
      </c>
      <c r="N26" s="153">
        <f t="shared" si="1"/>
        <v>0</v>
      </c>
      <c r="O26" s="58">
        <f ca="1">IF('SVS UnterhaltsRG'!H61="",0,'SVS UnterhaltsRG'!H61)</f>
        <v>0</v>
      </c>
      <c r="P26" s="58">
        <f t="shared" si="2"/>
        <v>0</v>
      </c>
      <c r="Q26" s="58">
        <f t="shared" ca="1" si="3"/>
        <v>0</v>
      </c>
      <c r="R26" s="58">
        <f t="shared" si="4"/>
        <v>0</v>
      </c>
      <c r="S26" s="58">
        <f t="shared" ca="1" si="5"/>
        <v>0</v>
      </c>
      <c r="T26" s="3" t="str">
        <f t="shared" si="6"/>
        <v>Leistungswert eintragen</v>
      </c>
      <c r="U26" s="3">
        <f t="shared" si="7"/>
        <v>132.5</v>
      </c>
      <c r="V26" s="3">
        <f t="shared" si="8"/>
        <v>0</v>
      </c>
    </row>
    <row r="27" spans="1:22" ht="15" customHeight="1" x14ac:dyDescent="0.2">
      <c r="A27" s="136">
        <v>6</v>
      </c>
      <c r="B27" s="150">
        <v>6</v>
      </c>
      <c r="C27" s="151" t="s">
        <v>221</v>
      </c>
      <c r="D27" s="151"/>
      <c r="E27" s="151" t="s">
        <v>253</v>
      </c>
      <c r="F27" s="151" t="s">
        <v>236</v>
      </c>
      <c r="G27" s="152">
        <v>17.920000000000002</v>
      </c>
      <c r="H27" s="152"/>
      <c r="I27" s="155"/>
      <c r="J27" s="136" t="s">
        <v>246</v>
      </c>
      <c r="K27" s="152">
        <v>5</v>
      </c>
      <c r="L27" s="58">
        <f>VLOOKUP(K27,Reinigungstage!A10:C31,3,FALSE)</f>
        <v>237.5</v>
      </c>
      <c r="M27" s="58">
        <f t="shared" si="0"/>
        <v>4256</v>
      </c>
      <c r="N27" s="153">
        <f t="shared" si="1"/>
        <v>0</v>
      </c>
      <c r="O27" s="58">
        <f ca="1">IF('SVS UnterhaltsRG'!H61="",0,'SVS UnterhaltsRG'!H61)</f>
        <v>0</v>
      </c>
      <c r="P27" s="58">
        <f t="shared" si="2"/>
        <v>0</v>
      </c>
      <c r="Q27" s="58">
        <f t="shared" ca="1" si="3"/>
        <v>0</v>
      </c>
      <c r="R27" s="58">
        <f t="shared" si="4"/>
        <v>0</v>
      </c>
      <c r="S27" s="58">
        <f t="shared" ca="1" si="5"/>
        <v>0</v>
      </c>
      <c r="T27" s="3" t="str">
        <f t="shared" si="6"/>
        <v>Leistungswert eintragen</v>
      </c>
      <c r="U27" s="3">
        <f t="shared" si="7"/>
        <v>53.75</v>
      </c>
      <c r="V27" s="3">
        <f t="shared" si="8"/>
        <v>0</v>
      </c>
    </row>
    <row r="28" spans="1:22" ht="15" customHeight="1" x14ac:dyDescent="0.2">
      <c r="A28" s="136">
        <v>7</v>
      </c>
      <c r="B28" s="150">
        <v>7</v>
      </c>
      <c r="C28" s="151" t="s">
        <v>221</v>
      </c>
      <c r="D28" s="151"/>
      <c r="E28" s="151" t="s">
        <v>254</v>
      </c>
      <c r="F28" s="151" t="s">
        <v>236</v>
      </c>
      <c r="G28" s="152">
        <v>10.46</v>
      </c>
      <c r="H28" s="152"/>
      <c r="I28" s="155"/>
      <c r="J28" s="136" t="s">
        <v>246</v>
      </c>
      <c r="K28" s="152">
        <v>5</v>
      </c>
      <c r="L28" s="58">
        <f>VLOOKUP(K28,Reinigungstage!A10:C31,3,FALSE)</f>
        <v>237.5</v>
      </c>
      <c r="M28" s="58">
        <f t="shared" si="0"/>
        <v>2484.25</v>
      </c>
      <c r="N28" s="153">
        <f t="shared" si="1"/>
        <v>0</v>
      </c>
      <c r="O28" s="58">
        <f ca="1">IF('SVS UnterhaltsRG'!H61="",0,'SVS UnterhaltsRG'!H61)</f>
        <v>0</v>
      </c>
      <c r="P28" s="58">
        <f t="shared" si="2"/>
        <v>0</v>
      </c>
      <c r="Q28" s="58">
        <f t="shared" ca="1" si="3"/>
        <v>0</v>
      </c>
      <c r="R28" s="58">
        <f t="shared" si="4"/>
        <v>0</v>
      </c>
      <c r="S28" s="58">
        <f t="shared" ca="1" si="5"/>
        <v>0</v>
      </c>
      <c r="T28" s="3" t="str">
        <f t="shared" si="6"/>
        <v>Leistungswert eintragen</v>
      </c>
      <c r="U28" s="3">
        <f t="shared" si="7"/>
        <v>53.75</v>
      </c>
      <c r="V28" s="3">
        <f t="shared" si="8"/>
        <v>0</v>
      </c>
    </row>
    <row r="29" spans="1:22" ht="15" customHeight="1" x14ac:dyDescent="0.2">
      <c r="A29" s="136">
        <v>8</v>
      </c>
      <c r="B29" s="150">
        <v>8</v>
      </c>
      <c r="C29" s="151" t="s">
        <v>221</v>
      </c>
      <c r="D29" s="151"/>
      <c r="E29" s="151" t="s">
        <v>226</v>
      </c>
      <c r="F29" s="151" t="s">
        <v>219</v>
      </c>
      <c r="G29" s="152">
        <v>28.5</v>
      </c>
      <c r="H29" s="152">
        <v>2.7</v>
      </c>
      <c r="I29" s="155"/>
      <c r="J29" s="136" t="s">
        <v>244</v>
      </c>
      <c r="K29" s="152">
        <v>5</v>
      </c>
      <c r="L29" s="58">
        <f>VLOOKUP(K29,Reinigungstage!A10:C31,3,FALSE)</f>
        <v>237.5</v>
      </c>
      <c r="M29" s="58">
        <f t="shared" si="0"/>
        <v>6768.75</v>
      </c>
      <c r="N29" s="153">
        <f t="shared" si="1"/>
        <v>0</v>
      </c>
      <c r="O29" s="58">
        <f ca="1">IF('SVS UnterhaltsRG'!H61="",0,'SVS UnterhaltsRG'!H61)</f>
        <v>0</v>
      </c>
      <c r="P29" s="58">
        <f t="shared" si="2"/>
        <v>0</v>
      </c>
      <c r="Q29" s="58">
        <f t="shared" ca="1" si="3"/>
        <v>0</v>
      </c>
      <c r="R29" s="58">
        <f t="shared" si="4"/>
        <v>0</v>
      </c>
      <c r="S29" s="58">
        <f t="shared" ca="1" si="5"/>
        <v>0</v>
      </c>
      <c r="T29" s="3" t="str">
        <f t="shared" si="6"/>
        <v>Leistungswert eintragen</v>
      </c>
      <c r="U29" s="3">
        <f t="shared" si="7"/>
        <v>132.5</v>
      </c>
      <c r="V29" s="3">
        <f t="shared" si="8"/>
        <v>0</v>
      </c>
    </row>
    <row r="30" spans="1:22" ht="15" customHeight="1" x14ac:dyDescent="0.2">
      <c r="A30" s="136">
        <v>9</v>
      </c>
      <c r="B30" s="150">
        <v>9</v>
      </c>
      <c r="C30" s="151" t="s">
        <v>221</v>
      </c>
      <c r="D30" s="151"/>
      <c r="E30" s="151" t="s">
        <v>226</v>
      </c>
      <c r="F30" s="151" t="s">
        <v>219</v>
      </c>
      <c r="G30" s="152">
        <v>13.27</v>
      </c>
      <c r="H30" s="152"/>
      <c r="I30" s="155"/>
      <c r="J30" s="136" t="s">
        <v>244</v>
      </c>
      <c r="K30" s="152">
        <v>5</v>
      </c>
      <c r="L30" s="58">
        <f>VLOOKUP(K30,Reinigungstage!A10:C31,3,FALSE)</f>
        <v>237.5</v>
      </c>
      <c r="M30" s="58">
        <f t="shared" si="0"/>
        <v>3151.63</v>
      </c>
      <c r="N30" s="153">
        <f t="shared" si="1"/>
        <v>0</v>
      </c>
      <c r="O30" s="58">
        <f ca="1">IF('SVS UnterhaltsRG'!H61="",0,'SVS UnterhaltsRG'!H61)</f>
        <v>0</v>
      </c>
      <c r="P30" s="58">
        <f t="shared" si="2"/>
        <v>0</v>
      </c>
      <c r="Q30" s="58">
        <f t="shared" ca="1" si="3"/>
        <v>0</v>
      </c>
      <c r="R30" s="58">
        <f t="shared" si="4"/>
        <v>0</v>
      </c>
      <c r="S30" s="58">
        <f t="shared" ca="1" si="5"/>
        <v>0</v>
      </c>
      <c r="T30" s="3" t="str">
        <f t="shared" si="6"/>
        <v>Leistungswert eintragen</v>
      </c>
      <c r="U30" s="3">
        <f t="shared" si="7"/>
        <v>132.5</v>
      </c>
      <c r="V30" s="3">
        <f t="shared" si="8"/>
        <v>0</v>
      </c>
    </row>
    <row r="31" spans="1:22" ht="15" customHeight="1" x14ac:dyDescent="0.2">
      <c r="A31" s="136">
        <v>10</v>
      </c>
      <c r="B31" s="150">
        <v>11</v>
      </c>
      <c r="C31" s="151" t="s">
        <v>221</v>
      </c>
      <c r="D31" s="151"/>
      <c r="E31" s="151" t="s">
        <v>255</v>
      </c>
      <c r="F31" s="151" t="s">
        <v>236</v>
      </c>
      <c r="G31" s="152">
        <v>11.33</v>
      </c>
      <c r="H31" s="152"/>
      <c r="I31" s="155"/>
      <c r="J31" s="136" t="s">
        <v>246</v>
      </c>
      <c r="K31" s="152">
        <v>5</v>
      </c>
      <c r="L31" s="58">
        <f>VLOOKUP(K31,Reinigungstage!A10:C31,3,FALSE)</f>
        <v>237.5</v>
      </c>
      <c r="M31" s="58">
        <f t="shared" si="0"/>
        <v>2690.88</v>
      </c>
      <c r="N31" s="153">
        <f t="shared" si="1"/>
        <v>0</v>
      </c>
      <c r="O31" s="58">
        <f ca="1">IF('SVS UnterhaltsRG'!H61="",0,'SVS UnterhaltsRG'!H61)</f>
        <v>0</v>
      </c>
      <c r="P31" s="58">
        <f t="shared" si="2"/>
        <v>0</v>
      </c>
      <c r="Q31" s="58">
        <f t="shared" ca="1" si="3"/>
        <v>0</v>
      </c>
      <c r="R31" s="58">
        <f t="shared" si="4"/>
        <v>0</v>
      </c>
      <c r="S31" s="58">
        <f t="shared" ca="1" si="5"/>
        <v>0</v>
      </c>
      <c r="T31" s="3" t="str">
        <f t="shared" si="6"/>
        <v>Leistungswert eintragen</v>
      </c>
      <c r="U31" s="3">
        <f t="shared" si="7"/>
        <v>53.75</v>
      </c>
      <c r="V31" s="3">
        <f t="shared" si="8"/>
        <v>0</v>
      </c>
    </row>
    <row r="32" spans="1:22" ht="15" customHeight="1" x14ac:dyDescent="0.2">
      <c r="A32" s="136">
        <v>11</v>
      </c>
      <c r="B32" s="150">
        <v>12</v>
      </c>
      <c r="C32" s="151" t="s">
        <v>221</v>
      </c>
      <c r="D32" s="151"/>
      <c r="E32" s="151" t="s">
        <v>215</v>
      </c>
      <c r="F32" s="151" t="s">
        <v>219</v>
      </c>
      <c r="G32" s="152">
        <v>15.61</v>
      </c>
      <c r="H32" s="152"/>
      <c r="I32" s="155"/>
      <c r="J32" s="136" t="s">
        <v>215</v>
      </c>
      <c r="K32" s="152">
        <v>1</v>
      </c>
      <c r="L32" s="58">
        <f>VLOOKUP(K32,Reinigungstage!A10:C31,3,FALSE)</f>
        <v>49.34</v>
      </c>
      <c r="M32" s="58">
        <f t="shared" si="0"/>
        <v>770.2</v>
      </c>
      <c r="N32" s="153">
        <f t="shared" si="1"/>
        <v>0</v>
      </c>
      <c r="O32" s="58">
        <f ca="1">IF('SVS UnterhaltsRG'!H61="",0,'SVS UnterhaltsRG'!H61)</f>
        <v>0</v>
      </c>
      <c r="P32" s="58">
        <f t="shared" si="2"/>
        <v>0</v>
      </c>
      <c r="Q32" s="58">
        <f t="shared" ca="1" si="3"/>
        <v>0</v>
      </c>
      <c r="R32" s="58">
        <f t="shared" si="4"/>
        <v>0</v>
      </c>
      <c r="S32" s="58">
        <f t="shared" ca="1" si="5"/>
        <v>0</v>
      </c>
      <c r="T32" s="3" t="str">
        <f t="shared" si="6"/>
        <v>Leistungswert eintragen</v>
      </c>
      <c r="U32" s="3">
        <f t="shared" si="7"/>
        <v>168.75</v>
      </c>
      <c r="V32" s="3">
        <f t="shared" si="8"/>
        <v>0</v>
      </c>
    </row>
    <row r="33" spans="1:22" ht="15" customHeight="1" x14ac:dyDescent="0.2">
      <c r="A33" s="136">
        <v>12</v>
      </c>
      <c r="B33" s="150">
        <v>13</v>
      </c>
      <c r="C33" s="151" t="s">
        <v>221</v>
      </c>
      <c r="D33" s="151"/>
      <c r="E33" s="151" t="s">
        <v>224</v>
      </c>
      <c r="F33" s="151" t="s">
        <v>236</v>
      </c>
      <c r="G33" s="152">
        <v>13.39</v>
      </c>
      <c r="H33" s="152"/>
      <c r="I33" s="155"/>
      <c r="J33" s="136" t="s">
        <v>245</v>
      </c>
      <c r="K33" s="152">
        <v>5</v>
      </c>
      <c r="L33" s="58">
        <f>VLOOKUP(K33,Reinigungstage!A10:C31,3,FALSE)</f>
        <v>237.5</v>
      </c>
      <c r="M33" s="58">
        <f t="shared" si="0"/>
        <v>3180.13</v>
      </c>
      <c r="N33" s="153">
        <f t="shared" si="1"/>
        <v>0</v>
      </c>
      <c r="O33" s="58">
        <f ca="1">IF('SVS UnterhaltsRG'!H61="",0,'SVS UnterhaltsRG'!H61)</f>
        <v>0</v>
      </c>
      <c r="P33" s="58">
        <f t="shared" si="2"/>
        <v>0</v>
      </c>
      <c r="Q33" s="58">
        <f t="shared" ca="1" si="3"/>
        <v>0</v>
      </c>
      <c r="R33" s="58">
        <f t="shared" si="4"/>
        <v>0</v>
      </c>
      <c r="S33" s="58">
        <f t="shared" ca="1" si="5"/>
        <v>0</v>
      </c>
      <c r="T33" s="3" t="str">
        <f t="shared" si="6"/>
        <v>Leistungswert eintragen</v>
      </c>
      <c r="U33" s="3">
        <f t="shared" si="7"/>
        <v>67.5</v>
      </c>
      <c r="V33" s="3">
        <f t="shared" si="8"/>
        <v>0</v>
      </c>
    </row>
    <row r="34" spans="1:22" ht="15" customHeight="1" x14ac:dyDescent="0.2">
      <c r="A34" s="136">
        <v>13</v>
      </c>
      <c r="B34" s="150">
        <v>14</v>
      </c>
      <c r="C34" s="151" t="s">
        <v>221</v>
      </c>
      <c r="D34" s="151"/>
      <c r="E34" s="151" t="s">
        <v>256</v>
      </c>
      <c r="F34" s="151" t="s">
        <v>236</v>
      </c>
      <c r="G34" s="152">
        <v>16.95</v>
      </c>
      <c r="H34" s="152"/>
      <c r="I34" s="155"/>
      <c r="J34" s="136" t="s">
        <v>267</v>
      </c>
      <c r="K34" s="152">
        <v>5</v>
      </c>
      <c r="L34" s="58">
        <f>VLOOKUP(K34,Reinigungstage!A10:C31,3,FALSE)</f>
        <v>237.5</v>
      </c>
      <c r="M34" s="58">
        <f t="shared" si="0"/>
        <v>4025.63</v>
      </c>
      <c r="N34" s="153">
        <f t="shared" si="1"/>
        <v>0</v>
      </c>
      <c r="O34" s="58">
        <f ca="1">IF('SVS UnterhaltsRG'!H61="",0,'SVS UnterhaltsRG'!H61)</f>
        <v>0</v>
      </c>
      <c r="P34" s="58">
        <f t="shared" si="2"/>
        <v>0</v>
      </c>
      <c r="Q34" s="58">
        <f t="shared" ca="1" si="3"/>
        <v>0</v>
      </c>
      <c r="R34" s="58">
        <f t="shared" si="4"/>
        <v>0</v>
      </c>
      <c r="S34" s="58">
        <f t="shared" ca="1" si="5"/>
        <v>0</v>
      </c>
      <c r="T34" s="3" t="str">
        <f t="shared" si="6"/>
        <v>Leistungswert eintragen</v>
      </c>
      <c r="U34" s="3">
        <f t="shared" si="7"/>
        <v>163.75</v>
      </c>
      <c r="V34" s="3">
        <f t="shared" si="8"/>
        <v>0</v>
      </c>
    </row>
    <row r="35" spans="1:22" ht="15" customHeight="1" x14ac:dyDescent="0.2">
      <c r="A35" s="136">
        <v>14</v>
      </c>
      <c r="B35" s="150">
        <v>15</v>
      </c>
      <c r="C35" s="151" t="s">
        <v>221</v>
      </c>
      <c r="D35" s="151"/>
      <c r="E35" s="151" t="s">
        <v>257</v>
      </c>
      <c r="F35" s="151" t="s">
        <v>219</v>
      </c>
      <c r="G35" s="152">
        <v>5.5</v>
      </c>
      <c r="H35" s="152"/>
      <c r="I35" s="155"/>
      <c r="J35" s="136" t="s">
        <v>247</v>
      </c>
      <c r="K35" s="152">
        <v>0</v>
      </c>
      <c r="L35" s="58">
        <f>VLOOKUP(K35,Reinigungstage!A10:C31,3,FALSE)</f>
        <v>0</v>
      </c>
      <c r="M35" s="58">
        <f t="shared" si="0"/>
        <v>0</v>
      </c>
      <c r="N35" s="153">
        <f t="shared" si="1"/>
        <v>0</v>
      </c>
      <c r="O35" s="58">
        <f ca="1">IF('SVS UnterhaltsRG'!H61="",0,'SVS UnterhaltsRG'!H61)</f>
        <v>0</v>
      </c>
      <c r="P35" s="58">
        <f t="shared" si="2"/>
        <v>0</v>
      </c>
      <c r="Q35" s="58">
        <f t="shared" si="3"/>
        <v>0</v>
      </c>
      <c r="R35" s="58">
        <f t="shared" si="4"/>
        <v>0</v>
      </c>
      <c r="S35" s="58">
        <f t="shared" si="5"/>
        <v>0</v>
      </c>
      <c r="T35" s="3" t="str">
        <f t="shared" si="6"/>
        <v/>
      </c>
      <c r="U35" s="3">
        <f t="shared" si="7"/>
        <v>262.5</v>
      </c>
      <c r="V35" s="3">
        <f t="shared" si="8"/>
        <v>0</v>
      </c>
    </row>
    <row r="36" spans="1:22" ht="15" customHeight="1" x14ac:dyDescent="0.2">
      <c r="A36" s="136">
        <v>15</v>
      </c>
      <c r="B36" s="150">
        <v>16</v>
      </c>
      <c r="C36" s="151" t="s">
        <v>221</v>
      </c>
      <c r="D36" s="151"/>
      <c r="E36" s="151" t="s">
        <v>258</v>
      </c>
      <c r="F36" s="151" t="s">
        <v>236</v>
      </c>
      <c r="G36" s="152">
        <v>11.96</v>
      </c>
      <c r="H36" s="152"/>
      <c r="I36" s="155"/>
      <c r="J36" s="136" t="s">
        <v>243</v>
      </c>
      <c r="K36" s="152">
        <v>5</v>
      </c>
      <c r="L36" s="58">
        <f>VLOOKUP(K36,Reinigungstage!A10:C31,3,FALSE)</f>
        <v>237.5</v>
      </c>
      <c r="M36" s="58">
        <f t="shared" si="0"/>
        <v>2840.5</v>
      </c>
      <c r="N36" s="153">
        <f t="shared" si="1"/>
        <v>0</v>
      </c>
      <c r="O36" s="58">
        <f ca="1">IF('SVS UnterhaltsRG'!H61="",0,'SVS UnterhaltsRG'!H61)</f>
        <v>0</v>
      </c>
      <c r="P36" s="58">
        <f t="shared" si="2"/>
        <v>0</v>
      </c>
      <c r="Q36" s="58">
        <f t="shared" ca="1" si="3"/>
        <v>0</v>
      </c>
      <c r="R36" s="58">
        <f t="shared" si="4"/>
        <v>0</v>
      </c>
      <c r="S36" s="58">
        <f t="shared" ca="1" si="5"/>
        <v>0</v>
      </c>
      <c r="T36" s="3" t="str">
        <f t="shared" si="6"/>
        <v>Leistungswert eintragen</v>
      </c>
      <c r="U36" s="3">
        <f t="shared" si="7"/>
        <v>166.25</v>
      </c>
      <c r="V36" s="3">
        <f t="shared" si="8"/>
        <v>0</v>
      </c>
    </row>
    <row r="37" spans="1:22" ht="15" customHeight="1" x14ac:dyDescent="0.2">
      <c r="A37" s="136">
        <v>16</v>
      </c>
      <c r="B37" s="150"/>
      <c r="C37" s="151" t="s">
        <v>221</v>
      </c>
      <c r="D37" s="151"/>
      <c r="E37" s="151" t="s">
        <v>212</v>
      </c>
      <c r="F37" s="151" t="s">
        <v>219</v>
      </c>
      <c r="G37" s="152">
        <v>37.869999999999997</v>
      </c>
      <c r="H37" s="152"/>
      <c r="I37" s="155"/>
      <c r="J37" s="136" t="s">
        <v>243</v>
      </c>
      <c r="K37" s="152">
        <v>5</v>
      </c>
      <c r="L37" s="58">
        <f>VLOOKUP(K37,Reinigungstage!A10:C31,3,FALSE)</f>
        <v>237.5</v>
      </c>
      <c r="M37" s="58">
        <f t="shared" si="0"/>
        <v>8994.1299999999992</v>
      </c>
      <c r="N37" s="153">
        <f t="shared" si="1"/>
        <v>0</v>
      </c>
      <c r="O37" s="58">
        <f ca="1">IF('SVS UnterhaltsRG'!H61="",0,'SVS UnterhaltsRG'!H61)</f>
        <v>0</v>
      </c>
      <c r="P37" s="58">
        <f t="shared" si="2"/>
        <v>0</v>
      </c>
      <c r="Q37" s="58">
        <f t="shared" ca="1" si="3"/>
        <v>0</v>
      </c>
      <c r="R37" s="58">
        <f t="shared" si="4"/>
        <v>0</v>
      </c>
      <c r="S37" s="58">
        <f t="shared" ca="1" si="5"/>
        <v>0</v>
      </c>
      <c r="T37" s="3" t="str">
        <f t="shared" si="6"/>
        <v>Leistungswert eintragen</v>
      </c>
      <c r="U37" s="3">
        <f t="shared" si="7"/>
        <v>166.25</v>
      </c>
      <c r="V37" s="3">
        <f t="shared" si="8"/>
        <v>0</v>
      </c>
    </row>
    <row r="38" spans="1:22" ht="15" customHeight="1" x14ac:dyDescent="0.2">
      <c r="A38" s="136">
        <v>17</v>
      </c>
      <c r="B38" s="150"/>
      <c r="C38" s="151" t="s">
        <v>221</v>
      </c>
      <c r="D38" s="151"/>
      <c r="E38" s="151" t="s">
        <v>259</v>
      </c>
      <c r="F38" s="151" t="s">
        <v>219</v>
      </c>
      <c r="G38" s="152">
        <v>6.68</v>
      </c>
      <c r="H38" s="152">
        <v>5</v>
      </c>
      <c r="I38" s="155"/>
      <c r="J38" s="136" t="s">
        <v>243</v>
      </c>
      <c r="K38" s="152">
        <v>5</v>
      </c>
      <c r="L38" s="58">
        <f>VLOOKUP(K38,Reinigungstage!A10:C31,3,FALSE)</f>
        <v>237.5</v>
      </c>
      <c r="M38" s="58">
        <f t="shared" si="0"/>
        <v>1586.5</v>
      </c>
      <c r="N38" s="153">
        <f t="shared" si="1"/>
        <v>0</v>
      </c>
      <c r="O38" s="58">
        <f ca="1">IF('SVS UnterhaltsRG'!H61="",0,'SVS UnterhaltsRG'!H61)</f>
        <v>0</v>
      </c>
      <c r="P38" s="58">
        <f t="shared" si="2"/>
        <v>0</v>
      </c>
      <c r="Q38" s="58">
        <f t="shared" ca="1" si="3"/>
        <v>0</v>
      </c>
      <c r="R38" s="58">
        <f t="shared" si="4"/>
        <v>0</v>
      </c>
      <c r="S38" s="58">
        <f t="shared" ca="1" si="5"/>
        <v>0</v>
      </c>
      <c r="T38" s="3" t="str">
        <f t="shared" si="6"/>
        <v>Leistungswert eintragen</v>
      </c>
      <c r="U38" s="3">
        <f t="shared" si="7"/>
        <v>166.25</v>
      </c>
      <c r="V38" s="3">
        <f t="shared" si="8"/>
        <v>0</v>
      </c>
    </row>
    <row r="39" spans="1:22" ht="15" customHeight="1" x14ac:dyDescent="0.2">
      <c r="A39" s="136">
        <v>18</v>
      </c>
      <c r="B39" s="150"/>
      <c r="C39" s="151" t="s">
        <v>221</v>
      </c>
      <c r="D39" s="151"/>
      <c r="E39" s="151" t="s">
        <v>260</v>
      </c>
      <c r="F39" s="151" t="s">
        <v>261</v>
      </c>
      <c r="G39" s="152">
        <v>8.3800000000000008</v>
      </c>
      <c r="H39" s="152"/>
      <c r="I39" s="155"/>
      <c r="J39" s="136" t="s">
        <v>248</v>
      </c>
      <c r="K39" s="152">
        <v>1</v>
      </c>
      <c r="L39" s="58">
        <f>VLOOKUP(K39,Reinigungstage!A10:C31,3,FALSE)</f>
        <v>49.34</v>
      </c>
      <c r="M39" s="58">
        <f t="shared" si="0"/>
        <v>413.47</v>
      </c>
      <c r="N39" s="153">
        <f t="shared" si="1"/>
        <v>0</v>
      </c>
      <c r="O39" s="58">
        <f ca="1">IF('SVS UnterhaltsRG'!H61="",0,'SVS UnterhaltsRG'!H61)</f>
        <v>0</v>
      </c>
      <c r="P39" s="58">
        <f t="shared" si="2"/>
        <v>0</v>
      </c>
      <c r="Q39" s="58">
        <f t="shared" ca="1" si="3"/>
        <v>0</v>
      </c>
      <c r="R39" s="58">
        <f t="shared" si="4"/>
        <v>0</v>
      </c>
      <c r="S39" s="58">
        <f t="shared" ca="1" si="5"/>
        <v>0</v>
      </c>
      <c r="T39" s="3" t="str">
        <f t="shared" si="6"/>
        <v>Leistungswert eintragen</v>
      </c>
      <c r="U39" s="3">
        <f t="shared" si="7"/>
        <v>136.25</v>
      </c>
      <c r="V39" s="3">
        <f t="shared" si="8"/>
        <v>0</v>
      </c>
    </row>
    <row r="40" spans="1:22" ht="15" customHeight="1" x14ac:dyDescent="0.2">
      <c r="A40" s="136">
        <v>19</v>
      </c>
      <c r="B40" s="150"/>
      <c r="C40" s="151" t="s">
        <v>221</v>
      </c>
      <c r="D40" s="151"/>
      <c r="E40" s="151" t="s">
        <v>262</v>
      </c>
      <c r="F40" s="151" t="s">
        <v>261</v>
      </c>
      <c r="G40" s="152">
        <v>11.18</v>
      </c>
      <c r="H40" s="152"/>
      <c r="I40" s="155"/>
      <c r="J40" s="136" t="s">
        <v>248</v>
      </c>
      <c r="K40" s="152">
        <v>1</v>
      </c>
      <c r="L40" s="58">
        <f>VLOOKUP(K40,Reinigungstage!A10:C31,3,FALSE)</f>
        <v>49.34</v>
      </c>
      <c r="M40" s="58">
        <f t="shared" si="0"/>
        <v>551.62</v>
      </c>
      <c r="N40" s="153">
        <f t="shared" si="1"/>
        <v>0</v>
      </c>
      <c r="O40" s="58">
        <f ca="1">IF('SVS UnterhaltsRG'!H61="",0,'SVS UnterhaltsRG'!H61)</f>
        <v>0</v>
      </c>
      <c r="P40" s="58">
        <f t="shared" si="2"/>
        <v>0</v>
      </c>
      <c r="Q40" s="58">
        <f t="shared" ca="1" si="3"/>
        <v>0</v>
      </c>
      <c r="R40" s="58">
        <f t="shared" si="4"/>
        <v>0</v>
      </c>
      <c r="S40" s="58">
        <f t="shared" ca="1" si="5"/>
        <v>0</v>
      </c>
      <c r="T40" s="3" t="str">
        <f t="shared" si="6"/>
        <v>Leistungswert eintragen</v>
      </c>
      <c r="U40" s="3">
        <f t="shared" si="7"/>
        <v>136.25</v>
      </c>
      <c r="V40" s="3">
        <f t="shared" si="8"/>
        <v>0</v>
      </c>
    </row>
    <row r="41" spans="1:22" ht="15" customHeight="1" x14ac:dyDescent="0.2">
      <c r="A41" s="136">
        <v>20</v>
      </c>
      <c r="B41" s="150"/>
      <c r="C41" s="151" t="s">
        <v>263</v>
      </c>
      <c r="D41" s="151"/>
      <c r="E41" s="151" t="s">
        <v>264</v>
      </c>
      <c r="F41" s="151" t="s">
        <v>236</v>
      </c>
      <c r="G41" s="152">
        <v>2.95</v>
      </c>
      <c r="H41" s="152"/>
      <c r="I41" s="155"/>
      <c r="J41" s="136" t="s">
        <v>248</v>
      </c>
      <c r="K41" s="152">
        <v>1</v>
      </c>
      <c r="L41" s="58">
        <f>VLOOKUP(K41,Reinigungstage!A10:C31,3,FALSE)</f>
        <v>49.34</v>
      </c>
      <c r="M41" s="58">
        <f t="shared" si="0"/>
        <v>145.55000000000001</v>
      </c>
      <c r="N41" s="153">
        <f t="shared" si="1"/>
        <v>0</v>
      </c>
      <c r="O41" s="58">
        <f ca="1">IF('SVS UnterhaltsRG'!H61="",0,'SVS UnterhaltsRG'!H61)</f>
        <v>0</v>
      </c>
      <c r="P41" s="58">
        <f t="shared" si="2"/>
        <v>0</v>
      </c>
      <c r="Q41" s="58">
        <f t="shared" ca="1" si="3"/>
        <v>0</v>
      </c>
      <c r="R41" s="58">
        <f t="shared" si="4"/>
        <v>0</v>
      </c>
      <c r="S41" s="58">
        <f t="shared" ca="1" si="5"/>
        <v>0</v>
      </c>
      <c r="T41" s="3" t="str">
        <f t="shared" si="6"/>
        <v>Leistungswert eintragen</v>
      </c>
      <c r="U41" s="3">
        <f t="shared" si="7"/>
        <v>136.25</v>
      </c>
      <c r="V41" s="3">
        <f t="shared" si="8"/>
        <v>0</v>
      </c>
    </row>
    <row r="42" spans="1:22" ht="15" customHeight="1" x14ac:dyDescent="0.2">
      <c r="A42" s="136">
        <v>21</v>
      </c>
      <c r="B42" s="150"/>
      <c r="C42" s="151" t="s">
        <v>263</v>
      </c>
      <c r="D42" s="151"/>
      <c r="E42" s="151" t="s">
        <v>265</v>
      </c>
      <c r="F42" s="151" t="s">
        <v>236</v>
      </c>
      <c r="G42" s="152">
        <v>38.69</v>
      </c>
      <c r="H42" s="152"/>
      <c r="I42" s="155"/>
      <c r="J42" s="136" t="s">
        <v>244</v>
      </c>
      <c r="K42" s="152">
        <v>1</v>
      </c>
      <c r="L42" s="58">
        <f>VLOOKUP(K42,Reinigungstage!A10:C31,3,FALSE)</f>
        <v>49.34</v>
      </c>
      <c r="M42" s="58">
        <f t="shared" si="0"/>
        <v>1908.96</v>
      </c>
      <c r="N42" s="153">
        <f t="shared" si="1"/>
        <v>0</v>
      </c>
      <c r="O42" s="58">
        <f ca="1">IF('SVS UnterhaltsRG'!H61="",0,'SVS UnterhaltsRG'!H61)</f>
        <v>0</v>
      </c>
      <c r="P42" s="58">
        <f t="shared" si="2"/>
        <v>0</v>
      </c>
      <c r="Q42" s="58">
        <f t="shared" ca="1" si="3"/>
        <v>0</v>
      </c>
      <c r="R42" s="58">
        <f t="shared" si="4"/>
        <v>0</v>
      </c>
      <c r="S42" s="58">
        <f t="shared" ca="1" si="5"/>
        <v>0</v>
      </c>
      <c r="T42" s="3" t="str">
        <f t="shared" si="6"/>
        <v>Leistungswert eintragen</v>
      </c>
      <c r="U42" s="3">
        <f t="shared" si="7"/>
        <v>132.5</v>
      </c>
      <c r="V42" s="3">
        <f t="shared" si="8"/>
        <v>0</v>
      </c>
    </row>
    <row r="43" spans="1:22" ht="15" customHeight="1" x14ac:dyDescent="0.2">
      <c r="A43" s="136">
        <v>22</v>
      </c>
      <c r="B43" s="150"/>
      <c r="C43" s="151" t="s">
        <v>263</v>
      </c>
      <c r="D43" s="151"/>
      <c r="E43" s="151" t="s">
        <v>212</v>
      </c>
      <c r="F43" s="151" t="s">
        <v>236</v>
      </c>
      <c r="G43" s="152">
        <v>42.02</v>
      </c>
      <c r="H43" s="152"/>
      <c r="I43" s="155"/>
      <c r="J43" s="136" t="s">
        <v>243</v>
      </c>
      <c r="K43" s="152">
        <v>1</v>
      </c>
      <c r="L43" s="58">
        <f>VLOOKUP(K43,Reinigungstage!A10:C31,3,FALSE)</f>
        <v>49.34</v>
      </c>
      <c r="M43" s="58">
        <f t="shared" si="0"/>
        <v>2073.27</v>
      </c>
      <c r="N43" s="153">
        <f t="shared" si="1"/>
        <v>0</v>
      </c>
      <c r="O43" s="58">
        <f ca="1">IF('SVS UnterhaltsRG'!H61="",0,'SVS UnterhaltsRG'!H61)</f>
        <v>0</v>
      </c>
      <c r="P43" s="58">
        <f t="shared" si="2"/>
        <v>0</v>
      </c>
      <c r="Q43" s="58">
        <f t="shared" ca="1" si="3"/>
        <v>0</v>
      </c>
      <c r="R43" s="58">
        <f t="shared" si="4"/>
        <v>0</v>
      </c>
      <c r="S43" s="58">
        <f t="shared" ca="1" si="5"/>
        <v>0</v>
      </c>
      <c r="T43" s="3" t="str">
        <f t="shared" si="6"/>
        <v>Leistungswert eintragen</v>
      </c>
      <c r="U43" s="3">
        <f t="shared" si="7"/>
        <v>166.25</v>
      </c>
      <c r="V43" s="3">
        <f t="shared" si="8"/>
        <v>0</v>
      </c>
    </row>
    <row r="44" spans="1:22" ht="15" customHeight="1" x14ac:dyDescent="0.2">
      <c r="A44" s="136">
        <v>23</v>
      </c>
      <c r="B44" s="150"/>
      <c r="C44" s="151" t="s">
        <v>263</v>
      </c>
      <c r="D44" s="151"/>
      <c r="E44" s="151" t="s">
        <v>266</v>
      </c>
      <c r="F44" s="151" t="s">
        <v>236</v>
      </c>
      <c r="G44" s="152">
        <v>5.43</v>
      </c>
      <c r="H44" s="152"/>
      <c r="I44" s="155"/>
      <c r="J44" s="136" t="s">
        <v>246</v>
      </c>
      <c r="K44" s="152">
        <v>2</v>
      </c>
      <c r="L44" s="58">
        <f>VLOOKUP(K44,Reinigungstage!A10:C31,3,FALSE)</f>
        <v>98.68</v>
      </c>
      <c r="M44" s="58">
        <f t="shared" si="0"/>
        <v>535.83000000000004</v>
      </c>
      <c r="N44" s="153">
        <f t="shared" si="1"/>
        <v>0</v>
      </c>
      <c r="O44" s="58">
        <f ca="1">IF('SVS UnterhaltsRG'!H61="",0,'SVS UnterhaltsRG'!H61)</f>
        <v>0</v>
      </c>
      <c r="P44" s="58">
        <f t="shared" si="2"/>
        <v>0</v>
      </c>
      <c r="Q44" s="58">
        <f t="shared" ca="1" si="3"/>
        <v>0</v>
      </c>
      <c r="R44" s="58">
        <f t="shared" si="4"/>
        <v>0</v>
      </c>
      <c r="S44" s="58">
        <f t="shared" ca="1" si="5"/>
        <v>0</v>
      </c>
      <c r="T44" s="3" t="str">
        <f t="shared" si="6"/>
        <v>Leistungswert eintragen</v>
      </c>
      <c r="U44" s="3">
        <f t="shared" si="7"/>
        <v>53.75</v>
      </c>
      <c r="V44" s="3">
        <f t="shared" si="8"/>
        <v>0</v>
      </c>
    </row>
    <row r="45" spans="1:22" ht="15" customHeight="1" x14ac:dyDescent="0.2">
      <c r="A45" s="136">
        <v>24</v>
      </c>
      <c r="B45" s="150"/>
      <c r="C45" s="151" t="s">
        <v>263</v>
      </c>
      <c r="D45" s="151"/>
      <c r="E45" s="151" t="s">
        <v>266</v>
      </c>
      <c r="F45" s="151" t="s">
        <v>236</v>
      </c>
      <c r="G45" s="152">
        <v>4.1399999999999997</v>
      </c>
      <c r="H45" s="152"/>
      <c r="I45" s="155"/>
      <c r="J45" s="136" t="s">
        <v>246</v>
      </c>
      <c r="K45" s="152">
        <v>2</v>
      </c>
      <c r="L45" s="58">
        <f>VLOOKUP(K45,Reinigungstage!A10:C31,3,FALSE)</f>
        <v>98.68</v>
      </c>
      <c r="M45" s="58">
        <f t="shared" si="0"/>
        <v>408.54</v>
      </c>
      <c r="N45" s="153">
        <f t="shared" si="1"/>
        <v>0</v>
      </c>
      <c r="O45" s="58">
        <f ca="1">IF('SVS UnterhaltsRG'!H61="",0,'SVS UnterhaltsRG'!H61)</f>
        <v>0</v>
      </c>
      <c r="P45" s="58">
        <f t="shared" si="2"/>
        <v>0</v>
      </c>
      <c r="Q45" s="58">
        <f t="shared" ca="1" si="3"/>
        <v>0</v>
      </c>
      <c r="R45" s="58">
        <f t="shared" si="4"/>
        <v>0</v>
      </c>
      <c r="S45" s="58">
        <f t="shared" ca="1" si="5"/>
        <v>0</v>
      </c>
      <c r="T45" s="3" t="str">
        <f t="shared" si="6"/>
        <v>Leistungswert eintragen</v>
      </c>
      <c r="U45" s="3">
        <f t="shared" si="7"/>
        <v>53.75</v>
      </c>
      <c r="V45" s="3">
        <f t="shared" si="8"/>
        <v>0</v>
      </c>
    </row>
  </sheetData>
  <sheetProtection algorithmName="SHA-512" hashValue="hU3oOksraDZn+Q9MMHb/ZnrhO1KWwaJr8XKS6MTcpktJgjoGpcbMdWZxh+JlymJbTfSZJTCdCqouqiTJf7pOhA==" saltValue="ccbNo6BDIcj0FL+kplIzxA==" spinCount="100000" sheet="1" objects="1" scenarios="1"/>
  <sortState xmlns:xlrd2="http://schemas.microsoft.com/office/spreadsheetml/2017/richdata2" ref="U4:U11">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32"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31" priority="5" operator="containsText" text="Bitte prüfen Sie diese.">
      <formula>NOT(ISERROR(SEARCH("Bitte prüfen Sie diese.",L9)))</formula>
    </cfRule>
  </conditionalFormatting>
  <conditionalFormatting sqref="L10">
    <cfRule type="containsText" dxfId="30"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29" priority="3" operator="containsText" text="lediglich Fehleingaben vermeiden wollen.">
      <formula>NOT(ISERROR(SEARCH("lediglich Fehleingaben vermeiden wollen.",L11)))</formula>
    </cfRule>
  </conditionalFormatting>
  <conditionalFormatting sqref="M11">
    <cfRule type="containsText" dxfId="28"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27" priority="7" operator="containsText" text="für die Objektart prüfen.">
      <formula>NOT(ISERROR(SEARCH("für die Objektart prüfen.",M12)))</formula>
    </cfRule>
  </conditionalFormatting>
  <conditionalFormatting sqref="N13">
    <cfRule type="expression" dxfId="26" priority="2" stopIfTrue="1">
      <formula>N13=0</formula>
    </cfRule>
  </conditionalFormatting>
  <conditionalFormatting sqref="N14">
    <cfRule type="expression" dxfId="25" priority="1">
      <formula>N14=0</formula>
    </cfRule>
  </conditionalFormatting>
  <conditionalFormatting sqref="N22:N45">
    <cfRule type="expression" dxfId="24" priority="11">
      <formula>V22=0</formula>
    </cfRule>
    <cfRule type="expression" dxfId="23" priority="12" stopIfTrue="1">
      <formula>V22=1</formula>
    </cfRule>
  </conditionalFormatting>
  <conditionalFormatting sqref="O13">
    <cfRule type="containsText" dxfId="22"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21" priority="9" operator="containsText" text="Wert(e) prüfen.">
      <formula>NOT(ISERROR(SEARCH("Wert(e) prüfen.",O14)))</formula>
    </cfRule>
  </conditionalFormatting>
  <conditionalFormatting sqref="T22:T45">
    <cfRule type="containsText" dxfId="20" priority="13" stopIfTrue="1" operator="containsText" text="SVS prüfen">
      <formula>NOT(ISERROR(SEARCH("SVS prüfen",T22)))</formula>
    </cfRule>
    <cfRule type="containsText" dxfId="19" priority="14" stopIfTrue="1" operator="containsText" text="Leistungswert eintragen">
      <formula>NOT(ISERROR(SEARCH("Leistungswert eintragen",T22)))</formula>
    </cfRule>
  </conditionalFormatting>
  <hyperlinks>
    <hyperlink ref="M1" location="Inhaltsverzeichnis!A1" display="Zurück zum Inhaltsverzeichnis" xr:uid="{C707A79F-BFC8-42A4-B6F4-F4CFB0D5842A}"/>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Kita Teichspa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7522"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7523"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7524"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7E61-90B9-4822-BC8C-BB52798FCA8B}">
  <sheetPr codeName="Tabelle35">
    <tabColor indexed="40"/>
  </sheetPr>
  <dimension ref="A1:X44"/>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28515625" style="3"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209" t="s">
        <v>158</v>
      </c>
      <c r="B2" s="210"/>
      <c r="C2" s="210"/>
      <c r="D2" s="210"/>
      <c r="E2" s="211"/>
      <c r="G2" s="212" t="s">
        <v>171</v>
      </c>
      <c r="H2" s="212" t="s">
        <v>163</v>
      </c>
      <c r="I2" s="212" t="s">
        <v>164</v>
      </c>
      <c r="J2" s="212" t="s">
        <v>183</v>
      </c>
      <c r="M2" s="100" t="b">
        <v>0</v>
      </c>
      <c r="N2" s="167"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67"/>
      <c r="P2" s="167"/>
      <c r="Q2" s="167"/>
    </row>
    <row r="3" spans="1:22" ht="24" customHeight="1" x14ac:dyDescent="0.2">
      <c r="A3" s="137" t="s">
        <v>166</v>
      </c>
      <c r="B3" s="138"/>
      <c r="C3" s="138"/>
      <c r="D3" s="138"/>
      <c r="E3" s="139"/>
      <c r="G3" s="213"/>
      <c r="H3" s="213"/>
      <c r="I3" s="213"/>
      <c r="J3" s="213"/>
      <c r="M3" s="100" t="b">
        <v>0</v>
      </c>
      <c r="N3" s="167"/>
      <c r="O3" s="167"/>
      <c r="P3" s="167"/>
      <c r="Q3" s="167"/>
    </row>
    <row r="4" spans="1:22" ht="18.600000000000001" customHeight="1" x14ac:dyDescent="0.2">
      <c r="A4" s="207" t="s">
        <v>91</v>
      </c>
      <c r="B4" s="217" t="str">
        <f>IF(Inhaltsverzeichnis!C3="","",Inhaltsverzeichnis!C3)</f>
        <v/>
      </c>
      <c r="C4" s="218"/>
      <c r="D4" s="218"/>
      <c r="E4" s="219"/>
      <c r="G4" s="136" t="s">
        <v>215</v>
      </c>
      <c r="H4" s="140"/>
      <c r="I4" s="141">
        <f ca="1">SUMIF('Kal Grund Kita Teichspa'!J22:M44,$G$4,'Kal Grund Kita Teichspa'!M22:M44)</f>
        <v>15.61</v>
      </c>
      <c r="J4" s="79">
        <f>COUNTIFS('Kal Grund Kita Teichspa'!J22:M44,$G$4)</f>
        <v>1</v>
      </c>
      <c r="M4" s="100" t="b">
        <v>0</v>
      </c>
      <c r="N4" s="167"/>
      <c r="O4" s="167"/>
      <c r="P4" s="167"/>
      <c r="Q4" s="167"/>
      <c r="U4" s="136" t="s">
        <v>215</v>
      </c>
      <c r="V4" s="3">
        <v>17.125</v>
      </c>
    </row>
    <row r="5" spans="1:22" ht="15" customHeight="1" x14ac:dyDescent="0.2">
      <c r="A5" s="208"/>
      <c r="B5" s="220"/>
      <c r="C5" s="221"/>
      <c r="D5" s="221"/>
      <c r="E5" s="222"/>
      <c r="G5" s="136" t="s">
        <v>244</v>
      </c>
      <c r="H5" s="140"/>
      <c r="I5" s="141">
        <f ca="1">SUMIF('Kal Grund Kita Teichspa'!J22:M44,$G$5,'Kal Grund Kita Teichspa'!M22:M44)</f>
        <v>184.35</v>
      </c>
      <c r="J5" s="79">
        <f>COUNTIFS('Kal Grund Kita Teichspa'!J22:M44,$G$5)</f>
        <v>6</v>
      </c>
      <c r="M5" s="100" t="b">
        <v>0</v>
      </c>
      <c r="N5" s="167"/>
      <c r="O5" s="167"/>
      <c r="P5" s="167"/>
      <c r="Q5" s="167"/>
      <c r="U5" s="136" t="s">
        <v>244</v>
      </c>
      <c r="V5" s="3">
        <v>15</v>
      </c>
    </row>
    <row r="6" spans="1:22" ht="15" customHeight="1" x14ac:dyDescent="0.2">
      <c r="A6" s="142" t="s">
        <v>181</v>
      </c>
      <c r="B6" s="223" t="s">
        <v>199</v>
      </c>
      <c r="C6" s="224"/>
      <c r="D6" s="224"/>
      <c r="E6" s="225"/>
      <c r="G6" s="136" t="s">
        <v>246</v>
      </c>
      <c r="H6" s="140"/>
      <c r="I6" s="141">
        <f ca="1">SUMIF('Kal Grund Kita Teichspa'!J22:M44,$G$6,'Kal Grund Kita Teichspa'!M22:M44)</f>
        <v>49.28</v>
      </c>
      <c r="J6" s="79">
        <f>COUNTIFS('Kal Grund Kita Teichspa'!J22:M44,$G$6)</f>
        <v>5</v>
      </c>
      <c r="U6" s="136" t="s">
        <v>246</v>
      </c>
      <c r="V6" s="3">
        <v>8.5</v>
      </c>
    </row>
    <row r="7" spans="1:22" ht="15" customHeight="1" x14ac:dyDescent="0.2">
      <c r="A7" s="143" t="s">
        <v>179</v>
      </c>
      <c r="B7" s="226" t="s">
        <v>205</v>
      </c>
      <c r="C7" s="224"/>
      <c r="D7" s="224"/>
      <c r="E7" s="225"/>
      <c r="G7" s="136" t="s">
        <v>248</v>
      </c>
      <c r="H7" s="140"/>
      <c r="I7" s="141">
        <f ca="1">SUMIF('Kal Grund Kita Teichspa'!J22:M44,$G$7,'Kal Grund Kita Teichspa'!M22:M44)</f>
        <v>22.51</v>
      </c>
      <c r="J7" s="79">
        <f>COUNTIFS('Kal Grund Kita Teichspa'!J22:M44,$G$7)</f>
        <v>3</v>
      </c>
      <c r="U7" s="136" t="s">
        <v>247</v>
      </c>
      <c r="V7" s="3">
        <v>21.13</v>
      </c>
    </row>
    <row r="8" spans="1:22" ht="15" customHeight="1" x14ac:dyDescent="0.2">
      <c r="A8" s="143" t="s">
        <v>180</v>
      </c>
      <c r="B8" s="223"/>
      <c r="C8" s="224"/>
      <c r="D8" s="224"/>
      <c r="E8" s="225"/>
      <c r="G8" s="136" t="s">
        <v>267</v>
      </c>
      <c r="H8" s="140"/>
      <c r="I8" s="141">
        <f ca="1">SUMIF('Kal Grund Kita Teichspa'!J22:M44,$G$8,'Kal Grund Kita Teichspa'!M22:M44)</f>
        <v>16.95</v>
      </c>
      <c r="J8" s="79">
        <f>COUNTIFS('Kal Grund Kita Teichspa'!J22:M44,$G$8)</f>
        <v>1</v>
      </c>
      <c r="L8" s="154" t="str">
        <f>IF(N14&gt;0,"Ihre Eintragungen der Leistungswerte liegen weit über den Erfahrungswerten aus der Preisschätzung.","")</f>
        <v/>
      </c>
      <c r="U8" s="136" t="s">
        <v>248</v>
      </c>
      <c r="V8" s="3">
        <v>15</v>
      </c>
    </row>
    <row r="9" spans="1:22" ht="15" customHeight="1" x14ac:dyDescent="0.2">
      <c r="A9" s="142" t="s">
        <v>178</v>
      </c>
      <c r="B9" s="227" t="s">
        <v>204</v>
      </c>
      <c r="C9" s="224"/>
      <c r="D9" s="224"/>
      <c r="E9" s="225"/>
      <c r="G9" s="136" t="s">
        <v>243</v>
      </c>
      <c r="H9" s="140"/>
      <c r="I9" s="141">
        <f ca="1">SUMIF('Kal Grund Kita Teichspa'!J22:M44,$G$9,'Kal Grund Kita Teichspa'!M22:M44)</f>
        <v>118.54000000000002</v>
      </c>
      <c r="J9" s="79">
        <f>COUNTIFS('Kal Grund Kita Teichspa'!J22:M44,$G$9)</f>
        <v>6</v>
      </c>
      <c r="L9" s="154" t="str">
        <f>IF(N14&gt;0,"Bitte prüfen Sie diese.","")</f>
        <v/>
      </c>
      <c r="U9" s="136" t="s">
        <v>267</v>
      </c>
      <c r="V9" s="3">
        <v>15</v>
      </c>
    </row>
    <row r="10" spans="1:22" ht="15" customHeight="1" x14ac:dyDescent="0.2">
      <c r="A10" s="143" t="s">
        <v>160</v>
      </c>
      <c r="B10" s="223" t="s">
        <v>206</v>
      </c>
      <c r="C10" s="224"/>
      <c r="D10" s="224"/>
      <c r="E10" s="225"/>
      <c r="G10" s="136" t="s">
        <v>245</v>
      </c>
      <c r="H10" s="140"/>
      <c r="I10" s="141">
        <f ca="1">SUMIF('Kal Grund Kita Teichspa'!J22:M44,$G$10,'Kal Grund Kita Teichspa'!M22:M44)</f>
        <v>13.39</v>
      </c>
      <c r="J10" s="79">
        <f>COUNTIFS('Kal Grund Kita Teichspa'!J22:M44,$G$10)</f>
        <v>1</v>
      </c>
      <c r="L10" s="154" t="str">
        <f>IF(N14&gt;0,"Beachten Sie, dass Sie frei in der Kalkulation dieser Leistungswerte sind und wir durch den Hinweis","")</f>
        <v/>
      </c>
      <c r="U10" s="136" t="s">
        <v>243</v>
      </c>
      <c r="V10" s="3">
        <v>24.13</v>
      </c>
    </row>
    <row r="11" spans="1:22" ht="15" customHeight="1" x14ac:dyDescent="0.2">
      <c r="A11" s="143" t="s">
        <v>161</v>
      </c>
      <c r="B11" s="228" t="s">
        <v>202</v>
      </c>
      <c r="C11" s="224"/>
      <c r="D11" s="224"/>
      <c r="E11" s="225"/>
      <c r="L11" s="154" t="str">
        <f>IF(N14&gt;0,"lediglich Fehleingaben vermeiden wollen.","")</f>
        <v/>
      </c>
      <c r="U11" s="136" t="s">
        <v>245</v>
      </c>
      <c r="V11" s="3">
        <v>14.13</v>
      </c>
    </row>
    <row r="12" spans="1:22" ht="15" customHeight="1" x14ac:dyDescent="0.2">
      <c r="A12" s="143" t="s">
        <v>162</v>
      </c>
      <c r="B12" s="223" t="s">
        <v>207</v>
      </c>
      <c r="C12" s="224"/>
      <c r="D12" s="224"/>
      <c r="E12" s="225"/>
    </row>
    <row r="13" spans="1:22" ht="15" customHeight="1" x14ac:dyDescent="0.2">
      <c r="A13" s="143" t="s">
        <v>165</v>
      </c>
      <c r="B13" s="214" t="str">
        <f>HYPERLINK("http://maps.google.de/maps?hl=de&amp;bav=on.2,or.r_qf.&amp;bvm=bv.44770516,d.Yms&amp;biw=1395&amp;bih=916&amp;um=1&amp;ie=UTF-8&amp;q="&amp;B7&amp;"+"&amp;B8&amp;"+"&amp;B10&amp;"+"&amp;B11&amp;"+"&amp;B12&amp;"","In Google-Maps anzeigen (wenn Internet verfügbar)")</f>
        <v>In Google-Maps anzeigen (wenn Internet verfügbar)</v>
      </c>
      <c r="C13" s="215"/>
      <c r="D13" s="215"/>
      <c r="E13" s="216"/>
    </row>
    <row r="14" spans="1:22" ht="15" customHeight="1" x14ac:dyDescent="0.2">
      <c r="N14" s="144">
        <f>COUNTIF(X22:X$44,1)</f>
        <v>0</v>
      </c>
      <c r="O14" s="3" t="str">
        <f>IF(N14&gt;0,"Wert(e) prüfen.","")</f>
        <v/>
      </c>
      <c r="S14" s="146">
        <f>IF(COUNTA($S$22:$S$44)-COUNTBLANK($S$22:$S$44)=0,"",COUNTA($S$22:$S$44)-COUNTBLANK($S$22:$S$44))</f>
        <v>23</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115</v>
      </c>
      <c r="H20" s="1" t="s">
        <v>106</v>
      </c>
      <c r="I20" s="1" t="s">
        <v>314</v>
      </c>
      <c r="J20" s="1" t="s">
        <v>99</v>
      </c>
      <c r="K20" s="1" t="s">
        <v>104</v>
      </c>
      <c r="L20" s="1" t="s">
        <v>108</v>
      </c>
      <c r="M20" s="1" t="s">
        <v>109</v>
      </c>
      <c r="N20" s="1" t="s">
        <v>105</v>
      </c>
      <c r="O20" s="1" t="s">
        <v>110</v>
      </c>
      <c r="P20" s="1" t="s">
        <v>111</v>
      </c>
      <c r="Q20" s="1" t="s">
        <v>112</v>
      </c>
      <c r="R20" s="1" t="s">
        <v>139</v>
      </c>
    </row>
    <row r="21" spans="1:24" ht="29.1" customHeight="1" x14ac:dyDescent="0.2">
      <c r="A21" s="147" t="s">
        <v>124</v>
      </c>
      <c r="B21" s="12"/>
      <c r="C21" s="12"/>
      <c r="D21" s="12"/>
      <c r="E21" s="12"/>
      <c r="F21" s="12"/>
      <c r="G21" s="148">
        <f>SUM($G$22:$G$44)</f>
        <v>420.62999999999994</v>
      </c>
      <c r="H21" s="148">
        <f>SUM($H$22:$H$44)</f>
        <v>14.2</v>
      </c>
      <c r="I21" s="148">
        <f>SUM($I$22:$I$44)</f>
        <v>3.3</v>
      </c>
      <c r="J21" s="58"/>
      <c r="K21" s="58"/>
      <c r="L21" s="149">
        <f>MAX(L22:L44)</f>
        <v>1</v>
      </c>
      <c r="M21" s="148">
        <f>SUM($M$22:$M$44)</f>
        <v>420.62999999999994</v>
      </c>
      <c r="N21" s="58"/>
      <c r="O21" s="58"/>
      <c r="P21" s="148">
        <f>SUM($P$22:$P$44)</f>
        <v>0</v>
      </c>
      <c r="Q21" s="148">
        <f>SUM($Q$22:$Q$44)</f>
        <v>0</v>
      </c>
      <c r="R21" s="148">
        <f>ROUND(IF(Q21=0,0,Q21/L21),2)</f>
        <v>0</v>
      </c>
    </row>
    <row r="22" spans="1:24" ht="15" customHeight="1" x14ac:dyDescent="0.2">
      <c r="A22" s="136">
        <v>1</v>
      </c>
      <c r="B22" s="150">
        <v>1</v>
      </c>
      <c r="C22" s="151" t="s">
        <v>249</v>
      </c>
      <c r="D22" s="151"/>
      <c r="E22" s="151" t="s">
        <v>250</v>
      </c>
      <c r="F22" s="151" t="s">
        <v>236</v>
      </c>
      <c r="G22" s="152">
        <v>13.76</v>
      </c>
      <c r="H22" s="152"/>
      <c r="I22" s="155">
        <v>1.8</v>
      </c>
      <c r="J22" s="136" t="s">
        <v>243</v>
      </c>
      <c r="K22" s="136" t="s">
        <v>148</v>
      </c>
      <c r="L22" s="58">
        <f>VLOOKUP(K22,Reinigungstage!A10:E31,5,FALSE)</f>
        <v>1</v>
      </c>
      <c r="M22" s="58">
        <f t="shared" ref="M22:M44" si="0">ROUND(IF(L22=0,0,L22*G22),2)</f>
        <v>13.76</v>
      </c>
      <c r="N22" s="153">
        <f t="shared" ref="N22:N44" si="1">VLOOKUP(J22,$G$4:$H$10,2,FALSE)</f>
        <v>0</v>
      </c>
      <c r="O22" s="58">
        <f ca="1">IF('SVS GrundRG'!H61="",0,'SVS GrundRG'!H61)</f>
        <v>0</v>
      </c>
      <c r="P22" s="58">
        <f t="shared" ref="P22:P44" si="2">ROUND(IF(N22=0,0,M22/N22),2)</f>
        <v>0</v>
      </c>
      <c r="Q22" s="58">
        <f t="shared" ref="Q22:Q44" si="3">ROUND(IF(P22=0,0,P22*O22),2)</f>
        <v>0</v>
      </c>
      <c r="R22" s="58">
        <f t="shared" ref="R22:R44" si="4">ROUND(IF(P22=0,0,Q22/L22),2)</f>
        <v>0</v>
      </c>
      <c r="S22" s="3" t="str">
        <f t="shared" ref="S22:S44" si="5">IF(M22=0,"",IF(N22=0,"Leistungswert eintragen",IF(O22=0,"SVS prüfen","")))</f>
        <v>Leistungswert eintragen</v>
      </c>
      <c r="U22" s="3">
        <f t="shared" ref="U22:U44" si="6">VLOOKUP(J22,$U$4:$V$11,2,FALSE)</f>
        <v>24.13</v>
      </c>
      <c r="V22" s="3">
        <f t="shared" ref="V22:V44" si="7">U22*30%</f>
        <v>7.238999999999999</v>
      </c>
      <c r="W22" s="3">
        <f t="shared" ref="W22:W44" si="8">SUM(U22:V22)</f>
        <v>31.369</v>
      </c>
      <c r="X22" s="3" t="str">
        <f t="shared" ref="X22:X44" si="9">IF(N22=0,"",IF(W22&lt;N22,1,IF(W22&gt;=N22,0,"")))</f>
        <v/>
      </c>
    </row>
    <row r="23" spans="1:24" ht="15" customHeight="1" x14ac:dyDescent="0.2">
      <c r="A23" s="136">
        <v>2</v>
      </c>
      <c r="B23" s="150">
        <v>2</v>
      </c>
      <c r="C23" s="151" t="s">
        <v>221</v>
      </c>
      <c r="D23" s="151"/>
      <c r="E23" s="151" t="s">
        <v>226</v>
      </c>
      <c r="F23" s="151" t="s">
        <v>219</v>
      </c>
      <c r="G23" s="152">
        <v>20.54</v>
      </c>
      <c r="H23" s="152"/>
      <c r="I23" s="155"/>
      <c r="J23" s="136" t="s">
        <v>244</v>
      </c>
      <c r="K23" s="136" t="s">
        <v>148</v>
      </c>
      <c r="L23" s="58">
        <f>VLOOKUP(K23,Reinigungstage!A10:E31,5,FALSE)</f>
        <v>1</v>
      </c>
      <c r="M23" s="58">
        <f t="shared" si="0"/>
        <v>20.54</v>
      </c>
      <c r="N23" s="153">
        <f t="shared" si="1"/>
        <v>0</v>
      </c>
      <c r="O23" s="58">
        <f ca="1">IF('SVS GrundRG'!H61="",0,'SVS GrundRG'!H61)</f>
        <v>0</v>
      </c>
      <c r="P23" s="58">
        <f t="shared" si="2"/>
        <v>0</v>
      </c>
      <c r="Q23" s="58">
        <f t="shared" si="3"/>
        <v>0</v>
      </c>
      <c r="R23" s="58">
        <f t="shared" si="4"/>
        <v>0</v>
      </c>
      <c r="S23" s="3" t="str">
        <f t="shared" si="5"/>
        <v>Leistungswert eintragen</v>
      </c>
      <c r="U23" s="3">
        <f t="shared" si="6"/>
        <v>15</v>
      </c>
      <c r="V23" s="3">
        <f t="shared" si="7"/>
        <v>4.5</v>
      </c>
      <c r="W23" s="3">
        <f t="shared" si="8"/>
        <v>19.5</v>
      </c>
      <c r="X23" s="3" t="str">
        <f t="shared" si="9"/>
        <v/>
      </c>
    </row>
    <row r="24" spans="1:24" ht="15" customHeight="1" x14ac:dyDescent="0.2">
      <c r="A24" s="136">
        <v>3</v>
      </c>
      <c r="B24" s="150">
        <v>3</v>
      </c>
      <c r="C24" s="151" t="s">
        <v>221</v>
      </c>
      <c r="D24" s="151"/>
      <c r="E24" s="151" t="s">
        <v>226</v>
      </c>
      <c r="F24" s="151" t="s">
        <v>219</v>
      </c>
      <c r="G24" s="152">
        <v>19.64</v>
      </c>
      <c r="H24" s="152"/>
      <c r="I24" s="155"/>
      <c r="J24" s="136" t="s">
        <v>244</v>
      </c>
      <c r="K24" s="136" t="s">
        <v>148</v>
      </c>
      <c r="L24" s="58">
        <f>VLOOKUP(K24,Reinigungstage!A10:E31,5,FALSE)</f>
        <v>1</v>
      </c>
      <c r="M24" s="58">
        <f t="shared" si="0"/>
        <v>19.64</v>
      </c>
      <c r="N24" s="153">
        <f t="shared" si="1"/>
        <v>0</v>
      </c>
      <c r="O24" s="58">
        <f ca="1">IF('SVS GrundRG'!H61="",0,'SVS GrundRG'!H61)</f>
        <v>0</v>
      </c>
      <c r="P24" s="58">
        <f t="shared" si="2"/>
        <v>0</v>
      </c>
      <c r="Q24" s="58">
        <f t="shared" si="3"/>
        <v>0</v>
      </c>
      <c r="R24" s="58">
        <f t="shared" si="4"/>
        <v>0</v>
      </c>
      <c r="S24" s="3" t="str">
        <f t="shared" si="5"/>
        <v>Leistungswert eintragen</v>
      </c>
      <c r="U24" s="3">
        <f t="shared" si="6"/>
        <v>15</v>
      </c>
      <c r="V24" s="3">
        <f t="shared" si="7"/>
        <v>4.5</v>
      </c>
      <c r="W24" s="3">
        <f t="shared" si="8"/>
        <v>19.5</v>
      </c>
      <c r="X24" s="3" t="str">
        <f t="shared" si="9"/>
        <v/>
      </c>
    </row>
    <row r="25" spans="1:24" ht="15" customHeight="1" x14ac:dyDescent="0.2">
      <c r="A25" s="136">
        <v>4</v>
      </c>
      <c r="B25" s="150">
        <v>4</v>
      </c>
      <c r="C25" s="151" t="s">
        <v>221</v>
      </c>
      <c r="D25" s="151"/>
      <c r="E25" s="151" t="s">
        <v>251</v>
      </c>
      <c r="F25" s="151" t="s">
        <v>236</v>
      </c>
      <c r="G25" s="152">
        <v>6.25</v>
      </c>
      <c r="H25" s="152"/>
      <c r="I25" s="155">
        <v>1.5</v>
      </c>
      <c r="J25" s="136" t="s">
        <v>243</v>
      </c>
      <c r="K25" s="136" t="s">
        <v>148</v>
      </c>
      <c r="L25" s="58">
        <f>VLOOKUP(K25,Reinigungstage!A10:E31,5,FALSE)</f>
        <v>1</v>
      </c>
      <c r="M25" s="58">
        <f t="shared" si="0"/>
        <v>6.25</v>
      </c>
      <c r="N25" s="153">
        <f t="shared" si="1"/>
        <v>0</v>
      </c>
      <c r="O25" s="58">
        <f ca="1">IF('SVS GrundRG'!H61="",0,'SVS GrundRG'!H61)</f>
        <v>0</v>
      </c>
      <c r="P25" s="58">
        <f t="shared" si="2"/>
        <v>0</v>
      </c>
      <c r="Q25" s="58">
        <f t="shared" si="3"/>
        <v>0</v>
      </c>
      <c r="R25" s="58">
        <f t="shared" si="4"/>
        <v>0</v>
      </c>
      <c r="S25" s="3" t="str">
        <f t="shared" si="5"/>
        <v>Leistungswert eintragen</v>
      </c>
      <c r="U25" s="3">
        <f t="shared" si="6"/>
        <v>24.13</v>
      </c>
      <c r="V25" s="3">
        <f t="shared" si="7"/>
        <v>7.238999999999999</v>
      </c>
      <c r="W25" s="3">
        <f t="shared" si="8"/>
        <v>31.369</v>
      </c>
      <c r="X25" s="3" t="str">
        <f t="shared" si="9"/>
        <v/>
      </c>
    </row>
    <row r="26" spans="1:24" ht="15" customHeight="1" x14ac:dyDescent="0.2">
      <c r="A26" s="136">
        <v>5</v>
      </c>
      <c r="B26" s="150" t="s">
        <v>252</v>
      </c>
      <c r="C26" s="151" t="s">
        <v>221</v>
      </c>
      <c r="D26" s="151"/>
      <c r="E26" s="151" t="s">
        <v>226</v>
      </c>
      <c r="F26" s="151" t="s">
        <v>219</v>
      </c>
      <c r="G26" s="152">
        <v>63.71</v>
      </c>
      <c r="H26" s="152">
        <v>6.5</v>
      </c>
      <c r="I26" s="155"/>
      <c r="J26" s="136" t="s">
        <v>244</v>
      </c>
      <c r="K26" s="136" t="s">
        <v>148</v>
      </c>
      <c r="L26" s="58">
        <f>VLOOKUP(K26,Reinigungstage!A10:E31,5,FALSE)</f>
        <v>1</v>
      </c>
      <c r="M26" s="58">
        <f t="shared" si="0"/>
        <v>63.71</v>
      </c>
      <c r="N26" s="153">
        <f t="shared" si="1"/>
        <v>0</v>
      </c>
      <c r="O26" s="58">
        <f ca="1">IF('SVS GrundRG'!H61="",0,'SVS GrundRG'!H61)</f>
        <v>0</v>
      </c>
      <c r="P26" s="58">
        <f t="shared" si="2"/>
        <v>0</v>
      </c>
      <c r="Q26" s="58">
        <f t="shared" si="3"/>
        <v>0</v>
      </c>
      <c r="R26" s="58">
        <f t="shared" si="4"/>
        <v>0</v>
      </c>
      <c r="S26" s="3" t="str">
        <f t="shared" si="5"/>
        <v>Leistungswert eintragen</v>
      </c>
      <c r="U26" s="3">
        <f t="shared" si="6"/>
        <v>15</v>
      </c>
      <c r="V26" s="3">
        <f t="shared" si="7"/>
        <v>4.5</v>
      </c>
      <c r="W26" s="3">
        <f t="shared" si="8"/>
        <v>19.5</v>
      </c>
      <c r="X26" s="3" t="str">
        <f t="shared" si="9"/>
        <v/>
      </c>
    </row>
    <row r="27" spans="1:24" ht="15" customHeight="1" x14ac:dyDescent="0.2">
      <c r="A27" s="136">
        <v>6</v>
      </c>
      <c r="B27" s="150">
        <v>6</v>
      </c>
      <c r="C27" s="151" t="s">
        <v>221</v>
      </c>
      <c r="D27" s="151"/>
      <c r="E27" s="151" t="s">
        <v>253</v>
      </c>
      <c r="F27" s="151" t="s">
        <v>236</v>
      </c>
      <c r="G27" s="152">
        <v>17.920000000000002</v>
      </c>
      <c r="H27" s="152"/>
      <c r="I27" s="155"/>
      <c r="J27" s="136" t="s">
        <v>246</v>
      </c>
      <c r="K27" s="136" t="s">
        <v>148</v>
      </c>
      <c r="L27" s="58">
        <f>VLOOKUP(K27,Reinigungstage!A10:E31,5,FALSE)</f>
        <v>1</v>
      </c>
      <c r="M27" s="58">
        <f t="shared" si="0"/>
        <v>17.920000000000002</v>
      </c>
      <c r="N27" s="153">
        <f t="shared" si="1"/>
        <v>0</v>
      </c>
      <c r="O27" s="58">
        <f ca="1">IF('SVS GrundRG'!H61="",0,'SVS GrundRG'!H61)</f>
        <v>0</v>
      </c>
      <c r="P27" s="58">
        <f t="shared" si="2"/>
        <v>0</v>
      </c>
      <c r="Q27" s="58">
        <f t="shared" si="3"/>
        <v>0</v>
      </c>
      <c r="R27" s="58">
        <f t="shared" si="4"/>
        <v>0</v>
      </c>
      <c r="S27" s="3" t="str">
        <f t="shared" si="5"/>
        <v>Leistungswert eintragen</v>
      </c>
      <c r="U27" s="3">
        <f t="shared" si="6"/>
        <v>8.5</v>
      </c>
      <c r="V27" s="3">
        <f t="shared" si="7"/>
        <v>2.5499999999999998</v>
      </c>
      <c r="W27" s="3">
        <f t="shared" si="8"/>
        <v>11.05</v>
      </c>
      <c r="X27" s="3" t="str">
        <f t="shared" si="9"/>
        <v/>
      </c>
    </row>
    <row r="28" spans="1:24" ht="15" customHeight="1" x14ac:dyDescent="0.2">
      <c r="A28" s="136">
        <v>7</v>
      </c>
      <c r="B28" s="150">
        <v>7</v>
      </c>
      <c r="C28" s="151" t="s">
        <v>221</v>
      </c>
      <c r="D28" s="151"/>
      <c r="E28" s="151" t="s">
        <v>254</v>
      </c>
      <c r="F28" s="151" t="s">
        <v>236</v>
      </c>
      <c r="G28" s="152">
        <v>10.46</v>
      </c>
      <c r="H28" s="152"/>
      <c r="I28" s="155"/>
      <c r="J28" s="136" t="s">
        <v>246</v>
      </c>
      <c r="K28" s="136" t="s">
        <v>148</v>
      </c>
      <c r="L28" s="58">
        <f>VLOOKUP(K28,Reinigungstage!A10:E31,5,FALSE)</f>
        <v>1</v>
      </c>
      <c r="M28" s="58">
        <f t="shared" si="0"/>
        <v>10.46</v>
      </c>
      <c r="N28" s="153">
        <f t="shared" si="1"/>
        <v>0</v>
      </c>
      <c r="O28" s="58">
        <f ca="1">IF('SVS GrundRG'!H61="",0,'SVS GrundRG'!H61)</f>
        <v>0</v>
      </c>
      <c r="P28" s="58">
        <f t="shared" si="2"/>
        <v>0</v>
      </c>
      <c r="Q28" s="58">
        <f t="shared" si="3"/>
        <v>0</v>
      </c>
      <c r="R28" s="58">
        <f t="shared" si="4"/>
        <v>0</v>
      </c>
      <c r="S28" s="3" t="str">
        <f t="shared" si="5"/>
        <v>Leistungswert eintragen</v>
      </c>
      <c r="U28" s="3">
        <f t="shared" si="6"/>
        <v>8.5</v>
      </c>
      <c r="V28" s="3">
        <f t="shared" si="7"/>
        <v>2.5499999999999998</v>
      </c>
      <c r="W28" s="3">
        <f t="shared" si="8"/>
        <v>11.05</v>
      </c>
      <c r="X28" s="3" t="str">
        <f t="shared" si="9"/>
        <v/>
      </c>
    </row>
    <row r="29" spans="1:24" ht="15" customHeight="1" x14ac:dyDescent="0.2">
      <c r="A29" s="136">
        <v>8</v>
      </c>
      <c r="B29" s="150">
        <v>8</v>
      </c>
      <c r="C29" s="151" t="s">
        <v>221</v>
      </c>
      <c r="D29" s="151"/>
      <c r="E29" s="151" t="s">
        <v>226</v>
      </c>
      <c r="F29" s="151" t="s">
        <v>219</v>
      </c>
      <c r="G29" s="152">
        <v>28.5</v>
      </c>
      <c r="H29" s="152">
        <v>2.7</v>
      </c>
      <c r="I29" s="155"/>
      <c r="J29" s="136" t="s">
        <v>244</v>
      </c>
      <c r="K29" s="136" t="s">
        <v>148</v>
      </c>
      <c r="L29" s="58">
        <f>VLOOKUP(K29,Reinigungstage!A10:E31,5,FALSE)</f>
        <v>1</v>
      </c>
      <c r="M29" s="58">
        <f t="shared" si="0"/>
        <v>28.5</v>
      </c>
      <c r="N29" s="153">
        <f t="shared" si="1"/>
        <v>0</v>
      </c>
      <c r="O29" s="58">
        <f ca="1">IF('SVS GrundRG'!H61="",0,'SVS GrundRG'!H61)</f>
        <v>0</v>
      </c>
      <c r="P29" s="58">
        <f t="shared" si="2"/>
        <v>0</v>
      </c>
      <c r="Q29" s="58">
        <f t="shared" si="3"/>
        <v>0</v>
      </c>
      <c r="R29" s="58">
        <f t="shared" si="4"/>
        <v>0</v>
      </c>
      <c r="S29" s="3" t="str">
        <f t="shared" si="5"/>
        <v>Leistungswert eintragen</v>
      </c>
      <c r="U29" s="3">
        <f t="shared" si="6"/>
        <v>15</v>
      </c>
      <c r="V29" s="3">
        <f t="shared" si="7"/>
        <v>4.5</v>
      </c>
      <c r="W29" s="3">
        <f t="shared" si="8"/>
        <v>19.5</v>
      </c>
      <c r="X29" s="3" t="str">
        <f t="shared" si="9"/>
        <v/>
      </c>
    </row>
    <row r="30" spans="1:24" ht="15" customHeight="1" x14ac:dyDescent="0.2">
      <c r="A30" s="136">
        <v>9</v>
      </c>
      <c r="B30" s="150">
        <v>9</v>
      </c>
      <c r="C30" s="151" t="s">
        <v>221</v>
      </c>
      <c r="D30" s="151"/>
      <c r="E30" s="151" t="s">
        <v>226</v>
      </c>
      <c r="F30" s="151" t="s">
        <v>219</v>
      </c>
      <c r="G30" s="152">
        <v>13.27</v>
      </c>
      <c r="H30" s="152"/>
      <c r="I30" s="155"/>
      <c r="J30" s="136" t="s">
        <v>244</v>
      </c>
      <c r="K30" s="136" t="s">
        <v>148</v>
      </c>
      <c r="L30" s="58">
        <f>VLOOKUP(K30,Reinigungstage!A10:E31,5,FALSE)</f>
        <v>1</v>
      </c>
      <c r="M30" s="58">
        <f t="shared" si="0"/>
        <v>13.27</v>
      </c>
      <c r="N30" s="153">
        <f t="shared" si="1"/>
        <v>0</v>
      </c>
      <c r="O30" s="58">
        <f ca="1">IF('SVS GrundRG'!H61="",0,'SVS GrundRG'!H61)</f>
        <v>0</v>
      </c>
      <c r="P30" s="58">
        <f t="shared" si="2"/>
        <v>0</v>
      </c>
      <c r="Q30" s="58">
        <f t="shared" si="3"/>
        <v>0</v>
      </c>
      <c r="R30" s="58">
        <f t="shared" si="4"/>
        <v>0</v>
      </c>
      <c r="S30" s="3" t="str">
        <f t="shared" si="5"/>
        <v>Leistungswert eintragen</v>
      </c>
      <c r="U30" s="3">
        <f t="shared" si="6"/>
        <v>15</v>
      </c>
      <c r="V30" s="3">
        <f t="shared" si="7"/>
        <v>4.5</v>
      </c>
      <c r="W30" s="3">
        <f t="shared" si="8"/>
        <v>19.5</v>
      </c>
      <c r="X30" s="3" t="str">
        <f t="shared" si="9"/>
        <v/>
      </c>
    </row>
    <row r="31" spans="1:24" ht="15" customHeight="1" x14ac:dyDescent="0.2">
      <c r="A31" s="136">
        <v>10</v>
      </c>
      <c r="B31" s="150">
        <v>11</v>
      </c>
      <c r="C31" s="151" t="s">
        <v>221</v>
      </c>
      <c r="D31" s="151"/>
      <c r="E31" s="151" t="s">
        <v>255</v>
      </c>
      <c r="F31" s="151" t="s">
        <v>236</v>
      </c>
      <c r="G31" s="152">
        <v>11.33</v>
      </c>
      <c r="H31" s="152"/>
      <c r="I31" s="155"/>
      <c r="J31" s="136" t="s">
        <v>246</v>
      </c>
      <c r="K31" s="136" t="s">
        <v>148</v>
      </c>
      <c r="L31" s="58">
        <f>VLOOKUP(K31,Reinigungstage!A10:E31,5,FALSE)</f>
        <v>1</v>
      </c>
      <c r="M31" s="58">
        <f t="shared" si="0"/>
        <v>11.33</v>
      </c>
      <c r="N31" s="153">
        <f t="shared" si="1"/>
        <v>0</v>
      </c>
      <c r="O31" s="58">
        <f ca="1">IF('SVS GrundRG'!H61="",0,'SVS GrundRG'!H61)</f>
        <v>0</v>
      </c>
      <c r="P31" s="58">
        <f t="shared" si="2"/>
        <v>0</v>
      </c>
      <c r="Q31" s="58">
        <f t="shared" si="3"/>
        <v>0</v>
      </c>
      <c r="R31" s="58">
        <f t="shared" si="4"/>
        <v>0</v>
      </c>
      <c r="S31" s="3" t="str">
        <f t="shared" si="5"/>
        <v>Leistungswert eintragen</v>
      </c>
      <c r="U31" s="3">
        <f t="shared" si="6"/>
        <v>8.5</v>
      </c>
      <c r="V31" s="3">
        <f t="shared" si="7"/>
        <v>2.5499999999999998</v>
      </c>
      <c r="W31" s="3">
        <f t="shared" si="8"/>
        <v>11.05</v>
      </c>
      <c r="X31" s="3" t="str">
        <f t="shared" si="9"/>
        <v/>
      </c>
    </row>
    <row r="32" spans="1:24" ht="15" customHeight="1" x14ac:dyDescent="0.2">
      <c r="A32" s="136">
        <v>11</v>
      </c>
      <c r="B32" s="150">
        <v>12</v>
      </c>
      <c r="C32" s="151" t="s">
        <v>221</v>
      </c>
      <c r="D32" s="151"/>
      <c r="E32" s="151" t="s">
        <v>215</v>
      </c>
      <c r="F32" s="151" t="s">
        <v>219</v>
      </c>
      <c r="G32" s="152">
        <v>15.61</v>
      </c>
      <c r="H32" s="152"/>
      <c r="I32" s="155"/>
      <c r="J32" s="136" t="s">
        <v>215</v>
      </c>
      <c r="K32" s="136" t="s">
        <v>148</v>
      </c>
      <c r="L32" s="58">
        <f>VLOOKUP(K32,Reinigungstage!A10:E31,5,FALSE)</f>
        <v>1</v>
      </c>
      <c r="M32" s="58">
        <f t="shared" si="0"/>
        <v>15.61</v>
      </c>
      <c r="N32" s="153">
        <f t="shared" si="1"/>
        <v>0</v>
      </c>
      <c r="O32" s="58">
        <f ca="1">IF('SVS GrundRG'!H61="",0,'SVS GrundRG'!H61)</f>
        <v>0</v>
      </c>
      <c r="P32" s="58">
        <f t="shared" si="2"/>
        <v>0</v>
      </c>
      <c r="Q32" s="58">
        <f t="shared" si="3"/>
        <v>0</v>
      </c>
      <c r="R32" s="58">
        <f t="shared" si="4"/>
        <v>0</v>
      </c>
      <c r="S32" s="3" t="str">
        <f t="shared" si="5"/>
        <v>Leistungswert eintragen</v>
      </c>
      <c r="U32" s="3">
        <f t="shared" si="6"/>
        <v>17.125</v>
      </c>
      <c r="V32" s="3">
        <f t="shared" si="7"/>
        <v>5.1375000000000002</v>
      </c>
      <c r="W32" s="3">
        <f t="shared" si="8"/>
        <v>22.262499999999999</v>
      </c>
      <c r="X32" s="3" t="str">
        <f t="shared" si="9"/>
        <v/>
      </c>
    </row>
    <row r="33" spans="1:24" ht="15" customHeight="1" x14ac:dyDescent="0.2">
      <c r="A33" s="136">
        <v>12</v>
      </c>
      <c r="B33" s="150">
        <v>13</v>
      </c>
      <c r="C33" s="151" t="s">
        <v>221</v>
      </c>
      <c r="D33" s="151"/>
      <c r="E33" s="151" t="s">
        <v>224</v>
      </c>
      <c r="F33" s="151" t="s">
        <v>236</v>
      </c>
      <c r="G33" s="152">
        <v>13.39</v>
      </c>
      <c r="H33" s="152"/>
      <c r="I33" s="155"/>
      <c r="J33" s="136" t="s">
        <v>245</v>
      </c>
      <c r="K33" s="136" t="s">
        <v>148</v>
      </c>
      <c r="L33" s="58">
        <f>VLOOKUP(K33,Reinigungstage!A10:E31,5,FALSE)</f>
        <v>1</v>
      </c>
      <c r="M33" s="58">
        <f t="shared" si="0"/>
        <v>13.39</v>
      </c>
      <c r="N33" s="153">
        <f t="shared" si="1"/>
        <v>0</v>
      </c>
      <c r="O33" s="58">
        <f ca="1">IF('SVS GrundRG'!H61="",0,'SVS GrundRG'!H61)</f>
        <v>0</v>
      </c>
      <c r="P33" s="58">
        <f t="shared" si="2"/>
        <v>0</v>
      </c>
      <c r="Q33" s="58">
        <f t="shared" si="3"/>
        <v>0</v>
      </c>
      <c r="R33" s="58">
        <f t="shared" si="4"/>
        <v>0</v>
      </c>
      <c r="S33" s="3" t="str">
        <f t="shared" si="5"/>
        <v>Leistungswert eintragen</v>
      </c>
      <c r="U33" s="3">
        <f t="shared" si="6"/>
        <v>14.13</v>
      </c>
      <c r="V33" s="3">
        <f t="shared" si="7"/>
        <v>4.2389999999999999</v>
      </c>
      <c r="W33" s="3">
        <f t="shared" si="8"/>
        <v>18.369</v>
      </c>
      <c r="X33" s="3" t="str">
        <f t="shared" si="9"/>
        <v/>
      </c>
    </row>
    <row r="34" spans="1:24" ht="15" customHeight="1" x14ac:dyDescent="0.2">
      <c r="A34" s="136">
        <v>13</v>
      </c>
      <c r="B34" s="150">
        <v>14</v>
      </c>
      <c r="C34" s="151" t="s">
        <v>221</v>
      </c>
      <c r="D34" s="151"/>
      <c r="E34" s="151" t="s">
        <v>256</v>
      </c>
      <c r="F34" s="151" t="s">
        <v>236</v>
      </c>
      <c r="G34" s="152">
        <v>16.95</v>
      </c>
      <c r="H34" s="152"/>
      <c r="I34" s="155"/>
      <c r="J34" s="136" t="s">
        <v>267</v>
      </c>
      <c r="K34" s="136" t="s">
        <v>148</v>
      </c>
      <c r="L34" s="58">
        <f>VLOOKUP(K34,Reinigungstage!A10:E31,5,FALSE)</f>
        <v>1</v>
      </c>
      <c r="M34" s="58">
        <f t="shared" si="0"/>
        <v>16.95</v>
      </c>
      <c r="N34" s="153">
        <f t="shared" si="1"/>
        <v>0</v>
      </c>
      <c r="O34" s="58">
        <f ca="1">IF('SVS GrundRG'!H61="",0,'SVS GrundRG'!H61)</f>
        <v>0</v>
      </c>
      <c r="P34" s="58">
        <f t="shared" si="2"/>
        <v>0</v>
      </c>
      <c r="Q34" s="58">
        <f t="shared" si="3"/>
        <v>0</v>
      </c>
      <c r="R34" s="58">
        <f t="shared" si="4"/>
        <v>0</v>
      </c>
      <c r="S34" s="3" t="str">
        <f t="shared" si="5"/>
        <v>Leistungswert eintragen</v>
      </c>
      <c r="U34" s="3">
        <f t="shared" si="6"/>
        <v>15</v>
      </c>
      <c r="V34" s="3">
        <f t="shared" si="7"/>
        <v>4.5</v>
      </c>
      <c r="W34" s="3">
        <f t="shared" si="8"/>
        <v>19.5</v>
      </c>
      <c r="X34" s="3" t="str">
        <f t="shared" si="9"/>
        <v/>
      </c>
    </row>
    <row r="35" spans="1:24" ht="15" customHeight="1" x14ac:dyDescent="0.2">
      <c r="A35" s="136">
        <v>14</v>
      </c>
      <c r="B35" s="150">
        <v>16</v>
      </c>
      <c r="C35" s="151" t="s">
        <v>221</v>
      </c>
      <c r="D35" s="151"/>
      <c r="E35" s="151" t="s">
        <v>258</v>
      </c>
      <c r="F35" s="151" t="s">
        <v>236</v>
      </c>
      <c r="G35" s="152">
        <v>11.96</v>
      </c>
      <c r="H35" s="152"/>
      <c r="I35" s="155"/>
      <c r="J35" s="136" t="s">
        <v>243</v>
      </c>
      <c r="K35" s="136" t="s">
        <v>148</v>
      </c>
      <c r="L35" s="58">
        <f>VLOOKUP(K35,Reinigungstage!A10:E31,5,FALSE)</f>
        <v>1</v>
      </c>
      <c r="M35" s="58">
        <f t="shared" si="0"/>
        <v>11.96</v>
      </c>
      <c r="N35" s="153">
        <f t="shared" si="1"/>
        <v>0</v>
      </c>
      <c r="O35" s="58">
        <f ca="1">IF('SVS GrundRG'!H61="",0,'SVS GrundRG'!H61)</f>
        <v>0</v>
      </c>
      <c r="P35" s="58">
        <f t="shared" si="2"/>
        <v>0</v>
      </c>
      <c r="Q35" s="58">
        <f t="shared" si="3"/>
        <v>0</v>
      </c>
      <c r="R35" s="58">
        <f t="shared" si="4"/>
        <v>0</v>
      </c>
      <c r="S35" s="3" t="str">
        <f t="shared" si="5"/>
        <v>Leistungswert eintragen</v>
      </c>
      <c r="U35" s="3">
        <f t="shared" si="6"/>
        <v>24.13</v>
      </c>
      <c r="V35" s="3">
        <f t="shared" si="7"/>
        <v>7.238999999999999</v>
      </c>
      <c r="W35" s="3">
        <f t="shared" si="8"/>
        <v>31.369</v>
      </c>
      <c r="X35" s="3" t="str">
        <f t="shared" si="9"/>
        <v/>
      </c>
    </row>
    <row r="36" spans="1:24" ht="15" customHeight="1" x14ac:dyDescent="0.2">
      <c r="A36" s="136">
        <v>15</v>
      </c>
      <c r="B36" s="150"/>
      <c r="C36" s="151" t="s">
        <v>221</v>
      </c>
      <c r="D36" s="151"/>
      <c r="E36" s="151" t="s">
        <v>212</v>
      </c>
      <c r="F36" s="151" t="s">
        <v>219</v>
      </c>
      <c r="G36" s="152">
        <v>37.869999999999997</v>
      </c>
      <c r="H36" s="152"/>
      <c r="I36" s="155"/>
      <c r="J36" s="136" t="s">
        <v>243</v>
      </c>
      <c r="K36" s="136" t="s">
        <v>148</v>
      </c>
      <c r="L36" s="58">
        <f>VLOOKUP(K36,Reinigungstage!A10:E31,5,FALSE)</f>
        <v>1</v>
      </c>
      <c r="M36" s="58">
        <f t="shared" si="0"/>
        <v>37.869999999999997</v>
      </c>
      <c r="N36" s="153">
        <f t="shared" si="1"/>
        <v>0</v>
      </c>
      <c r="O36" s="58">
        <f ca="1">IF('SVS GrundRG'!H61="",0,'SVS GrundRG'!H61)</f>
        <v>0</v>
      </c>
      <c r="P36" s="58">
        <f t="shared" si="2"/>
        <v>0</v>
      </c>
      <c r="Q36" s="58">
        <f t="shared" si="3"/>
        <v>0</v>
      </c>
      <c r="R36" s="58">
        <f t="shared" si="4"/>
        <v>0</v>
      </c>
      <c r="S36" s="3" t="str">
        <f t="shared" si="5"/>
        <v>Leistungswert eintragen</v>
      </c>
      <c r="U36" s="3">
        <f t="shared" si="6"/>
        <v>24.13</v>
      </c>
      <c r="V36" s="3">
        <f t="shared" si="7"/>
        <v>7.238999999999999</v>
      </c>
      <c r="W36" s="3">
        <f t="shared" si="8"/>
        <v>31.369</v>
      </c>
      <c r="X36" s="3" t="str">
        <f t="shared" si="9"/>
        <v/>
      </c>
    </row>
    <row r="37" spans="1:24" ht="15" customHeight="1" x14ac:dyDescent="0.2">
      <c r="A37" s="136">
        <v>16</v>
      </c>
      <c r="B37" s="150"/>
      <c r="C37" s="151" t="s">
        <v>221</v>
      </c>
      <c r="D37" s="151"/>
      <c r="E37" s="151" t="s">
        <v>259</v>
      </c>
      <c r="F37" s="151" t="s">
        <v>219</v>
      </c>
      <c r="G37" s="152">
        <v>6.68</v>
      </c>
      <c r="H37" s="152">
        <v>5</v>
      </c>
      <c r="I37" s="155"/>
      <c r="J37" s="136" t="s">
        <v>243</v>
      </c>
      <c r="K37" s="136" t="s">
        <v>148</v>
      </c>
      <c r="L37" s="58">
        <f>VLOOKUP(K37,Reinigungstage!A10:E31,5,FALSE)</f>
        <v>1</v>
      </c>
      <c r="M37" s="58">
        <f t="shared" si="0"/>
        <v>6.68</v>
      </c>
      <c r="N37" s="153">
        <f t="shared" si="1"/>
        <v>0</v>
      </c>
      <c r="O37" s="58">
        <f ca="1">IF('SVS GrundRG'!H61="",0,'SVS GrundRG'!H61)</f>
        <v>0</v>
      </c>
      <c r="P37" s="58">
        <f t="shared" si="2"/>
        <v>0</v>
      </c>
      <c r="Q37" s="58">
        <f t="shared" si="3"/>
        <v>0</v>
      </c>
      <c r="R37" s="58">
        <f t="shared" si="4"/>
        <v>0</v>
      </c>
      <c r="S37" s="3" t="str">
        <f t="shared" si="5"/>
        <v>Leistungswert eintragen</v>
      </c>
      <c r="U37" s="3">
        <f t="shared" si="6"/>
        <v>24.13</v>
      </c>
      <c r="V37" s="3">
        <f t="shared" si="7"/>
        <v>7.238999999999999</v>
      </c>
      <c r="W37" s="3">
        <f t="shared" si="8"/>
        <v>31.369</v>
      </c>
      <c r="X37" s="3" t="str">
        <f t="shared" si="9"/>
        <v/>
      </c>
    </row>
    <row r="38" spans="1:24" ht="15" customHeight="1" x14ac:dyDescent="0.2">
      <c r="A38" s="136">
        <v>17</v>
      </c>
      <c r="B38" s="150"/>
      <c r="C38" s="151" t="s">
        <v>221</v>
      </c>
      <c r="D38" s="151"/>
      <c r="E38" s="151" t="s">
        <v>260</v>
      </c>
      <c r="F38" s="151" t="s">
        <v>261</v>
      </c>
      <c r="G38" s="152">
        <v>8.3800000000000008</v>
      </c>
      <c r="H38" s="152"/>
      <c r="I38" s="155"/>
      <c r="J38" s="136" t="s">
        <v>248</v>
      </c>
      <c r="K38" s="136" t="s">
        <v>148</v>
      </c>
      <c r="L38" s="58">
        <f>VLOOKUP(K38,Reinigungstage!A10:E31,5,FALSE)</f>
        <v>1</v>
      </c>
      <c r="M38" s="58">
        <f t="shared" si="0"/>
        <v>8.3800000000000008</v>
      </c>
      <c r="N38" s="153">
        <f t="shared" si="1"/>
        <v>0</v>
      </c>
      <c r="O38" s="58">
        <f ca="1">IF('SVS GrundRG'!H61="",0,'SVS GrundRG'!H61)</f>
        <v>0</v>
      </c>
      <c r="P38" s="58">
        <f t="shared" si="2"/>
        <v>0</v>
      </c>
      <c r="Q38" s="58">
        <f t="shared" si="3"/>
        <v>0</v>
      </c>
      <c r="R38" s="58">
        <f t="shared" si="4"/>
        <v>0</v>
      </c>
      <c r="S38" s="3" t="str">
        <f t="shared" si="5"/>
        <v>Leistungswert eintragen</v>
      </c>
      <c r="U38" s="3">
        <f t="shared" si="6"/>
        <v>15</v>
      </c>
      <c r="V38" s="3">
        <f t="shared" si="7"/>
        <v>4.5</v>
      </c>
      <c r="W38" s="3">
        <f t="shared" si="8"/>
        <v>19.5</v>
      </c>
      <c r="X38" s="3" t="str">
        <f t="shared" si="9"/>
        <v/>
      </c>
    </row>
    <row r="39" spans="1:24" ht="15" customHeight="1" x14ac:dyDescent="0.2">
      <c r="A39" s="136">
        <v>18</v>
      </c>
      <c r="B39" s="150"/>
      <c r="C39" s="151" t="s">
        <v>221</v>
      </c>
      <c r="D39" s="151"/>
      <c r="E39" s="151" t="s">
        <v>262</v>
      </c>
      <c r="F39" s="151" t="s">
        <v>261</v>
      </c>
      <c r="G39" s="152">
        <v>11.18</v>
      </c>
      <c r="H39" s="152"/>
      <c r="I39" s="155"/>
      <c r="J39" s="136" t="s">
        <v>248</v>
      </c>
      <c r="K39" s="136" t="s">
        <v>148</v>
      </c>
      <c r="L39" s="58">
        <f>VLOOKUP(K39,Reinigungstage!A10:E31,5,FALSE)</f>
        <v>1</v>
      </c>
      <c r="M39" s="58">
        <f t="shared" si="0"/>
        <v>11.18</v>
      </c>
      <c r="N39" s="153">
        <f t="shared" si="1"/>
        <v>0</v>
      </c>
      <c r="O39" s="58">
        <f ca="1">IF('SVS GrundRG'!H61="",0,'SVS GrundRG'!H61)</f>
        <v>0</v>
      </c>
      <c r="P39" s="58">
        <f t="shared" si="2"/>
        <v>0</v>
      </c>
      <c r="Q39" s="58">
        <f t="shared" si="3"/>
        <v>0</v>
      </c>
      <c r="R39" s="58">
        <f t="shared" si="4"/>
        <v>0</v>
      </c>
      <c r="S39" s="3" t="str">
        <f t="shared" si="5"/>
        <v>Leistungswert eintragen</v>
      </c>
      <c r="U39" s="3">
        <f t="shared" si="6"/>
        <v>15</v>
      </c>
      <c r="V39" s="3">
        <f t="shared" si="7"/>
        <v>4.5</v>
      </c>
      <c r="W39" s="3">
        <f t="shared" si="8"/>
        <v>19.5</v>
      </c>
      <c r="X39" s="3" t="str">
        <f t="shared" si="9"/>
        <v/>
      </c>
    </row>
    <row r="40" spans="1:24" ht="15" customHeight="1" x14ac:dyDescent="0.2">
      <c r="A40" s="136">
        <v>19</v>
      </c>
      <c r="B40" s="150"/>
      <c r="C40" s="151" t="s">
        <v>263</v>
      </c>
      <c r="D40" s="151"/>
      <c r="E40" s="151" t="s">
        <v>264</v>
      </c>
      <c r="F40" s="151" t="s">
        <v>236</v>
      </c>
      <c r="G40" s="152">
        <v>2.95</v>
      </c>
      <c r="H40" s="152"/>
      <c r="I40" s="155"/>
      <c r="J40" s="136" t="s">
        <v>248</v>
      </c>
      <c r="K40" s="136" t="s">
        <v>148</v>
      </c>
      <c r="L40" s="58">
        <f>VLOOKUP(K40,Reinigungstage!A10:E31,5,FALSE)</f>
        <v>1</v>
      </c>
      <c r="M40" s="58">
        <f t="shared" si="0"/>
        <v>2.95</v>
      </c>
      <c r="N40" s="153">
        <f t="shared" si="1"/>
        <v>0</v>
      </c>
      <c r="O40" s="58">
        <f ca="1">IF('SVS GrundRG'!H61="",0,'SVS GrundRG'!H61)</f>
        <v>0</v>
      </c>
      <c r="P40" s="58">
        <f t="shared" si="2"/>
        <v>0</v>
      </c>
      <c r="Q40" s="58">
        <f t="shared" si="3"/>
        <v>0</v>
      </c>
      <c r="R40" s="58">
        <f t="shared" si="4"/>
        <v>0</v>
      </c>
      <c r="S40" s="3" t="str">
        <f t="shared" si="5"/>
        <v>Leistungswert eintragen</v>
      </c>
      <c r="U40" s="3">
        <f t="shared" si="6"/>
        <v>15</v>
      </c>
      <c r="V40" s="3">
        <f t="shared" si="7"/>
        <v>4.5</v>
      </c>
      <c r="W40" s="3">
        <f t="shared" si="8"/>
        <v>19.5</v>
      </c>
      <c r="X40" s="3" t="str">
        <f t="shared" si="9"/>
        <v/>
      </c>
    </row>
    <row r="41" spans="1:24" ht="15" customHeight="1" x14ac:dyDescent="0.2">
      <c r="A41" s="136">
        <v>20</v>
      </c>
      <c r="B41" s="150"/>
      <c r="C41" s="151" t="s">
        <v>263</v>
      </c>
      <c r="D41" s="151"/>
      <c r="E41" s="151" t="s">
        <v>265</v>
      </c>
      <c r="F41" s="151" t="s">
        <v>236</v>
      </c>
      <c r="G41" s="152">
        <v>38.69</v>
      </c>
      <c r="H41" s="152"/>
      <c r="I41" s="155"/>
      <c r="J41" s="136" t="s">
        <v>244</v>
      </c>
      <c r="K41" s="136" t="s">
        <v>148</v>
      </c>
      <c r="L41" s="58">
        <f>VLOOKUP(K41,Reinigungstage!A10:E31,5,FALSE)</f>
        <v>1</v>
      </c>
      <c r="M41" s="58">
        <f t="shared" si="0"/>
        <v>38.69</v>
      </c>
      <c r="N41" s="153">
        <f t="shared" si="1"/>
        <v>0</v>
      </c>
      <c r="O41" s="58">
        <f ca="1">IF('SVS GrundRG'!H61="",0,'SVS GrundRG'!H61)</f>
        <v>0</v>
      </c>
      <c r="P41" s="58">
        <f t="shared" si="2"/>
        <v>0</v>
      </c>
      <c r="Q41" s="58">
        <f t="shared" si="3"/>
        <v>0</v>
      </c>
      <c r="R41" s="58">
        <f t="shared" si="4"/>
        <v>0</v>
      </c>
      <c r="S41" s="3" t="str">
        <f t="shared" si="5"/>
        <v>Leistungswert eintragen</v>
      </c>
      <c r="U41" s="3">
        <f t="shared" si="6"/>
        <v>15</v>
      </c>
      <c r="V41" s="3">
        <f t="shared" si="7"/>
        <v>4.5</v>
      </c>
      <c r="W41" s="3">
        <f t="shared" si="8"/>
        <v>19.5</v>
      </c>
      <c r="X41" s="3" t="str">
        <f t="shared" si="9"/>
        <v/>
      </c>
    </row>
    <row r="42" spans="1:24" ht="15" customHeight="1" x14ac:dyDescent="0.2">
      <c r="A42" s="136">
        <v>21</v>
      </c>
      <c r="B42" s="150"/>
      <c r="C42" s="151" t="s">
        <v>263</v>
      </c>
      <c r="D42" s="151"/>
      <c r="E42" s="151" t="s">
        <v>212</v>
      </c>
      <c r="F42" s="151" t="s">
        <v>236</v>
      </c>
      <c r="G42" s="152">
        <v>42.02</v>
      </c>
      <c r="H42" s="152"/>
      <c r="I42" s="155"/>
      <c r="J42" s="136" t="s">
        <v>243</v>
      </c>
      <c r="K42" s="136" t="s">
        <v>148</v>
      </c>
      <c r="L42" s="58">
        <f>VLOOKUP(K42,Reinigungstage!A10:E31,5,FALSE)</f>
        <v>1</v>
      </c>
      <c r="M42" s="58">
        <f t="shared" si="0"/>
        <v>42.02</v>
      </c>
      <c r="N42" s="153">
        <f t="shared" si="1"/>
        <v>0</v>
      </c>
      <c r="O42" s="58">
        <f ca="1">IF('SVS GrundRG'!H61="",0,'SVS GrundRG'!H61)</f>
        <v>0</v>
      </c>
      <c r="P42" s="58">
        <f t="shared" si="2"/>
        <v>0</v>
      </c>
      <c r="Q42" s="58">
        <f t="shared" si="3"/>
        <v>0</v>
      </c>
      <c r="R42" s="58">
        <f t="shared" si="4"/>
        <v>0</v>
      </c>
      <c r="S42" s="3" t="str">
        <f t="shared" si="5"/>
        <v>Leistungswert eintragen</v>
      </c>
      <c r="U42" s="3">
        <f t="shared" si="6"/>
        <v>24.13</v>
      </c>
      <c r="V42" s="3">
        <f t="shared" si="7"/>
        <v>7.238999999999999</v>
      </c>
      <c r="W42" s="3">
        <f t="shared" si="8"/>
        <v>31.369</v>
      </c>
      <c r="X42" s="3" t="str">
        <f t="shared" si="9"/>
        <v/>
      </c>
    </row>
    <row r="43" spans="1:24" ht="15" customHeight="1" x14ac:dyDescent="0.2">
      <c r="A43" s="136">
        <v>22</v>
      </c>
      <c r="B43" s="150"/>
      <c r="C43" s="151" t="s">
        <v>263</v>
      </c>
      <c r="D43" s="151"/>
      <c r="E43" s="151" t="s">
        <v>266</v>
      </c>
      <c r="F43" s="151" t="s">
        <v>236</v>
      </c>
      <c r="G43" s="152">
        <v>5.43</v>
      </c>
      <c r="H43" s="152"/>
      <c r="I43" s="155"/>
      <c r="J43" s="136" t="s">
        <v>246</v>
      </c>
      <c r="K43" s="136" t="s">
        <v>148</v>
      </c>
      <c r="L43" s="58">
        <f>VLOOKUP(K43,Reinigungstage!A10:E31,5,FALSE)</f>
        <v>1</v>
      </c>
      <c r="M43" s="58">
        <f t="shared" si="0"/>
        <v>5.43</v>
      </c>
      <c r="N43" s="153">
        <f t="shared" si="1"/>
        <v>0</v>
      </c>
      <c r="O43" s="58">
        <f ca="1">IF('SVS GrundRG'!H61="",0,'SVS GrundRG'!H61)</f>
        <v>0</v>
      </c>
      <c r="P43" s="58">
        <f t="shared" si="2"/>
        <v>0</v>
      </c>
      <c r="Q43" s="58">
        <f t="shared" si="3"/>
        <v>0</v>
      </c>
      <c r="R43" s="58">
        <f t="shared" si="4"/>
        <v>0</v>
      </c>
      <c r="S43" s="3" t="str">
        <f t="shared" si="5"/>
        <v>Leistungswert eintragen</v>
      </c>
      <c r="U43" s="3">
        <f t="shared" si="6"/>
        <v>8.5</v>
      </c>
      <c r="V43" s="3">
        <f t="shared" si="7"/>
        <v>2.5499999999999998</v>
      </c>
      <c r="W43" s="3">
        <f t="shared" si="8"/>
        <v>11.05</v>
      </c>
      <c r="X43" s="3" t="str">
        <f t="shared" si="9"/>
        <v/>
      </c>
    </row>
    <row r="44" spans="1:24" ht="15" customHeight="1" x14ac:dyDescent="0.2">
      <c r="A44" s="136">
        <v>23</v>
      </c>
      <c r="B44" s="150"/>
      <c r="C44" s="151" t="s">
        <v>263</v>
      </c>
      <c r="D44" s="151"/>
      <c r="E44" s="151" t="s">
        <v>266</v>
      </c>
      <c r="F44" s="151" t="s">
        <v>236</v>
      </c>
      <c r="G44" s="152">
        <v>4.1399999999999997</v>
      </c>
      <c r="H44" s="152"/>
      <c r="I44" s="155"/>
      <c r="J44" s="136" t="s">
        <v>246</v>
      </c>
      <c r="K44" s="136" t="s">
        <v>148</v>
      </c>
      <c r="L44" s="58">
        <f>VLOOKUP(K44,Reinigungstage!A10:E31,5,FALSE)</f>
        <v>1</v>
      </c>
      <c r="M44" s="58">
        <f t="shared" si="0"/>
        <v>4.1399999999999997</v>
      </c>
      <c r="N44" s="153">
        <f t="shared" si="1"/>
        <v>0</v>
      </c>
      <c r="O44" s="58">
        <f ca="1">IF('SVS GrundRG'!H61="",0,'SVS GrundRG'!H61)</f>
        <v>0</v>
      </c>
      <c r="P44" s="58">
        <f t="shared" si="2"/>
        <v>0</v>
      </c>
      <c r="Q44" s="58">
        <f t="shared" si="3"/>
        <v>0</v>
      </c>
      <c r="R44" s="58">
        <f t="shared" si="4"/>
        <v>0</v>
      </c>
      <c r="S44" s="3" t="str">
        <f t="shared" si="5"/>
        <v>Leistungswert eintragen</v>
      </c>
      <c r="U44" s="3">
        <f t="shared" si="6"/>
        <v>8.5</v>
      </c>
      <c r="V44" s="3">
        <f t="shared" si="7"/>
        <v>2.5499999999999998</v>
      </c>
      <c r="W44" s="3">
        <f t="shared" si="8"/>
        <v>11.05</v>
      </c>
      <c r="X44" s="3" t="str">
        <f t="shared" si="9"/>
        <v/>
      </c>
    </row>
  </sheetData>
  <sheetProtection algorithmName="SHA-512" hashValue="o13c2ZEusvX/rTPAkZxYK073L+LzgvJ1SuF43THx/vtg/gRVS4NKQD9nFS1Cm22Le2UxrBAdMZCRpbT5/fyj5Q==" saltValue="e376qBJlTvvOKqHRWKyrWQ==" spinCount="100000" sheet="1" objects="1" scenarios="1"/>
  <sortState xmlns:xlrd2="http://schemas.microsoft.com/office/spreadsheetml/2017/richdata2" ref="U4:U11">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18"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7" priority="5" operator="containsText" text="Bitte prüfen Sie diese.">
      <formula>NOT(ISERROR(SEARCH("Bitte prüfen Sie diese.",L9)))</formula>
    </cfRule>
  </conditionalFormatting>
  <conditionalFormatting sqref="L10">
    <cfRule type="containsText" dxfId="16"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5" priority="3" operator="containsText" text="lediglich Fehleingaben vermeiden wollen.">
      <formula>NOT(ISERROR(SEARCH("lediglich Fehleingaben vermeiden wollen.",L11)))</formula>
    </cfRule>
  </conditionalFormatting>
  <conditionalFormatting sqref="M11">
    <cfRule type="containsText" dxfId="14"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13" priority="7" operator="containsText" text="für die Objektart prüfen.">
      <formula>NOT(ISERROR(SEARCH("für die Objektart prüfen.",M12)))</formula>
    </cfRule>
  </conditionalFormatting>
  <conditionalFormatting sqref="N13">
    <cfRule type="expression" dxfId="12" priority="2" stopIfTrue="1">
      <formula>N13=0</formula>
    </cfRule>
  </conditionalFormatting>
  <conditionalFormatting sqref="N14">
    <cfRule type="expression" dxfId="11" priority="1">
      <formula>N14=0</formula>
    </cfRule>
  </conditionalFormatting>
  <conditionalFormatting sqref="N22:N44">
    <cfRule type="expression" dxfId="10" priority="11">
      <formula>X22=0</formula>
    </cfRule>
    <cfRule type="expression" dxfId="9" priority="12" stopIfTrue="1">
      <formula>X22=1</formula>
    </cfRule>
  </conditionalFormatting>
  <conditionalFormatting sqref="O13">
    <cfRule type="containsText" dxfId="8"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7" priority="9" operator="containsText" text="Wert(e) prüfen.">
      <formula>NOT(ISERROR(SEARCH("Wert(e) prüfen.",O14)))</formula>
    </cfRule>
  </conditionalFormatting>
  <conditionalFormatting sqref="S22:S44">
    <cfRule type="containsText" dxfId="6" priority="13" stopIfTrue="1" operator="containsText" text="SVS prüfen">
      <formula>NOT(ISERROR(SEARCH("SVS prüfen",S22)))</formula>
    </cfRule>
    <cfRule type="containsText" dxfId="5" priority="14" stopIfTrue="1" operator="containsText" text="Leistungswert eintragen">
      <formula>NOT(ISERROR(SEARCH("Leistungswert eintragen",S22)))</formula>
    </cfRule>
  </conditionalFormatting>
  <hyperlinks>
    <hyperlink ref="M1" location="Inhaltsverzeichnis!A1" display="Zurück zum Inhaltsverzeichnis" xr:uid="{80D419C8-8CB0-4BE6-BB4E-7B5FD4E88CE4}"/>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Kita Teichspa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09570"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09571"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09572"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501B1-4388-4829-A987-B135A76BEEE3}">
  <sheetPr>
    <tabColor rgb="FF800000"/>
  </sheetPr>
  <dimension ref="A1:L38"/>
  <sheetViews>
    <sheetView showGridLines="0" zoomScaleNormal="100" workbookViewId="0"/>
  </sheetViews>
  <sheetFormatPr baseColWidth="10" defaultColWidth="0" defaultRowHeight="10.5" x14ac:dyDescent="0.15"/>
  <cols>
    <col min="1" max="1" width="6.7109375" style="14" customWidth="1"/>
    <col min="2" max="2" width="15.28515625" style="14" customWidth="1"/>
    <col min="3" max="3" width="35.140625" style="14" customWidth="1"/>
    <col min="4" max="4" width="14.42578125" style="14" customWidth="1"/>
    <col min="5" max="5" width="16.7109375" style="14" customWidth="1"/>
    <col min="6" max="7" width="11.42578125" style="14" customWidth="1"/>
    <col min="8" max="8" width="21.7109375" style="14" customWidth="1"/>
    <col min="9" max="16384" width="11.42578125" style="14" hidden="1"/>
  </cols>
  <sheetData>
    <row r="1" spans="1:10" ht="21.95" customHeight="1" x14ac:dyDescent="0.15">
      <c r="A1" s="13" t="s">
        <v>298</v>
      </c>
      <c r="B1" s="13"/>
      <c r="D1" s="30" t="s">
        <v>100</v>
      </c>
    </row>
    <row r="2" spans="1:10" ht="65.099999999999994" customHeight="1" x14ac:dyDescent="0.15">
      <c r="A2" s="13" t="s">
        <v>103</v>
      </c>
      <c r="B2" s="13" t="str">
        <f>IF(Inhaltsverzeichnis!$C$3="", "",Inhaltsverzeichnis!$C$3)</f>
        <v/>
      </c>
      <c r="C2" s="46"/>
      <c r="D2" s="229" t="str">
        <f>IF(C3=TRUE,"Bitte tragen Sie Ihre Leistungswerte in die gelben Zellen direkt unter der Zelle Leistungswerte (m²/h) ein. " &amp; "Die rot markierten Informationen sind nur zur Unterstützung. Sie zeigen an, wenn gelbe Zellen in dieser Tabelle nicht ausgefüllt sind. " &amp;
"Wenn keine rote Schrift mehr angezeigt wird, ist alles ausgefüllt.","")</f>
        <v/>
      </c>
      <c r="E2" s="229"/>
      <c r="F2" s="229"/>
      <c r="G2" s="35"/>
      <c r="H2" s="35"/>
      <c r="I2" s="35"/>
      <c r="J2" s="35"/>
    </row>
    <row r="3" spans="1:10" ht="24.75" customHeight="1" x14ac:dyDescent="0.15">
      <c r="C3" s="33" t="b">
        <v>0</v>
      </c>
      <c r="D3" s="230"/>
      <c r="E3" s="230"/>
      <c r="F3" s="230"/>
      <c r="G3" s="35"/>
      <c r="H3" s="47">
        <f>IF(COUNTA($H$5:$H$5)-COUNTBLANK($H$5:$H$5)=0,"",COUNTA($H$5:$H$5)-COUNTBLANK($H$5:$H$5))</f>
        <v>1</v>
      </c>
      <c r="I3" s="35"/>
      <c r="J3" s="35"/>
    </row>
    <row r="4" spans="1:10" ht="35.25" customHeight="1" x14ac:dyDescent="0.15">
      <c r="A4" s="48" t="s">
        <v>92</v>
      </c>
      <c r="B4" s="48" t="s">
        <v>113</v>
      </c>
      <c r="C4" s="48" t="s">
        <v>299</v>
      </c>
      <c r="D4" s="39" t="s">
        <v>300</v>
      </c>
      <c r="E4" s="39" t="s">
        <v>301</v>
      </c>
      <c r="F4" s="39" t="s">
        <v>302</v>
      </c>
      <c r="G4" s="39" t="s">
        <v>303</v>
      </c>
    </row>
    <row r="5" spans="1:10" ht="23.25" customHeight="1" x14ac:dyDescent="0.15">
      <c r="A5" s="49">
        <v>1</v>
      </c>
      <c r="B5" s="42" t="s">
        <v>204</v>
      </c>
      <c r="C5" s="43" t="s">
        <v>304</v>
      </c>
      <c r="D5" s="44">
        <v>20</v>
      </c>
      <c r="E5" s="50"/>
      <c r="F5" s="45">
        <f ca="1">IF('SVS Sonderreinigung'!H61="",0,'SVS Sonderreinigung'!H61)</f>
        <v>0</v>
      </c>
      <c r="G5" s="45">
        <f>IF(E5="",0,ROUND(D5/E5*F5,2))</f>
        <v>0</v>
      </c>
      <c r="H5" s="13" t="str">
        <f>IF(E5="","Leistungswert eintragen",IF(F5=0,"SVS prüfen",""))</f>
        <v>Leistungswert eintragen</v>
      </c>
    </row>
    <row r="6" spans="1:10" x14ac:dyDescent="0.15">
      <c r="A6" s="13"/>
      <c r="B6" s="13"/>
      <c r="C6" s="13"/>
      <c r="D6" s="13"/>
      <c r="E6" s="13"/>
      <c r="F6" s="13"/>
    </row>
    <row r="7" spans="1:10" x14ac:dyDescent="0.15">
      <c r="A7" s="13"/>
      <c r="B7" s="13"/>
      <c r="C7" s="13"/>
      <c r="D7" s="13"/>
      <c r="E7" s="13"/>
      <c r="F7" s="13"/>
    </row>
    <row r="8" spans="1:10" x14ac:dyDescent="0.15">
      <c r="A8" s="13"/>
      <c r="B8" s="13"/>
      <c r="C8" s="13"/>
      <c r="D8" s="13"/>
      <c r="E8" s="13"/>
      <c r="F8" s="13"/>
    </row>
    <row r="9" spans="1:10" x14ac:dyDescent="0.15">
      <c r="A9" s="13"/>
      <c r="B9" s="13"/>
      <c r="C9" s="13"/>
      <c r="D9" s="13"/>
      <c r="E9" s="13"/>
      <c r="F9" s="13"/>
    </row>
    <row r="10" spans="1:10" x14ac:dyDescent="0.15">
      <c r="A10" s="13"/>
      <c r="B10" s="13"/>
      <c r="C10" s="13"/>
      <c r="D10" s="13"/>
      <c r="E10" s="13"/>
      <c r="F10" s="13"/>
    </row>
    <row r="11" spans="1:10" x14ac:dyDescent="0.15">
      <c r="A11" s="13"/>
      <c r="B11" s="13"/>
      <c r="C11" s="13"/>
      <c r="D11" s="13"/>
      <c r="E11" s="13"/>
      <c r="F11" s="13"/>
    </row>
    <row r="12" spans="1:10" x14ac:dyDescent="0.15">
      <c r="A12" s="13"/>
      <c r="B12" s="13"/>
      <c r="C12" s="13"/>
      <c r="D12" s="13"/>
      <c r="E12" s="13"/>
      <c r="F12" s="13"/>
    </row>
    <row r="13" spans="1:10" x14ac:dyDescent="0.15">
      <c r="A13" s="13"/>
      <c r="B13" s="13"/>
      <c r="C13" s="13"/>
      <c r="D13" s="13"/>
      <c r="E13" s="13"/>
      <c r="F13" s="13"/>
    </row>
    <row r="14" spans="1:10" x14ac:dyDescent="0.15">
      <c r="A14" s="13"/>
      <c r="B14" s="13"/>
      <c r="C14" s="13"/>
      <c r="D14" s="13"/>
      <c r="E14" s="13"/>
      <c r="F14" s="13"/>
    </row>
    <row r="15" spans="1:10" x14ac:dyDescent="0.15">
      <c r="A15" s="13"/>
      <c r="B15" s="13"/>
      <c r="C15" s="13"/>
      <c r="D15" s="13"/>
      <c r="E15" s="13"/>
      <c r="F15" s="13"/>
    </row>
    <row r="16" spans="1:10" x14ac:dyDescent="0.15">
      <c r="A16" s="13"/>
      <c r="B16" s="13"/>
      <c r="C16" s="13"/>
      <c r="D16" s="13"/>
      <c r="E16" s="13"/>
      <c r="F16" s="13"/>
    </row>
    <row r="17" spans="1:12" x14ac:dyDescent="0.15">
      <c r="A17" s="13"/>
      <c r="B17" s="13"/>
      <c r="C17" s="13"/>
      <c r="D17" s="13"/>
      <c r="E17" s="13"/>
      <c r="F17" s="13"/>
    </row>
    <row r="18" spans="1:12" x14ac:dyDescent="0.15">
      <c r="A18" s="13"/>
      <c r="B18" s="13"/>
      <c r="C18" s="13"/>
      <c r="D18" s="13"/>
      <c r="E18" s="13"/>
      <c r="F18" s="13"/>
    </row>
    <row r="19" spans="1:12" x14ac:dyDescent="0.15">
      <c r="A19" s="13"/>
      <c r="B19" s="13"/>
      <c r="C19" s="13"/>
      <c r="D19" s="13"/>
      <c r="E19" s="13"/>
      <c r="F19" s="13"/>
    </row>
    <row r="20" spans="1:12" x14ac:dyDescent="0.15">
      <c r="A20" s="13"/>
      <c r="B20" s="13"/>
      <c r="C20" s="13"/>
      <c r="D20" s="13"/>
      <c r="E20" s="13"/>
      <c r="F20" s="13"/>
    </row>
    <row r="21" spans="1:12" x14ac:dyDescent="0.15">
      <c r="A21" s="13"/>
      <c r="B21" s="13"/>
      <c r="C21" s="13"/>
      <c r="D21" s="13"/>
      <c r="E21" s="13"/>
      <c r="F21" s="13"/>
      <c r="L21" s="51"/>
    </row>
    <row r="22" spans="1:12" x14ac:dyDescent="0.15">
      <c r="A22" s="13"/>
      <c r="B22" s="13"/>
      <c r="C22" s="13"/>
      <c r="D22" s="13"/>
      <c r="E22" s="13"/>
      <c r="F22" s="13"/>
    </row>
    <row r="23" spans="1:12" x14ac:dyDescent="0.15">
      <c r="A23" s="13"/>
      <c r="B23" s="13"/>
      <c r="C23" s="13"/>
      <c r="D23" s="13"/>
      <c r="E23" s="13"/>
      <c r="F23" s="13"/>
    </row>
    <row r="24" spans="1:12" x14ac:dyDescent="0.15">
      <c r="A24" s="13"/>
      <c r="B24" s="13"/>
      <c r="C24" s="13"/>
      <c r="D24" s="13"/>
      <c r="E24" s="13"/>
      <c r="F24" s="13"/>
    </row>
    <row r="25" spans="1:12" x14ac:dyDescent="0.15">
      <c r="A25" s="13"/>
      <c r="B25" s="13"/>
      <c r="C25" s="13"/>
      <c r="D25" s="13"/>
      <c r="E25" s="13"/>
      <c r="F25" s="13"/>
    </row>
    <row r="26" spans="1:12" x14ac:dyDescent="0.15">
      <c r="A26" s="13"/>
      <c r="B26" s="13"/>
      <c r="C26" s="13"/>
      <c r="D26" s="13"/>
      <c r="E26" s="13"/>
      <c r="F26" s="13"/>
    </row>
    <row r="27" spans="1:12" x14ac:dyDescent="0.15">
      <c r="A27" s="13"/>
      <c r="B27" s="13"/>
      <c r="C27" s="13"/>
      <c r="D27" s="13"/>
      <c r="E27" s="13"/>
      <c r="F27" s="13"/>
    </row>
    <row r="28" spans="1:12" x14ac:dyDescent="0.15">
      <c r="A28" s="13"/>
      <c r="B28" s="13"/>
      <c r="C28" s="13"/>
      <c r="D28" s="13"/>
      <c r="E28" s="13"/>
      <c r="F28" s="13"/>
    </row>
    <row r="29" spans="1:12" x14ac:dyDescent="0.15">
      <c r="A29" s="13"/>
      <c r="B29" s="13"/>
      <c r="C29" s="13"/>
      <c r="D29" s="13"/>
      <c r="E29" s="13"/>
      <c r="F29" s="13"/>
    </row>
    <row r="30" spans="1:12" x14ac:dyDescent="0.15">
      <c r="A30" s="13"/>
      <c r="B30" s="13"/>
      <c r="C30" s="13"/>
      <c r="D30" s="13"/>
      <c r="E30" s="13"/>
      <c r="F30" s="13"/>
    </row>
    <row r="31" spans="1:12" x14ac:dyDescent="0.15">
      <c r="A31" s="13"/>
      <c r="B31" s="13"/>
      <c r="C31" s="13"/>
      <c r="D31" s="13"/>
      <c r="E31" s="13"/>
      <c r="F31" s="13"/>
    </row>
    <row r="32" spans="1:12" x14ac:dyDescent="0.15">
      <c r="A32" s="13"/>
      <c r="B32" s="13"/>
      <c r="C32" s="13"/>
      <c r="D32" s="13"/>
      <c r="E32" s="13"/>
      <c r="F32" s="13"/>
    </row>
    <row r="33" spans="1:6" x14ac:dyDescent="0.15">
      <c r="A33" s="13"/>
      <c r="B33" s="13"/>
      <c r="C33" s="13"/>
      <c r="D33" s="13"/>
      <c r="E33" s="13"/>
      <c r="F33" s="13"/>
    </row>
    <row r="34" spans="1:6" x14ac:dyDescent="0.15">
      <c r="A34" s="13"/>
      <c r="B34" s="13"/>
      <c r="C34" s="13"/>
      <c r="D34" s="13"/>
      <c r="E34" s="13"/>
      <c r="F34" s="13"/>
    </row>
    <row r="35" spans="1:6" x14ac:dyDescent="0.15">
      <c r="A35" s="13"/>
      <c r="B35" s="13"/>
      <c r="C35" s="13"/>
      <c r="D35" s="13"/>
      <c r="E35" s="13"/>
      <c r="F35" s="13"/>
    </row>
    <row r="36" spans="1:6" x14ac:dyDescent="0.15">
      <c r="A36" s="13"/>
      <c r="B36" s="13"/>
      <c r="C36" s="13"/>
      <c r="D36" s="13"/>
      <c r="E36" s="13"/>
      <c r="F36" s="13"/>
    </row>
    <row r="37" spans="1:6" x14ac:dyDescent="0.15">
      <c r="A37" s="13"/>
      <c r="B37" s="13"/>
      <c r="C37" s="13"/>
      <c r="D37" s="13"/>
      <c r="E37" s="13"/>
      <c r="F37" s="13"/>
    </row>
    <row r="38" spans="1:6" x14ac:dyDescent="0.15">
      <c r="A38" s="13"/>
      <c r="B38" s="13"/>
      <c r="C38" s="13"/>
      <c r="D38" s="13"/>
      <c r="E38" s="13"/>
      <c r="F38" s="13"/>
    </row>
  </sheetData>
  <sheetProtection algorithmName="SHA-512" hashValue="WtjwcoAjTfjdMW/NzFwVWJdR5AW/ZHMCtiUWXpYopUCm6NRvcluBVLv/eJoj+gj+NRAcfUBy8M84D9RjVmhSGw==" saltValue="joKsVmepohrrLU631+MCiQ==" spinCount="100000" sheet="1" objects="1" scenarios="1"/>
  <mergeCells count="1">
    <mergeCell ref="D2:F3"/>
  </mergeCells>
  <conditionalFormatting sqref="H5">
    <cfRule type="containsText" dxfId="4" priority="1" operator="containsText" text="SVS prüfen">
      <formula>NOT(ISERROR(SEARCH("SVS prüfen",H5)))</formula>
    </cfRule>
    <cfRule type="containsText" dxfId="3" priority="2" operator="containsText" text="Leistungswert eintragen">
      <formula>NOT(ISERROR(SEARCH("Leistungswert eintragen",H5)))</formula>
    </cfRule>
    <cfRule type="containsText" dxfId="2" priority="3" stopIfTrue="1" operator="containsText" text="Preis eintragen">
      <formula>NOT(ISERROR(SEARCH("Preis eintragen",H5)))</formula>
    </cfRule>
  </conditionalFormatting>
  <hyperlinks>
    <hyperlink ref="D1" location="Inhaltsverzeichnis!A1" display="Zurück zum Inhaltsverzeichnis" xr:uid="{9821A581-413E-4806-BF57-666DB4815AE5}"/>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Sonderreinigung Bed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4689" r:id="rId4" name="Check Box 1">
              <controlPr defaultSize="0" autoFill="0" autoLine="0" autoPict="0">
                <anchor moveWithCells="1">
                  <from>
                    <xdr:col>2</xdr:col>
                    <xdr:colOff>838200</xdr:colOff>
                    <xdr:row>2</xdr:row>
                    <xdr:rowOff>19050</xdr:rowOff>
                  </from>
                  <to>
                    <xdr:col>2</xdr:col>
                    <xdr:colOff>1562100</xdr:colOff>
                    <xdr:row>2</xdr:row>
                    <xdr:rowOff>285750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7">
    <tabColor indexed="16"/>
  </sheetPr>
  <dimension ref="A1:XFC45"/>
  <sheetViews>
    <sheetView showGridLines="0" zoomScaleNormal="100" workbookViewId="0"/>
  </sheetViews>
  <sheetFormatPr baseColWidth="10" defaultColWidth="0" defaultRowHeight="15" customHeight="1" x14ac:dyDescent="0.15"/>
  <cols>
    <col min="1" max="1" width="7.7109375" style="14" customWidth="1"/>
    <col min="2" max="2" width="28.7109375" style="14" customWidth="1"/>
    <col min="3" max="3" width="35.7109375" style="14" customWidth="1"/>
    <col min="4" max="4" width="20.7109375" style="14" customWidth="1"/>
    <col min="5" max="5" width="11.7109375" style="14" customWidth="1"/>
    <col min="6" max="6" width="16.28515625" style="14" customWidth="1"/>
    <col min="7" max="7" width="17.28515625" style="14" customWidth="1"/>
    <col min="8" max="8" width="22.28515625" style="14" customWidth="1"/>
    <col min="9" max="9" width="11.7109375" style="14" hidden="1" customWidth="1"/>
    <col min="10" max="10" width="5.7109375" style="14" hidden="1" customWidth="1"/>
    <col min="11" max="11" width="12.7109375" style="14" hidden="1" customWidth="1"/>
    <col min="12" max="12" width="13.28515625" style="14" hidden="1" customWidth="1"/>
    <col min="13" max="13" width="10" style="14" hidden="1" customWidth="1"/>
    <col min="14" max="14" width="11.42578125" style="14" hidden="1" customWidth="1"/>
    <col min="15" max="15" width="10.5703125" style="14" hidden="1" customWidth="1"/>
    <col min="16" max="16383" width="6.42578125" style="14" hidden="1"/>
    <col min="16384" max="16384" width="0" style="14" hidden="1" customWidth="1"/>
  </cols>
  <sheetData>
    <row r="1" spans="1:8" s="13" customFormat="1" ht="36" customHeight="1" x14ac:dyDescent="0.2">
      <c r="A1" s="13" t="s">
        <v>208</v>
      </c>
      <c r="D1" s="31"/>
      <c r="F1" s="32" t="s">
        <v>100</v>
      </c>
    </row>
    <row r="2" spans="1:8" s="13" customFormat="1" ht="25.9" customHeight="1" x14ac:dyDescent="0.2">
      <c r="A2" s="13" t="s">
        <v>103</v>
      </c>
      <c r="B2" s="15" t="str">
        <f>IF(Inhaltsverzeichnis!$C$3="", "",Inhaltsverzeichnis!$C$3)</f>
        <v/>
      </c>
      <c r="C2" s="33" t="b">
        <v>0</v>
      </c>
      <c r="D2" s="201" t="str">
        <f>IF(C2=TRUE,"Hier ist lediglich der Preis pro Einheit (€) auszufüllen.
Die rot markierten Informationen verschwinden, wenn die gelben Zellen ausgefüllt sind.  Wenn keine rote Schrift mehr angezeigt wird, ist alles ausgefüllt.","")</f>
        <v/>
      </c>
      <c r="E2" s="201"/>
      <c r="F2" s="201"/>
      <c r="G2" s="201"/>
    </row>
    <row r="3" spans="1:8" s="13" customFormat="1" ht="15" customHeight="1" x14ac:dyDescent="0.2">
      <c r="D3" s="231"/>
      <c r="E3" s="231"/>
      <c r="F3" s="231"/>
      <c r="G3" s="231"/>
      <c r="H3" s="34">
        <f>IF(COUNTA($H$5:$H$13)-COUNTBLANK($H$5:$H$13)=0,"",COUNTA($H$5:$H$13)-COUNTBLANK($H$5:$H$13))</f>
        <v>9</v>
      </c>
    </row>
    <row r="4" spans="1:8" ht="45" customHeight="1" x14ac:dyDescent="0.15">
      <c r="A4" s="40" t="s">
        <v>92</v>
      </c>
      <c r="B4" s="40" t="s">
        <v>113</v>
      </c>
      <c r="C4" s="41" t="s">
        <v>122</v>
      </c>
      <c r="D4" s="39" t="s">
        <v>153</v>
      </c>
      <c r="E4" s="39" t="s">
        <v>188</v>
      </c>
      <c r="F4" s="39" t="s">
        <v>189</v>
      </c>
      <c r="G4" s="39" t="s">
        <v>190</v>
      </c>
    </row>
    <row r="5" spans="1:8" ht="54.95" customHeight="1" x14ac:dyDescent="0.15">
      <c r="A5" s="63">
        <v>1</v>
      </c>
      <c r="B5" s="43" t="s">
        <v>198</v>
      </c>
      <c r="C5" s="43" t="s">
        <v>268</v>
      </c>
      <c r="D5" s="44" t="s">
        <v>269</v>
      </c>
      <c r="E5" s="44">
        <v>8</v>
      </c>
      <c r="F5" s="166"/>
      <c r="G5" s="64">
        <f>ROUND(IF(F5=0,0,F5*E5),2)</f>
        <v>0</v>
      </c>
      <c r="H5" s="13" t="str">
        <f>IF(F5=0,"Preis eintragen","")</f>
        <v>Preis eintragen</v>
      </c>
    </row>
    <row r="6" spans="1:8" ht="65.099999999999994" customHeight="1" x14ac:dyDescent="0.15">
      <c r="A6" s="63">
        <v>2</v>
      </c>
      <c r="B6" s="43" t="s">
        <v>198</v>
      </c>
      <c r="C6" s="43" t="s">
        <v>270</v>
      </c>
      <c r="D6" s="44" t="s">
        <v>271</v>
      </c>
      <c r="E6" s="44">
        <v>3</v>
      </c>
      <c r="F6" s="166"/>
      <c r="G6" s="64">
        <f>ROUND(IF(F6=0,0,F6*E6),2)</f>
        <v>0</v>
      </c>
      <c r="H6" s="13" t="str">
        <f>IF(F6=0,"Preis eintragen","")</f>
        <v>Preis eintragen</v>
      </c>
    </row>
    <row r="7" spans="1:8" ht="15" customHeight="1" x14ac:dyDescent="0.15">
      <c r="A7" s="63">
        <v>3</v>
      </c>
      <c r="B7" s="43" t="s">
        <v>198</v>
      </c>
      <c r="C7" s="43" t="s">
        <v>272</v>
      </c>
      <c r="D7" s="44" t="s">
        <v>273</v>
      </c>
      <c r="E7" s="44">
        <v>6</v>
      </c>
      <c r="F7" s="166"/>
      <c r="G7" s="64">
        <f>ROUND(IF(F7=0,0,F7*E7),2)</f>
        <v>0</v>
      </c>
      <c r="H7" s="13" t="str">
        <f>IF(F7=0,"Preis eintragen","")</f>
        <v>Preis eintragen</v>
      </c>
    </row>
    <row r="8" spans="1:8" ht="15" customHeight="1" x14ac:dyDescent="0.15">
      <c r="A8" s="63">
        <v>4</v>
      </c>
      <c r="B8" s="43" t="s">
        <v>198</v>
      </c>
      <c r="C8" s="43" t="s">
        <v>274</v>
      </c>
      <c r="D8" s="44" t="s">
        <v>273</v>
      </c>
      <c r="E8" s="44">
        <v>4</v>
      </c>
      <c r="F8" s="166"/>
      <c r="G8" s="64">
        <f>ROUND(IF(F8=0,0,F8*E8),2)</f>
        <v>0</v>
      </c>
      <c r="H8" s="13" t="str">
        <f>IF(F8=0,"Preis eintragen","")</f>
        <v>Preis eintragen</v>
      </c>
    </row>
    <row r="9" spans="1:8" ht="54.95" customHeight="1" x14ac:dyDescent="0.15">
      <c r="A9" s="63">
        <v>5</v>
      </c>
      <c r="B9" s="43" t="s">
        <v>204</v>
      </c>
      <c r="C9" s="43" t="s">
        <v>268</v>
      </c>
      <c r="D9" s="44" t="s">
        <v>269</v>
      </c>
      <c r="E9" s="44">
        <v>25</v>
      </c>
      <c r="F9" s="166"/>
      <c r="G9" s="64">
        <f t="shared" ref="G9:G13" si="0">ROUND(IF(F9=0,0,F9*E9),2)</f>
        <v>0</v>
      </c>
      <c r="H9" s="13" t="str">
        <f t="shared" ref="H9:H13" si="1">IF(F9=0,"Preis eintragen","")</f>
        <v>Preis eintragen</v>
      </c>
    </row>
    <row r="10" spans="1:8" ht="65.099999999999994" customHeight="1" x14ac:dyDescent="0.15">
      <c r="A10" s="63">
        <v>6</v>
      </c>
      <c r="B10" s="43" t="s">
        <v>204</v>
      </c>
      <c r="C10" s="43" t="s">
        <v>270</v>
      </c>
      <c r="D10" s="44" t="s">
        <v>271</v>
      </c>
      <c r="E10" s="44">
        <v>8</v>
      </c>
      <c r="F10" s="166"/>
      <c r="G10" s="64">
        <f t="shared" si="0"/>
        <v>0</v>
      </c>
      <c r="H10" s="13" t="str">
        <f t="shared" si="1"/>
        <v>Preis eintragen</v>
      </c>
    </row>
    <row r="11" spans="1:8" ht="15" customHeight="1" x14ac:dyDescent="0.15">
      <c r="A11" s="63">
        <v>7</v>
      </c>
      <c r="B11" s="43" t="s">
        <v>204</v>
      </c>
      <c r="C11" s="43" t="s">
        <v>272</v>
      </c>
      <c r="D11" s="44" t="s">
        <v>273</v>
      </c>
      <c r="E11" s="44">
        <v>16</v>
      </c>
      <c r="F11" s="166"/>
      <c r="G11" s="64">
        <f t="shared" si="0"/>
        <v>0</v>
      </c>
      <c r="H11" s="13" t="str">
        <f t="shared" si="1"/>
        <v>Preis eintragen</v>
      </c>
    </row>
    <row r="12" spans="1:8" ht="15" customHeight="1" x14ac:dyDescent="0.15">
      <c r="A12" s="63">
        <v>8</v>
      </c>
      <c r="B12" s="43" t="s">
        <v>204</v>
      </c>
      <c r="C12" s="43" t="s">
        <v>274</v>
      </c>
      <c r="D12" s="44" t="s">
        <v>273</v>
      </c>
      <c r="E12" s="44">
        <v>10</v>
      </c>
      <c r="F12" s="166"/>
      <c r="G12" s="64">
        <f t="shared" si="0"/>
        <v>0</v>
      </c>
      <c r="H12" s="13" t="str">
        <f t="shared" si="1"/>
        <v>Preis eintragen</v>
      </c>
    </row>
    <row r="13" spans="1:8" ht="15" customHeight="1" x14ac:dyDescent="0.15">
      <c r="A13" s="63">
        <v>9</v>
      </c>
      <c r="B13" s="43" t="s">
        <v>204</v>
      </c>
      <c r="C13" s="43" t="s">
        <v>307</v>
      </c>
      <c r="D13" s="44" t="s">
        <v>273</v>
      </c>
      <c r="E13" s="44">
        <v>14</v>
      </c>
      <c r="F13" s="166"/>
      <c r="G13" s="64">
        <f t="shared" si="0"/>
        <v>0</v>
      </c>
      <c r="H13" s="13" t="str">
        <f t="shared" si="1"/>
        <v>Preis eintragen</v>
      </c>
    </row>
    <row r="14" spans="1:8" ht="10.5" x14ac:dyDescent="0.15">
      <c r="A14" s="13"/>
      <c r="B14" s="13"/>
      <c r="C14" s="13"/>
      <c r="D14" s="13"/>
      <c r="E14" s="13"/>
      <c r="F14" s="13"/>
      <c r="G14" s="13"/>
      <c r="H14" s="13"/>
    </row>
    <row r="15" spans="1:8" ht="15" customHeight="1" x14ac:dyDescent="0.15">
      <c r="A15" s="13"/>
      <c r="B15" s="13" t="s">
        <v>315</v>
      </c>
      <c r="C15" s="13"/>
      <c r="D15" s="13"/>
      <c r="E15" s="13"/>
      <c r="F15" s="13"/>
      <c r="G15" s="13"/>
      <c r="H15" s="13"/>
    </row>
    <row r="16" spans="1:8" ht="15" customHeight="1" x14ac:dyDescent="0.15">
      <c r="A16" s="13"/>
      <c r="B16" s="13" t="s">
        <v>316</v>
      </c>
      <c r="C16" s="13"/>
      <c r="D16" s="13"/>
      <c r="E16" s="13"/>
      <c r="F16" s="13"/>
      <c r="G16" s="13"/>
      <c r="H16" s="13"/>
    </row>
    <row r="17" spans="1:8" ht="15" customHeight="1" x14ac:dyDescent="0.15">
      <c r="A17" s="13"/>
      <c r="B17" s="13" t="s">
        <v>317</v>
      </c>
      <c r="C17" s="13"/>
      <c r="D17" s="13"/>
      <c r="E17" s="13"/>
      <c r="F17" s="13"/>
      <c r="G17" s="13"/>
      <c r="H17" s="13"/>
    </row>
    <row r="18" spans="1:8" ht="10.5" x14ac:dyDescent="0.15">
      <c r="A18" s="13"/>
      <c r="B18" s="13"/>
      <c r="C18" s="13"/>
      <c r="D18" s="13"/>
      <c r="E18" s="13"/>
      <c r="F18" s="13"/>
      <c r="G18" s="13"/>
      <c r="H18" s="13"/>
    </row>
    <row r="19" spans="1:8" ht="15" customHeight="1" x14ac:dyDescent="0.15">
      <c r="A19" s="13"/>
      <c r="B19" s="13" t="s">
        <v>318</v>
      </c>
      <c r="C19" s="13"/>
      <c r="D19" s="13"/>
      <c r="E19" s="13"/>
      <c r="F19" s="13"/>
      <c r="G19" s="13"/>
      <c r="H19" s="13"/>
    </row>
    <row r="20" spans="1:8" ht="10.5" x14ac:dyDescent="0.15">
      <c r="A20" s="13"/>
      <c r="B20" s="13"/>
      <c r="C20" s="13"/>
      <c r="D20" s="13"/>
      <c r="E20" s="13"/>
      <c r="F20" s="13"/>
      <c r="G20" s="13"/>
      <c r="H20" s="13"/>
    </row>
    <row r="21" spans="1:8" ht="15" customHeight="1" x14ac:dyDescent="0.15">
      <c r="A21" s="13"/>
      <c r="B21" s="13" t="s">
        <v>319</v>
      </c>
      <c r="C21" s="13"/>
      <c r="D21" s="13"/>
      <c r="E21" s="13"/>
      <c r="F21" s="13"/>
      <c r="G21" s="13"/>
      <c r="H21" s="13"/>
    </row>
    <row r="22" spans="1:8" ht="15" customHeight="1" x14ac:dyDescent="0.15">
      <c r="A22" s="13"/>
      <c r="B22" s="13" t="s">
        <v>320</v>
      </c>
      <c r="C22" s="13"/>
      <c r="D22" s="13"/>
      <c r="E22" s="13"/>
      <c r="F22" s="13"/>
      <c r="G22" s="13"/>
      <c r="H22" s="13"/>
    </row>
    <row r="23" spans="1:8" ht="15" customHeight="1" x14ac:dyDescent="0.15">
      <c r="A23" s="13"/>
      <c r="B23" s="13" t="s">
        <v>321</v>
      </c>
      <c r="C23" s="13"/>
      <c r="D23" s="13"/>
      <c r="E23" s="13"/>
      <c r="F23" s="13"/>
      <c r="G23" s="13"/>
      <c r="H23" s="13"/>
    </row>
    <row r="24" spans="1:8" ht="10.5" x14ac:dyDescent="0.15">
      <c r="A24" s="13"/>
      <c r="C24" s="13"/>
      <c r="D24" s="13"/>
      <c r="E24" s="13"/>
      <c r="F24" s="13"/>
      <c r="G24" s="13"/>
      <c r="H24" s="13"/>
    </row>
    <row r="25" spans="1:8" ht="15" customHeight="1" x14ac:dyDescent="0.15">
      <c r="A25" s="13"/>
      <c r="B25" s="13" t="s">
        <v>322</v>
      </c>
      <c r="C25" s="13"/>
      <c r="D25" s="13"/>
      <c r="E25" s="13"/>
      <c r="F25" s="13"/>
      <c r="G25" s="13"/>
      <c r="H25" s="13"/>
    </row>
    <row r="26" spans="1:8" ht="10.5" x14ac:dyDescent="0.15">
      <c r="A26" s="13"/>
      <c r="B26" s="13"/>
      <c r="C26" s="13"/>
      <c r="D26" s="13"/>
      <c r="E26" s="13"/>
      <c r="F26" s="13"/>
      <c r="G26" s="13"/>
      <c r="H26" s="13"/>
    </row>
    <row r="27" spans="1:8" ht="10.5" x14ac:dyDescent="0.15">
      <c r="A27" s="13"/>
      <c r="B27" s="13"/>
      <c r="C27" s="13"/>
      <c r="D27" s="13"/>
      <c r="E27" s="13"/>
      <c r="F27" s="13"/>
      <c r="G27" s="13"/>
      <c r="H27" s="13"/>
    </row>
    <row r="28" spans="1:8" ht="10.5" x14ac:dyDescent="0.15">
      <c r="A28" s="13"/>
      <c r="B28" s="13"/>
      <c r="C28" s="13"/>
      <c r="D28" s="13"/>
      <c r="E28" s="13"/>
      <c r="F28" s="13"/>
      <c r="G28" s="13"/>
      <c r="H28" s="13"/>
    </row>
    <row r="29" spans="1:8" ht="10.5" x14ac:dyDescent="0.15">
      <c r="A29" s="13"/>
      <c r="B29" s="13"/>
      <c r="C29" s="13"/>
      <c r="D29" s="13"/>
      <c r="E29" s="13"/>
      <c r="F29" s="13"/>
      <c r="G29" s="13"/>
      <c r="H29" s="13"/>
    </row>
    <row r="30" spans="1:8" ht="10.5" x14ac:dyDescent="0.15">
      <c r="A30" s="13"/>
      <c r="B30" s="13"/>
      <c r="C30" s="13"/>
      <c r="D30" s="13"/>
      <c r="E30" s="13"/>
      <c r="F30" s="13"/>
      <c r="G30" s="13"/>
      <c r="H30" s="13"/>
    </row>
    <row r="31" spans="1:8" ht="10.5" x14ac:dyDescent="0.15">
      <c r="A31" s="13"/>
      <c r="B31" s="13"/>
      <c r="C31" s="13"/>
      <c r="D31" s="13"/>
      <c r="E31" s="13"/>
      <c r="F31" s="13"/>
      <c r="G31" s="13"/>
      <c r="H31" s="13"/>
    </row>
    <row r="32" spans="1:8" ht="10.5" x14ac:dyDescent="0.15">
      <c r="A32" s="13"/>
      <c r="B32" s="13"/>
      <c r="C32" s="13"/>
      <c r="D32" s="13"/>
      <c r="E32" s="13"/>
      <c r="F32" s="13"/>
      <c r="G32" s="13"/>
      <c r="H32" s="13"/>
    </row>
    <row r="33" spans="1:8" ht="10.5" x14ac:dyDescent="0.15">
      <c r="A33" s="13"/>
      <c r="B33" s="13"/>
      <c r="C33" s="13"/>
      <c r="D33" s="13"/>
      <c r="E33" s="13"/>
      <c r="F33" s="13"/>
      <c r="G33" s="13"/>
      <c r="H33" s="13"/>
    </row>
    <row r="34" spans="1:8" ht="10.5" x14ac:dyDescent="0.15">
      <c r="A34" s="13"/>
      <c r="B34" s="13"/>
      <c r="C34" s="13"/>
      <c r="D34" s="13"/>
      <c r="E34" s="13"/>
      <c r="F34" s="13"/>
      <c r="G34" s="13"/>
      <c r="H34" s="13"/>
    </row>
    <row r="35" spans="1:8" ht="10.5" x14ac:dyDescent="0.15">
      <c r="A35" s="13"/>
      <c r="B35" s="13"/>
      <c r="C35" s="13"/>
      <c r="D35" s="13"/>
      <c r="E35" s="13"/>
      <c r="F35" s="13"/>
      <c r="G35" s="13"/>
      <c r="H35" s="13"/>
    </row>
    <row r="36" spans="1:8" ht="10.5" x14ac:dyDescent="0.15">
      <c r="A36" s="13"/>
      <c r="B36" s="13"/>
      <c r="C36" s="13"/>
      <c r="D36" s="13"/>
      <c r="E36" s="13"/>
      <c r="F36" s="13"/>
      <c r="G36" s="13"/>
      <c r="H36" s="13"/>
    </row>
    <row r="37" spans="1:8" ht="10.5" x14ac:dyDescent="0.15">
      <c r="A37" s="13"/>
      <c r="B37" s="13"/>
      <c r="C37" s="13"/>
      <c r="D37" s="13"/>
      <c r="E37" s="13"/>
      <c r="F37" s="13"/>
      <c r="G37" s="13"/>
      <c r="H37" s="13"/>
    </row>
    <row r="38" spans="1:8" ht="10.5" x14ac:dyDescent="0.15">
      <c r="A38" s="13"/>
      <c r="B38" s="13"/>
      <c r="C38" s="13"/>
      <c r="D38" s="13"/>
      <c r="E38" s="13"/>
      <c r="F38" s="13"/>
      <c r="G38" s="13"/>
      <c r="H38" s="13"/>
    </row>
    <row r="39" spans="1:8" ht="10.5" x14ac:dyDescent="0.15">
      <c r="A39" s="13"/>
      <c r="B39" s="13"/>
      <c r="C39" s="13"/>
      <c r="D39" s="13"/>
      <c r="E39" s="13"/>
      <c r="F39" s="13"/>
      <c r="G39" s="13"/>
      <c r="H39" s="13"/>
    </row>
    <row r="40" spans="1:8" ht="10.5" x14ac:dyDescent="0.15">
      <c r="A40" s="13"/>
      <c r="B40" s="13"/>
      <c r="C40" s="13"/>
      <c r="D40" s="13"/>
      <c r="E40" s="13"/>
      <c r="F40" s="13"/>
      <c r="G40" s="13"/>
      <c r="H40" s="13"/>
    </row>
    <row r="41" spans="1:8" ht="10.5" x14ac:dyDescent="0.15">
      <c r="A41" s="13"/>
      <c r="B41" s="13"/>
      <c r="C41" s="13"/>
      <c r="D41" s="13"/>
      <c r="E41" s="13"/>
      <c r="F41" s="13"/>
      <c r="G41" s="13"/>
      <c r="H41" s="13"/>
    </row>
    <row r="42" spans="1:8" ht="10.5" x14ac:dyDescent="0.15">
      <c r="A42" s="13"/>
      <c r="B42" s="13"/>
      <c r="C42" s="13"/>
      <c r="D42" s="13"/>
      <c r="E42" s="13"/>
      <c r="F42" s="13"/>
      <c r="G42" s="13"/>
      <c r="H42" s="13"/>
    </row>
    <row r="43" spans="1:8" ht="10.5" x14ac:dyDescent="0.15">
      <c r="A43" s="13"/>
      <c r="B43" s="13"/>
      <c r="C43" s="13"/>
      <c r="D43" s="13"/>
      <c r="E43" s="13"/>
      <c r="F43" s="13"/>
      <c r="G43" s="13"/>
      <c r="H43" s="13"/>
    </row>
    <row r="44" spans="1:8" ht="10.5" x14ac:dyDescent="0.15">
      <c r="A44" s="13"/>
      <c r="B44" s="13"/>
      <c r="C44" s="13"/>
      <c r="D44" s="13"/>
      <c r="E44" s="13"/>
      <c r="F44" s="13"/>
      <c r="G44" s="13"/>
      <c r="H44" s="13"/>
    </row>
    <row r="45" spans="1:8" ht="10.5" x14ac:dyDescent="0.15">
      <c r="A45" s="13"/>
      <c r="B45" s="13"/>
      <c r="C45" s="13"/>
      <c r="D45" s="13"/>
      <c r="E45" s="13"/>
      <c r="F45" s="13"/>
      <c r="G45" s="13"/>
      <c r="H45" s="13"/>
    </row>
  </sheetData>
  <sheetProtection algorithmName="SHA-512" hashValue="Do/FeuW9ipEM2EttT2T8OCqZCw47Y6XMHRUalK9YE9JEh1XeGwT9bNcV4RRFVWNcqmYZtXqzXk2Sux6r8W+RsQ==" saltValue="A8e9Z0GcxVeDolE38WdBwg==" spinCount="100000" sheet="1" objects="1" scenarios="1"/>
  <mergeCells count="1">
    <mergeCell ref="D2:G3"/>
  </mergeCells>
  <phoneticPr fontId="3" type="noConversion"/>
  <conditionalFormatting sqref="H5:H13">
    <cfRule type="containsText" dxfId="1" priority="1" stopIfTrue="1" operator="containsText" text="Preis eintragen">
      <formula>NOT(ISERROR(SEARCH("Preis eintragen",H5)))</formula>
    </cfRule>
  </conditionalFormatting>
  <hyperlinks>
    <hyperlink ref="F1" location="Inhaltsverzeichnis!A1" display="Zurück zum Inhaltsverzeichnis" xr:uid="{FDA93515-262E-44C8-9AFC-646FBC3EFA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Verbrauch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40" r:id="rId4" name="Check Box 4">
              <controlPr defaultSize="0" autoFill="0" autoLine="0" autoPict="0" altText="Hinweis">
                <anchor moveWithCells="1">
                  <from>
                    <xdr:col>2</xdr:col>
                    <xdr:colOff>952500</xdr:colOff>
                    <xdr:row>1</xdr:row>
                    <xdr:rowOff>47625</xdr:rowOff>
                  </from>
                  <to>
                    <xdr:col>2</xdr:col>
                    <xdr:colOff>1733550</xdr:colOff>
                    <xdr:row>2</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5">
    <tabColor indexed="16"/>
  </sheetPr>
  <dimension ref="A1:K35"/>
  <sheetViews>
    <sheetView showGridLines="0" zoomScaleNormal="100" workbookViewId="0"/>
  </sheetViews>
  <sheetFormatPr baseColWidth="10" defaultColWidth="0" defaultRowHeight="15" customHeight="1" x14ac:dyDescent="0.15"/>
  <cols>
    <col min="1" max="1" width="7.7109375" style="14" customWidth="1"/>
    <col min="2" max="2" width="17.28515625" style="14" customWidth="1"/>
    <col min="3" max="3" width="27.5703125" style="14" customWidth="1"/>
    <col min="4" max="4" width="13.7109375" style="14" customWidth="1"/>
    <col min="5" max="8" width="12.7109375" style="14" customWidth="1"/>
    <col min="9" max="9" width="8.7109375" style="14" customWidth="1"/>
    <col min="10" max="10" width="12.7109375" style="14" customWidth="1"/>
    <col min="11" max="11" width="22.28515625" style="14" customWidth="1"/>
    <col min="12" max="16384" width="0" style="14" hidden="1"/>
  </cols>
  <sheetData>
    <row r="1" spans="1:11" ht="36" customHeight="1" x14ac:dyDescent="0.15">
      <c r="A1" s="13" t="s">
        <v>185</v>
      </c>
      <c r="B1" s="13"/>
      <c r="C1" s="13"/>
      <c r="D1" s="13"/>
      <c r="E1" s="35"/>
      <c r="F1" s="35"/>
      <c r="G1" s="30" t="s">
        <v>100</v>
      </c>
      <c r="H1" s="31"/>
      <c r="I1" s="31"/>
    </row>
    <row r="2" spans="1:11" ht="25.9" customHeight="1" x14ac:dyDescent="0.15">
      <c r="A2" s="13" t="s">
        <v>103</v>
      </c>
      <c r="B2" s="15" t="str">
        <f>IF(Inhaltsverzeichnis!$C$3="", "",Inhaltsverzeichnis!$C$3)</f>
        <v/>
      </c>
      <c r="C2" s="13"/>
      <c r="D2" s="33" t="b">
        <v>0</v>
      </c>
      <c r="E2" s="232" t="str">
        <f>IF(D2=TRUE,"Die rot markierten Informationen verschwinden, wenn die gelben Zellen ausgefüllt sind.  Wenn keine rote Schrift mehr angezeigt wird, ist alles ausgefüllt.","")</f>
        <v/>
      </c>
      <c r="F2" s="232"/>
      <c r="G2" s="232"/>
      <c r="H2" s="232"/>
      <c r="I2" s="232"/>
      <c r="J2" s="232"/>
    </row>
    <row r="3" spans="1:11" ht="22.5" customHeight="1" x14ac:dyDescent="0.15">
      <c r="A3" s="13"/>
      <c r="B3" s="13"/>
      <c r="C3" s="13"/>
      <c r="D3" s="13"/>
      <c r="E3" s="38"/>
      <c r="F3" s="38"/>
      <c r="G3" s="38"/>
      <c r="H3" s="38"/>
      <c r="I3" s="13"/>
      <c r="J3" s="13"/>
      <c r="K3" s="34">
        <f ca="1">IF(COUNTA($K$5:$K$19)-COUNTBLANK($K$5:$K$19)=0,"",COUNTA($K$5:$K$19)-COUNTBLANK($K$5:$K$19))</f>
        <v>15</v>
      </c>
    </row>
    <row r="4" spans="1:11" ht="35.1" customHeight="1" x14ac:dyDescent="0.15">
      <c r="A4" s="40" t="s">
        <v>92</v>
      </c>
      <c r="B4" s="40" t="s">
        <v>113</v>
      </c>
      <c r="C4" s="40" t="s">
        <v>116</v>
      </c>
      <c r="D4" s="39" t="s">
        <v>152</v>
      </c>
      <c r="E4" s="39" t="s">
        <v>118</v>
      </c>
      <c r="F4" s="39" t="s">
        <v>119</v>
      </c>
      <c r="G4" s="39" t="s">
        <v>120</v>
      </c>
      <c r="H4" s="39" t="s">
        <v>117</v>
      </c>
      <c r="I4" s="39" t="s">
        <v>121</v>
      </c>
      <c r="J4" s="39" t="s">
        <v>114</v>
      </c>
    </row>
    <row r="5" spans="1:11" ht="24.95" customHeight="1" x14ac:dyDescent="0.15">
      <c r="A5" s="65">
        <v>1</v>
      </c>
      <c r="B5" s="66" t="s">
        <v>198</v>
      </c>
      <c r="C5" s="67" t="s">
        <v>275</v>
      </c>
      <c r="D5" s="68">
        <v>5</v>
      </c>
      <c r="E5" s="69"/>
      <c r="F5" s="69">
        <v>2</v>
      </c>
      <c r="G5" s="69">
        <f t="shared" ref="G5:G19" si="0">ROUND((F5*H5),2)</f>
        <v>461</v>
      </c>
      <c r="H5" s="69">
        <f>VLOOKUP(D5,Reinigungstage!$A$10:$G$31,6,FALSE)</f>
        <v>230.5</v>
      </c>
      <c r="I5" s="69">
        <f ca="1">IF('SVS Wirtschaft'!$H$61="",0,'SVS Wirtschaft'!$H$61)</f>
        <v>0</v>
      </c>
      <c r="J5" s="69">
        <f t="shared" ref="J5:J19" ca="1" si="1">ROUND(IF(I5=0,0,I5*G5),2)</f>
        <v>0</v>
      </c>
      <c r="K5" s="14" t="str">
        <f t="shared" ref="K5:K19" ca="1" si="2">IF(I5=0,"SVS prüfen","")</f>
        <v>SVS prüfen</v>
      </c>
    </row>
    <row r="6" spans="1:11" ht="24.95" customHeight="1" x14ac:dyDescent="0.15">
      <c r="A6" s="65">
        <v>2</v>
      </c>
      <c r="B6" s="66" t="s">
        <v>198</v>
      </c>
      <c r="C6" s="67" t="s">
        <v>276</v>
      </c>
      <c r="D6" s="68">
        <v>5</v>
      </c>
      <c r="E6" s="69"/>
      <c r="F6" s="69">
        <v>2</v>
      </c>
      <c r="G6" s="69">
        <f t="shared" si="0"/>
        <v>461</v>
      </c>
      <c r="H6" s="69">
        <f>VLOOKUP(D6,Reinigungstage!$A$10:$G$31,6,FALSE)</f>
        <v>230.5</v>
      </c>
      <c r="I6" s="69">
        <f ca="1">IF('SVS Wirtschaft'!$H$61="",0,'SVS Wirtschaft'!$H$61)</f>
        <v>0</v>
      </c>
      <c r="J6" s="69">
        <f t="shared" ca="1" si="1"/>
        <v>0</v>
      </c>
      <c r="K6" s="14" t="str">
        <f t="shared" ca="1" si="2"/>
        <v>SVS prüfen</v>
      </c>
    </row>
    <row r="7" spans="1:11" ht="24.95" customHeight="1" x14ac:dyDescent="0.15">
      <c r="A7" s="65">
        <v>3</v>
      </c>
      <c r="B7" s="66" t="s">
        <v>198</v>
      </c>
      <c r="C7" s="67" t="s">
        <v>277</v>
      </c>
      <c r="D7" s="68">
        <v>5</v>
      </c>
      <c r="E7" s="69"/>
      <c r="F7" s="69">
        <v>1</v>
      </c>
      <c r="G7" s="69">
        <f t="shared" si="0"/>
        <v>230.5</v>
      </c>
      <c r="H7" s="69">
        <f>VLOOKUP(D7,Reinigungstage!$A$10:$G$31,6,FALSE)</f>
        <v>230.5</v>
      </c>
      <c r="I7" s="69">
        <f ca="1">IF('SVS Wirtschaft'!$H$61="",0,'SVS Wirtschaft'!$H$61)</f>
        <v>0</v>
      </c>
      <c r="J7" s="69">
        <f t="shared" ca="1" si="1"/>
        <v>0</v>
      </c>
      <c r="K7" s="14" t="str">
        <f t="shared" ca="1" si="2"/>
        <v>SVS prüfen</v>
      </c>
    </row>
    <row r="8" spans="1:11" ht="24.95" customHeight="1" x14ac:dyDescent="0.15">
      <c r="A8" s="65">
        <v>4</v>
      </c>
      <c r="B8" s="66" t="s">
        <v>198</v>
      </c>
      <c r="C8" s="67" t="s">
        <v>278</v>
      </c>
      <c r="D8" s="68">
        <v>1</v>
      </c>
      <c r="E8" s="69"/>
      <c r="F8" s="69">
        <v>1</v>
      </c>
      <c r="G8" s="69">
        <f t="shared" si="0"/>
        <v>47.88</v>
      </c>
      <c r="H8" s="69">
        <f>VLOOKUP(D8,Reinigungstage!$A$10:$G$31,6,FALSE)</f>
        <v>47.88</v>
      </c>
      <c r="I8" s="69">
        <f ca="1">IF('SVS Wirtschaft'!$H$61="",0,'SVS Wirtschaft'!$H$61)</f>
        <v>0</v>
      </c>
      <c r="J8" s="69">
        <f t="shared" ca="1" si="1"/>
        <v>0</v>
      </c>
      <c r="K8" s="14" t="str">
        <f t="shared" ca="1" si="2"/>
        <v>SVS prüfen</v>
      </c>
    </row>
    <row r="9" spans="1:11" ht="24.95" customHeight="1" x14ac:dyDescent="0.15">
      <c r="A9" s="65">
        <v>5</v>
      </c>
      <c r="B9" s="66" t="s">
        <v>198</v>
      </c>
      <c r="C9" s="67" t="s">
        <v>279</v>
      </c>
      <c r="D9" s="68" t="s">
        <v>142</v>
      </c>
      <c r="E9" s="69"/>
      <c r="F9" s="69">
        <v>2</v>
      </c>
      <c r="G9" s="69">
        <f t="shared" si="0"/>
        <v>24</v>
      </c>
      <c r="H9" s="69">
        <f>VLOOKUP(D9,Reinigungstage!$A$10:$G$31,6,FALSE)</f>
        <v>12</v>
      </c>
      <c r="I9" s="69">
        <f ca="1">IF('SVS Wirtschaft'!$H$61="",0,'SVS Wirtschaft'!$H$61)</f>
        <v>0</v>
      </c>
      <c r="J9" s="69">
        <f t="shared" ca="1" si="1"/>
        <v>0</v>
      </c>
      <c r="K9" s="14" t="str">
        <f t="shared" ca="1" si="2"/>
        <v>SVS prüfen</v>
      </c>
    </row>
    <row r="10" spans="1:11" ht="24.95" customHeight="1" x14ac:dyDescent="0.15">
      <c r="A10" s="65">
        <v>6</v>
      </c>
      <c r="B10" s="66" t="s">
        <v>198</v>
      </c>
      <c r="C10" s="67" t="s">
        <v>280</v>
      </c>
      <c r="D10" s="68">
        <v>1</v>
      </c>
      <c r="E10" s="69"/>
      <c r="F10" s="69">
        <v>0.5</v>
      </c>
      <c r="G10" s="69">
        <f t="shared" si="0"/>
        <v>23.94</v>
      </c>
      <c r="H10" s="69">
        <f>VLOOKUP(D10,Reinigungstage!$A$10:$G$31,6,FALSE)</f>
        <v>47.88</v>
      </c>
      <c r="I10" s="69">
        <f ca="1">IF('SVS Wirtschaft'!$H$61="",0,'SVS Wirtschaft'!$H$61)</f>
        <v>0</v>
      </c>
      <c r="J10" s="69">
        <f t="shared" ca="1" si="1"/>
        <v>0</v>
      </c>
      <c r="K10" s="14" t="str">
        <f t="shared" ca="1" si="2"/>
        <v>SVS prüfen</v>
      </c>
    </row>
    <row r="11" spans="1:11" ht="24.95" customHeight="1" x14ac:dyDescent="0.15">
      <c r="A11" s="65">
        <v>7</v>
      </c>
      <c r="B11" s="66" t="s">
        <v>198</v>
      </c>
      <c r="C11" s="67" t="s">
        <v>281</v>
      </c>
      <c r="D11" s="68">
        <v>0.5</v>
      </c>
      <c r="E11" s="69"/>
      <c r="F11" s="69">
        <v>1</v>
      </c>
      <c r="G11" s="69">
        <f t="shared" si="0"/>
        <v>23.94</v>
      </c>
      <c r="H11" s="69">
        <f>VLOOKUP(D11,Reinigungstage!$A$10:$G$31,6,FALSE)</f>
        <v>23.94</v>
      </c>
      <c r="I11" s="69">
        <f ca="1">IF('SVS Wirtschaft'!$H$61="",0,'SVS Wirtschaft'!$H$61)</f>
        <v>0</v>
      </c>
      <c r="J11" s="69">
        <f t="shared" ca="1" si="1"/>
        <v>0</v>
      </c>
      <c r="K11" s="14" t="str">
        <f t="shared" ca="1" si="2"/>
        <v>SVS prüfen</v>
      </c>
    </row>
    <row r="12" spans="1:11" ht="24.95" customHeight="1" x14ac:dyDescent="0.15">
      <c r="A12" s="65">
        <v>8</v>
      </c>
      <c r="B12" s="66" t="s">
        <v>198</v>
      </c>
      <c r="C12" s="67" t="s">
        <v>282</v>
      </c>
      <c r="D12" s="68" t="s">
        <v>142</v>
      </c>
      <c r="E12" s="69"/>
      <c r="F12" s="69">
        <v>2.75</v>
      </c>
      <c r="G12" s="69">
        <f t="shared" si="0"/>
        <v>33</v>
      </c>
      <c r="H12" s="69">
        <f>VLOOKUP(D12,Reinigungstage!$A$10:$G$31,6,FALSE)</f>
        <v>12</v>
      </c>
      <c r="I12" s="69">
        <f ca="1">IF('SVS Wirtschaft'!$H$61="",0,'SVS Wirtschaft'!$H$61)</f>
        <v>0</v>
      </c>
      <c r="J12" s="69">
        <f t="shared" ca="1" si="1"/>
        <v>0</v>
      </c>
      <c r="K12" s="14" t="str">
        <f t="shared" ca="1" si="2"/>
        <v>SVS prüfen</v>
      </c>
    </row>
    <row r="13" spans="1:11" ht="24.95" customHeight="1" x14ac:dyDescent="0.15">
      <c r="A13" s="65">
        <v>11</v>
      </c>
      <c r="B13" s="66" t="s">
        <v>204</v>
      </c>
      <c r="C13" s="67" t="s">
        <v>275</v>
      </c>
      <c r="D13" s="68">
        <v>5</v>
      </c>
      <c r="E13" s="69"/>
      <c r="F13" s="69">
        <v>2</v>
      </c>
      <c r="G13" s="69">
        <f t="shared" si="0"/>
        <v>475</v>
      </c>
      <c r="H13" s="69">
        <f>VLOOKUP(D13,Reinigungstage!A10:G31,7,FALSE)</f>
        <v>237.5</v>
      </c>
      <c r="I13" s="69">
        <f ca="1">IF('SVS Wirtschaft'!$H$61="",0,'SVS Wirtschaft'!$H$61)</f>
        <v>0</v>
      </c>
      <c r="J13" s="69">
        <f t="shared" ca="1" si="1"/>
        <v>0</v>
      </c>
      <c r="K13" s="14" t="str">
        <f t="shared" ca="1" si="2"/>
        <v>SVS prüfen</v>
      </c>
    </row>
    <row r="14" spans="1:11" ht="24.95" customHeight="1" x14ac:dyDescent="0.15">
      <c r="A14" s="65">
        <v>12</v>
      </c>
      <c r="B14" s="66" t="s">
        <v>204</v>
      </c>
      <c r="C14" s="67" t="s">
        <v>276</v>
      </c>
      <c r="D14" s="68">
        <v>5</v>
      </c>
      <c r="E14" s="69"/>
      <c r="F14" s="69">
        <v>2</v>
      </c>
      <c r="G14" s="69">
        <f t="shared" si="0"/>
        <v>475</v>
      </c>
      <c r="H14" s="69">
        <f>VLOOKUP(D14,Reinigungstage!A10:G31,7,FALSE)</f>
        <v>237.5</v>
      </c>
      <c r="I14" s="69">
        <f ca="1">IF('SVS Wirtschaft'!$H$61="",0,'SVS Wirtschaft'!$H$61)</f>
        <v>0</v>
      </c>
      <c r="J14" s="69">
        <f t="shared" ca="1" si="1"/>
        <v>0</v>
      </c>
      <c r="K14" s="14" t="str">
        <f t="shared" ca="1" si="2"/>
        <v>SVS prüfen</v>
      </c>
    </row>
    <row r="15" spans="1:11" ht="24.95" customHeight="1" x14ac:dyDescent="0.15">
      <c r="A15" s="65">
        <v>13</v>
      </c>
      <c r="B15" s="66" t="s">
        <v>204</v>
      </c>
      <c r="C15" s="67" t="s">
        <v>277</v>
      </c>
      <c r="D15" s="68">
        <v>5</v>
      </c>
      <c r="E15" s="69"/>
      <c r="F15" s="69">
        <v>1</v>
      </c>
      <c r="G15" s="69">
        <f t="shared" si="0"/>
        <v>237.5</v>
      </c>
      <c r="H15" s="69">
        <f>VLOOKUP(D15,Reinigungstage!A10:G31,7,FALSE)</f>
        <v>237.5</v>
      </c>
      <c r="I15" s="69">
        <f ca="1">IF('SVS Wirtschaft'!$H$61="",0,'SVS Wirtschaft'!$H$61)</f>
        <v>0</v>
      </c>
      <c r="J15" s="69">
        <f t="shared" ca="1" si="1"/>
        <v>0</v>
      </c>
      <c r="K15" s="14" t="str">
        <f t="shared" ca="1" si="2"/>
        <v>SVS prüfen</v>
      </c>
    </row>
    <row r="16" spans="1:11" ht="24.95" customHeight="1" x14ac:dyDescent="0.15">
      <c r="A16" s="65">
        <v>14</v>
      </c>
      <c r="B16" s="66" t="s">
        <v>204</v>
      </c>
      <c r="C16" s="67" t="s">
        <v>278</v>
      </c>
      <c r="D16" s="68">
        <v>1</v>
      </c>
      <c r="E16" s="69"/>
      <c r="F16" s="69">
        <v>1</v>
      </c>
      <c r="G16" s="69">
        <f t="shared" si="0"/>
        <v>49.34</v>
      </c>
      <c r="H16" s="69">
        <f>VLOOKUP(D16,Reinigungstage!A10:G31,7,FALSE)</f>
        <v>49.34</v>
      </c>
      <c r="I16" s="69">
        <f ca="1">IF('SVS Wirtschaft'!$H$61="",0,'SVS Wirtschaft'!$H$61)</f>
        <v>0</v>
      </c>
      <c r="J16" s="69">
        <f t="shared" ca="1" si="1"/>
        <v>0</v>
      </c>
      <c r="K16" s="14" t="str">
        <f t="shared" ca="1" si="2"/>
        <v>SVS prüfen</v>
      </c>
    </row>
    <row r="17" spans="1:11" ht="24.95" customHeight="1" x14ac:dyDescent="0.15">
      <c r="A17" s="65">
        <v>15</v>
      </c>
      <c r="B17" s="66" t="s">
        <v>204</v>
      </c>
      <c r="C17" s="67" t="s">
        <v>279</v>
      </c>
      <c r="D17" s="68" t="s">
        <v>142</v>
      </c>
      <c r="E17" s="69"/>
      <c r="F17" s="69">
        <v>2</v>
      </c>
      <c r="G17" s="69">
        <f t="shared" si="0"/>
        <v>24</v>
      </c>
      <c r="H17" s="69">
        <f>VLOOKUP(D17,Reinigungstage!A10:G31,7,FALSE)</f>
        <v>12</v>
      </c>
      <c r="I17" s="69">
        <f ca="1">IF('SVS Wirtschaft'!$H$61="",0,'SVS Wirtschaft'!$H$61)</f>
        <v>0</v>
      </c>
      <c r="J17" s="69">
        <f t="shared" ca="1" si="1"/>
        <v>0</v>
      </c>
      <c r="K17" s="14" t="str">
        <f t="shared" ca="1" si="2"/>
        <v>SVS prüfen</v>
      </c>
    </row>
    <row r="18" spans="1:11" ht="24.95" customHeight="1" x14ac:dyDescent="0.15">
      <c r="A18" s="65">
        <v>16</v>
      </c>
      <c r="B18" s="66" t="s">
        <v>204</v>
      </c>
      <c r="C18" s="67" t="s">
        <v>281</v>
      </c>
      <c r="D18" s="68">
        <v>0.5</v>
      </c>
      <c r="E18" s="69"/>
      <c r="F18" s="69">
        <v>1.25</v>
      </c>
      <c r="G18" s="69">
        <f t="shared" si="0"/>
        <v>30.84</v>
      </c>
      <c r="H18" s="69">
        <f>VLOOKUP(D18,Reinigungstage!A10:G31,7,FALSE)</f>
        <v>24.67</v>
      </c>
      <c r="I18" s="69">
        <f ca="1">IF('SVS Wirtschaft'!$H$61="",0,'SVS Wirtschaft'!$H$61)</f>
        <v>0</v>
      </c>
      <c r="J18" s="69">
        <f t="shared" ca="1" si="1"/>
        <v>0</v>
      </c>
      <c r="K18" s="14" t="str">
        <f t="shared" ca="1" si="2"/>
        <v>SVS prüfen</v>
      </c>
    </row>
    <row r="19" spans="1:11" ht="24.95" customHeight="1" x14ac:dyDescent="0.15">
      <c r="A19" s="65">
        <v>17</v>
      </c>
      <c r="B19" s="66" t="s">
        <v>204</v>
      </c>
      <c r="C19" s="67" t="s">
        <v>282</v>
      </c>
      <c r="D19" s="68" t="s">
        <v>142</v>
      </c>
      <c r="E19" s="69"/>
      <c r="F19" s="69">
        <v>5.75</v>
      </c>
      <c r="G19" s="69">
        <f t="shared" si="0"/>
        <v>69</v>
      </c>
      <c r="H19" s="69">
        <f>VLOOKUP(D19,Reinigungstage!A10:G31,7,FALSE)</f>
        <v>12</v>
      </c>
      <c r="I19" s="69">
        <f ca="1">IF('SVS Wirtschaft'!$H$61="",0,'SVS Wirtschaft'!$H$61)</f>
        <v>0</v>
      </c>
      <c r="J19" s="69">
        <f t="shared" ca="1" si="1"/>
        <v>0</v>
      </c>
      <c r="K19" s="14" t="str">
        <f t="shared" ca="1" si="2"/>
        <v>SVS prüfen</v>
      </c>
    </row>
    <row r="20" spans="1:11" ht="10.5" x14ac:dyDescent="0.15"/>
    <row r="21" spans="1:11" ht="10.5" x14ac:dyDescent="0.15"/>
    <row r="22" spans="1:11" ht="10.5" x14ac:dyDescent="0.15"/>
    <row r="23" spans="1:11" ht="10.5" x14ac:dyDescent="0.15"/>
    <row r="24" spans="1:11" ht="10.5" x14ac:dyDescent="0.15"/>
    <row r="25" spans="1:11" ht="10.5" x14ac:dyDescent="0.15"/>
    <row r="26" spans="1:11" ht="10.5" x14ac:dyDescent="0.15"/>
    <row r="27" spans="1:11" ht="10.5" x14ac:dyDescent="0.15"/>
    <row r="28" spans="1:11" ht="10.5" x14ac:dyDescent="0.15"/>
    <row r="29" spans="1:11" ht="10.5" x14ac:dyDescent="0.15"/>
    <row r="30" spans="1:11" ht="10.5" x14ac:dyDescent="0.15"/>
    <row r="31" spans="1:11" ht="10.5" x14ac:dyDescent="0.15"/>
    <row r="32" spans="1:11" ht="10.5" x14ac:dyDescent="0.15"/>
    <row r="33" s="14" customFormat="1" ht="10.5" x14ac:dyDescent="0.15"/>
    <row r="34" s="14" customFormat="1" ht="10.5" x14ac:dyDescent="0.15"/>
    <row r="35" s="14" customFormat="1" ht="10.5" x14ac:dyDescent="0.15"/>
  </sheetData>
  <sheetProtection algorithmName="SHA-512" hashValue="Nr/TjBlWJHA0c01a0O4+JvkAo+cAQMkLtn7YagEryDcSBvz2dMcCi/Ui/9HrSRhVL/kpT4jFjrPK2CTotNUNeQ==" saltValue="Y04CvSuk417WEKJTowAPhQ==" spinCount="100000" sheet="1" objects="1" scenarios="1"/>
  <mergeCells count="1">
    <mergeCell ref="E2:J2"/>
  </mergeCells>
  <phoneticPr fontId="3" type="noConversion"/>
  <conditionalFormatting sqref="K5:K19">
    <cfRule type="containsText" dxfId="0" priority="1" stopIfTrue="1" operator="containsText" text="SVS prüfen">
      <formula>NOT(ISERROR(SEARCH("SVS prüfen",K5)))</formula>
    </cfRule>
  </conditionalFormatting>
  <hyperlinks>
    <hyperlink ref="G1" location="Inhaltsverzeichnis!A1" display="Zurück zum Inhaltsverzeichnis" xr:uid="{17E8934A-55B9-4AA7-962B-4B613A9366CD}"/>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Wirtschaft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ltText="Hinweis">
                <anchor moveWithCells="1">
                  <from>
                    <xdr:col>3</xdr:col>
                    <xdr:colOff>114300</xdr:colOff>
                    <xdr:row>1</xdr:row>
                    <xdr:rowOff>38100</xdr:rowOff>
                  </from>
                  <to>
                    <xdr:col>3</xdr:col>
                    <xdr:colOff>885825</xdr:colOff>
                    <xdr:row>2</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9">
    <tabColor indexed="16"/>
  </sheetPr>
  <dimension ref="A1:I31"/>
  <sheetViews>
    <sheetView showGridLines="0" zoomScaleNormal="100" workbookViewId="0"/>
  </sheetViews>
  <sheetFormatPr baseColWidth="10" defaultColWidth="6.42578125" defaultRowHeight="10.5" x14ac:dyDescent="0.15"/>
  <cols>
    <col min="1" max="1" width="22.42578125" style="6" customWidth="1"/>
    <col min="2" max="7" width="13.7109375" style="23" customWidth="1"/>
    <col min="8" max="52" width="13.7109375" style="6" customWidth="1"/>
    <col min="53" max="16384" width="6.42578125" style="6"/>
  </cols>
  <sheetData>
    <row r="1" spans="1:9" s="3" customFormat="1" ht="35.450000000000003" customHeight="1" x14ac:dyDescent="0.2">
      <c r="A1" s="3" t="s">
        <v>186</v>
      </c>
      <c r="B1" s="23"/>
      <c r="C1" s="23"/>
      <c r="D1" s="165" t="b">
        <v>0</v>
      </c>
      <c r="E1" s="167" t="str">
        <f>IF(D1=TRUE,"Hier muss nichts ausgefüllt werden. Sie sehen hier die Reinigungsarten mit den maximalen Reinigungstagen. Mehrere Tabellen greifen hierauf zu.","")</f>
        <v/>
      </c>
      <c r="F1" s="167"/>
      <c r="G1" s="167"/>
      <c r="H1" s="167"/>
      <c r="I1" s="37" t="s">
        <v>100</v>
      </c>
    </row>
    <row r="2" spans="1:9" s="3" customFormat="1" ht="26.45" customHeight="1" x14ac:dyDescent="0.2">
      <c r="A2" s="3" t="s">
        <v>103</v>
      </c>
      <c r="B2" s="4" t="str">
        <f>IF(Inhaltsverzeichnis!$C$3="","",Inhaltsverzeichnis!$C$3)</f>
        <v/>
      </c>
      <c r="C2" s="23"/>
      <c r="D2" s="23"/>
      <c r="E2" s="167"/>
      <c r="F2" s="167"/>
      <c r="G2" s="167"/>
      <c r="H2" s="167"/>
    </row>
    <row r="3" spans="1:9" s="3" customFormat="1" ht="15" customHeight="1" x14ac:dyDescent="0.2">
      <c r="B3" s="23"/>
      <c r="C3" s="23"/>
      <c r="D3" s="23"/>
      <c r="E3" s="29"/>
      <c r="F3" s="29"/>
      <c r="G3" s="23"/>
    </row>
    <row r="4" spans="1:9" ht="25.5" customHeight="1" x14ac:dyDescent="0.15">
      <c r="A4" s="156" t="s">
        <v>113</v>
      </c>
      <c r="B4" s="156" t="s">
        <v>198</v>
      </c>
      <c r="C4" s="156" t="s">
        <v>204</v>
      </c>
      <c r="D4" s="156" t="s">
        <v>198</v>
      </c>
      <c r="E4" s="156" t="s">
        <v>204</v>
      </c>
      <c r="F4" s="156" t="s">
        <v>198</v>
      </c>
      <c r="G4" s="156" t="s">
        <v>204</v>
      </c>
    </row>
    <row r="5" spans="1:9" ht="25.5" customHeight="1" x14ac:dyDescent="0.15">
      <c r="A5" s="156" t="s">
        <v>150</v>
      </c>
      <c r="B5" s="156" t="s">
        <v>283</v>
      </c>
      <c r="C5" s="156" t="s">
        <v>283</v>
      </c>
      <c r="D5" s="156" t="s">
        <v>283</v>
      </c>
      <c r="E5" s="156" t="s">
        <v>283</v>
      </c>
      <c r="F5" s="156" t="s">
        <v>283</v>
      </c>
      <c r="G5" s="156" t="s">
        <v>283</v>
      </c>
    </row>
    <row r="6" spans="1:9" ht="25.5" customHeight="1" x14ac:dyDescent="0.15">
      <c r="A6" s="156" t="s">
        <v>116</v>
      </c>
      <c r="B6" s="1" t="s">
        <v>284</v>
      </c>
      <c r="C6" s="1" t="s">
        <v>284</v>
      </c>
      <c r="D6" s="1" t="s">
        <v>286</v>
      </c>
      <c r="E6" s="1" t="s">
        <v>286</v>
      </c>
      <c r="F6" s="1" t="s">
        <v>287</v>
      </c>
      <c r="G6" s="1" t="s">
        <v>287</v>
      </c>
    </row>
    <row r="7" spans="1:9" ht="35.1" customHeight="1" x14ac:dyDescent="0.15">
      <c r="A7" s="1" t="s">
        <v>191</v>
      </c>
      <c r="B7" s="157">
        <v>230.5</v>
      </c>
      <c r="C7" s="157">
        <v>237.5</v>
      </c>
      <c r="D7" s="157">
        <v>1</v>
      </c>
      <c r="E7" s="157">
        <v>1</v>
      </c>
      <c r="F7" s="157">
        <v>230.5</v>
      </c>
      <c r="G7" s="157">
        <v>237.5</v>
      </c>
    </row>
    <row r="8" spans="1:9" ht="6" customHeight="1" x14ac:dyDescent="0.15">
      <c r="A8" s="158"/>
      <c r="B8" s="71"/>
      <c r="C8" s="71"/>
      <c r="D8" s="71"/>
      <c r="E8" s="71"/>
      <c r="F8" s="71"/>
      <c r="G8" s="71"/>
    </row>
    <row r="9" spans="1:9" ht="25.5" customHeight="1" x14ac:dyDescent="0.15">
      <c r="A9" s="156" t="s">
        <v>192</v>
      </c>
      <c r="B9" s="1" t="s">
        <v>285</v>
      </c>
      <c r="C9" s="1" t="s">
        <v>285</v>
      </c>
      <c r="D9" s="1" t="s">
        <v>285</v>
      </c>
      <c r="E9" s="1" t="s">
        <v>285</v>
      </c>
      <c r="F9" s="1" t="s">
        <v>285</v>
      </c>
      <c r="G9" s="1" t="s">
        <v>285</v>
      </c>
    </row>
    <row r="10" spans="1:9" ht="15" customHeight="1" x14ac:dyDescent="0.15">
      <c r="A10" s="159">
        <v>12</v>
      </c>
      <c r="B10" s="160">
        <f t="shared" ref="B10:B17" si="0">ROUND($B$7/5*A10,2)</f>
        <v>553.20000000000005</v>
      </c>
      <c r="C10" s="160">
        <f t="shared" ref="C10:C17" si="1">ROUND($C$7/5*A10,2)</f>
        <v>570</v>
      </c>
      <c r="D10" s="161"/>
      <c r="E10" s="161"/>
      <c r="F10" s="160">
        <f t="shared" ref="F10:F17" si="2">ROUND($F$7/5*A10,2)</f>
        <v>553.20000000000005</v>
      </c>
      <c r="G10" s="160">
        <f t="shared" ref="G10:G17" si="3">ROUND($G$7/5*A10,2)</f>
        <v>570</v>
      </c>
    </row>
    <row r="11" spans="1:9" ht="15" customHeight="1" x14ac:dyDescent="0.15">
      <c r="A11" s="159">
        <v>10</v>
      </c>
      <c r="B11" s="160">
        <f t="shared" si="0"/>
        <v>461</v>
      </c>
      <c r="C11" s="160">
        <f t="shared" si="1"/>
        <v>475</v>
      </c>
      <c r="D11" s="161"/>
      <c r="E11" s="161"/>
      <c r="F11" s="160">
        <f t="shared" si="2"/>
        <v>461</v>
      </c>
      <c r="G11" s="160">
        <f t="shared" si="3"/>
        <v>475</v>
      </c>
    </row>
    <row r="12" spans="1:9" ht="15" customHeight="1" x14ac:dyDescent="0.15">
      <c r="A12" s="159">
        <v>7</v>
      </c>
      <c r="B12" s="160">
        <f t="shared" si="0"/>
        <v>322.7</v>
      </c>
      <c r="C12" s="160">
        <f t="shared" si="1"/>
        <v>332.5</v>
      </c>
      <c r="D12" s="161"/>
      <c r="E12" s="161"/>
      <c r="F12" s="160">
        <f t="shared" si="2"/>
        <v>322.7</v>
      </c>
      <c r="G12" s="160">
        <f t="shared" si="3"/>
        <v>332.5</v>
      </c>
    </row>
    <row r="13" spans="1:9" ht="15" customHeight="1" x14ac:dyDescent="0.15">
      <c r="A13" s="159">
        <v>6</v>
      </c>
      <c r="B13" s="160">
        <f t="shared" si="0"/>
        <v>276.60000000000002</v>
      </c>
      <c r="C13" s="160">
        <f t="shared" si="1"/>
        <v>285</v>
      </c>
      <c r="D13" s="161"/>
      <c r="E13" s="161"/>
      <c r="F13" s="160">
        <f t="shared" si="2"/>
        <v>276.60000000000002</v>
      </c>
      <c r="G13" s="160">
        <f t="shared" si="3"/>
        <v>285</v>
      </c>
    </row>
    <row r="14" spans="1:9" ht="15" customHeight="1" x14ac:dyDescent="0.15">
      <c r="A14" s="159">
        <v>5</v>
      </c>
      <c r="B14" s="157">
        <f t="shared" si="0"/>
        <v>230.5</v>
      </c>
      <c r="C14" s="157">
        <f t="shared" si="1"/>
        <v>237.5</v>
      </c>
      <c r="D14" s="161"/>
      <c r="E14" s="161"/>
      <c r="F14" s="157">
        <f t="shared" si="2"/>
        <v>230.5</v>
      </c>
      <c r="G14" s="157">
        <f t="shared" si="3"/>
        <v>237.5</v>
      </c>
    </row>
    <row r="15" spans="1:9" ht="15" customHeight="1" x14ac:dyDescent="0.15">
      <c r="A15" s="159">
        <v>4</v>
      </c>
      <c r="B15" s="160">
        <f t="shared" si="0"/>
        <v>184.4</v>
      </c>
      <c r="C15" s="160">
        <f t="shared" si="1"/>
        <v>190</v>
      </c>
      <c r="D15" s="161"/>
      <c r="E15" s="161"/>
      <c r="F15" s="160">
        <f t="shared" si="2"/>
        <v>184.4</v>
      </c>
      <c r="G15" s="160">
        <f t="shared" si="3"/>
        <v>190</v>
      </c>
    </row>
    <row r="16" spans="1:9" ht="15" customHeight="1" x14ac:dyDescent="0.15">
      <c r="A16" s="159">
        <v>3</v>
      </c>
      <c r="B16" s="160">
        <f t="shared" si="0"/>
        <v>138.30000000000001</v>
      </c>
      <c r="C16" s="160">
        <f t="shared" si="1"/>
        <v>142.5</v>
      </c>
      <c r="D16" s="161"/>
      <c r="E16" s="161"/>
      <c r="F16" s="160">
        <f t="shared" si="2"/>
        <v>138.30000000000001</v>
      </c>
      <c r="G16" s="160">
        <f t="shared" si="3"/>
        <v>142.5</v>
      </c>
    </row>
    <row r="17" spans="1:7" ht="15" customHeight="1" x14ac:dyDescent="0.15">
      <c r="A17" s="159">
        <v>2.5</v>
      </c>
      <c r="B17" s="160">
        <f t="shared" si="0"/>
        <v>115.25</v>
      </c>
      <c r="C17" s="160">
        <f t="shared" si="1"/>
        <v>118.75</v>
      </c>
      <c r="D17" s="161"/>
      <c r="E17" s="161"/>
      <c r="F17" s="160">
        <f t="shared" si="2"/>
        <v>115.25</v>
      </c>
      <c r="G17" s="160">
        <f t="shared" si="3"/>
        <v>118.75</v>
      </c>
    </row>
    <row r="18" spans="1:7" ht="15" customHeight="1" x14ac:dyDescent="0.15">
      <c r="A18" s="159">
        <v>2</v>
      </c>
      <c r="B18" s="160">
        <f>ROUND(B7*104.29/251,2)</f>
        <v>95.77</v>
      </c>
      <c r="C18" s="157">
        <f>ROUND(C7*104.29/251,2)</f>
        <v>98.68</v>
      </c>
      <c r="D18" s="161"/>
      <c r="E18" s="161"/>
      <c r="F18" s="160">
        <f>ROUND(F7*104.29/251,2)</f>
        <v>95.77</v>
      </c>
      <c r="G18" s="160">
        <f>ROUND(G7*104.29/251,2)</f>
        <v>98.68</v>
      </c>
    </row>
    <row r="19" spans="1:7" ht="15" customHeight="1" x14ac:dyDescent="0.15">
      <c r="A19" s="159">
        <v>1</v>
      </c>
      <c r="B19" s="157">
        <f>ROUND(B7*52.14/251,2)</f>
        <v>47.88</v>
      </c>
      <c r="C19" s="157">
        <f>ROUND(C7*52.14/251,2)</f>
        <v>49.34</v>
      </c>
      <c r="D19" s="161"/>
      <c r="E19" s="161"/>
      <c r="F19" s="157">
        <f>ROUND(F7*52.14/251,2)</f>
        <v>47.88</v>
      </c>
      <c r="G19" s="157">
        <f>ROUND(G7*52.14/251,2)</f>
        <v>49.34</v>
      </c>
    </row>
    <row r="20" spans="1:7" ht="15" customHeight="1" x14ac:dyDescent="0.15">
      <c r="A20" s="159">
        <v>0.5</v>
      </c>
      <c r="B20" s="160">
        <f>ROUND(B7*26.07/251,2)</f>
        <v>23.94</v>
      </c>
      <c r="C20" s="160">
        <f>ROUND(C7*26.07/251,2)</f>
        <v>24.67</v>
      </c>
      <c r="D20" s="161"/>
      <c r="E20" s="161"/>
      <c r="F20" s="157">
        <f>ROUND(F7*26.07/251,2)</f>
        <v>23.94</v>
      </c>
      <c r="G20" s="157">
        <f>ROUND(G7*26.07/251,2)</f>
        <v>24.67</v>
      </c>
    </row>
    <row r="21" spans="1:7" ht="15" customHeight="1" x14ac:dyDescent="0.15">
      <c r="A21" s="159" t="s">
        <v>141</v>
      </c>
      <c r="B21" s="162">
        <f t="shared" ref="B21:G21" si="4">ROUND(12*2,2)</f>
        <v>24</v>
      </c>
      <c r="C21" s="162">
        <f t="shared" si="4"/>
        <v>24</v>
      </c>
      <c r="D21" s="162">
        <f t="shared" si="4"/>
        <v>24</v>
      </c>
      <c r="E21" s="162">
        <f t="shared" si="4"/>
        <v>24</v>
      </c>
      <c r="F21" s="162">
        <f t="shared" si="4"/>
        <v>24</v>
      </c>
      <c r="G21" s="162">
        <f t="shared" si="4"/>
        <v>24</v>
      </c>
    </row>
    <row r="22" spans="1:7" ht="15" customHeight="1" x14ac:dyDescent="0.15">
      <c r="A22" s="159" t="s">
        <v>142</v>
      </c>
      <c r="B22" s="163">
        <f t="shared" ref="B22:G22" si="5">ROUND(12*1,2)</f>
        <v>12</v>
      </c>
      <c r="C22" s="162">
        <f t="shared" si="5"/>
        <v>12</v>
      </c>
      <c r="D22" s="162">
        <f t="shared" si="5"/>
        <v>12</v>
      </c>
      <c r="E22" s="162">
        <f t="shared" si="5"/>
        <v>12</v>
      </c>
      <c r="F22" s="163">
        <f t="shared" si="5"/>
        <v>12</v>
      </c>
      <c r="G22" s="163">
        <f t="shared" si="5"/>
        <v>12</v>
      </c>
    </row>
    <row r="23" spans="1:7" ht="15" customHeight="1" x14ac:dyDescent="0.15">
      <c r="A23" s="159" t="s">
        <v>143</v>
      </c>
      <c r="B23" s="160">
        <v>6</v>
      </c>
      <c r="C23" s="160">
        <v>6</v>
      </c>
      <c r="D23" s="160">
        <v>6</v>
      </c>
      <c r="E23" s="160">
        <v>6</v>
      </c>
      <c r="F23" s="160">
        <v>6</v>
      </c>
      <c r="G23" s="160">
        <v>6</v>
      </c>
    </row>
    <row r="24" spans="1:7" ht="15" customHeight="1" x14ac:dyDescent="0.15">
      <c r="A24" s="159" t="s">
        <v>144</v>
      </c>
      <c r="B24" s="160">
        <v>5</v>
      </c>
      <c r="C24" s="160">
        <v>5</v>
      </c>
      <c r="D24" s="160">
        <v>5</v>
      </c>
      <c r="E24" s="160">
        <v>5</v>
      </c>
      <c r="F24" s="160">
        <v>5</v>
      </c>
      <c r="G24" s="160">
        <v>5</v>
      </c>
    </row>
    <row r="25" spans="1:7" ht="15" customHeight="1" x14ac:dyDescent="0.15">
      <c r="A25" s="159" t="s">
        <v>145</v>
      </c>
      <c r="B25" s="160">
        <v>4</v>
      </c>
      <c r="C25" s="160">
        <v>4</v>
      </c>
      <c r="D25" s="160">
        <v>4</v>
      </c>
      <c r="E25" s="160">
        <v>4</v>
      </c>
      <c r="F25" s="160">
        <v>4</v>
      </c>
      <c r="G25" s="160">
        <v>4</v>
      </c>
    </row>
    <row r="26" spans="1:7" ht="15" customHeight="1" x14ac:dyDescent="0.15">
      <c r="A26" s="159" t="s">
        <v>146</v>
      </c>
      <c r="B26" s="160">
        <v>3</v>
      </c>
      <c r="C26" s="160">
        <v>3</v>
      </c>
      <c r="D26" s="160">
        <v>3</v>
      </c>
      <c r="E26" s="160">
        <v>3</v>
      </c>
      <c r="F26" s="160">
        <v>3</v>
      </c>
      <c r="G26" s="160">
        <v>3</v>
      </c>
    </row>
    <row r="27" spans="1:7" ht="15" customHeight="1" x14ac:dyDescent="0.15">
      <c r="A27" s="159" t="s">
        <v>147</v>
      </c>
      <c r="B27" s="160">
        <v>2</v>
      </c>
      <c r="C27" s="160">
        <v>2</v>
      </c>
      <c r="D27" s="160">
        <v>2</v>
      </c>
      <c r="E27" s="160">
        <v>2</v>
      </c>
      <c r="F27" s="160">
        <v>2</v>
      </c>
      <c r="G27" s="160">
        <v>2</v>
      </c>
    </row>
    <row r="28" spans="1:7" ht="15" customHeight="1" x14ac:dyDescent="0.15">
      <c r="A28" s="159" t="s">
        <v>148</v>
      </c>
      <c r="B28" s="160">
        <v>1</v>
      </c>
      <c r="C28" s="160">
        <v>1</v>
      </c>
      <c r="D28" s="157">
        <v>1</v>
      </c>
      <c r="E28" s="157">
        <v>1</v>
      </c>
      <c r="F28" s="160">
        <v>1</v>
      </c>
      <c r="G28" s="160">
        <v>1</v>
      </c>
    </row>
    <row r="29" spans="1:7" ht="15" customHeight="1" x14ac:dyDescent="0.15">
      <c r="A29" s="157" t="s">
        <v>149</v>
      </c>
      <c r="B29" s="160">
        <v>0.5</v>
      </c>
      <c r="C29" s="160">
        <v>0.5</v>
      </c>
      <c r="D29" s="160">
        <v>0.5</v>
      </c>
      <c r="E29" s="160">
        <v>0.5</v>
      </c>
      <c r="F29" s="160">
        <v>0.5</v>
      </c>
      <c r="G29" s="160">
        <v>0.5</v>
      </c>
    </row>
    <row r="30" spans="1:7" ht="15" customHeight="1" x14ac:dyDescent="0.15">
      <c r="A30" s="157">
        <v>0</v>
      </c>
      <c r="B30" s="157">
        <v>0</v>
      </c>
      <c r="C30" s="157">
        <v>0</v>
      </c>
      <c r="D30" s="164"/>
      <c r="E30" s="164"/>
      <c r="F30" s="157">
        <v>0</v>
      </c>
      <c r="G30" s="157">
        <v>0</v>
      </c>
    </row>
    <row r="31" spans="1:7" ht="15" customHeight="1" x14ac:dyDescent="0.15">
      <c r="A31" s="157" t="s">
        <v>151</v>
      </c>
      <c r="B31" s="161"/>
      <c r="C31" s="161"/>
      <c r="D31" s="161"/>
      <c r="E31" s="161"/>
      <c r="F31" s="161"/>
      <c r="G31" s="161"/>
    </row>
  </sheetData>
  <sheetProtection algorithmName="SHA-512" hashValue="SbXY57+0RvCnLqkGFep9B4WFuECsrlr4qoPXJMokF6T5phud+v35Nbn95tAe72Y8dOF1V3qNJSYgnzmRlAtrdg==" saltValue="UF9dI7NiPfFnt+c1jSKJ1Q==" spinCount="100000" sheet="1" objects="1" scenarios="1"/>
  <mergeCells count="1">
    <mergeCell ref="E1:H2"/>
  </mergeCells>
  <dataValidations count="2">
    <dataValidation type="textLength" operator="equal" allowBlank="1" showInputMessage="1" showErrorMessage="1" prompt="Reinigung erfolgt 1 Mal monatlich." sqref="A22" xr:uid="{00000000-0002-0000-1700-000000000000}">
      <formula1>2</formula1>
    </dataValidation>
    <dataValidation type="textLength" operator="equal" allowBlank="1" showInputMessage="1" showErrorMessage="1" prompt="Reinigung erfolgt 2 Mal monatlich." sqref="A21" xr:uid="{00000000-0002-0000-1700-000001000000}">
      <formula1>2</formula1>
    </dataValidation>
  </dataValidations>
  <hyperlinks>
    <hyperlink ref="I1" location="Inhaltsverzeichnis!A1" display="Zurück zum Inhaltsverzeichnis" xr:uid="{00000000-0004-0000-1700-0000000000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&amp;N&amp;RReinigungstage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ltText="Hinweis">
                <anchor moveWithCells="1">
                  <from>
                    <xdr:col>3</xdr:col>
                    <xdr:colOff>85725</xdr:colOff>
                    <xdr:row>0</xdr:row>
                    <xdr:rowOff>247650</xdr:rowOff>
                  </from>
                  <to>
                    <xdr:col>3</xdr:col>
                    <xdr:colOff>809625</xdr:colOff>
                    <xdr:row>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indexed="58"/>
  </sheetPr>
  <dimension ref="A1:I8"/>
  <sheetViews>
    <sheetView showGridLines="0" zoomScaleNormal="100" workbookViewId="0"/>
  </sheetViews>
  <sheetFormatPr baseColWidth="10" defaultColWidth="11.42578125" defaultRowHeight="15" customHeight="1" x14ac:dyDescent="0.2"/>
  <cols>
    <col min="1" max="1" width="25.7109375" style="3" customWidth="1"/>
    <col min="2" max="2" width="15.7109375" style="3" customWidth="1"/>
    <col min="3" max="6" width="14.28515625" style="3" customWidth="1"/>
    <col min="7" max="9" width="16.7109375" style="3" customWidth="1"/>
    <col min="10" max="16384" width="11.42578125" style="3"/>
  </cols>
  <sheetData>
    <row r="1" spans="1:9" ht="29.1" customHeight="1" x14ac:dyDescent="0.2">
      <c r="A1" s="3" t="s">
        <v>187</v>
      </c>
      <c r="D1" s="24"/>
    </row>
    <row r="2" spans="1:9" ht="24" customHeight="1" x14ac:dyDescent="0.2">
      <c r="B2" s="57" t="b">
        <v>0</v>
      </c>
      <c r="C2" s="173" t="str">
        <f>IF(B2=TRUE,"Hier muss nichts ausgefüllt werden. Füllen Sie zunächst in den folgenden Tabellen die gelben Zellen aus. Kehren Sie dann zu dieser Tabelle zurück.","")</f>
        <v/>
      </c>
      <c r="D2" s="173"/>
      <c r="E2" s="173"/>
      <c r="F2" s="173"/>
      <c r="G2" s="173"/>
    </row>
    <row r="3" spans="1:9" ht="24" customHeight="1" x14ac:dyDescent="0.2">
      <c r="A3" s="27" t="s">
        <v>103</v>
      </c>
      <c r="B3" s="28" t="str">
        <f>IF(Inhaltsverzeichnis!$C$3="", "",Inhaltsverzeichnis!$C$3)</f>
        <v/>
      </c>
      <c r="C3" s="4"/>
      <c r="D3" s="4"/>
    </row>
    <row r="4" spans="1:9" s="23" customFormat="1" ht="29.1" customHeight="1" x14ac:dyDescent="0.2">
      <c r="A4" s="174" t="s">
        <v>289</v>
      </c>
      <c r="B4" s="175"/>
      <c r="C4" s="1" t="s">
        <v>284</v>
      </c>
      <c r="D4" s="1" t="s">
        <v>286</v>
      </c>
      <c r="E4" s="1" t="s">
        <v>288</v>
      </c>
      <c r="F4" s="1" t="s">
        <v>287</v>
      </c>
      <c r="G4" s="169" t="s">
        <v>290</v>
      </c>
      <c r="H4" s="169"/>
      <c r="I4" s="169"/>
    </row>
    <row r="5" spans="1:9" s="23" customFormat="1" ht="29.1" customHeight="1" x14ac:dyDescent="0.2">
      <c r="A5" s="1" t="s">
        <v>96</v>
      </c>
      <c r="B5" s="1" t="s">
        <v>181</v>
      </c>
      <c r="C5" s="1" t="s">
        <v>155</v>
      </c>
      <c r="D5" s="1" t="s">
        <v>155</v>
      </c>
      <c r="E5" s="1" t="s">
        <v>155</v>
      </c>
      <c r="F5" s="1" t="s">
        <v>155</v>
      </c>
      <c r="G5" s="1" t="s">
        <v>155</v>
      </c>
      <c r="H5" s="1" t="s">
        <v>291</v>
      </c>
      <c r="I5" s="1" t="s">
        <v>156</v>
      </c>
    </row>
    <row r="6" spans="1:9" ht="15" customHeight="1" x14ac:dyDescent="0.2">
      <c r="A6" s="12" t="s">
        <v>198</v>
      </c>
      <c r="B6" s="62">
        <v>10</v>
      </c>
      <c r="C6" s="58">
        <f ca="1">'Kal Unter Kita Regenb'!Q21</f>
        <v>0</v>
      </c>
      <c r="D6" s="58">
        <f>'Kal Grund Kita Regenb'!Q21</f>
        <v>0</v>
      </c>
      <c r="E6" s="58">
        <f>SUMIF('Kal Verbrauch Gesamt'!$B$5:$B$13,A6,'Kal Verbrauch Gesamt'!$G$5:$G$13)</f>
        <v>0</v>
      </c>
      <c r="F6" s="58">
        <f ca="1">SUMIF('Kal Wirtschaft Gesamt'!$B$5:$B19,$A$6,'Kal Wirtschaft Gesamt'!$J$5:$J19)</f>
        <v>0</v>
      </c>
      <c r="G6" s="58">
        <f ca="1">SUM(C6:F6)</f>
        <v>0</v>
      </c>
      <c r="H6" s="58">
        <f ca="1">I6-G6</f>
        <v>0</v>
      </c>
      <c r="I6" s="58">
        <f ca="1">ROUND(G6*1.19,2)</f>
        <v>0</v>
      </c>
    </row>
    <row r="7" spans="1:9" ht="15" customHeight="1" x14ac:dyDescent="0.2">
      <c r="A7" s="12" t="s">
        <v>204</v>
      </c>
      <c r="B7" s="62">
        <v>10</v>
      </c>
      <c r="C7" s="58">
        <f ca="1">'Kal Unter Kita Teichspa'!Q21</f>
        <v>0</v>
      </c>
      <c r="D7" s="58">
        <f>'Kal Grund Kita Teichspa'!Q21</f>
        <v>0</v>
      </c>
      <c r="E7" s="58">
        <f>SUMIF('Kal Verbrauch Gesamt'!$B$5:$B$13,A7,'Kal Verbrauch Gesamt'!$G$5:$G$13)</f>
        <v>0</v>
      </c>
      <c r="F7" s="58">
        <f ca="1">SUMIF('Kal Wirtschaft Gesamt'!$B$5:$B19,$A$7,'Kal Wirtschaft Gesamt'!$J$5:$J19)</f>
        <v>0</v>
      </c>
      <c r="G7" s="58">
        <f ca="1">SUM(C7:F7)</f>
        <v>0</v>
      </c>
      <c r="H7" s="58">
        <f ca="1">I7-G7</f>
        <v>0</v>
      </c>
      <c r="I7" s="58">
        <f ca="1">ROUND(G7*1.19,2)</f>
        <v>0</v>
      </c>
    </row>
    <row r="8" spans="1:9" ht="15" customHeight="1" x14ac:dyDescent="0.2">
      <c r="A8" s="170" t="s">
        <v>292</v>
      </c>
      <c r="B8" s="171"/>
      <c r="C8" s="172"/>
      <c r="D8" s="172"/>
      <c r="E8" s="172"/>
      <c r="F8" s="172"/>
      <c r="G8" s="58">
        <f ca="1">ROUND(SUM(G6:G7),2)</f>
        <v>0</v>
      </c>
      <c r="H8" s="58">
        <f ca="1">ROUND(SUM(H6:H7),2)</f>
        <v>0</v>
      </c>
      <c r="I8" s="58">
        <f ca="1">ROUND(SUM(I6:I7),2)</f>
        <v>0</v>
      </c>
    </row>
  </sheetData>
  <sheetProtection algorithmName="SHA-512" hashValue="A/CBkHnCeV9VJRqt+8UGwE4qVHoPUM8ZHZn9/PNHQYq8bm88eBrhIEdf8+D1WgGR16AJMFSNZ/P3AWa9G4hXnw==" saltValue="MFgjSlbsjrS1t/i7yDD85g==" spinCount="100000" sheet="1" objects="1" scenarios="1"/>
  <mergeCells count="4">
    <mergeCell ref="G4:I4"/>
    <mergeCell ref="A8:F8"/>
    <mergeCell ref="C2:G2"/>
    <mergeCell ref="A4:B4"/>
  </mergeCells>
  <phoneticPr fontId="3" type="noConversion"/>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&amp;N&amp;RPreisübersicht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ltText="Hinweis">
                <anchor moveWithCells="1">
                  <from>
                    <xdr:col>1</xdr:col>
                    <xdr:colOff>180975</xdr:colOff>
                    <xdr:row>1</xdr:row>
                    <xdr:rowOff>28575</xdr:rowOff>
                  </from>
                  <to>
                    <xdr:col>1</xdr:col>
                    <xdr:colOff>933450</xdr:colOff>
                    <xdr:row>1</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4E15C-ACFC-4F5A-88D1-64980CCEB0CF}">
  <sheetPr>
    <tabColor indexed="58"/>
  </sheetPr>
  <dimension ref="A1:H6"/>
  <sheetViews>
    <sheetView showGridLines="0" zoomScaleNormal="100" workbookViewId="0"/>
  </sheetViews>
  <sheetFormatPr baseColWidth="10" defaultColWidth="11.42578125" defaultRowHeight="15" customHeight="1" x14ac:dyDescent="0.2"/>
  <cols>
    <col min="1" max="1" width="25.7109375" style="3" customWidth="1"/>
    <col min="2" max="5" width="16.7109375" style="3" customWidth="1"/>
    <col min="6" max="8" width="14.28515625" style="3" customWidth="1"/>
    <col min="9" max="11" width="16.7109375" style="3" customWidth="1"/>
    <col min="12" max="16384" width="11.42578125" style="3"/>
  </cols>
  <sheetData>
    <row r="1" spans="1:8" ht="29.1" customHeight="1" x14ac:dyDescent="0.2">
      <c r="A1" s="3" t="s">
        <v>308</v>
      </c>
      <c r="E1" s="5" t="s">
        <v>100</v>
      </c>
      <c r="F1" s="24"/>
    </row>
    <row r="2" spans="1:8" ht="23.45" customHeight="1" x14ac:dyDescent="0.2">
      <c r="B2" s="57" t="b">
        <v>0</v>
      </c>
      <c r="C2" s="167" t="str">
        <f>IF(B2=TRUE,"Hier muss nichts ausgefüllt werden. Füllen Sie zunächst in den folgenden Tabellen die gelben Zellen aus. Kehren Sie dann zu dieser Tabelle zurück.","")</f>
        <v/>
      </c>
      <c r="D2" s="167"/>
      <c r="E2" s="167"/>
      <c r="F2" s="167"/>
      <c r="G2" s="167"/>
    </row>
    <row r="3" spans="1:8" ht="23.45" customHeight="1" x14ac:dyDescent="0.2">
      <c r="A3" s="27" t="s">
        <v>103</v>
      </c>
      <c r="B3" s="28" t="str">
        <f>IF(Inhaltsverzeichnis!$C$3="", "",Inhaltsverzeichnis!$C$3)</f>
        <v/>
      </c>
    </row>
    <row r="4" spans="1:8" s="23" customFormat="1" ht="29.1" customHeight="1" x14ac:dyDescent="0.2">
      <c r="A4" s="169" t="s">
        <v>309</v>
      </c>
      <c r="B4" s="169"/>
      <c r="C4" s="169" t="s">
        <v>310</v>
      </c>
      <c r="D4" s="169"/>
      <c r="E4" s="169"/>
      <c r="F4" s="173"/>
      <c r="G4" s="173"/>
      <c r="H4" s="173"/>
    </row>
    <row r="5" spans="1:8" s="23" customFormat="1" ht="29.1" customHeight="1" x14ac:dyDescent="0.2">
      <c r="A5" s="1" t="s">
        <v>96</v>
      </c>
      <c r="B5" s="1" t="s">
        <v>181</v>
      </c>
      <c r="C5" s="1" t="s">
        <v>155</v>
      </c>
      <c r="D5" s="1" t="s">
        <v>291</v>
      </c>
      <c r="E5" s="1" t="s">
        <v>156</v>
      </c>
      <c r="F5" s="29"/>
      <c r="G5" s="29"/>
      <c r="H5" s="29"/>
    </row>
    <row r="6" spans="1:8" ht="15" customHeight="1" x14ac:dyDescent="0.2">
      <c r="A6" s="12" t="s">
        <v>204</v>
      </c>
      <c r="B6" s="62">
        <v>10</v>
      </c>
      <c r="C6" s="58">
        <f>'Kal Sonderreinigung Bed'!$G$5</f>
        <v>0</v>
      </c>
      <c r="D6" s="58">
        <f>E6-C6</f>
        <v>0</v>
      </c>
      <c r="E6" s="58">
        <f>ROUND(C6*1.19,2)</f>
        <v>0</v>
      </c>
      <c r="F6" s="59"/>
      <c r="G6" s="59"/>
      <c r="H6" s="59"/>
    </row>
  </sheetData>
  <sheetProtection algorithmName="SHA-512" hashValue="uOc4AbE6yQN2h3XtgsTP5b4OIycYxlsAd894MQ+Hplyd6JvlymIN0Cog6N2Rt9TGaLyDVBZqm+8U9oA+bwE4mg==" saltValue="dMoKrPiefej/up302+kALg==" spinCount="100000" sheet="1" objects="1" scenarios="1"/>
  <mergeCells count="4">
    <mergeCell ref="C2:G2"/>
    <mergeCell ref="A4:B4"/>
    <mergeCell ref="F4:H4"/>
    <mergeCell ref="C4:E4"/>
  </mergeCells>
  <hyperlinks>
    <hyperlink ref="E1" location="'Inhaltsverzeichnis'!$A$1" display="Zurück zum Inhaltsverzeichnis" xr:uid="{6234DD1F-8CE2-4A38-9471-2EFDE4AB5296}"/>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&amp;N&amp;RPreisübersicht (nach Bedarf)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Check Box 1">
              <controlPr defaultSize="0" autoFill="0" autoLine="0" autoPict="0" altText="Hinweis">
                <anchor moveWithCells="1">
                  <from>
                    <xdr:col>1</xdr:col>
                    <xdr:colOff>180975</xdr:colOff>
                    <xdr:row>1</xdr:row>
                    <xdr:rowOff>19050</xdr:rowOff>
                  </from>
                  <to>
                    <xdr:col>1</xdr:col>
                    <xdr:colOff>971550</xdr:colOff>
                    <xdr:row>1</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8">
    <tabColor indexed="13"/>
  </sheetPr>
  <dimension ref="A1:O79"/>
  <sheetViews>
    <sheetView showGridLines="0" zoomScaleNormal="100" zoomScaleSheetLayoutView="70"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8.5703125"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9" customHeight="1" x14ac:dyDescent="0.2">
      <c r="A1" s="84" t="str">
        <f ca="1">IF(H61&lt;&gt;"","","Bitte alle gelben Zellen ausfüllen.")</f>
        <v>Bitte alle gelben Zellen ausfüllen.</v>
      </c>
      <c r="D1" s="100" t="b">
        <v>0</v>
      </c>
      <c r="E1" s="167"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67"/>
      <c r="G1" s="167"/>
      <c r="H1" s="167"/>
      <c r="I1" s="167"/>
      <c r="K1" s="5" t="s">
        <v>100</v>
      </c>
    </row>
    <row r="2" spans="1:11" ht="33" customHeight="1" x14ac:dyDescent="0.2">
      <c r="A2" s="3" t="s">
        <v>103</v>
      </c>
      <c r="C2" s="3" t="str">
        <f>IF(Inhaltsverzeichnis!$C$3="", "",Inhaltsverzeichnis!$C$3)</f>
        <v/>
      </c>
      <c r="D2" s="57" t="b">
        <v>0</v>
      </c>
      <c r="E2" s="167"/>
      <c r="F2" s="167"/>
      <c r="G2" s="167"/>
      <c r="H2" s="167"/>
      <c r="I2" s="167"/>
    </row>
    <row r="3" spans="1:11" s="2" customFormat="1" ht="12.75" x14ac:dyDescent="0.2">
      <c r="A3" s="186" t="s">
        <v>102</v>
      </c>
      <c r="B3" s="186"/>
      <c r="C3" s="186"/>
      <c r="D3" s="186"/>
      <c r="E3" s="186"/>
      <c r="F3" s="186"/>
      <c r="G3" s="186"/>
      <c r="H3" s="186"/>
      <c r="I3" s="186"/>
    </row>
    <row r="4" spans="1:11" x14ac:dyDescent="0.2">
      <c r="A4" s="85"/>
      <c r="B4" s="85"/>
      <c r="C4" s="85"/>
      <c r="D4" s="85"/>
      <c r="E4" s="85"/>
      <c r="F4" s="85"/>
      <c r="G4" s="85"/>
      <c r="H4" s="85"/>
      <c r="I4" s="85"/>
    </row>
    <row r="5" spans="1:11" ht="15" customHeight="1" x14ac:dyDescent="0.2">
      <c r="A5" s="86" t="s">
        <v>1</v>
      </c>
      <c r="B5" s="86" t="s">
        <v>2</v>
      </c>
      <c r="C5" s="86"/>
      <c r="D5" s="86"/>
      <c r="E5" s="86"/>
      <c r="F5" s="87">
        <v>100</v>
      </c>
      <c r="G5" s="86" t="s">
        <v>3</v>
      </c>
      <c r="H5" s="7">
        <v>15</v>
      </c>
      <c r="I5" s="86" t="s">
        <v>4</v>
      </c>
      <c r="K5" s="88"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85"/>
      <c r="B6" s="85"/>
      <c r="C6" s="85"/>
      <c r="D6" s="85"/>
      <c r="E6" s="85"/>
      <c r="F6" s="89"/>
      <c r="G6" s="85"/>
      <c r="H6" s="89"/>
      <c r="I6" s="85"/>
    </row>
    <row r="7" spans="1:11" x14ac:dyDescent="0.2">
      <c r="A7" s="86" t="s">
        <v>5</v>
      </c>
      <c r="B7" s="86" t="s">
        <v>6</v>
      </c>
      <c r="C7" s="86"/>
      <c r="D7" s="86"/>
      <c r="E7" s="86"/>
      <c r="F7" s="90"/>
      <c r="G7" s="86"/>
      <c r="H7" s="90"/>
      <c r="I7" s="86"/>
    </row>
    <row r="8" spans="1:11" ht="14.25" x14ac:dyDescent="0.2">
      <c r="A8" s="85" t="s">
        <v>7</v>
      </c>
      <c r="B8" s="85" t="s">
        <v>8</v>
      </c>
      <c r="C8" s="85"/>
      <c r="D8" s="85"/>
      <c r="E8" s="85"/>
      <c r="F8" s="90"/>
      <c r="G8" s="90"/>
      <c r="H8" s="90"/>
      <c r="I8" s="90"/>
      <c r="K8" s="91"/>
    </row>
    <row r="9" spans="1:11" x14ac:dyDescent="0.2">
      <c r="A9" s="85" t="s">
        <v>9</v>
      </c>
      <c r="B9" s="85"/>
      <c r="C9" s="85" t="s">
        <v>10</v>
      </c>
      <c r="D9" s="85"/>
      <c r="E9" s="85"/>
      <c r="F9" s="8"/>
      <c r="G9" s="85" t="s">
        <v>3</v>
      </c>
      <c r="H9" s="92" t="str">
        <f>IF(F9="","",ROUND(F9/100*$H$5,2))</f>
        <v/>
      </c>
      <c r="I9" s="85" t="s">
        <v>4</v>
      </c>
      <c r="K9" s="88" t="str">
        <f>IF(F9="","Bitte ausfüllen!","")</f>
        <v>Bitte ausfüllen!</v>
      </c>
    </row>
    <row r="10" spans="1:11" x14ac:dyDescent="0.2">
      <c r="A10" s="85" t="s">
        <v>11</v>
      </c>
      <c r="B10" s="85"/>
      <c r="C10" s="85" t="s">
        <v>12</v>
      </c>
      <c r="D10" s="85"/>
      <c r="E10" s="85"/>
      <c r="F10" s="8"/>
      <c r="G10" s="85" t="s">
        <v>3</v>
      </c>
      <c r="H10" s="92" t="str">
        <f>IF(F10="","",ROUND(F10/100*$H$5,2))</f>
        <v/>
      </c>
      <c r="I10" s="85" t="s">
        <v>4</v>
      </c>
      <c r="K10" s="88" t="str">
        <f>IF(F10="","Bitte ausfüllen!","")</f>
        <v>Bitte ausfüllen!</v>
      </c>
    </row>
    <row r="11" spans="1:11" x14ac:dyDescent="0.2">
      <c r="A11" s="85" t="s">
        <v>13</v>
      </c>
      <c r="B11" s="85"/>
      <c r="C11" s="85" t="s">
        <v>14</v>
      </c>
      <c r="D11" s="85"/>
      <c r="E11" s="85"/>
      <c r="F11" s="8"/>
      <c r="G11" s="85" t="s">
        <v>3</v>
      </c>
      <c r="H11" s="92" t="str">
        <f>IF(F11="","",ROUND(F11/100*$H$5,2))</f>
        <v/>
      </c>
      <c r="I11" s="85" t="s">
        <v>4</v>
      </c>
      <c r="K11" s="88" t="str">
        <f>IF(F11="","Bitte ausfüllen!","")</f>
        <v>Bitte ausfüllen!</v>
      </c>
    </row>
    <row r="12" spans="1:11" x14ac:dyDescent="0.2">
      <c r="A12" s="85" t="s">
        <v>15</v>
      </c>
      <c r="B12" s="85"/>
      <c r="C12" s="85" t="s">
        <v>16</v>
      </c>
      <c r="D12" s="85"/>
      <c r="E12" s="85"/>
      <c r="F12" s="8"/>
      <c r="G12" s="85" t="s">
        <v>3</v>
      </c>
      <c r="H12" s="92" t="str">
        <f>IF(F12="","",ROUND(F12/100*$H$5,2))</f>
        <v/>
      </c>
      <c r="I12" s="85" t="s">
        <v>4</v>
      </c>
      <c r="K12" s="88" t="str">
        <f>IF(F12="","Bitte ausfüllen!","")</f>
        <v>Bitte ausfüllen!</v>
      </c>
    </row>
    <row r="13" spans="1:11" x14ac:dyDescent="0.2">
      <c r="A13" s="85" t="s">
        <v>17</v>
      </c>
      <c r="B13" s="85"/>
      <c r="C13" s="85" t="s">
        <v>18</v>
      </c>
      <c r="D13" s="85"/>
      <c r="E13" s="85"/>
      <c r="F13" s="8"/>
      <c r="G13" s="85" t="s">
        <v>3</v>
      </c>
      <c r="H13" s="92" t="str">
        <f>IF(F13="","",ROUND(F13/100*$H$5,2))</f>
        <v/>
      </c>
      <c r="I13" s="85" t="s">
        <v>4</v>
      </c>
      <c r="K13" s="88" t="str">
        <f>IF(F13="","Bitte ausfüllen!","")</f>
        <v>Bitte ausfüllen!</v>
      </c>
    </row>
    <row r="14" spans="1:11" x14ac:dyDescent="0.2">
      <c r="A14" s="86"/>
      <c r="B14" s="86" t="s">
        <v>19</v>
      </c>
      <c r="C14" s="86"/>
      <c r="D14" s="86"/>
      <c r="E14" s="86"/>
      <c r="F14" s="93">
        <f>IF(SUM(F9:F13)=0,0,SUM(F9:F13))</f>
        <v>0</v>
      </c>
      <c r="G14" s="86" t="s">
        <v>3</v>
      </c>
      <c r="H14" s="94" t="str">
        <f>IF(COUNTIF(F9:F13,"")&gt;0,"",SUM(H8:H13))</f>
        <v/>
      </c>
      <c r="I14" s="86" t="s">
        <v>4</v>
      </c>
      <c r="K14" s="88" t="str">
        <f>IF(H14="","Angaben offen!","")</f>
        <v>Angaben offen!</v>
      </c>
    </row>
    <row r="15" spans="1:11" x14ac:dyDescent="0.2">
      <c r="A15" s="85"/>
      <c r="B15" s="85"/>
      <c r="C15" s="85"/>
      <c r="D15" s="85"/>
      <c r="E15" s="85"/>
      <c r="F15" s="89"/>
      <c r="G15" s="85"/>
      <c r="H15" s="89"/>
      <c r="I15" s="85"/>
    </row>
    <row r="16" spans="1:11" x14ac:dyDescent="0.2">
      <c r="A16" s="86" t="s">
        <v>20</v>
      </c>
      <c r="B16" s="86" t="s">
        <v>21</v>
      </c>
      <c r="C16" s="86"/>
      <c r="D16" s="86"/>
      <c r="E16" s="86"/>
      <c r="F16" s="90"/>
      <c r="G16" s="86"/>
      <c r="H16" s="90"/>
      <c r="I16" s="86"/>
    </row>
    <row r="17" spans="1:11" ht="11.25" customHeight="1" x14ac:dyDescent="0.2">
      <c r="A17" s="85" t="s">
        <v>22</v>
      </c>
      <c r="B17" s="85" t="s">
        <v>126</v>
      </c>
      <c r="C17" s="85"/>
      <c r="D17" s="8">
        <f>D73+D77</f>
        <v>8.75</v>
      </c>
      <c r="E17" s="85" t="s">
        <v>3</v>
      </c>
      <c r="F17" s="89"/>
      <c r="G17" s="85"/>
      <c r="H17" s="89"/>
      <c r="I17" s="85"/>
      <c r="K17" s="88" t="str">
        <f ca="1">IF(D17&lt;(D73+D77),"Wert prüfen!",IF(H61="","Inhalt der gelben Zellen kann angepasst werden.",""))</f>
        <v>Inhalt der gelben Zellen kann angepasst werden.</v>
      </c>
    </row>
    <row r="18" spans="1:11" x14ac:dyDescent="0.2">
      <c r="A18" s="85"/>
      <c r="B18" s="85" t="s">
        <v>23</v>
      </c>
      <c r="C18" s="85"/>
      <c r="D18" s="95">
        <f>(D17/100)*$F$14</f>
        <v>0</v>
      </c>
      <c r="E18" s="85" t="s">
        <v>3</v>
      </c>
      <c r="F18" s="96">
        <f>IF(D18="","",D17+D18)</f>
        <v>8.75</v>
      </c>
      <c r="G18" s="85" t="s">
        <v>3</v>
      </c>
      <c r="H18" s="92">
        <f>IF(D18="","",ROUND(F18/100*$H$5,2))</f>
        <v>1.31</v>
      </c>
      <c r="I18" s="85" t="s">
        <v>4</v>
      </c>
      <c r="K18" s="88"/>
    </row>
    <row r="19" spans="1:11" ht="11.25" x14ac:dyDescent="0.2">
      <c r="A19" s="85" t="s">
        <v>24</v>
      </c>
      <c r="B19" s="85" t="s">
        <v>127</v>
      </c>
      <c r="C19" s="85"/>
      <c r="D19" s="8">
        <f>D74</f>
        <v>9.3000000000000007</v>
      </c>
      <c r="E19" s="85" t="s">
        <v>3</v>
      </c>
      <c r="F19" s="97"/>
      <c r="G19" s="85"/>
      <c r="H19" s="89"/>
      <c r="I19" s="85"/>
      <c r="K19" s="88" t="str">
        <f ca="1">IF(D19&lt;&gt;D74,"Wert prüfen!",IF(H61="","Inhalt der gelben Zellen kann angepasst werden.",""))</f>
        <v>Inhalt der gelben Zellen kann angepasst werden.</v>
      </c>
    </row>
    <row r="20" spans="1:11" ht="11.25" customHeight="1" x14ac:dyDescent="0.2">
      <c r="A20" s="85"/>
      <c r="B20" s="85" t="s">
        <v>25</v>
      </c>
      <c r="C20" s="85"/>
      <c r="D20" s="95">
        <f>(D19/100)*$F$14</f>
        <v>0</v>
      </c>
      <c r="E20" s="85" t="s">
        <v>3</v>
      </c>
      <c r="F20" s="96">
        <f>IF(D20="","",D19+D20)</f>
        <v>9.3000000000000007</v>
      </c>
      <c r="G20" s="85" t="s">
        <v>3</v>
      </c>
      <c r="H20" s="92">
        <f>IF(D20="","",ROUND(F20/100*$H$5,2))</f>
        <v>1.4</v>
      </c>
      <c r="I20" s="85" t="s">
        <v>4</v>
      </c>
      <c r="K20" s="88"/>
    </row>
    <row r="21" spans="1:11" ht="11.25" x14ac:dyDescent="0.2">
      <c r="A21" s="85" t="s">
        <v>26</v>
      </c>
      <c r="B21" s="85" t="s">
        <v>128</v>
      </c>
      <c r="C21" s="85"/>
      <c r="D21" s="8">
        <f>D75</f>
        <v>1.3</v>
      </c>
      <c r="E21" s="85" t="s">
        <v>3</v>
      </c>
      <c r="F21" s="97"/>
      <c r="G21" s="85"/>
      <c r="H21" s="89"/>
      <c r="I21" s="85"/>
      <c r="K21" s="88" t="str">
        <f ca="1">IF(D21&lt;&gt;D75,"Wert prüfen!",IF(H61="","Inhalt der gelben Zellen kann angepasst werden.",""))</f>
        <v>Inhalt der gelben Zellen kann angepasst werden.</v>
      </c>
    </row>
    <row r="22" spans="1:11" x14ac:dyDescent="0.2">
      <c r="A22" s="85"/>
      <c r="B22" s="85" t="s">
        <v>27</v>
      </c>
      <c r="C22" s="85"/>
      <c r="D22" s="95">
        <f>(D21/100)*$F$14</f>
        <v>0</v>
      </c>
      <c r="E22" s="85" t="s">
        <v>3</v>
      </c>
      <c r="F22" s="96">
        <f>IF(D22="","",D21+D22)</f>
        <v>1.3</v>
      </c>
      <c r="G22" s="85" t="s">
        <v>3</v>
      </c>
      <c r="H22" s="92">
        <f>IF(D22="","",ROUND(F22/100*$H$5,2))</f>
        <v>0.2</v>
      </c>
      <c r="I22" s="85" t="s">
        <v>4</v>
      </c>
      <c r="K22" s="88"/>
    </row>
    <row r="23" spans="1:11" ht="11.25" x14ac:dyDescent="0.2">
      <c r="A23" s="85" t="s">
        <v>28</v>
      </c>
      <c r="B23" s="85" t="s">
        <v>129</v>
      </c>
      <c r="C23" s="85"/>
      <c r="D23" s="8">
        <f>D76</f>
        <v>1.8</v>
      </c>
      <c r="E23" s="85" t="s">
        <v>3</v>
      </c>
      <c r="F23" s="97"/>
      <c r="G23" s="85"/>
      <c r="H23" s="89"/>
      <c r="I23" s="85"/>
      <c r="K23" s="88" t="str">
        <f ca="1">IF(D23&lt;&gt;D76,"Wert prüfen!",IF(H61="","Inhalt der gelben Zellen kann angepasst werden.",""))</f>
        <v>Inhalt der gelben Zellen kann angepasst werden.</v>
      </c>
    </row>
    <row r="24" spans="1:11" x14ac:dyDescent="0.2">
      <c r="A24" s="85"/>
      <c r="B24" s="85" t="s">
        <v>29</v>
      </c>
      <c r="C24" s="85"/>
      <c r="D24" s="95">
        <f>(D23/100)*$F$14</f>
        <v>0</v>
      </c>
      <c r="E24" s="85" t="s">
        <v>3</v>
      </c>
      <c r="F24" s="96">
        <f>IF(D24="","",D23+D24)</f>
        <v>1.8</v>
      </c>
      <c r="G24" s="85" t="s">
        <v>3</v>
      </c>
      <c r="H24" s="92">
        <f>IF(D24="","",ROUND(F24/100*$H$5,2))</f>
        <v>0.27</v>
      </c>
      <c r="I24" s="85" t="s">
        <v>4</v>
      </c>
      <c r="K24" s="88"/>
    </row>
    <row r="25" spans="1:11" ht="11.25" x14ac:dyDescent="0.2">
      <c r="A25" s="85" t="s">
        <v>30</v>
      </c>
      <c r="B25" s="85" t="s">
        <v>130</v>
      </c>
      <c r="C25" s="85"/>
      <c r="D25" s="8"/>
      <c r="E25" s="85" t="s">
        <v>3</v>
      </c>
      <c r="F25" s="97"/>
      <c r="G25" s="85"/>
      <c r="H25" s="89"/>
      <c r="I25" s="85"/>
      <c r="K25" s="88" t="str">
        <f>IF(D25="","Bitte ausfüllen!","")</f>
        <v>Bitte ausfüllen!</v>
      </c>
    </row>
    <row r="26" spans="1:11" x14ac:dyDescent="0.2">
      <c r="A26" s="85"/>
      <c r="B26" s="85" t="s">
        <v>31</v>
      </c>
      <c r="C26" s="85"/>
      <c r="D26" s="95">
        <f>(D25/100)*$F$14</f>
        <v>0</v>
      </c>
      <c r="E26" s="85" t="s">
        <v>3</v>
      </c>
      <c r="F26" s="96">
        <f>IF(D26="","",D25+D26)</f>
        <v>0</v>
      </c>
      <c r="G26" s="85" t="s">
        <v>3</v>
      </c>
      <c r="H26" s="92">
        <f>IF(D26="","",ROUND(F26/100*$H$5,2))</f>
        <v>0</v>
      </c>
      <c r="I26" s="85" t="s">
        <v>4</v>
      </c>
      <c r="K26" s="88"/>
    </row>
    <row r="27" spans="1:11" ht="11.25" x14ac:dyDescent="0.2">
      <c r="A27" s="85" t="s">
        <v>32</v>
      </c>
      <c r="B27" s="85" t="s">
        <v>131</v>
      </c>
      <c r="C27" s="85"/>
      <c r="D27" s="85"/>
      <c r="E27" s="85"/>
      <c r="F27" s="8"/>
      <c r="G27" s="85" t="s">
        <v>3</v>
      </c>
      <c r="H27" s="92" t="str">
        <f>IF(F27="","",ROUND(F27/100*$H$5,2))</f>
        <v/>
      </c>
      <c r="I27" s="85" t="s">
        <v>4</v>
      </c>
      <c r="K27" s="88" t="str">
        <f>IF(F27="","Bitte ausfüllen!","")</f>
        <v>Bitte ausfüllen!</v>
      </c>
    </row>
    <row r="28" spans="1:11" ht="11.25" x14ac:dyDescent="0.2">
      <c r="A28" s="85" t="s">
        <v>33</v>
      </c>
      <c r="B28" s="85" t="s">
        <v>132</v>
      </c>
      <c r="C28" s="85"/>
      <c r="D28" s="85"/>
      <c r="E28" s="85"/>
      <c r="F28" s="8">
        <f>D79</f>
        <v>0.15</v>
      </c>
      <c r="G28" s="85" t="s">
        <v>3</v>
      </c>
      <c r="H28" s="92">
        <f>IF(F28="","",ROUND(F28/100*$H$5,2))</f>
        <v>0.02</v>
      </c>
      <c r="I28" s="85" t="s">
        <v>4</v>
      </c>
      <c r="K28" s="88" t="str">
        <f ca="1">IF(F28&lt;&gt;D79,"Wert prüfen!",IF(H61="","Inhalt der gelben Zellen kann angepasst werden.",""))</f>
        <v>Inhalt der gelben Zellen kann angepasst werden.</v>
      </c>
    </row>
    <row r="29" spans="1:11" ht="23.45" customHeight="1" x14ac:dyDescent="0.2">
      <c r="A29" s="86"/>
      <c r="B29" s="188" t="s">
        <v>34</v>
      </c>
      <c r="C29" s="188"/>
      <c r="D29" s="86"/>
      <c r="E29" s="86"/>
      <c r="F29" s="93">
        <f>IF(SUM(F17:F28)=0,0,SUM(F17:F28)+F14)</f>
        <v>21.3</v>
      </c>
      <c r="G29" s="86" t="s">
        <v>3</v>
      </c>
      <c r="H29" s="94" t="str">
        <f>IF(OR(COUNTIF(D17:D26,"")&gt;0,COUNTIF(F27:F28,"")&gt;0),"",SUM(H17:H28)+H14)</f>
        <v/>
      </c>
      <c r="I29" s="86" t="s">
        <v>4</v>
      </c>
      <c r="K29" s="88" t="str">
        <f>IF(H29="","Angaben offen!","")</f>
        <v>Angaben offen!</v>
      </c>
    </row>
    <row r="30" spans="1:11" ht="5.45" customHeight="1" x14ac:dyDescent="0.2">
      <c r="A30" s="85"/>
      <c r="B30" s="85"/>
      <c r="C30" s="85"/>
      <c r="D30" s="85"/>
      <c r="E30" s="85"/>
      <c r="F30" s="89"/>
      <c r="G30" s="85"/>
      <c r="H30" s="89"/>
      <c r="I30" s="85"/>
    </row>
    <row r="31" spans="1:11" x14ac:dyDescent="0.2">
      <c r="A31" s="85"/>
      <c r="B31" s="86" t="s">
        <v>35</v>
      </c>
      <c r="C31" s="85"/>
      <c r="D31" s="85"/>
      <c r="E31" s="85"/>
      <c r="F31" s="89"/>
      <c r="G31" s="85"/>
      <c r="H31" s="89"/>
      <c r="I31" s="85"/>
    </row>
    <row r="32" spans="1:11" x14ac:dyDescent="0.2">
      <c r="A32" s="85" t="s">
        <v>36</v>
      </c>
      <c r="B32" s="85" t="s">
        <v>37</v>
      </c>
      <c r="C32" s="85"/>
      <c r="D32" s="85"/>
      <c r="E32" s="85"/>
      <c r="F32" s="8"/>
      <c r="G32" s="85" t="s">
        <v>3</v>
      </c>
      <c r="H32" s="92" t="str">
        <f>IF(F32="","",ROUND(F32/100*$H$5,2))</f>
        <v/>
      </c>
      <c r="I32" s="85" t="s">
        <v>4</v>
      </c>
      <c r="K32" s="88" t="str">
        <f>IF(F32="","Bitte ausfüllen!","")</f>
        <v>Bitte ausfüllen!</v>
      </c>
    </row>
    <row r="33" spans="1:11" x14ac:dyDescent="0.2">
      <c r="A33" s="85" t="s">
        <v>38</v>
      </c>
      <c r="B33" s="85" t="s">
        <v>39</v>
      </c>
      <c r="C33" s="85"/>
      <c r="D33" s="85"/>
      <c r="E33" s="85"/>
      <c r="F33" s="8"/>
      <c r="G33" s="85" t="s">
        <v>3</v>
      </c>
      <c r="H33" s="92" t="str">
        <f>IF(F33="","",ROUND(F33/100*$H$5,2))</f>
        <v/>
      </c>
      <c r="I33" s="85" t="s">
        <v>4</v>
      </c>
      <c r="K33" s="88" t="str">
        <f>IF(F33="","Bitte ausfüllen!","")</f>
        <v>Bitte ausfüllen!</v>
      </c>
    </row>
    <row r="34" spans="1:11" ht="22.15" customHeight="1" x14ac:dyDescent="0.2">
      <c r="A34" s="86"/>
      <c r="B34" s="188" t="s">
        <v>40</v>
      </c>
      <c r="C34" s="188"/>
      <c r="D34" s="86"/>
      <c r="E34" s="86"/>
      <c r="F34" s="93">
        <f>IF(SUM(F32:F33)=0,0,SUM(F32:F33)+F29)</f>
        <v>0</v>
      </c>
      <c r="G34" s="86" t="s">
        <v>3</v>
      </c>
      <c r="H34" s="94" t="str">
        <f>IF(COUNTIF(H32:H33,"")&gt;0,"",SUM(H32:H33)+H29)</f>
        <v/>
      </c>
      <c r="I34" s="86" t="s">
        <v>4</v>
      </c>
      <c r="K34" s="88" t="str">
        <f>IF(H34="","Angaben offen!","")</f>
        <v>Angaben offen!</v>
      </c>
    </row>
    <row r="35" spans="1:11" ht="5.45" customHeight="1" x14ac:dyDescent="0.2">
      <c r="A35" s="85"/>
      <c r="B35" s="85"/>
      <c r="C35" s="85"/>
      <c r="D35" s="85"/>
      <c r="E35" s="85"/>
      <c r="F35" s="89"/>
      <c r="G35" s="85"/>
      <c r="H35" s="89"/>
      <c r="I35" s="85"/>
    </row>
    <row r="36" spans="1:11" x14ac:dyDescent="0.2">
      <c r="A36" s="86" t="s">
        <v>41</v>
      </c>
      <c r="B36" s="86" t="s">
        <v>42</v>
      </c>
      <c r="C36" s="86"/>
      <c r="D36" s="86"/>
      <c r="E36" s="86"/>
      <c r="F36" s="90"/>
      <c r="G36" s="86"/>
      <c r="H36" s="90"/>
      <c r="I36" s="86"/>
    </row>
    <row r="37" spans="1:11" x14ac:dyDescent="0.2">
      <c r="A37" s="85" t="s">
        <v>43</v>
      </c>
      <c r="B37" s="85" t="s">
        <v>44</v>
      </c>
      <c r="C37" s="85"/>
      <c r="D37" s="85"/>
      <c r="E37" s="85"/>
      <c r="F37" s="89"/>
      <c r="G37" s="85"/>
      <c r="H37" s="89"/>
      <c r="I37" s="85"/>
    </row>
    <row r="38" spans="1:11" x14ac:dyDescent="0.2">
      <c r="A38" s="85"/>
      <c r="B38" s="85" t="s">
        <v>45</v>
      </c>
      <c r="C38" s="85"/>
      <c r="D38" s="85"/>
      <c r="E38" s="85"/>
      <c r="F38" s="8"/>
      <c r="G38" s="85" t="s">
        <v>3</v>
      </c>
      <c r="H38" s="92" t="str">
        <f>IF(F38="","",ROUND(F38/100*$H$5,2))</f>
        <v/>
      </c>
      <c r="I38" s="85" t="s">
        <v>4</v>
      </c>
      <c r="K38" s="88" t="str">
        <f>IF(F38="","Bitte ausfüllen!","")</f>
        <v>Bitte ausfüllen!</v>
      </c>
    </row>
    <row r="39" spans="1:11" x14ac:dyDescent="0.2">
      <c r="A39" s="85" t="s">
        <v>46</v>
      </c>
      <c r="B39" s="85" t="s">
        <v>47</v>
      </c>
      <c r="C39" s="85"/>
      <c r="D39" s="85"/>
      <c r="E39" s="85"/>
      <c r="F39" s="8"/>
      <c r="G39" s="85" t="s">
        <v>3</v>
      </c>
      <c r="H39" s="92" t="str">
        <f>IF(F39="","",ROUND(F39/100*$H$5,2))</f>
        <v/>
      </c>
      <c r="I39" s="85" t="s">
        <v>4</v>
      </c>
      <c r="K39" s="88" t="str">
        <f>IF(F39="","Bitte ausfüllen!","")</f>
        <v>Bitte ausfüllen!</v>
      </c>
    </row>
    <row r="40" spans="1:11" x14ac:dyDescent="0.2">
      <c r="A40" s="85" t="s">
        <v>48</v>
      </c>
      <c r="B40" s="85" t="s">
        <v>49</v>
      </c>
      <c r="C40" s="85"/>
      <c r="D40" s="85"/>
      <c r="E40" s="85"/>
      <c r="F40" s="8"/>
      <c r="G40" s="85" t="s">
        <v>3</v>
      </c>
      <c r="H40" s="92" t="str">
        <f>IF(F40="","",ROUND(F40/100*$H$5,2))</f>
        <v/>
      </c>
      <c r="I40" s="85" t="s">
        <v>4</v>
      </c>
      <c r="K40" s="88" t="str">
        <f>IF(F40="","Bitte ausfüllen!","")</f>
        <v>Bitte ausfüllen!</v>
      </c>
    </row>
    <row r="41" spans="1:11" x14ac:dyDescent="0.2">
      <c r="A41" s="85" t="s">
        <v>50</v>
      </c>
      <c r="B41" s="85" t="s">
        <v>51</v>
      </c>
      <c r="C41" s="85"/>
      <c r="D41" s="85"/>
      <c r="E41" s="85"/>
      <c r="F41" s="8"/>
      <c r="G41" s="85" t="s">
        <v>3</v>
      </c>
      <c r="H41" s="92" t="str">
        <f>IF(F41="","",ROUND(F41/100*$H$5,2))</f>
        <v/>
      </c>
      <c r="I41" s="85" t="s">
        <v>4</v>
      </c>
      <c r="K41" s="88" t="str">
        <f>IF(F41="","Bitte ausfüllen!","")</f>
        <v>Bitte ausfüllen!</v>
      </c>
    </row>
    <row r="42" spans="1:11" ht="23.45" customHeight="1" x14ac:dyDescent="0.2">
      <c r="A42" s="86"/>
      <c r="B42" s="188" t="s">
        <v>52</v>
      </c>
      <c r="C42" s="188"/>
      <c r="D42" s="86"/>
      <c r="E42" s="86"/>
      <c r="F42" s="93">
        <f>IF(SUM(F38:F41)=0,0,SUM(F38:F41))</f>
        <v>0</v>
      </c>
      <c r="G42" s="86" t="s">
        <v>3</v>
      </c>
      <c r="H42" s="94" t="str">
        <f>IF(COUNTIF(H38:H41,"")&gt;0,"",SUM(H38:H41))</f>
        <v/>
      </c>
      <c r="I42" s="86" t="s">
        <v>4</v>
      </c>
      <c r="K42" s="88" t="str">
        <f>IF(H42="","Angaben offen!","")</f>
        <v>Angaben offen!</v>
      </c>
    </row>
    <row r="43" spans="1:11" ht="5.45" customHeight="1" x14ac:dyDescent="0.2">
      <c r="A43" s="85"/>
      <c r="B43" s="85"/>
      <c r="C43" s="85"/>
      <c r="D43" s="85"/>
      <c r="E43" s="85"/>
      <c r="F43" s="89"/>
      <c r="G43" s="85"/>
      <c r="H43" s="89"/>
      <c r="I43" s="85"/>
    </row>
    <row r="44" spans="1:11" x14ac:dyDescent="0.2">
      <c r="A44" s="86" t="s">
        <v>53</v>
      </c>
      <c r="B44" s="86" t="s">
        <v>54</v>
      </c>
      <c r="C44" s="86"/>
      <c r="D44" s="86"/>
      <c r="E44" s="86"/>
      <c r="F44" s="86"/>
      <c r="G44" s="86"/>
      <c r="H44" s="86"/>
      <c r="I44" s="86"/>
    </row>
    <row r="45" spans="1:11" x14ac:dyDescent="0.2">
      <c r="A45" s="85" t="s">
        <v>55</v>
      </c>
      <c r="B45" s="85" t="s">
        <v>56</v>
      </c>
      <c r="C45" s="85"/>
      <c r="D45" s="85"/>
      <c r="E45" s="85"/>
      <c r="F45" s="85"/>
      <c r="G45" s="85"/>
      <c r="H45" s="85"/>
      <c r="I45" s="85"/>
    </row>
    <row r="46" spans="1:11" x14ac:dyDescent="0.2">
      <c r="A46" s="85" t="s">
        <v>57</v>
      </c>
      <c r="B46" s="85"/>
      <c r="C46" s="85" t="s">
        <v>58</v>
      </c>
      <c r="D46" s="85"/>
      <c r="E46" s="85"/>
      <c r="F46" s="8"/>
      <c r="G46" s="85" t="s">
        <v>3</v>
      </c>
      <c r="H46" s="92" t="str">
        <f>IF(F46="","",ROUND(F46/100*$H$5,2))</f>
        <v/>
      </c>
      <c r="I46" s="85" t="s">
        <v>4</v>
      </c>
      <c r="K46" s="88" t="str">
        <f>IF(F46="","Bitte ausfüllen!","")</f>
        <v>Bitte ausfüllen!</v>
      </c>
    </row>
    <row r="47" spans="1:11" x14ac:dyDescent="0.2">
      <c r="A47" s="85" t="s">
        <v>59</v>
      </c>
      <c r="B47" s="85"/>
      <c r="C47" s="85" t="s">
        <v>125</v>
      </c>
      <c r="D47" s="85"/>
      <c r="E47" s="85"/>
      <c r="F47" s="8"/>
      <c r="G47" s="85" t="s">
        <v>3</v>
      </c>
      <c r="H47" s="92" t="str">
        <f>IF(F47="","",ROUND(F47/100*$H$5,2))</f>
        <v/>
      </c>
      <c r="I47" s="85" t="s">
        <v>4</v>
      </c>
      <c r="K47" s="88" t="str">
        <f>IF(F47="","Bitte ausfüllen!","")</f>
        <v>Bitte ausfüllen!</v>
      </c>
    </row>
    <row r="48" spans="1:11" x14ac:dyDescent="0.2">
      <c r="A48" s="85" t="s">
        <v>60</v>
      </c>
      <c r="B48" s="85" t="s">
        <v>61</v>
      </c>
      <c r="C48" s="85"/>
      <c r="D48" s="85"/>
      <c r="E48" s="85"/>
      <c r="F48" s="8"/>
      <c r="G48" s="85" t="s">
        <v>3</v>
      </c>
      <c r="H48" s="92" t="str">
        <f>IF(F48="","",ROUND(F48/100*$H$5,2))</f>
        <v/>
      </c>
      <c r="I48" s="85" t="s">
        <v>4</v>
      </c>
      <c r="K48" s="88" t="str">
        <f>IF(F48="","Bitte ausfüllen!","")</f>
        <v>Bitte ausfüllen!</v>
      </c>
    </row>
    <row r="49" spans="1:11" x14ac:dyDescent="0.2">
      <c r="A49" s="85" t="s">
        <v>62</v>
      </c>
      <c r="B49" s="85" t="s">
        <v>63</v>
      </c>
      <c r="C49" s="85"/>
      <c r="D49" s="85"/>
      <c r="E49" s="85"/>
      <c r="F49" s="85"/>
      <c r="G49" s="85"/>
      <c r="H49" s="85"/>
      <c r="I49" s="85"/>
    </row>
    <row r="50" spans="1:11" x14ac:dyDescent="0.2">
      <c r="A50" s="85" t="s">
        <v>64</v>
      </c>
      <c r="B50" s="85"/>
      <c r="C50" s="85" t="s">
        <v>65</v>
      </c>
      <c r="D50" s="85"/>
      <c r="E50" s="85"/>
      <c r="F50" s="8"/>
      <c r="G50" s="85" t="s">
        <v>3</v>
      </c>
      <c r="H50" s="92" t="str">
        <f t="shared" ref="H50:H56" si="0">IF(F50="","",ROUND(F50/100*$H$5,2))</f>
        <v/>
      </c>
      <c r="I50" s="85" t="s">
        <v>4</v>
      </c>
      <c r="K50" s="88" t="str">
        <f t="shared" ref="K50:K56" si="1">IF(F50="","Bitte ausfüllen!","")</f>
        <v>Bitte ausfüllen!</v>
      </c>
    </row>
    <row r="51" spans="1:11" x14ac:dyDescent="0.2">
      <c r="A51" s="85" t="s">
        <v>66</v>
      </c>
      <c r="B51" s="85"/>
      <c r="C51" s="85" t="s">
        <v>67</v>
      </c>
      <c r="D51" s="85"/>
      <c r="E51" s="85"/>
      <c r="F51" s="8"/>
      <c r="G51" s="85" t="s">
        <v>3</v>
      </c>
      <c r="H51" s="92" t="str">
        <f t="shared" si="0"/>
        <v/>
      </c>
      <c r="I51" s="85" t="s">
        <v>4</v>
      </c>
      <c r="K51" s="88" t="str">
        <f t="shared" si="1"/>
        <v>Bitte ausfüllen!</v>
      </c>
    </row>
    <row r="52" spans="1:11" x14ac:dyDescent="0.2">
      <c r="A52" s="85" t="s">
        <v>68</v>
      </c>
      <c r="B52" s="85" t="s">
        <v>69</v>
      </c>
      <c r="C52" s="85"/>
      <c r="D52" s="85"/>
      <c r="E52" s="85"/>
      <c r="F52" s="8"/>
      <c r="G52" s="85" t="s">
        <v>3</v>
      </c>
      <c r="H52" s="92" t="str">
        <f t="shared" si="0"/>
        <v/>
      </c>
      <c r="I52" s="85" t="s">
        <v>4</v>
      </c>
      <c r="K52" s="88" t="str">
        <f t="shared" si="1"/>
        <v>Bitte ausfüllen!</v>
      </c>
    </row>
    <row r="53" spans="1:11" x14ac:dyDescent="0.2">
      <c r="A53" s="85" t="s">
        <v>70</v>
      </c>
      <c r="B53" s="85" t="s">
        <v>71</v>
      </c>
      <c r="C53" s="85"/>
      <c r="D53" s="85"/>
      <c r="E53" s="85"/>
      <c r="F53" s="8"/>
      <c r="G53" s="85" t="s">
        <v>3</v>
      </c>
      <c r="H53" s="92" t="str">
        <f t="shared" si="0"/>
        <v/>
      </c>
      <c r="I53" s="85" t="s">
        <v>4</v>
      </c>
      <c r="K53" s="88" t="str">
        <f t="shared" si="1"/>
        <v>Bitte ausfüllen!</v>
      </c>
    </row>
    <row r="54" spans="1:11" x14ac:dyDescent="0.2">
      <c r="A54" s="85" t="s">
        <v>72</v>
      </c>
      <c r="B54" s="85" t="s">
        <v>73</v>
      </c>
      <c r="C54" s="85"/>
      <c r="D54" s="85"/>
      <c r="E54" s="85"/>
      <c r="F54" s="8"/>
      <c r="G54" s="85" t="s">
        <v>3</v>
      </c>
      <c r="H54" s="92" t="str">
        <f t="shared" si="0"/>
        <v/>
      </c>
      <c r="I54" s="85" t="s">
        <v>4</v>
      </c>
      <c r="K54" s="88" t="str">
        <f t="shared" si="1"/>
        <v>Bitte ausfüllen!</v>
      </c>
    </row>
    <row r="55" spans="1:11" x14ac:dyDescent="0.2">
      <c r="A55" s="85" t="s">
        <v>74</v>
      </c>
      <c r="B55" s="85" t="s">
        <v>75</v>
      </c>
      <c r="C55" s="85"/>
      <c r="D55" s="85"/>
      <c r="E55" s="85"/>
      <c r="F55" s="8"/>
      <c r="G55" s="85" t="s">
        <v>3</v>
      </c>
      <c r="H55" s="92" t="str">
        <f t="shared" si="0"/>
        <v/>
      </c>
      <c r="I55" s="85" t="s">
        <v>4</v>
      </c>
      <c r="K55" s="88" t="str">
        <f t="shared" si="1"/>
        <v>Bitte ausfüllen!</v>
      </c>
    </row>
    <row r="56" spans="1:11" x14ac:dyDescent="0.2">
      <c r="A56" s="85" t="s">
        <v>76</v>
      </c>
      <c r="B56" s="85" t="s">
        <v>77</v>
      </c>
      <c r="C56" s="85"/>
      <c r="D56" s="85"/>
      <c r="E56" s="85"/>
      <c r="F56" s="8"/>
      <c r="G56" s="85" t="s">
        <v>3</v>
      </c>
      <c r="H56" s="92" t="str">
        <f t="shared" si="0"/>
        <v/>
      </c>
      <c r="I56" s="85" t="s">
        <v>4</v>
      </c>
      <c r="K56" s="88" t="str">
        <f t="shared" si="1"/>
        <v>Bitte ausfüllen!</v>
      </c>
    </row>
    <row r="57" spans="1:11" ht="23.45" customHeight="1" x14ac:dyDescent="0.2">
      <c r="A57" s="86"/>
      <c r="B57" s="188" t="s">
        <v>78</v>
      </c>
      <c r="C57" s="188"/>
      <c r="D57" s="86"/>
      <c r="E57" s="86"/>
      <c r="F57" s="93">
        <f>IF(SUM(F45:F56)=0,0,SUM(F45:F56))</f>
        <v>0</v>
      </c>
      <c r="G57" s="86" t="s">
        <v>3</v>
      </c>
      <c r="H57" s="94" t="str">
        <f>IF(COUNTIF(H46:H56,"")&gt;1,"",SUM(H46:H56))</f>
        <v/>
      </c>
      <c r="I57" s="86" t="s">
        <v>4</v>
      </c>
      <c r="K57" s="88" t="str">
        <f>IF(H57="","Angaben offen!","")</f>
        <v>Angaben offen!</v>
      </c>
    </row>
    <row r="58" spans="1:11" ht="6.6" customHeight="1" x14ac:dyDescent="0.2">
      <c r="A58" s="85"/>
      <c r="B58" s="85"/>
      <c r="C58" s="85"/>
      <c r="D58" s="85"/>
      <c r="E58" s="85"/>
      <c r="F58" s="89"/>
      <c r="G58" s="85"/>
      <c r="H58" s="89"/>
      <c r="I58" s="85"/>
    </row>
    <row r="59" spans="1:11" x14ac:dyDescent="0.2">
      <c r="A59" s="86" t="s">
        <v>79</v>
      </c>
      <c r="B59" s="187" t="s">
        <v>80</v>
      </c>
      <c r="C59" s="187"/>
      <c r="D59" s="86"/>
      <c r="E59" s="86"/>
      <c r="F59" s="98">
        <f>IF(AND(F34=""),0,F34+F42+F57+F5)</f>
        <v>100</v>
      </c>
      <c r="G59" s="86" t="s">
        <v>3</v>
      </c>
      <c r="H59" s="90" t="str">
        <f>IF(H57="","",H34+H42+H57+H5)</f>
        <v/>
      </c>
      <c r="I59" s="86" t="s">
        <v>4</v>
      </c>
    </row>
    <row r="60" spans="1:11" x14ac:dyDescent="0.2">
      <c r="A60" s="86" t="s">
        <v>81</v>
      </c>
      <c r="B60" s="86" t="s">
        <v>82</v>
      </c>
      <c r="C60" s="86"/>
      <c r="D60" s="86"/>
      <c r="E60" s="86"/>
      <c r="F60" s="8"/>
      <c r="G60" s="86" t="s">
        <v>3</v>
      </c>
      <c r="H60" s="94" t="str">
        <f>IF(F60="","",ROUND(F60/100*H59,2))</f>
        <v/>
      </c>
      <c r="I60" s="86" t="s">
        <v>4</v>
      </c>
      <c r="K60" s="88" t="str">
        <f>IF(F60="","Bitte ausfüllen!","")</f>
        <v>Bitte ausfüllen!</v>
      </c>
    </row>
    <row r="61" spans="1:11" x14ac:dyDescent="0.2">
      <c r="A61" s="86"/>
      <c r="B61" s="86" t="s">
        <v>83</v>
      </c>
      <c r="C61" s="86"/>
      <c r="D61" s="86"/>
      <c r="E61" s="86"/>
      <c r="F61" s="93">
        <f ca="1">IF(H61="",0,H61/H5*100)</f>
        <v>0</v>
      </c>
      <c r="G61" s="86" t="s">
        <v>3</v>
      </c>
      <c r="H61" s="94" t="str">
        <f ca="1">IF(SUM(COUNTIF(INDIRECT({"H5","F9:F13","D17:D26","F27:F28","F32:F33","F38:F41","F46:F48","F50:F56","F60","H65:H68"}),""))&gt;0,"",H59+H60)</f>
        <v/>
      </c>
      <c r="I61" s="86" t="s">
        <v>4</v>
      </c>
      <c r="K61" s="88" t="str">
        <f ca="1">IF(SUM(COUNTIF(INDIRECT({"H5","F9:F13","D17:D26","F27:F28","F32:F33","F38:F41","F46:F48","F50:F56","F60","H65:H68"}),""))&gt;0,SUM(COUNTIF(INDIRECT({"H5","F9:F13","D17:D26","F27:F28","F32:F33","F38:F41","F46:F48","F50:F56","F60","H65:H68"}),"")) &amp;" Zelle(n) ohne Wert!","")</f>
        <v>28 Zelle(n) ohne Wert!</v>
      </c>
    </row>
    <row r="62" spans="1:11" x14ac:dyDescent="0.2">
      <c r="A62" s="85"/>
      <c r="B62" s="85" t="s">
        <v>84</v>
      </c>
      <c r="C62" s="85"/>
      <c r="D62" s="85"/>
      <c r="E62" s="85"/>
      <c r="F62" s="93">
        <f ca="1">IF(F61=0,0,F61-F5)</f>
        <v>0</v>
      </c>
      <c r="G62" s="85" t="s">
        <v>3</v>
      </c>
      <c r="H62" s="85"/>
      <c r="I62" s="85"/>
      <c r="K62" s="88" t="str">
        <f ca="1">IF(F62&lt;70,"Bitte prüfen gemäß Aufforderung!","")</f>
        <v>Bitte prüfen gemäß Aufforderung!</v>
      </c>
    </row>
    <row r="63" spans="1:11" ht="5.45" customHeight="1" x14ac:dyDescent="0.2">
      <c r="A63" s="85"/>
      <c r="B63" s="86"/>
      <c r="C63" s="85"/>
      <c r="D63" s="85"/>
      <c r="E63" s="85"/>
      <c r="F63" s="98"/>
      <c r="G63" s="85"/>
      <c r="H63" s="90"/>
    </row>
    <row r="64" spans="1:11" x14ac:dyDescent="0.2">
      <c r="B64" s="86" t="s">
        <v>85</v>
      </c>
      <c r="D64" s="86"/>
      <c r="E64" s="86"/>
      <c r="G64" s="86"/>
      <c r="H64" s="90" t="s">
        <v>86</v>
      </c>
      <c r="I64" s="86"/>
    </row>
    <row r="65" spans="1:15" x14ac:dyDescent="0.2">
      <c r="B65" s="85" t="s">
        <v>87</v>
      </c>
      <c r="D65" s="85"/>
      <c r="E65" s="85"/>
      <c r="G65" s="99"/>
      <c r="H65" s="9"/>
      <c r="I65" s="99"/>
      <c r="K65" s="88" t="str">
        <f>IF(H65="","Bitte ausfüllen!","")</f>
        <v>Bitte ausfüllen!</v>
      </c>
    </row>
    <row r="66" spans="1:15" x14ac:dyDescent="0.2">
      <c r="B66" s="85" t="s">
        <v>88</v>
      </c>
      <c r="D66" s="85"/>
      <c r="E66" s="85"/>
      <c r="G66" s="99"/>
      <c r="H66" s="10"/>
      <c r="I66" s="99"/>
      <c r="K66" s="88" t="str">
        <f>IF(H66="","Bitte ausfüllen!","")</f>
        <v>Bitte ausfüllen!</v>
      </c>
    </row>
    <row r="67" spans="1:15" x14ac:dyDescent="0.2">
      <c r="B67" s="85" t="s">
        <v>89</v>
      </c>
      <c r="D67" s="85"/>
      <c r="E67" s="85"/>
      <c r="G67" s="99"/>
      <c r="H67" s="11"/>
      <c r="I67" s="99"/>
      <c r="K67" s="88" t="str">
        <f>IF(H67="","Bitte ausfüllen!","")</f>
        <v>Bitte ausfüllen!</v>
      </c>
    </row>
    <row r="68" spans="1:15" x14ac:dyDescent="0.2">
      <c r="B68" s="85" t="s">
        <v>90</v>
      </c>
      <c r="D68" s="85"/>
      <c r="E68" s="85"/>
      <c r="G68" s="99"/>
      <c r="H68" s="10"/>
      <c r="I68" s="99"/>
      <c r="K68" s="88" t="str">
        <f>IF(H68="","Bitte ausfüllen!","")</f>
        <v>Bitte ausfüllen!</v>
      </c>
    </row>
    <row r="69" spans="1:15" ht="5.45" customHeight="1" x14ac:dyDescent="0.2"/>
    <row r="70" spans="1:15" ht="5.45" customHeight="1" x14ac:dyDescent="0.2">
      <c r="C70" s="70"/>
      <c r="D70" s="4"/>
    </row>
    <row r="71" spans="1:15" ht="15.95" customHeight="1" x14ac:dyDescent="0.2">
      <c r="A71" s="178" t="s">
        <v>195</v>
      </c>
      <c r="B71" s="178"/>
      <c r="C71" s="178"/>
      <c r="D71" s="178" t="s">
        <v>196</v>
      </c>
      <c r="F71" s="180" t="s">
        <v>138</v>
      </c>
      <c r="G71" s="181"/>
      <c r="H71" s="182"/>
      <c r="L71" s="36"/>
      <c r="M71" s="36"/>
      <c r="N71" s="36"/>
      <c r="O71" s="36"/>
    </row>
    <row r="72" spans="1:15" ht="15.95" customHeight="1" x14ac:dyDescent="0.2">
      <c r="A72" s="179"/>
      <c r="B72" s="179"/>
      <c r="C72" s="179"/>
      <c r="D72" s="179"/>
      <c r="F72" s="183"/>
      <c r="G72" s="184"/>
      <c r="H72" s="185"/>
      <c r="I72" s="86"/>
      <c r="J72" s="86"/>
      <c r="K72" s="86"/>
      <c r="L72" s="36"/>
      <c r="M72" s="36"/>
      <c r="N72" s="36"/>
      <c r="O72" s="36"/>
    </row>
    <row r="73" spans="1:15" ht="19.899999999999999" customHeight="1" x14ac:dyDescent="0.2">
      <c r="A73" s="176">
        <v>1</v>
      </c>
      <c r="B73" s="176"/>
      <c r="C73" s="12" t="s">
        <v>133</v>
      </c>
      <c r="D73" s="72">
        <v>7.3</v>
      </c>
      <c r="F73" s="177" t="s">
        <v>306</v>
      </c>
      <c r="G73" s="177"/>
      <c r="H73" s="177"/>
    </row>
    <row r="74" spans="1:15" ht="19.899999999999999" customHeight="1" x14ac:dyDescent="0.2">
      <c r="A74" s="176">
        <v>2</v>
      </c>
      <c r="B74" s="176"/>
      <c r="C74" s="12" t="s">
        <v>134</v>
      </c>
      <c r="D74" s="72">
        <v>9.3000000000000007</v>
      </c>
    </row>
    <row r="75" spans="1:15" ht="25.5" customHeight="1" x14ac:dyDescent="0.2">
      <c r="A75" s="176">
        <v>3</v>
      </c>
      <c r="B75" s="176"/>
      <c r="C75" s="12" t="s">
        <v>135</v>
      </c>
      <c r="D75" s="72">
        <v>1.3</v>
      </c>
    </row>
    <row r="76" spans="1:15" ht="25.5" customHeight="1" x14ac:dyDescent="0.2">
      <c r="A76" s="176">
        <v>4</v>
      </c>
      <c r="B76" s="176"/>
      <c r="C76" s="12" t="s">
        <v>136</v>
      </c>
      <c r="D76" s="72">
        <f>IF( F73="Sachsen",1.3,1.8)</f>
        <v>1.8</v>
      </c>
    </row>
    <row r="77" spans="1:15" ht="31.5" x14ac:dyDescent="0.2">
      <c r="A77" s="176">
        <v>5</v>
      </c>
      <c r="B77" s="176"/>
      <c r="C77" s="12" t="s">
        <v>197</v>
      </c>
      <c r="D77" s="72">
        <v>1.45</v>
      </c>
    </row>
    <row r="78" spans="1:15" ht="25.5" customHeight="1" x14ac:dyDescent="0.2">
      <c r="A78" s="176">
        <v>6</v>
      </c>
      <c r="B78" s="176"/>
      <c r="C78" s="12" t="s">
        <v>123</v>
      </c>
      <c r="D78" s="72"/>
    </row>
    <row r="79" spans="1:15" ht="25.5" customHeight="1" x14ac:dyDescent="0.2">
      <c r="A79" s="176">
        <v>7</v>
      </c>
      <c r="B79" s="176"/>
      <c r="C79" s="12" t="s">
        <v>137</v>
      </c>
      <c r="D79" s="72">
        <v>0.15</v>
      </c>
    </row>
  </sheetData>
  <sheetProtection algorithmName="SHA-512" hashValue="6ro0lHRB1G0EorIURerxOHBbHQ87NA9xGkW/0gWnWP329uknwrknaSaDzRGznlCOBIATbtyI92kwwxi9z2/swg==" saltValue="K3THfuw1mwpo3QXGAVcZaQ==" spinCount="100000" sheet="1" objects="1" scenarios="1"/>
  <mergeCells count="18">
    <mergeCell ref="A71:C72"/>
    <mergeCell ref="D71:D72"/>
    <mergeCell ref="F71:H72"/>
    <mergeCell ref="E1:I2"/>
    <mergeCell ref="A3:I3"/>
    <mergeCell ref="B59:C59"/>
    <mergeCell ref="B29:C29"/>
    <mergeCell ref="B34:C34"/>
    <mergeCell ref="B42:C42"/>
    <mergeCell ref="B57:C57"/>
    <mergeCell ref="A78:B78"/>
    <mergeCell ref="A79:B79"/>
    <mergeCell ref="F73:H73"/>
    <mergeCell ref="A73:B73"/>
    <mergeCell ref="A74:B74"/>
    <mergeCell ref="A75:B75"/>
    <mergeCell ref="A76:B76"/>
    <mergeCell ref="A77:B77"/>
  </mergeCells>
  <phoneticPr fontId="3" type="noConversion"/>
  <dataValidations count="1">
    <dataValidation type="decimal" errorStyle="warning" allowBlank="1" showInputMessage="1" showErrorMessage="1" error="Bitte überprüfen Sie Ihre Eingaben." sqref="C25" xr:uid="{00000000-0002-0000-0300-000000000000}">
      <formula1>8.5</formula1>
      <formula2>84</formula2>
    </dataValidation>
  </dataValidations>
  <hyperlinks>
    <hyperlink ref="K1" location="Inhaltsverzeichnis!A1" display="Zurück zum Inhaltsverzeichnis" xr:uid="{00000000-0004-0000-03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UnterhaltsRG</oddFooter>
  </headerFooter>
  <ignoredErrors>
    <ignoredError sqref="A11:A13"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ltText="Hinweis">
                <anchor moveWithCells="1">
                  <from>
                    <xdr:col>2</xdr:col>
                    <xdr:colOff>2914650</xdr:colOff>
                    <xdr:row>0</xdr:row>
                    <xdr:rowOff>123825</xdr:rowOff>
                  </from>
                  <to>
                    <xdr:col>3</xdr:col>
                    <xdr:colOff>552450</xdr:colOff>
                    <xdr:row>0</xdr:row>
                    <xdr:rowOff>409575</xdr:rowOff>
                  </to>
                </anchor>
              </controlPr>
            </control>
          </mc:Choice>
        </mc:AlternateContent>
        <mc:AlternateContent xmlns:mc="http://schemas.openxmlformats.org/markup-compatibility/2006">
          <mc:Choice Requires="x14">
            <control shapeId="26628" r:id="rId5" name="Check Box 4">
              <controlPr defaultSize="0" autoFill="0" autoLine="0" autoPict="0" altText="Hinweis">
                <anchor moveWithCells="1">
                  <from>
                    <xdr:col>2</xdr:col>
                    <xdr:colOff>2914650</xdr:colOff>
                    <xdr:row>0</xdr:row>
                    <xdr:rowOff>428625</xdr:rowOff>
                  </from>
                  <to>
                    <xdr:col>3</xdr:col>
                    <xdr:colOff>552450</xdr:colOff>
                    <xdr:row>1</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indexed="13"/>
  </sheetPr>
  <dimension ref="A1:N79"/>
  <sheetViews>
    <sheetView showGridLines="0" zoomScaleNormal="100" zoomScaleSheetLayoutView="85"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9"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15" customHeight="1" x14ac:dyDescent="0.2">
      <c r="A1" s="84" t="str">
        <f ca="1">IF(H61&lt;&gt;"","","Bitte alle gelben Zellen ausfüllen.")</f>
        <v>Bitte alle gelben Zellen ausfüllen.</v>
      </c>
      <c r="D1" s="57" t="b">
        <v>0</v>
      </c>
      <c r="E1" s="167"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67"/>
      <c r="G1" s="167"/>
      <c r="H1" s="167"/>
      <c r="I1" s="167"/>
      <c r="K1" s="5" t="s">
        <v>100</v>
      </c>
    </row>
    <row r="2" spans="1:11" ht="34.5" customHeight="1" x14ac:dyDescent="0.2">
      <c r="A2" s="3" t="s">
        <v>103</v>
      </c>
      <c r="C2" s="4" t="str">
        <f>IF(Inhaltsverzeichnis!$C$3="", "",Inhaltsverzeichnis!$C$3)</f>
        <v/>
      </c>
      <c r="D2" s="57" t="b">
        <v>0</v>
      </c>
      <c r="E2" s="167"/>
      <c r="F2" s="167"/>
      <c r="G2" s="167"/>
      <c r="H2" s="167"/>
      <c r="I2" s="167"/>
    </row>
    <row r="3" spans="1:11" s="2" customFormat="1" ht="12.75" x14ac:dyDescent="0.2">
      <c r="A3" s="186" t="s">
        <v>101</v>
      </c>
      <c r="B3" s="186"/>
      <c r="C3" s="186"/>
      <c r="D3" s="186"/>
      <c r="E3" s="186"/>
      <c r="F3" s="186"/>
      <c r="G3" s="186"/>
      <c r="H3" s="186"/>
      <c r="I3" s="186"/>
    </row>
    <row r="4" spans="1:11" x14ac:dyDescent="0.2">
      <c r="A4" s="85"/>
      <c r="B4" s="85"/>
      <c r="C4" s="85"/>
      <c r="D4" s="85"/>
      <c r="E4" s="85"/>
      <c r="F4" s="85"/>
      <c r="G4" s="85"/>
      <c r="H4" s="85"/>
      <c r="I4" s="85"/>
    </row>
    <row r="5" spans="1:11" ht="15" customHeight="1" x14ac:dyDescent="0.2">
      <c r="A5" s="86" t="s">
        <v>1</v>
      </c>
      <c r="B5" s="86" t="s">
        <v>2</v>
      </c>
      <c r="C5" s="86"/>
      <c r="D5" s="86"/>
      <c r="E5" s="86"/>
      <c r="F5" s="87">
        <v>100</v>
      </c>
      <c r="G5" s="86" t="s">
        <v>3</v>
      </c>
      <c r="H5" s="7">
        <v>15</v>
      </c>
      <c r="I5" s="86" t="s">
        <v>4</v>
      </c>
      <c r="K5" s="88"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85"/>
      <c r="B6" s="85"/>
      <c r="C6" s="85"/>
      <c r="D6" s="85"/>
      <c r="E6" s="85"/>
      <c r="F6" s="89"/>
      <c r="G6" s="85"/>
      <c r="H6" s="89"/>
      <c r="I6" s="85"/>
    </row>
    <row r="7" spans="1:11" x14ac:dyDescent="0.2">
      <c r="A7" s="86" t="s">
        <v>5</v>
      </c>
      <c r="B7" s="86" t="s">
        <v>6</v>
      </c>
      <c r="C7" s="86"/>
      <c r="D7" s="86"/>
      <c r="E7" s="86"/>
      <c r="F7" s="90"/>
      <c r="G7" s="86"/>
      <c r="H7" s="90"/>
      <c r="I7" s="86"/>
    </row>
    <row r="8" spans="1:11" ht="14.25" x14ac:dyDescent="0.2">
      <c r="A8" s="85" t="s">
        <v>7</v>
      </c>
      <c r="B8" s="85" t="s">
        <v>8</v>
      </c>
      <c r="C8" s="85"/>
      <c r="D8" s="85"/>
      <c r="E8" s="85"/>
      <c r="F8" s="90"/>
      <c r="G8" s="90"/>
      <c r="H8" s="90"/>
      <c r="I8" s="90"/>
      <c r="K8" s="91"/>
    </row>
    <row r="9" spans="1:11" x14ac:dyDescent="0.2">
      <c r="A9" s="85" t="s">
        <v>9</v>
      </c>
      <c r="B9" s="85"/>
      <c r="C9" s="85" t="s">
        <v>10</v>
      </c>
      <c r="D9" s="85"/>
      <c r="E9" s="85"/>
      <c r="F9" s="8"/>
      <c r="G9" s="85" t="s">
        <v>3</v>
      </c>
      <c r="H9" s="92" t="str">
        <f>IF(F9="","",ROUND(F9/100*$H$5,2))</f>
        <v/>
      </c>
      <c r="I9" s="85" t="s">
        <v>4</v>
      </c>
      <c r="K9" s="88" t="str">
        <f>IF(F9="","Bitte ausfüllen!","")</f>
        <v>Bitte ausfüllen!</v>
      </c>
    </row>
    <row r="10" spans="1:11" x14ac:dyDescent="0.2">
      <c r="A10" s="85" t="s">
        <v>11</v>
      </c>
      <c r="B10" s="85"/>
      <c r="C10" s="85" t="s">
        <v>12</v>
      </c>
      <c r="D10" s="85"/>
      <c r="E10" s="85"/>
      <c r="F10" s="8"/>
      <c r="G10" s="85" t="s">
        <v>3</v>
      </c>
      <c r="H10" s="92" t="str">
        <f>IF(F10="","",ROUND(F10/100*$H$5,2))</f>
        <v/>
      </c>
      <c r="I10" s="85" t="s">
        <v>4</v>
      </c>
      <c r="K10" s="88" t="str">
        <f>IF(F10="","Bitte ausfüllen!","")</f>
        <v>Bitte ausfüllen!</v>
      </c>
    </row>
    <row r="11" spans="1:11" x14ac:dyDescent="0.2">
      <c r="A11" s="85" t="s">
        <v>13</v>
      </c>
      <c r="B11" s="85"/>
      <c r="C11" s="85" t="s">
        <v>14</v>
      </c>
      <c r="D11" s="85"/>
      <c r="E11" s="85"/>
      <c r="F11" s="8"/>
      <c r="G11" s="85" t="s">
        <v>3</v>
      </c>
      <c r="H11" s="92" t="str">
        <f>IF(F11="","",ROUND(F11/100*$H$5,2))</f>
        <v/>
      </c>
      <c r="I11" s="85" t="s">
        <v>4</v>
      </c>
      <c r="K11" s="88" t="str">
        <f>IF(F11="","Bitte ausfüllen!","")</f>
        <v>Bitte ausfüllen!</v>
      </c>
    </row>
    <row r="12" spans="1:11" x14ac:dyDescent="0.2">
      <c r="A12" s="85" t="s">
        <v>15</v>
      </c>
      <c r="B12" s="85"/>
      <c r="C12" s="85" t="s">
        <v>16</v>
      </c>
      <c r="D12" s="85"/>
      <c r="E12" s="85"/>
      <c r="F12" s="8"/>
      <c r="G12" s="85" t="s">
        <v>3</v>
      </c>
      <c r="H12" s="92" t="str">
        <f>IF(F12="","",ROUND(F12/100*$H$5,2))</f>
        <v/>
      </c>
      <c r="I12" s="85" t="s">
        <v>4</v>
      </c>
      <c r="K12" s="88" t="str">
        <f>IF(F12="","Bitte ausfüllen!","")</f>
        <v>Bitte ausfüllen!</v>
      </c>
    </row>
    <row r="13" spans="1:11" x14ac:dyDescent="0.2">
      <c r="A13" s="85" t="s">
        <v>17</v>
      </c>
      <c r="B13" s="85"/>
      <c r="C13" s="85" t="s">
        <v>18</v>
      </c>
      <c r="D13" s="85"/>
      <c r="E13" s="85"/>
      <c r="F13" s="8"/>
      <c r="G13" s="85" t="s">
        <v>3</v>
      </c>
      <c r="H13" s="92" t="str">
        <f>IF(F13="","",ROUND(F13/100*$H$5,2))</f>
        <v/>
      </c>
      <c r="I13" s="85" t="s">
        <v>4</v>
      </c>
      <c r="K13" s="88" t="str">
        <f>IF(F13="","Bitte ausfüllen!","")</f>
        <v>Bitte ausfüllen!</v>
      </c>
    </row>
    <row r="14" spans="1:11" x14ac:dyDescent="0.2">
      <c r="A14" s="86"/>
      <c r="B14" s="86" t="s">
        <v>19</v>
      </c>
      <c r="C14" s="86"/>
      <c r="D14" s="86"/>
      <c r="E14" s="86"/>
      <c r="F14" s="93">
        <f>IF(SUM(F9:F13)=0,0,SUM(F9:F13))</f>
        <v>0</v>
      </c>
      <c r="G14" s="86" t="s">
        <v>3</v>
      </c>
      <c r="H14" s="94" t="str">
        <f>IF(COUNTIF(F9:F13,"")&gt;0,"",SUM(H8:H13))</f>
        <v/>
      </c>
      <c r="I14" s="86" t="s">
        <v>4</v>
      </c>
      <c r="K14" s="88" t="str">
        <f>IF(H14="","Angaben offen!","")</f>
        <v>Angaben offen!</v>
      </c>
    </row>
    <row r="15" spans="1:11" x14ac:dyDescent="0.2">
      <c r="A15" s="85"/>
      <c r="B15" s="85"/>
      <c r="C15" s="85"/>
      <c r="D15" s="85"/>
      <c r="E15" s="85"/>
      <c r="F15" s="89"/>
      <c r="G15" s="85"/>
      <c r="H15" s="89"/>
      <c r="I15" s="85"/>
    </row>
    <row r="16" spans="1:11" x14ac:dyDescent="0.2">
      <c r="A16" s="86" t="s">
        <v>20</v>
      </c>
      <c r="B16" s="86" t="s">
        <v>21</v>
      </c>
      <c r="C16" s="86"/>
      <c r="D16" s="86"/>
      <c r="E16" s="86"/>
      <c r="F16" s="90"/>
      <c r="G16" s="86"/>
      <c r="H16" s="90"/>
      <c r="I16" s="86"/>
    </row>
    <row r="17" spans="1:14" ht="11.25" x14ac:dyDescent="0.2">
      <c r="A17" s="85" t="s">
        <v>22</v>
      </c>
      <c r="B17" s="85" t="s">
        <v>126</v>
      </c>
      <c r="C17" s="85"/>
      <c r="D17" s="8">
        <f>D73+D77</f>
        <v>8.75</v>
      </c>
      <c r="E17" s="85" t="s">
        <v>3</v>
      </c>
      <c r="F17" s="89"/>
      <c r="G17" s="85"/>
      <c r="H17" s="89"/>
      <c r="I17" s="85"/>
      <c r="K17" s="88" t="str">
        <f ca="1">IF(D17&lt;(D73+D77),"Wert prüfen!",IF(H61="","Inhalt der gelben Zellen kann angepasst werden.",""))</f>
        <v>Inhalt der gelben Zellen kann angepasst werden.</v>
      </c>
    </row>
    <row r="18" spans="1:14" x14ac:dyDescent="0.2">
      <c r="A18" s="85"/>
      <c r="B18" s="85" t="s">
        <v>23</v>
      </c>
      <c r="C18" s="85"/>
      <c r="D18" s="95">
        <f>(D17/100)*$F$14</f>
        <v>0</v>
      </c>
      <c r="E18" s="85" t="s">
        <v>3</v>
      </c>
      <c r="F18" s="96">
        <f>IF(D18="","",D17+D18)</f>
        <v>8.75</v>
      </c>
      <c r="G18" s="85" t="s">
        <v>3</v>
      </c>
      <c r="H18" s="92">
        <f>IF(D18="","",ROUND(F18/100*$H$5,2))</f>
        <v>1.31</v>
      </c>
      <c r="I18" s="85" t="s">
        <v>4</v>
      </c>
      <c r="K18" s="88"/>
    </row>
    <row r="19" spans="1:14" ht="11.25" x14ac:dyDescent="0.2">
      <c r="A19" s="85" t="s">
        <v>24</v>
      </c>
      <c r="B19" s="85" t="s">
        <v>127</v>
      </c>
      <c r="C19" s="85"/>
      <c r="D19" s="8">
        <f>D74</f>
        <v>9.3000000000000007</v>
      </c>
      <c r="E19" s="85" t="s">
        <v>3</v>
      </c>
      <c r="F19" s="97"/>
      <c r="G19" s="85"/>
      <c r="H19" s="89"/>
      <c r="I19" s="85"/>
      <c r="K19" s="88" t="str">
        <f ca="1">IF(D19&lt;&gt;D74,"Wert prüfen!",IF(H61="","Inhalt der gelben Zellen kann angepasst werden.",""))</f>
        <v>Inhalt der gelben Zellen kann angepasst werden.</v>
      </c>
    </row>
    <row r="20" spans="1:14" x14ac:dyDescent="0.2">
      <c r="A20" s="85"/>
      <c r="B20" s="85" t="s">
        <v>25</v>
      </c>
      <c r="C20" s="85"/>
      <c r="D20" s="95">
        <f>(D19/100)*$F$14</f>
        <v>0</v>
      </c>
      <c r="E20" s="85" t="s">
        <v>3</v>
      </c>
      <c r="F20" s="96">
        <f>IF(D20="","",D19+D20)</f>
        <v>9.3000000000000007</v>
      </c>
      <c r="G20" s="85" t="s">
        <v>3</v>
      </c>
      <c r="H20" s="92">
        <f>IF(D20="","",ROUND(F20/100*$H$5,2))</f>
        <v>1.4</v>
      </c>
      <c r="I20" s="85" t="s">
        <v>4</v>
      </c>
      <c r="K20" s="88"/>
    </row>
    <row r="21" spans="1:14" ht="11.25" x14ac:dyDescent="0.2">
      <c r="A21" s="85" t="s">
        <v>26</v>
      </c>
      <c r="B21" s="85" t="s">
        <v>128</v>
      </c>
      <c r="C21" s="85"/>
      <c r="D21" s="8">
        <f>D75</f>
        <v>1.3</v>
      </c>
      <c r="E21" s="85" t="s">
        <v>3</v>
      </c>
      <c r="F21" s="97"/>
      <c r="G21" s="85"/>
      <c r="H21" s="89"/>
      <c r="I21" s="85"/>
      <c r="K21" s="88" t="str">
        <f ca="1">IF(D21&lt;&gt;D75,"Wert prüfen!",IF(H61="","Inhalt der gelben Zellen kann angepasst werden.",""))</f>
        <v>Inhalt der gelben Zellen kann angepasst werden.</v>
      </c>
    </row>
    <row r="22" spans="1:14" x14ac:dyDescent="0.2">
      <c r="A22" s="85"/>
      <c r="B22" s="85" t="s">
        <v>27</v>
      </c>
      <c r="C22" s="85"/>
      <c r="D22" s="95">
        <f>(D21/100)*$F$14</f>
        <v>0</v>
      </c>
      <c r="E22" s="85" t="s">
        <v>3</v>
      </c>
      <c r="F22" s="96">
        <f>IF(D22="","",D21+D22)</f>
        <v>1.3</v>
      </c>
      <c r="G22" s="85" t="s">
        <v>3</v>
      </c>
      <c r="H22" s="92">
        <f>IF(D22="","",ROUND(F22/100*$H$5,2))</f>
        <v>0.2</v>
      </c>
      <c r="I22" s="85" t="s">
        <v>4</v>
      </c>
      <c r="K22" s="88"/>
    </row>
    <row r="23" spans="1:14" ht="11.25" x14ac:dyDescent="0.2">
      <c r="A23" s="85" t="s">
        <v>28</v>
      </c>
      <c r="B23" s="85" t="s">
        <v>129</v>
      </c>
      <c r="C23" s="85"/>
      <c r="D23" s="8">
        <f>D76</f>
        <v>1.8</v>
      </c>
      <c r="E23" s="85" t="s">
        <v>3</v>
      </c>
      <c r="F23" s="97"/>
      <c r="G23" s="85"/>
      <c r="H23" s="89"/>
      <c r="I23" s="85"/>
      <c r="K23" s="88" t="str">
        <f ca="1">IF(D23&lt;&gt;D76,"Wert prüfen!",IF(H61="","Inhalt der gelben Zellen kann angepasst werden.",""))</f>
        <v>Inhalt der gelben Zellen kann angepasst werden.</v>
      </c>
      <c r="L23" s="25"/>
      <c r="M23" s="25"/>
      <c r="N23" s="25"/>
    </row>
    <row r="24" spans="1:14" x14ac:dyDescent="0.2">
      <c r="A24" s="85"/>
      <c r="B24" s="85" t="s">
        <v>29</v>
      </c>
      <c r="C24" s="85"/>
      <c r="D24" s="95">
        <f>(D23/100)*$F$14</f>
        <v>0</v>
      </c>
      <c r="E24" s="85" t="s">
        <v>3</v>
      </c>
      <c r="F24" s="96">
        <f>IF(D24="","",D23+D24)</f>
        <v>1.8</v>
      </c>
      <c r="G24" s="85" t="s">
        <v>3</v>
      </c>
      <c r="H24" s="92">
        <f>IF(D24="","",ROUND(F24/100*$H$5,2))</f>
        <v>0.27</v>
      </c>
      <c r="I24" s="85" t="s">
        <v>4</v>
      </c>
      <c r="K24" s="88"/>
    </row>
    <row r="25" spans="1:14" ht="11.25" x14ac:dyDescent="0.2">
      <c r="A25" s="85" t="s">
        <v>30</v>
      </c>
      <c r="B25" s="85" t="s">
        <v>130</v>
      </c>
      <c r="C25" s="85"/>
      <c r="D25" s="8"/>
      <c r="E25" s="85" t="s">
        <v>3</v>
      </c>
      <c r="F25" s="97"/>
      <c r="G25" s="85"/>
      <c r="H25" s="89"/>
      <c r="I25" s="85"/>
      <c r="K25" s="88" t="str">
        <f>IF(D25="","Bitte ausfüllen!","")</f>
        <v>Bitte ausfüllen!</v>
      </c>
    </row>
    <row r="26" spans="1:14" x14ac:dyDescent="0.2">
      <c r="A26" s="85"/>
      <c r="B26" s="85" t="s">
        <v>31</v>
      </c>
      <c r="C26" s="85"/>
      <c r="D26" s="95">
        <f>(D25/100)*$F$14</f>
        <v>0</v>
      </c>
      <c r="E26" s="85" t="s">
        <v>3</v>
      </c>
      <c r="F26" s="96">
        <f>IF(D26="","",D25+D26)</f>
        <v>0</v>
      </c>
      <c r="G26" s="85" t="s">
        <v>3</v>
      </c>
      <c r="H26" s="92">
        <f>IF(D26="","",ROUND(F26/100*$H$5,2))</f>
        <v>0</v>
      </c>
      <c r="I26" s="85" t="s">
        <v>4</v>
      </c>
      <c r="K26" s="88"/>
    </row>
    <row r="27" spans="1:14" ht="11.25" x14ac:dyDescent="0.2">
      <c r="A27" s="85" t="s">
        <v>32</v>
      </c>
      <c r="B27" s="85" t="s">
        <v>131</v>
      </c>
      <c r="C27" s="85"/>
      <c r="D27" s="85"/>
      <c r="E27" s="85"/>
      <c r="F27" s="8"/>
      <c r="G27" s="85" t="s">
        <v>3</v>
      </c>
      <c r="H27" s="92" t="str">
        <f>IF(F27="","",ROUND(F27/100*$H$5,2))</f>
        <v/>
      </c>
      <c r="I27" s="85" t="s">
        <v>4</v>
      </c>
      <c r="K27" s="88" t="str">
        <f>IF(F27="","Bitte ausfüllen!","")</f>
        <v>Bitte ausfüllen!</v>
      </c>
    </row>
    <row r="28" spans="1:14" ht="11.25" x14ac:dyDescent="0.2">
      <c r="A28" s="85" t="s">
        <v>33</v>
      </c>
      <c r="B28" s="85" t="s">
        <v>132</v>
      </c>
      <c r="C28" s="85"/>
      <c r="D28" s="85"/>
      <c r="E28" s="85"/>
      <c r="F28" s="8">
        <f>D79</f>
        <v>0.15</v>
      </c>
      <c r="G28" s="85" t="s">
        <v>3</v>
      </c>
      <c r="H28" s="92">
        <f>IF(F28="","",ROUND(F28/100*$H$5,2))</f>
        <v>0.02</v>
      </c>
      <c r="I28" s="85" t="s">
        <v>4</v>
      </c>
      <c r="K28" s="88" t="str">
        <f ca="1">IF(F28&lt;&gt;D79,"Wert prüfen!",IF(H61="","Inhalt der gelben Zellen kann angepasst werden.",""))</f>
        <v>Inhalt der gelben Zellen kann angepasst werden.</v>
      </c>
    </row>
    <row r="29" spans="1:14" ht="25.5" customHeight="1" x14ac:dyDescent="0.2">
      <c r="A29" s="86"/>
      <c r="B29" s="188" t="s">
        <v>34</v>
      </c>
      <c r="C29" s="188"/>
      <c r="D29" s="86"/>
      <c r="E29" s="86"/>
      <c r="F29" s="93">
        <f>IF(SUM(F17:F28)=0,0,SUM(F17:F28)+F14)</f>
        <v>21.3</v>
      </c>
      <c r="G29" s="86" t="s">
        <v>3</v>
      </c>
      <c r="H29" s="94" t="str">
        <f>IF(OR(COUNTIF(D17:D26,"")&gt;0,COUNTIF(F27:F28,"")&gt;0),"",SUM(H17:H28)+H14)</f>
        <v/>
      </c>
      <c r="I29" s="86" t="s">
        <v>4</v>
      </c>
      <c r="K29" s="88" t="str">
        <f>IF(H29="","Angaben offen!","")</f>
        <v>Angaben offen!</v>
      </c>
    </row>
    <row r="30" spans="1:14" x14ac:dyDescent="0.2">
      <c r="A30" s="85"/>
      <c r="B30" s="85"/>
      <c r="C30" s="85"/>
      <c r="D30" s="85"/>
      <c r="E30" s="85"/>
      <c r="F30" s="89"/>
      <c r="G30" s="85"/>
      <c r="H30" s="89"/>
      <c r="I30" s="85"/>
    </row>
    <row r="31" spans="1:14" x14ac:dyDescent="0.2">
      <c r="A31" s="85"/>
      <c r="B31" s="86" t="s">
        <v>35</v>
      </c>
      <c r="C31" s="85"/>
      <c r="D31" s="85"/>
      <c r="E31" s="85"/>
      <c r="F31" s="89"/>
      <c r="G31" s="85"/>
      <c r="H31" s="89"/>
      <c r="I31" s="85"/>
    </row>
    <row r="32" spans="1:14" x14ac:dyDescent="0.2">
      <c r="A32" s="85" t="s">
        <v>36</v>
      </c>
      <c r="B32" s="85" t="s">
        <v>37</v>
      </c>
      <c r="C32" s="85"/>
      <c r="D32" s="85"/>
      <c r="E32" s="85"/>
      <c r="F32" s="8"/>
      <c r="G32" s="85" t="s">
        <v>3</v>
      </c>
      <c r="H32" s="92" t="str">
        <f>IF(F32="","",ROUND(F32/100*$H$5,2))</f>
        <v/>
      </c>
      <c r="I32" s="85" t="s">
        <v>4</v>
      </c>
      <c r="K32" s="88" t="str">
        <f>IF(F32="","Bitte ausfüllen!","")</f>
        <v>Bitte ausfüllen!</v>
      </c>
    </row>
    <row r="33" spans="1:11" x14ac:dyDescent="0.2">
      <c r="A33" s="85" t="s">
        <v>38</v>
      </c>
      <c r="B33" s="85" t="s">
        <v>39</v>
      </c>
      <c r="C33" s="85"/>
      <c r="D33" s="85"/>
      <c r="E33" s="85"/>
      <c r="F33" s="8"/>
      <c r="G33" s="85" t="s">
        <v>3</v>
      </c>
      <c r="H33" s="92" t="str">
        <f>IF(F33="","",ROUND(F33/100*$H$5,2))</f>
        <v/>
      </c>
      <c r="I33" s="85" t="s">
        <v>4</v>
      </c>
      <c r="K33" s="88" t="str">
        <f>IF(F33="","Bitte ausfüllen!","")</f>
        <v>Bitte ausfüllen!</v>
      </c>
    </row>
    <row r="34" spans="1:11" ht="25.5" customHeight="1" x14ac:dyDescent="0.2">
      <c r="A34" s="86"/>
      <c r="B34" s="188" t="s">
        <v>40</v>
      </c>
      <c r="C34" s="188"/>
      <c r="D34" s="86"/>
      <c r="E34" s="86"/>
      <c r="F34" s="93">
        <f>IF(SUM(F32:F33)=0,0,SUM(F32:F33)+F29)</f>
        <v>0</v>
      </c>
      <c r="G34" s="86" t="s">
        <v>3</v>
      </c>
      <c r="H34" s="94" t="str">
        <f>IF(COUNTIF(H32:H33,"")&gt;0,"",SUM(H32:H33)+H29)</f>
        <v/>
      </c>
      <c r="I34" s="86" t="s">
        <v>4</v>
      </c>
      <c r="K34" s="88" t="str">
        <f>IF(H34="","Angaben offen!","")</f>
        <v>Angaben offen!</v>
      </c>
    </row>
    <row r="35" spans="1:11" x14ac:dyDescent="0.2">
      <c r="A35" s="85"/>
      <c r="B35" s="85"/>
      <c r="C35" s="85"/>
      <c r="D35" s="85"/>
      <c r="E35" s="85"/>
      <c r="F35" s="89"/>
      <c r="G35" s="85"/>
      <c r="H35" s="89"/>
      <c r="I35" s="85"/>
    </row>
    <row r="36" spans="1:11" x14ac:dyDescent="0.2">
      <c r="A36" s="86" t="s">
        <v>41</v>
      </c>
      <c r="B36" s="86" t="s">
        <v>42</v>
      </c>
      <c r="C36" s="86"/>
      <c r="D36" s="86"/>
      <c r="E36" s="86"/>
      <c r="F36" s="90"/>
      <c r="G36" s="86"/>
      <c r="H36" s="90"/>
      <c r="I36" s="86"/>
    </row>
    <row r="37" spans="1:11" x14ac:dyDescent="0.2">
      <c r="A37" s="85" t="s">
        <v>43</v>
      </c>
      <c r="B37" s="85" t="s">
        <v>44</v>
      </c>
      <c r="C37" s="85"/>
      <c r="D37" s="85"/>
      <c r="E37" s="85"/>
      <c r="F37" s="89"/>
      <c r="G37" s="85"/>
      <c r="H37" s="89"/>
      <c r="I37" s="85"/>
    </row>
    <row r="38" spans="1:11" x14ac:dyDescent="0.2">
      <c r="A38" s="85"/>
      <c r="B38" s="85" t="s">
        <v>45</v>
      </c>
      <c r="C38" s="85"/>
      <c r="D38" s="85"/>
      <c r="E38" s="85"/>
      <c r="F38" s="8"/>
      <c r="G38" s="85" t="s">
        <v>3</v>
      </c>
      <c r="H38" s="92" t="str">
        <f>IF(F38="","",ROUND(F38/100*$H$5,2))</f>
        <v/>
      </c>
      <c r="I38" s="85" t="s">
        <v>4</v>
      </c>
      <c r="K38" s="88" t="str">
        <f>IF(F38="","Bitte ausfüllen!","")</f>
        <v>Bitte ausfüllen!</v>
      </c>
    </row>
    <row r="39" spans="1:11" x14ac:dyDescent="0.2">
      <c r="A39" s="85" t="s">
        <v>46</v>
      </c>
      <c r="B39" s="85" t="s">
        <v>47</v>
      </c>
      <c r="C39" s="85"/>
      <c r="D39" s="85"/>
      <c r="E39" s="85"/>
      <c r="F39" s="8"/>
      <c r="G39" s="85" t="s">
        <v>3</v>
      </c>
      <c r="H39" s="92" t="str">
        <f>IF(F39="","",ROUND(F39/100*$H$5,2))</f>
        <v/>
      </c>
      <c r="I39" s="85" t="s">
        <v>4</v>
      </c>
      <c r="K39" s="88" t="str">
        <f>IF(F39="","Bitte ausfüllen!","")</f>
        <v>Bitte ausfüllen!</v>
      </c>
    </row>
    <row r="40" spans="1:11" x14ac:dyDescent="0.2">
      <c r="A40" s="85" t="s">
        <v>48</v>
      </c>
      <c r="B40" s="85" t="s">
        <v>49</v>
      </c>
      <c r="C40" s="85"/>
      <c r="D40" s="85"/>
      <c r="E40" s="85"/>
      <c r="F40" s="8"/>
      <c r="G40" s="85" t="s">
        <v>3</v>
      </c>
      <c r="H40" s="92" t="str">
        <f>IF(F40="","",ROUND(F40/100*$H$5,2))</f>
        <v/>
      </c>
      <c r="I40" s="85" t="s">
        <v>4</v>
      </c>
      <c r="K40" s="88" t="str">
        <f>IF(F40="","Bitte ausfüllen!","")</f>
        <v>Bitte ausfüllen!</v>
      </c>
    </row>
    <row r="41" spans="1:11" x14ac:dyDescent="0.2">
      <c r="A41" s="85" t="s">
        <v>50</v>
      </c>
      <c r="B41" s="85" t="s">
        <v>51</v>
      </c>
      <c r="C41" s="85"/>
      <c r="D41" s="85"/>
      <c r="E41" s="85"/>
      <c r="F41" s="8"/>
      <c r="G41" s="85" t="s">
        <v>3</v>
      </c>
      <c r="H41" s="92" t="str">
        <f>IF(F41="","",ROUND(F41/100*$H$5,2))</f>
        <v/>
      </c>
      <c r="I41" s="85" t="s">
        <v>4</v>
      </c>
      <c r="K41" s="88" t="str">
        <f>IF(F41="","Bitte ausfüllen!","")</f>
        <v>Bitte ausfüllen!</v>
      </c>
    </row>
    <row r="42" spans="1:11" ht="25.5" customHeight="1" x14ac:dyDescent="0.2">
      <c r="A42" s="86"/>
      <c r="B42" s="188" t="s">
        <v>52</v>
      </c>
      <c r="C42" s="188"/>
      <c r="D42" s="86"/>
      <c r="E42" s="86"/>
      <c r="F42" s="93">
        <f>IF(SUM(F38:F41)=0,0,SUM(F38:F41))</f>
        <v>0</v>
      </c>
      <c r="G42" s="86" t="s">
        <v>3</v>
      </c>
      <c r="H42" s="94" t="str">
        <f>IF(COUNTIF(H38:H41,"")&gt;0,"",SUM(H38:H41))</f>
        <v/>
      </c>
      <c r="I42" s="86" t="s">
        <v>4</v>
      </c>
      <c r="K42" s="88" t="str">
        <f>IF(H42="","Angaben offen!","")</f>
        <v>Angaben offen!</v>
      </c>
    </row>
    <row r="43" spans="1:11" x14ac:dyDescent="0.2">
      <c r="A43" s="85"/>
      <c r="B43" s="85"/>
      <c r="C43" s="85"/>
      <c r="D43" s="85"/>
      <c r="E43" s="85"/>
      <c r="F43" s="89"/>
      <c r="G43" s="85"/>
      <c r="H43" s="89"/>
      <c r="I43" s="85"/>
    </row>
    <row r="44" spans="1:11" x14ac:dyDescent="0.2">
      <c r="A44" s="86" t="s">
        <v>53</v>
      </c>
      <c r="B44" s="86" t="s">
        <v>54</v>
      </c>
      <c r="C44" s="86"/>
      <c r="D44" s="86"/>
      <c r="E44" s="86"/>
      <c r="F44" s="86"/>
      <c r="G44" s="86"/>
      <c r="H44" s="86"/>
      <c r="I44" s="86"/>
    </row>
    <row r="45" spans="1:11" x14ac:dyDescent="0.2">
      <c r="A45" s="85" t="s">
        <v>55</v>
      </c>
      <c r="B45" s="85" t="s">
        <v>56</v>
      </c>
      <c r="C45" s="85"/>
      <c r="D45" s="85"/>
      <c r="E45" s="85"/>
      <c r="F45" s="85"/>
      <c r="G45" s="85"/>
      <c r="H45" s="85"/>
      <c r="I45" s="85"/>
    </row>
    <row r="46" spans="1:11" x14ac:dyDescent="0.2">
      <c r="A46" s="85" t="s">
        <v>57</v>
      </c>
      <c r="B46" s="85"/>
      <c r="C46" s="85" t="s">
        <v>58</v>
      </c>
      <c r="D46" s="85"/>
      <c r="E46" s="85"/>
      <c r="F46" s="8"/>
      <c r="G46" s="85" t="s">
        <v>3</v>
      </c>
      <c r="H46" s="92" t="str">
        <f>IF(F46="","",ROUND(F46/100*$H$5,2))</f>
        <v/>
      </c>
      <c r="I46" s="85" t="s">
        <v>4</v>
      </c>
      <c r="K46" s="88" t="str">
        <f>IF(F46="","Bitte ausfüllen!","")</f>
        <v>Bitte ausfüllen!</v>
      </c>
    </row>
    <row r="47" spans="1:11" x14ac:dyDescent="0.2">
      <c r="A47" s="85" t="s">
        <v>59</v>
      </c>
      <c r="B47" s="85"/>
      <c r="C47" s="85" t="s">
        <v>125</v>
      </c>
      <c r="D47" s="85"/>
      <c r="E47" s="85"/>
      <c r="F47" s="8"/>
      <c r="G47" s="85" t="s">
        <v>3</v>
      </c>
      <c r="H47" s="92" t="str">
        <f>IF(F47="","",ROUND(F47/100*$H$5,2))</f>
        <v/>
      </c>
      <c r="I47" s="85" t="s">
        <v>4</v>
      </c>
      <c r="K47" s="88" t="str">
        <f>IF(F47="","Bitte ausfüllen!","")</f>
        <v>Bitte ausfüllen!</v>
      </c>
    </row>
    <row r="48" spans="1:11" x14ac:dyDescent="0.2">
      <c r="A48" s="85" t="s">
        <v>60</v>
      </c>
      <c r="B48" s="85" t="s">
        <v>61</v>
      </c>
      <c r="C48" s="85"/>
      <c r="D48" s="85"/>
      <c r="E48" s="85"/>
      <c r="F48" s="8"/>
      <c r="G48" s="85" t="s">
        <v>3</v>
      </c>
      <c r="H48" s="92" t="str">
        <f>IF(F48="","",ROUND(F48/100*$H$5,2))</f>
        <v/>
      </c>
      <c r="I48" s="85" t="s">
        <v>4</v>
      </c>
      <c r="K48" s="88" t="str">
        <f>IF(F48="","Bitte ausfüllen!","")</f>
        <v>Bitte ausfüllen!</v>
      </c>
    </row>
    <row r="49" spans="1:11" x14ac:dyDescent="0.2">
      <c r="A49" s="85" t="s">
        <v>62</v>
      </c>
      <c r="B49" s="85" t="s">
        <v>63</v>
      </c>
      <c r="C49" s="85"/>
      <c r="D49" s="85"/>
      <c r="E49" s="85"/>
      <c r="F49" s="85"/>
      <c r="G49" s="85"/>
      <c r="H49" s="85"/>
      <c r="I49" s="85"/>
    </row>
    <row r="50" spans="1:11" x14ac:dyDescent="0.2">
      <c r="A50" s="85" t="s">
        <v>64</v>
      </c>
      <c r="B50" s="85"/>
      <c r="C50" s="85" t="s">
        <v>65</v>
      </c>
      <c r="D50" s="85"/>
      <c r="E50" s="85"/>
      <c r="F50" s="8"/>
      <c r="G50" s="85" t="s">
        <v>3</v>
      </c>
      <c r="H50" s="92" t="str">
        <f t="shared" ref="H50:H56" si="0">IF(F50="","",ROUND(F50/100*$H$5,2))</f>
        <v/>
      </c>
      <c r="I50" s="85" t="s">
        <v>4</v>
      </c>
      <c r="K50" s="88" t="str">
        <f t="shared" ref="K50:K56" si="1">IF(F50="","Bitte ausfüllen!","")</f>
        <v>Bitte ausfüllen!</v>
      </c>
    </row>
    <row r="51" spans="1:11" x14ac:dyDescent="0.2">
      <c r="A51" s="85" t="s">
        <v>66</v>
      </c>
      <c r="B51" s="85"/>
      <c r="C51" s="85" t="s">
        <v>67</v>
      </c>
      <c r="D51" s="85"/>
      <c r="E51" s="85"/>
      <c r="F51" s="8"/>
      <c r="G51" s="85" t="s">
        <v>3</v>
      </c>
      <c r="H51" s="92" t="str">
        <f t="shared" si="0"/>
        <v/>
      </c>
      <c r="I51" s="85" t="s">
        <v>4</v>
      </c>
      <c r="K51" s="88" t="str">
        <f t="shared" si="1"/>
        <v>Bitte ausfüllen!</v>
      </c>
    </row>
    <row r="52" spans="1:11" x14ac:dyDescent="0.2">
      <c r="A52" s="85" t="s">
        <v>68</v>
      </c>
      <c r="B52" s="85" t="s">
        <v>69</v>
      </c>
      <c r="C52" s="85"/>
      <c r="D52" s="85"/>
      <c r="E52" s="85"/>
      <c r="F52" s="8"/>
      <c r="G52" s="85" t="s">
        <v>3</v>
      </c>
      <c r="H52" s="92" t="str">
        <f t="shared" si="0"/>
        <v/>
      </c>
      <c r="I52" s="85" t="s">
        <v>4</v>
      </c>
      <c r="K52" s="88" t="str">
        <f t="shared" si="1"/>
        <v>Bitte ausfüllen!</v>
      </c>
    </row>
    <row r="53" spans="1:11" x14ac:dyDescent="0.2">
      <c r="A53" s="85" t="s">
        <v>70</v>
      </c>
      <c r="B53" s="85" t="s">
        <v>71</v>
      </c>
      <c r="C53" s="85"/>
      <c r="D53" s="85"/>
      <c r="E53" s="85"/>
      <c r="F53" s="8"/>
      <c r="G53" s="85" t="s">
        <v>3</v>
      </c>
      <c r="H53" s="92" t="str">
        <f t="shared" si="0"/>
        <v/>
      </c>
      <c r="I53" s="85" t="s">
        <v>4</v>
      </c>
      <c r="K53" s="88" t="str">
        <f t="shared" si="1"/>
        <v>Bitte ausfüllen!</v>
      </c>
    </row>
    <row r="54" spans="1:11" x14ac:dyDescent="0.2">
      <c r="A54" s="85" t="s">
        <v>72</v>
      </c>
      <c r="B54" s="85" t="s">
        <v>73</v>
      </c>
      <c r="C54" s="85"/>
      <c r="D54" s="85"/>
      <c r="E54" s="85"/>
      <c r="F54" s="8"/>
      <c r="G54" s="85" t="s">
        <v>3</v>
      </c>
      <c r="H54" s="92" t="str">
        <f t="shared" si="0"/>
        <v/>
      </c>
      <c r="I54" s="85" t="s">
        <v>4</v>
      </c>
      <c r="K54" s="88" t="str">
        <f t="shared" si="1"/>
        <v>Bitte ausfüllen!</v>
      </c>
    </row>
    <row r="55" spans="1:11" x14ac:dyDescent="0.2">
      <c r="A55" s="85" t="s">
        <v>74</v>
      </c>
      <c r="B55" s="85" t="s">
        <v>75</v>
      </c>
      <c r="C55" s="85"/>
      <c r="D55" s="85"/>
      <c r="E55" s="85"/>
      <c r="F55" s="8"/>
      <c r="G55" s="85" t="s">
        <v>3</v>
      </c>
      <c r="H55" s="92" t="str">
        <f t="shared" si="0"/>
        <v/>
      </c>
      <c r="I55" s="85" t="s">
        <v>4</v>
      </c>
      <c r="K55" s="88" t="str">
        <f t="shared" si="1"/>
        <v>Bitte ausfüllen!</v>
      </c>
    </row>
    <row r="56" spans="1:11" x14ac:dyDescent="0.2">
      <c r="A56" s="85" t="s">
        <v>76</v>
      </c>
      <c r="B56" s="85" t="s">
        <v>77</v>
      </c>
      <c r="C56" s="85"/>
      <c r="D56" s="85"/>
      <c r="E56" s="85"/>
      <c r="F56" s="8"/>
      <c r="G56" s="85" t="s">
        <v>3</v>
      </c>
      <c r="H56" s="92" t="str">
        <f t="shared" si="0"/>
        <v/>
      </c>
      <c r="I56" s="85" t="s">
        <v>4</v>
      </c>
      <c r="K56" s="88" t="str">
        <f t="shared" si="1"/>
        <v>Bitte ausfüllen!</v>
      </c>
    </row>
    <row r="57" spans="1:11" ht="25.5" customHeight="1" x14ac:dyDescent="0.2">
      <c r="A57" s="86"/>
      <c r="B57" s="188" t="s">
        <v>78</v>
      </c>
      <c r="C57" s="188"/>
      <c r="D57" s="86"/>
      <c r="E57" s="86"/>
      <c r="F57" s="93">
        <f>IF(SUM(F45:F56)=0,0,SUM(F45:F56))</f>
        <v>0</v>
      </c>
      <c r="G57" s="86" t="s">
        <v>3</v>
      </c>
      <c r="H57" s="94" t="str">
        <f>IF(COUNTIF(H46:H56,"")&gt;1,"",SUM(H46:H56))</f>
        <v/>
      </c>
      <c r="I57" s="86" t="s">
        <v>4</v>
      </c>
      <c r="K57" s="88" t="str">
        <f>IF(H57="","Angaben offen!","")</f>
        <v>Angaben offen!</v>
      </c>
    </row>
    <row r="58" spans="1:11" x14ac:dyDescent="0.2">
      <c r="A58" s="85"/>
      <c r="B58" s="85"/>
      <c r="C58" s="85"/>
      <c r="D58" s="85"/>
      <c r="E58" s="85"/>
      <c r="F58" s="89"/>
      <c r="G58" s="85"/>
      <c r="H58" s="89"/>
      <c r="I58" s="85"/>
    </row>
    <row r="59" spans="1:11" x14ac:dyDescent="0.2">
      <c r="A59" s="86" t="s">
        <v>79</v>
      </c>
      <c r="B59" s="187" t="s">
        <v>80</v>
      </c>
      <c r="C59" s="187"/>
      <c r="D59" s="86"/>
      <c r="E59" s="86"/>
      <c r="F59" s="98">
        <f>IF(AND(F34=""),0,F34+F42+F57+F5)</f>
        <v>100</v>
      </c>
      <c r="G59" s="86" t="s">
        <v>3</v>
      </c>
      <c r="H59" s="90" t="str">
        <f>IF(H57="","",H34+H42+H57+H5)</f>
        <v/>
      </c>
      <c r="I59" s="86" t="s">
        <v>4</v>
      </c>
    </row>
    <row r="60" spans="1:11" x14ac:dyDescent="0.2">
      <c r="A60" s="86" t="s">
        <v>81</v>
      </c>
      <c r="B60" s="86" t="s">
        <v>82</v>
      </c>
      <c r="C60" s="86"/>
      <c r="D60" s="86"/>
      <c r="E60" s="86"/>
      <c r="F60" s="8"/>
      <c r="G60" s="86" t="s">
        <v>3</v>
      </c>
      <c r="H60" s="94" t="str">
        <f>IF(F60="","",ROUND(F60/100*H59,2))</f>
        <v/>
      </c>
      <c r="I60" s="86" t="s">
        <v>4</v>
      </c>
      <c r="K60" s="88" t="str">
        <f>IF(F60="","Bitte ausfüllen!","")</f>
        <v>Bitte ausfüllen!</v>
      </c>
    </row>
    <row r="61" spans="1:11" x14ac:dyDescent="0.2">
      <c r="A61" s="86"/>
      <c r="B61" s="86" t="s">
        <v>83</v>
      </c>
      <c r="C61" s="86"/>
      <c r="D61" s="86"/>
      <c r="E61" s="86"/>
      <c r="F61" s="93">
        <f ca="1">IF(H61="",0,H61/H5*100)</f>
        <v>0</v>
      </c>
      <c r="G61" s="86" t="s">
        <v>3</v>
      </c>
      <c r="H61" s="94" t="str">
        <f ca="1">IF(SUM(COUNTIF(INDIRECT({"H5","F9:F13","D17:D26","F27:F28","F32:F33","F38:F41","F46:F48","F50:F56","F60","H65:H68"}),""))&gt;0,"",H59+H60)</f>
        <v/>
      </c>
      <c r="I61" s="86" t="s">
        <v>4</v>
      </c>
      <c r="K61" s="88" t="str">
        <f ca="1">IF(SUM(COUNTIF(INDIRECT({"H5","F9:F13","D17:D26","F27:F28","F32:F33","F38:F41","F46:F48","F50:F56","F60","H65:H68"}),""))&gt;0,SUM(COUNTIF(INDIRECT({"H5","F9:F13","D17:D26","F27:F28","F32:F33","F38:F41","F46:F48","F50:F56","F60","H65:H68"}),"")) &amp;" Zelle(n) ohne Wert!","")</f>
        <v>28 Zelle(n) ohne Wert!</v>
      </c>
    </row>
    <row r="62" spans="1:11" x14ac:dyDescent="0.2">
      <c r="A62" s="85"/>
      <c r="B62" s="85" t="s">
        <v>84</v>
      </c>
      <c r="C62" s="85"/>
      <c r="D62" s="85"/>
      <c r="E62" s="85"/>
      <c r="F62" s="93">
        <f ca="1">IF(F61=0,0,F61-F5)</f>
        <v>0</v>
      </c>
      <c r="G62" s="85" t="s">
        <v>3</v>
      </c>
      <c r="H62" s="85"/>
      <c r="I62" s="85"/>
      <c r="K62" s="88" t="str">
        <f ca="1">IF(F62&lt;70,"Bitte prüfen gemäß Aufforderung!","")</f>
        <v>Bitte prüfen gemäß Aufforderung!</v>
      </c>
    </row>
    <row r="63" spans="1:11" x14ac:dyDescent="0.2">
      <c r="A63" s="85"/>
      <c r="B63" s="85"/>
      <c r="C63" s="85"/>
      <c r="D63" s="85"/>
      <c r="E63" s="85"/>
      <c r="F63" s="85"/>
      <c r="G63" s="85"/>
      <c r="H63" s="85"/>
      <c r="I63" s="85"/>
    </row>
    <row r="64" spans="1:11" x14ac:dyDescent="0.2">
      <c r="B64" s="86" t="s">
        <v>85</v>
      </c>
      <c r="D64" s="86"/>
      <c r="E64" s="86"/>
      <c r="G64" s="86"/>
      <c r="H64" s="90" t="s">
        <v>86</v>
      </c>
    </row>
    <row r="65" spans="1:11" x14ac:dyDescent="0.2">
      <c r="B65" s="85" t="s">
        <v>87</v>
      </c>
      <c r="D65" s="85"/>
      <c r="E65" s="85"/>
      <c r="G65" s="99"/>
      <c r="H65" s="9"/>
      <c r="K65" s="88" t="str">
        <f>IF(H65="","Bitte ausfüllen!","")</f>
        <v>Bitte ausfüllen!</v>
      </c>
    </row>
    <row r="66" spans="1:11" x14ac:dyDescent="0.2">
      <c r="B66" s="85" t="s">
        <v>88</v>
      </c>
      <c r="D66" s="85"/>
      <c r="E66" s="85"/>
      <c r="G66" s="99"/>
      <c r="H66" s="10"/>
      <c r="K66" s="88" t="str">
        <f>IF(H66="","Bitte ausfüllen!","")</f>
        <v>Bitte ausfüllen!</v>
      </c>
    </row>
    <row r="67" spans="1:11" x14ac:dyDescent="0.2">
      <c r="B67" s="85" t="s">
        <v>89</v>
      </c>
      <c r="D67" s="85"/>
      <c r="E67" s="85"/>
      <c r="G67" s="99"/>
      <c r="H67" s="11"/>
      <c r="K67" s="88" t="str">
        <f>IF(H67="","Bitte ausfüllen!","")</f>
        <v>Bitte ausfüllen!</v>
      </c>
    </row>
    <row r="68" spans="1:11" x14ac:dyDescent="0.2">
      <c r="B68" s="85" t="s">
        <v>90</v>
      </c>
      <c r="D68" s="85"/>
      <c r="E68" s="85"/>
      <c r="G68" s="99"/>
      <c r="H68" s="10"/>
      <c r="K68" s="88" t="str">
        <f>IF(H68="","Bitte ausfüllen!","")</f>
        <v>Bitte ausfüllen!</v>
      </c>
    </row>
    <row r="70" spans="1:11" x14ac:dyDescent="0.2">
      <c r="C70" s="70"/>
      <c r="D70" s="4"/>
    </row>
    <row r="71" spans="1:11" ht="15.95" customHeight="1" x14ac:dyDescent="0.2">
      <c r="A71" s="178" t="s">
        <v>195</v>
      </c>
      <c r="B71" s="178"/>
      <c r="C71" s="178"/>
      <c r="D71" s="178" t="s">
        <v>196</v>
      </c>
      <c r="F71" s="180" t="s">
        <v>138</v>
      </c>
      <c r="G71" s="181"/>
      <c r="H71" s="182"/>
    </row>
    <row r="72" spans="1:11" ht="15.95" customHeight="1" x14ac:dyDescent="0.2">
      <c r="A72" s="179"/>
      <c r="B72" s="179"/>
      <c r="C72" s="179"/>
      <c r="D72" s="179"/>
      <c r="F72" s="183"/>
      <c r="G72" s="184"/>
      <c r="H72" s="185"/>
      <c r="I72" s="86"/>
      <c r="J72" s="86"/>
      <c r="K72" s="86"/>
    </row>
    <row r="73" spans="1:11" ht="19.899999999999999" customHeight="1" x14ac:dyDescent="0.2">
      <c r="A73" s="176">
        <v>1</v>
      </c>
      <c r="B73" s="176"/>
      <c r="C73" s="12" t="s">
        <v>133</v>
      </c>
      <c r="D73" s="72">
        <v>7.3</v>
      </c>
      <c r="F73" s="177" t="s">
        <v>306</v>
      </c>
      <c r="G73" s="177"/>
      <c r="H73" s="177"/>
    </row>
    <row r="74" spans="1:11" ht="19.899999999999999" customHeight="1" x14ac:dyDescent="0.2">
      <c r="A74" s="176">
        <v>2</v>
      </c>
      <c r="B74" s="176"/>
      <c r="C74" s="12" t="s">
        <v>134</v>
      </c>
      <c r="D74" s="72">
        <v>9.3000000000000007</v>
      </c>
    </row>
    <row r="75" spans="1:11" ht="24" customHeight="1" x14ac:dyDescent="0.2">
      <c r="A75" s="176">
        <v>3</v>
      </c>
      <c r="B75" s="176"/>
      <c r="C75" s="12" t="s">
        <v>135</v>
      </c>
      <c r="D75" s="72">
        <v>1.3</v>
      </c>
    </row>
    <row r="76" spans="1:11" ht="24" customHeight="1" x14ac:dyDescent="0.2">
      <c r="A76" s="176">
        <v>4</v>
      </c>
      <c r="B76" s="176"/>
      <c r="C76" s="12" t="s">
        <v>136</v>
      </c>
      <c r="D76" s="72">
        <f>IF( F73="Sachsen",1.3,1.8)</f>
        <v>1.8</v>
      </c>
    </row>
    <row r="77" spans="1:11" ht="31.5" x14ac:dyDescent="0.2">
      <c r="A77" s="176">
        <v>5</v>
      </c>
      <c r="B77" s="176"/>
      <c r="C77" s="12" t="s">
        <v>197</v>
      </c>
      <c r="D77" s="72">
        <v>1.45</v>
      </c>
    </row>
    <row r="78" spans="1:11" ht="24" customHeight="1" x14ac:dyDescent="0.2">
      <c r="A78" s="176">
        <v>6</v>
      </c>
      <c r="B78" s="176"/>
      <c r="C78" s="12" t="s">
        <v>123</v>
      </c>
      <c r="D78" s="72"/>
    </row>
    <row r="79" spans="1:11" ht="24" customHeight="1" x14ac:dyDescent="0.2">
      <c r="A79" s="176">
        <v>7</v>
      </c>
      <c r="B79" s="176"/>
      <c r="C79" s="12" t="s">
        <v>137</v>
      </c>
      <c r="D79" s="72">
        <v>0.15</v>
      </c>
    </row>
  </sheetData>
  <sheetProtection algorithmName="SHA-512" hashValue="IWNYGfWl95338EaiZYFZTixlQdrxFi1Jqa5AMLbua12TVEW/VXhTUbCo9uzD3HXo8DKoDhRiejqqDbpULkGmwA==" saltValue="+eqaXSCQt2BCiWsHh7M9sg==" spinCount="100000" sheet="1" objects="1" scenarios="1"/>
  <mergeCells count="18">
    <mergeCell ref="A71:C72"/>
    <mergeCell ref="D71:D72"/>
    <mergeCell ref="F71:H72"/>
    <mergeCell ref="E1:I2"/>
    <mergeCell ref="A3:I3"/>
    <mergeCell ref="B59:C59"/>
    <mergeCell ref="B29:C29"/>
    <mergeCell ref="B34:C34"/>
    <mergeCell ref="B42:C42"/>
    <mergeCell ref="B57:C57"/>
    <mergeCell ref="A78:B78"/>
    <mergeCell ref="A79:B79"/>
    <mergeCell ref="F73:H73"/>
    <mergeCell ref="A73:B73"/>
    <mergeCell ref="A74:B74"/>
    <mergeCell ref="A75:B75"/>
    <mergeCell ref="A76:B76"/>
    <mergeCell ref="A77:B77"/>
  </mergeCells>
  <phoneticPr fontId="3" type="noConversion"/>
  <dataValidations count="1">
    <dataValidation type="decimal" errorStyle="warning" allowBlank="1" showInputMessage="1" showErrorMessage="1" error="Bitte überprüfen Sie Ihre Eingaben." sqref="C25" xr:uid="{00000000-0002-0000-0400-000000000000}">
      <formula1>8.5</formula1>
      <formula2>84</formula2>
    </dataValidation>
  </dataValidations>
  <hyperlinks>
    <hyperlink ref="K1" location="Inhaltsverzeichnis!A1" display="Zurück zum Inhaltsverzeichnis" xr:uid="{00000000-0004-0000-04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GrundRG</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ltText="Hinweis">
                <anchor moveWithCells="1">
                  <from>
                    <xdr:col>2</xdr:col>
                    <xdr:colOff>2914650</xdr:colOff>
                    <xdr:row>0</xdr:row>
                    <xdr:rowOff>95250</xdr:rowOff>
                  </from>
                  <to>
                    <xdr:col>3</xdr:col>
                    <xdr:colOff>552450</xdr:colOff>
                    <xdr:row>0</xdr:row>
                    <xdr:rowOff>381000</xdr:rowOff>
                  </to>
                </anchor>
              </controlPr>
            </control>
          </mc:Choice>
        </mc:AlternateContent>
        <mc:AlternateContent xmlns:mc="http://schemas.openxmlformats.org/markup-compatibility/2006">
          <mc:Choice Requires="x14">
            <control shapeId="27650" r:id="rId5" name="Check Box 2">
              <controlPr defaultSize="0" autoFill="0" autoLine="0" autoPict="0" altText="Hinweis">
                <anchor moveWithCells="1">
                  <from>
                    <xdr:col>2</xdr:col>
                    <xdr:colOff>2914650</xdr:colOff>
                    <xdr:row>0</xdr:row>
                    <xdr:rowOff>400050</xdr:rowOff>
                  </from>
                  <to>
                    <xdr:col>3</xdr:col>
                    <xdr:colOff>552450</xdr:colOff>
                    <xdr:row>1</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8904D-CF0C-43C8-A5F1-ADB34C0230CA}">
  <sheetPr>
    <tabColor indexed="13"/>
  </sheetPr>
  <dimension ref="A1:K79"/>
  <sheetViews>
    <sheetView showGridLines="0" zoomScaleNormal="100" workbookViewId="0"/>
  </sheetViews>
  <sheetFormatPr baseColWidth="10" defaultColWidth="11.42578125" defaultRowHeight="10.5" x14ac:dyDescent="0.2"/>
  <cols>
    <col min="1" max="1" width="6.42578125" style="13" customWidth="1"/>
    <col min="2" max="2" width="2.7109375" style="13" customWidth="1"/>
    <col min="3" max="3" width="45.5703125" style="13" customWidth="1"/>
    <col min="4" max="4" width="8.5703125" style="13" customWidth="1"/>
    <col min="5" max="5" width="2.5703125" style="13" customWidth="1"/>
    <col min="6" max="6" width="11.42578125" style="13"/>
    <col min="7" max="7" width="2.85546875" style="13" customWidth="1"/>
    <col min="8" max="8" width="11.42578125" style="13"/>
    <col min="9" max="9" width="2.7109375" style="13" bestFit="1" customWidth="1"/>
    <col min="10" max="10" width="1.28515625" style="13" customWidth="1"/>
    <col min="11" max="11" width="18.28515625" style="13" bestFit="1" customWidth="1"/>
    <col min="12" max="16384" width="11.42578125" style="13"/>
  </cols>
  <sheetData>
    <row r="1" spans="1:11" ht="34.15" customHeight="1" x14ac:dyDescent="0.2">
      <c r="A1" s="101" t="str">
        <f ca="1">IF(H61&lt;&gt;"","","Bitte alle gelben Zellen ausfüllen.")</f>
        <v>Bitte alle gelben Zellen ausfüllen.</v>
      </c>
      <c r="D1" s="33" t="b">
        <v>0</v>
      </c>
      <c r="E1" s="201"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201"/>
      <c r="G1" s="201"/>
      <c r="H1" s="201"/>
      <c r="I1" s="201"/>
      <c r="K1" s="5" t="s">
        <v>100</v>
      </c>
    </row>
    <row r="2" spans="1:11" ht="29.25" customHeight="1" x14ac:dyDescent="0.2">
      <c r="A2" s="13" t="s">
        <v>103</v>
      </c>
      <c r="C2" s="28" t="str">
        <f>IF(Inhaltsverzeichnis!$C$3="", "",Inhaltsverzeichnis!$C$3)</f>
        <v/>
      </c>
      <c r="D2" s="33" t="b">
        <v>0</v>
      </c>
      <c r="E2" s="201"/>
      <c r="F2" s="201"/>
      <c r="G2" s="201"/>
      <c r="H2" s="201"/>
      <c r="I2" s="201"/>
    </row>
    <row r="3" spans="1:11" s="36" customFormat="1" ht="12.75" x14ac:dyDescent="0.2">
      <c r="A3" s="202" t="s">
        <v>305</v>
      </c>
      <c r="B3" s="202"/>
      <c r="C3" s="202"/>
      <c r="D3" s="202"/>
      <c r="E3" s="202"/>
      <c r="F3" s="202"/>
      <c r="G3" s="202"/>
      <c r="H3" s="202"/>
      <c r="I3" s="202"/>
    </row>
    <row r="4" spans="1:11" x14ac:dyDescent="0.2">
      <c r="A4" s="102"/>
      <c r="B4" s="102"/>
      <c r="C4" s="102"/>
      <c r="D4" s="102"/>
      <c r="E4" s="102"/>
      <c r="F4" s="102"/>
      <c r="G4" s="102"/>
      <c r="H4" s="102"/>
      <c r="I4" s="102"/>
    </row>
    <row r="5" spans="1:11" ht="15" customHeight="1" x14ac:dyDescent="0.2">
      <c r="A5" s="103" t="s">
        <v>1</v>
      </c>
      <c r="B5" s="103" t="s">
        <v>2</v>
      </c>
      <c r="C5" s="103"/>
      <c r="D5" s="103"/>
      <c r="E5" s="103"/>
      <c r="F5" s="104">
        <v>100</v>
      </c>
      <c r="G5" s="103" t="s">
        <v>3</v>
      </c>
      <c r="H5" s="52">
        <v>15</v>
      </c>
      <c r="I5" s="103" t="s">
        <v>4</v>
      </c>
      <c r="K5" s="105"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102"/>
      <c r="B6" s="102"/>
      <c r="C6" s="102"/>
      <c r="D6" s="102"/>
      <c r="E6" s="102"/>
      <c r="F6" s="106"/>
      <c r="G6" s="102"/>
      <c r="H6" s="106"/>
      <c r="I6" s="102"/>
    </row>
    <row r="7" spans="1:11" x14ac:dyDescent="0.2">
      <c r="A7" s="103" t="s">
        <v>5</v>
      </c>
      <c r="B7" s="103" t="s">
        <v>6</v>
      </c>
      <c r="C7" s="103"/>
      <c r="D7" s="103"/>
      <c r="E7" s="103"/>
      <c r="F7" s="107"/>
      <c r="G7" s="103"/>
      <c r="H7" s="107"/>
      <c r="I7" s="103"/>
    </row>
    <row r="8" spans="1:11" ht="14.25" x14ac:dyDescent="0.2">
      <c r="A8" s="102" t="s">
        <v>7</v>
      </c>
      <c r="B8" s="102" t="s">
        <v>8</v>
      </c>
      <c r="C8" s="102"/>
      <c r="D8" s="102"/>
      <c r="E8" s="102"/>
      <c r="F8" s="107"/>
      <c r="G8" s="107"/>
      <c r="H8" s="107"/>
      <c r="I8" s="107"/>
      <c r="K8" s="108"/>
    </row>
    <row r="9" spans="1:11" x14ac:dyDescent="0.2">
      <c r="A9" s="102" t="s">
        <v>9</v>
      </c>
      <c r="B9" s="102"/>
      <c r="C9" s="102" t="s">
        <v>10</v>
      </c>
      <c r="D9" s="102"/>
      <c r="E9" s="102"/>
      <c r="F9" s="53"/>
      <c r="G9" s="102" t="s">
        <v>3</v>
      </c>
      <c r="H9" s="109" t="str">
        <f>IF(F9="","",ROUND(F9/100*$H$5,2))</f>
        <v/>
      </c>
      <c r="I9" s="102" t="s">
        <v>4</v>
      </c>
      <c r="K9" s="105" t="str">
        <f>IF(F9="","Bitte ausfüllen!","")</f>
        <v>Bitte ausfüllen!</v>
      </c>
    </row>
    <row r="10" spans="1:11" x14ac:dyDescent="0.2">
      <c r="A10" s="102" t="s">
        <v>11</v>
      </c>
      <c r="B10" s="102"/>
      <c r="C10" s="102" t="s">
        <v>12</v>
      </c>
      <c r="D10" s="102"/>
      <c r="E10" s="102"/>
      <c r="F10" s="53"/>
      <c r="G10" s="102" t="s">
        <v>3</v>
      </c>
      <c r="H10" s="109" t="str">
        <f>IF(F10="","",ROUND(F10/100*$H$5,2))</f>
        <v/>
      </c>
      <c r="I10" s="102" t="s">
        <v>4</v>
      </c>
      <c r="K10" s="105" t="str">
        <f>IF(F10="","Bitte ausfüllen!","")</f>
        <v>Bitte ausfüllen!</v>
      </c>
    </row>
    <row r="11" spans="1:11" x14ac:dyDescent="0.2">
      <c r="A11" s="102" t="s">
        <v>13</v>
      </c>
      <c r="B11" s="102"/>
      <c r="C11" s="102" t="s">
        <v>14</v>
      </c>
      <c r="D11" s="102"/>
      <c r="E11" s="102"/>
      <c r="F11" s="53"/>
      <c r="G11" s="102" t="s">
        <v>3</v>
      </c>
      <c r="H11" s="109" t="str">
        <f>IF(F11="","",ROUND(F11/100*$H$5,2))</f>
        <v/>
      </c>
      <c r="I11" s="102" t="s">
        <v>4</v>
      </c>
      <c r="K11" s="105" t="str">
        <f>IF(F11="","Bitte ausfüllen!","")</f>
        <v>Bitte ausfüllen!</v>
      </c>
    </row>
    <row r="12" spans="1:11" x14ac:dyDescent="0.2">
      <c r="A12" s="102" t="s">
        <v>15</v>
      </c>
      <c r="B12" s="102"/>
      <c r="C12" s="102" t="s">
        <v>16</v>
      </c>
      <c r="D12" s="102"/>
      <c r="E12" s="102"/>
      <c r="F12" s="53"/>
      <c r="G12" s="102" t="s">
        <v>3</v>
      </c>
      <c r="H12" s="109" t="str">
        <f>IF(F12="","",ROUND(F12/100*$H$5,2))</f>
        <v/>
      </c>
      <c r="I12" s="102" t="s">
        <v>4</v>
      </c>
      <c r="K12" s="105" t="str">
        <f>IF(F12="","Bitte ausfüllen!","")</f>
        <v>Bitte ausfüllen!</v>
      </c>
    </row>
    <row r="13" spans="1:11" x14ac:dyDescent="0.2">
      <c r="A13" s="102" t="s">
        <v>17</v>
      </c>
      <c r="B13" s="102"/>
      <c r="C13" s="102" t="s">
        <v>18</v>
      </c>
      <c r="D13" s="102"/>
      <c r="E13" s="102"/>
      <c r="F13" s="53"/>
      <c r="G13" s="102" t="s">
        <v>3</v>
      </c>
      <c r="H13" s="109" t="str">
        <f>IF(F13="","",ROUND(F13/100*$H$5,2))</f>
        <v/>
      </c>
      <c r="I13" s="102" t="s">
        <v>4</v>
      </c>
      <c r="K13" s="105" t="str">
        <f>IF(F13="","Bitte ausfüllen!","")</f>
        <v>Bitte ausfüllen!</v>
      </c>
    </row>
    <row r="14" spans="1:11" x14ac:dyDescent="0.2">
      <c r="A14" s="103"/>
      <c r="B14" s="103" t="s">
        <v>19</v>
      </c>
      <c r="C14" s="103"/>
      <c r="D14" s="103"/>
      <c r="E14" s="103"/>
      <c r="F14" s="110">
        <f>IF(SUM(F9:F13)=0,0,SUM(F9:F13))</f>
        <v>0</v>
      </c>
      <c r="G14" s="103" t="s">
        <v>3</v>
      </c>
      <c r="H14" s="111" t="str">
        <f>IF(COUNTIF(F9:F13,"")&gt;0,"",SUM(H8:H13))</f>
        <v/>
      </c>
      <c r="I14" s="103" t="s">
        <v>4</v>
      </c>
      <c r="K14" s="105" t="str">
        <f>IF(H14="","Angaben offen!","")</f>
        <v>Angaben offen!</v>
      </c>
    </row>
    <row r="15" spans="1:11" x14ac:dyDescent="0.2">
      <c r="A15" s="102"/>
      <c r="B15" s="102"/>
      <c r="C15" s="102"/>
      <c r="D15" s="102"/>
      <c r="E15" s="102"/>
      <c r="F15" s="106"/>
      <c r="G15" s="102"/>
      <c r="H15" s="106"/>
      <c r="I15" s="102"/>
    </row>
    <row r="16" spans="1:11" x14ac:dyDescent="0.2">
      <c r="A16" s="103" t="s">
        <v>20</v>
      </c>
      <c r="B16" s="103" t="s">
        <v>21</v>
      </c>
      <c r="C16" s="103"/>
      <c r="D16" s="103"/>
      <c r="E16" s="103"/>
      <c r="F16" s="107"/>
      <c r="G16" s="103"/>
      <c r="H16" s="107"/>
      <c r="I16" s="103"/>
    </row>
    <row r="17" spans="1:11" ht="11.25" x14ac:dyDescent="0.2">
      <c r="A17" s="102" t="s">
        <v>22</v>
      </c>
      <c r="B17" s="102" t="s">
        <v>126</v>
      </c>
      <c r="C17" s="102"/>
      <c r="D17" s="53">
        <f>D73+D77</f>
        <v>8.75</v>
      </c>
      <c r="E17" s="102" t="s">
        <v>3</v>
      </c>
      <c r="F17" s="106"/>
      <c r="G17" s="102"/>
      <c r="H17" s="106"/>
      <c r="I17" s="102"/>
      <c r="K17" s="105" t="str">
        <f ca="1">IF(D17&lt;(D73+D77),"Wert prüfen!",IF(H61="","Inhalt der gelben Zellen kann angepasst werden.",""))</f>
        <v>Inhalt der gelben Zellen kann angepasst werden.</v>
      </c>
    </row>
    <row r="18" spans="1:11" x14ac:dyDescent="0.2">
      <c r="A18" s="102"/>
      <c r="B18" s="102" t="s">
        <v>23</v>
      </c>
      <c r="C18" s="102"/>
      <c r="D18" s="112">
        <f>(D17/100)*$F$14</f>
        <v>0</v>
      </c>
      <c r="E18" s="102" t="s">
        <v>3</v>
      </c>
      <c r="F18" s="113">
        <f>IF(D18="","",D17+D18)</f>
        <v>8.75</v>
      </c>
      <c r="G18" s="102" t="s">
        <v>3</v>
      </c>
      <c r="H18" s="109">
        <f>IF(D18="","",ROUND(F18/100*$H$5,2))</f>
        <v>1.31</v>
      </c>
      <c r="I18" s="102" t="s">
        <v>4</v>
      </c>
      <c r="K18" s="105"/>
    </row>
    <row r="19" spans="1:11" ht="11.25" x14ac:dyDescent="0.2">
      <c r="A19" s="102" t="s">
        <v>24</v>
      </c>
      <c r="B19" s="102" t="s">
        <v>127</v>
      </c>
      <c r="C19" s="102"/>
      <c r="D19" s="53">
        <f>D74</f>
        <v>9.3000000000000007</v>
      </c>
      <c r="E19" s="102" t="s">
        <v>3</v>
      </c>
      <c r="F19" s="114"/>
      <c r="G19" s="102"/>
      <c r="H19" s="106"/>
      <c r="I19" s="102"/>
      <c r="K19" s="105" t="str">
        <f ca="1">IF(D19&lt;&gt;D74,"Wert prüfen!",IF(H61="","Inhalt der gelben Zellen kann angepasst werden.",""))</f>
        <v>Inhalt der gelben Zellen kann angepasst werden.</v>
      </c>
    </row>
    <row r="20" spans="1:11" x14ac:dyDescent="0.2">
      <c r="A20" s="102"/>
      <c r="B20" s="102" t="s">
        <v>25</v>
      </c>
      <c r="C20" s="102"/>
      <c r="D20" s="112">
        <f>(D19/100)*$F$14</f>
        <v>0</v>
      </c>
      <c r="E20" s="102" t="s">
        <v>3</v>
      </c>
      <c r="F20" s="113">
        <f>IF(D20="","",D19+D20)</f>
        <v>9.3000000000000007</v>
      </c>
      <c r="G20" s="102" t="s">
        <v>3</v>
      </c>
      <c r="H20" s="109">
        <f>IF(D20="","",ROUND(F20/100*$H$5,2))</f>
        <v>1.4</v>
      </c>
      <c r="I20" s="102" t="s">
        <v>4</v>
      </c>
      <c r="K20" s="105"/>
    </row>
    <row r="21" spans="1:11" ht="11.25" x14ac:dyDescent="0.2">
      <c r="A21" s="102" t="s">
        <v>26</v>
      </c>
      <c r="B21" s="102" t="s">
        <v>128</v>
      </c>
      <c r="C21" s="102"/>
      <c r="D21" s="53">
        <f>D75</f>
        <v>1.3</v>
      </c>
      <c r="E21" s="102" t="s">
        <v>3</v>
      </c>
      <c r="F21" s="114"/>
      <c r="G21" s="102"/>
      <c r="H21" s="106"/>
      <c r="I21" s="102"/>
      <c r="K21" s="105" t="str">
        <f ca="1">IF(D21&lt;&gt;D75,"Wert prüfen!",IF(H61="","Inhalt der gelben Zellen kann angepasst werden.",""))</f>
        <v>Inhalt der gelben Zellen kann angepasst werden.</v>
      </c>
    </row>
    <row r="22" spans="1:11" x14ac:dyDescent="0.2">
      <c r="A22" s="102"/>
      <c r="B22" s="102" t="s">
        <v>27</v>
      </c>
      <c r="C22" s="102"/>
      <c r="D22" s="112">
        <f>(D21/100)*$F$14</f>
        <v>0</v>
      </c>
      <c r="E22" s="102" t="s">
        <v>3</v>
      </c>
      <c r="F22" s="113">
        <f>IF(D22="","",D21+D22)</f>
        <v>1.3</v>
      </c>
      <c r="G22" s="102" t="s">
        <v>3</v>
      </c>
      <c r="H22" s="109">
        <f>IF(D22="","",ROUND(F22/100*$H$5,2))</f>
        <v>0.2</v>
      </c>
      <c r="I22" s="102" t="s">
        <v>4</v>
      </c>
      <c r="K22" s="105"/>
    </row>
    <row r="23" spans="1:11" ht="11.25" x14ac:dyDescent="0.2">
      <c r="A23" s="102" t="s">
        <v>28</v>
      </c>
      <c r="B23" s="102" t="s">
        <v>129</v>
      </c>
      <c r="C23" s="102"/>
      <c r="D23" s="53">
        <f>D76</f>
        <v>1.8</v>
      </c>
      <c r="E23" s="102" t="s">
        <v>3</v>
      </c>
      <c r="F23" s="114"/>
      <c r="G23" s="102"/>
      <c r="H23" s="106"/>
      <c r="I23" s="102"/>
      <c r="K23" s="105" t="str">
        <f ca="1">IF(D23&lt;&gt;D76,"Wert prüfen!",IF(H61="","Inhalt der gelben Zellen kann angepasst werden.",""))</f>
        <v>Inhalt der gelben Zellen kann angepasst werden.</v>
      </c>
    </row>
    <row r="24" spans="1:11" x14ac:dyDescent="0.2">
      <c r="A24" s="102"/>
      <c r="B24" s="102" t="s">
        <v>29</v>
      </c>
      <c r="C24" s="102"/>
      <c r="D24" s="112">
        <f>(D23/100)*$F$14</f>
        <v>0</v>
      </c>
      <c r="E24" s="102" t="s">
        <v>3</v>
      </c>
      <c r="F24" s="113">
        <f>IF(D24="","",D23+D24)</f>
        <v>1.8</v>
      </c>
      <c r="G24" s="102" t="s">
        <v>3</v>
      </c>
      <c r="H24" s="109">
        <f>IF(D24="","",ROUND(F24/100*$H$5,2))</f>
        <v>0.27</v>
      </c>
      <c r="I24" s="102" t="s">
        <v>4</v>
      </c>
      <c r="K24" s="105"/>
    </row>
    <row r="25" spans="1:11" ht="11.25" x14ac:dyDescent="0.2">
      <c r="A25" s="102" t="s">
        <v>30</v>
      </c>
      <c r="B25" s="102" t="s">
        <v>130</v>
      </c>
      <c r="C25" s="102"/>
      <c r="D25" s="53"/>
      <c r="E25" s="102" t="s">
        <v>3</v>
      </c>
      <c r="F25" s="114"/>
      <c r="G25" s="102"/>
      <c r="H25" s="106"/>
      <c r="I25" s="102"/>
      <c r="K25" s="105" t="str">
        <f>IF(D25="","Bitte ausfüllen!","")</f>
        <v>Bitte ausfüllen!</v>
      </c>
    </row>
    <row r="26" spans="1:11" x14ac:dyDescent="0.2">
      <c r="A26" s="102"/>
      <c r="B26" s="102" t="s">
        <v>31</v>
      </c>
      <c r="C26" s="102"/>
      <c r="D26" s="112">
        <f>(D25/100)*$F$14</f>
        <v>0</v>
      </c>
      <c r="E26" s="102" t="s">
        <v>3</v>
      </c>
      <c r="F26" s="113">
        <f>IF(D26="","",D25+D26)</f>
        <v>0</v>
      </c>
      <c r="G26" s="102" t="s">
        <v>3</v>
      </c>
      <c r="H26" s="109">
        <f>IF(D26="","",ROUND(F26/100*$H$5,2))</f>
        <v>0</v>
      </c>
      <c r="I26" s="102" t="s">
        <v>4</v>
      </c>
      <c r="K26" s="105"/>
    </row>
    <row r="27" spans="1:11" ht="11.25" x14ac:dyDescent="0.2">
      <c r="A27" s="102" t="s">
        <v>32</v>
      </c>
      <c r="B27" s="102" t="s">
        <v>131</v>
      </c>
      <c r="C27" s="102"/>
      <c r="D27" s="102"/>
      <c r="E27" s="102"/>
      <c r="F27" s="53"/>
      <c r="G27" s="102" t="s">
        <v>3</v>
      </c>
      <c r="H27" s="109" t="str">
        <f>IF(F27="","",ROUND(F27/100*$H$5,2))</f>
        <v/>
      </c>
      <c r="I27" s="102" t="s">
        <v>4</v>
      </c>
      <c r="K27" s="105" t="str">
        <f>IF(F27="","Bitte ausfüllen!","")</f>
        <v>Bitte ausfüllen!</v>
      </c>
    </row>
    <row r="28" spans="1:11" ht="11.25" x14ac:dyDescent="0.2">
      <c r="A28" s="102" t="s">
        <v>33</v>
      </c>
      <c r="B28" s="102" t="s">
        <v>132</v>
      </c>
      <c r="C28" s="102"/>
      <c r="D28" s="102"/>
      <c r="E28" s="102"/>
      <c r="F28" s="53">
        <f>D79</f>
        <v>0.15</v>
      </c>
      <c r="G28" s="102" t="s">
        <v>3</v>
      </c>
      <c r="H28" s="109">
        <f>IF(F28="","",ROUND(F28/100*$H$5,2))</f>
        <v>0.02</v>
      </c>
      <c r="I28" s="102" t="s">
        <v>4</v>
      </c>
      <c r="K28" s="105" t="str">
        <f ca="1">IF(F28&lt;&gt;D79,"Wert prüfen!",IF(H61="","Inhalt der gelben Zellen kann angepasst werden.",""))</f>
        <v>Inhalt der gelben Zellen kann angepasst werden.</v>
      </c>
    </row>
    <row r="29" spans="1:11" ht="25.5" customHeight="1" x14ac:dyDescent="0.2">
      <c r="A29" s="103"/>
      <c r="B29" s="200" t="s">
        <v>34</v>
      </c>
      <c r="C29" s="200"/>
      <c r="D29" s="103"/>
      <c r="E29" s="103"/>
      <c r="F29" s="110">
        <f>IF(SUM(F17:F28)=0,0,SUM(F17:F28)+F14)</f>
        <v>21.3</v>
      </c>
      <c r="G29" s="103" t="s">
        <v>3</v>
      </c>
      <c r="H29" s="111" t="str">
        <f>IF(OR(COUNTIF(D17:D26,"")&gt;0,COUNTIF(F27:F28,"")&gt;0),"",SUM(H17:H28)+H14)</f>
        <v/>
      </c>
      <c r="I29" s="103" t="s">
        <v>4</v>
      </c>
      <c r="K29" s="105" t="str">
        <f>IF(H29="","Angaben offen!","")</f>
        <v>Angaben offen!</v>
      </c>
    </row>
    <row r="30" spans="1:11" x14ac:dyDescent="0.2">
      <c r="A30" s="102"/>
      <c r="B30" s="102"/>
      <c r="C30" s="102"/>
      <c r="D30" s="102"/>
      <c r="E30" s="102"/>
      <c r="F30" s="106"/>
      <c r="G30" s="102"/>
      <c r="H30" s="106"/>
      <c r="I30" s="102"/>
    </row>
    <row r="31" spans="1:11" x14ac:dyDescent="0.2">
      <c r="A31" s="102"/>
      <c r="B31" s="103" t="s">
        <v>35</v>
      </c>
      <c r="C31" s="102"/>
      <c r="D31" s="102"/>
      <c r="E31" s="102"/>
      <c r="F31" s="106"/>
      <c r="G31" s="102"/>
      <c r="H31" s="106"/>
      <c r="I31" s="102"/>
    </row>
    <row r="32" spans="1:11" x14ac:dyDescent="0.2">
      <c r="A32" s="102" t="s">
        <v>36</v>
      </c>
      <c r="B32" s="102" t="s">
        <v>37</v>
      </c>
      <c r="C32" s="102"/>
      <c r="D32" s="102"/>
      <c r="E32" s="102"/>
      <c r="F32" s="53"/>
      <c r="G32" s="102" t="s">
        <v>3</v>
      </c>
      <c r="H32" s="109" t="str">
        <f>IF(F32="","",ROUND(F32/100*$H$5,2))</f>
        <v/>
      </c>
      <c r="I32" s="102" t="s">
        <v>4</v>
      </c>
      <c r="K32" s="105" t="str">
        <f>IF(F32="","Bitte ausfüllen!","")</f>
        <v>Bitte ausfüllen!</v>
      </c>
    </row>
    <row r="33" spans="1:11" x14ac:dyDescent="0.2">
      <c r="A33" s="102" t="s">
        <v>38</v>
      </c>
      <c r="B33" s="102" t="s">
        <v>39</v>
      </c>
      <c r="C33" s="102"/>
      <c r="D33" s="102"/>
      <c r="E33" s="102"/>
      <c r="F33" s="53"/>
      <c r="G33" s="102" t="s">
        <v>3</v>
      </c>
      <c r="H33" s="109" t="str">
        <f>IF(F33="","",ROUND(F33/100*$H$5,2))</f>
        <v/>
      </c>
      <c r="I33" s="102" t="s">
        <v>4</v>
      </c>
      <c r="K33" s="105" t="str">
        <f>IF(F33="","Bitte ausfüllen!","")</f>
        <v>Bitte ausfüllen!</v>
      </c>
    </row>
    <row r="34" spans="1:11" ht="25.5" customHeight="1" x14ac:dyDescent="0.2">
      <c r="A34" s="103"/>
      <c r="B34" s="200" t="s">
        <v>40</v>
      </c>
      <c r="C34" s="200"/>
      <c r="D34" s="103"/>
      <c r="E34" s="103"/>
      <c r="F34" s="110">
        <f>IF(SUM(F32:F33)=0,0,SUM(F32:F33)+F29)</f>
        <v>0</v>
      </c>
      <c r="G34" s="103" t="s">
        <v>3</v>
      </c>
      <c r="H34" s="111" t="str">
        <f>IF(COUNTIF(H32:H33,"")&gt;0,"",SUM(H32:H33)+H29)</f>
        <v/>
      </c>
      <c r="I34" s="103" t="s">
        <v>4</v>
      </c>
      <c r="K34" s="105" t="str">
        <f>IF(H34="","Angaben offen!","")</f>
        <v>Angaben offen!</v>
      </c>
    </row>
    <row r="35" spans="1:11" x14ac:dyDescent="0.2">
      <c r="A35" s="102"/>
      <c r="B35" s="102"/>
      <c r="C35" s="102"/>
      <c r="D35" s="102"/>
      <c r="E35" s="102"/>
      <c r="F35" s="106"/>
      <c r="G35" s="102"/>
      <c r="H35" s="106"/>
      <c r="I35" s="102"/>
    </row>
    <row r="36" spans="1:11" x14ac:dyDescent="0.2">
      <c r="A36" s="103" t="s">
        <v>41</v>
      </c>
      <c r="B36" s="103" t="s">
        <v>42</v>
      </c>
      <c r="C36" s="103"/>
      <c r="D36" s="103"/>
      <c r="E36" s="103"/>
      <c r="F36" s="107"/>
      <c r="G36" s="103"/>
      <c r="H36" s="107"/>
      <c r="I36" s="103"/>
    </row>
    <row r="37" spans="1:11" x14ac:dyDescent="0.2">
      <c r="A37" s="102" t="s">
        <v>43</v>
      </c>
      <c r="B37" s="102" t="s">
        <v>44</v>
      </c>
      <c r="C37" s="102"/>
      <c r="D37" s="102"/>
      <c r="E37" s="102"/>
      <c r="F37" s="106"/>
      <c r="G37" s="102"/>
      <c r="H37" s="106"/>
      <c r="I37" s="102"/>
    </row>
    <row r="38" spans="1:11" x14ac:dyDescent="0.2">
      <c r="A38" s="102"/>
      <c r="B38" s="102" t="s">
        <v>45</v>
      </c>
      <c r="C38" s="102"/>
      <c r="D38" s="102"/>
      <c r="E38" s="102"/>
      <c r="F38" s="53"/>
      <c r="G38" s="102" t="s">
        <v>3</v>
      </c>
      <c r="H38" s="109" t="str">
        <f>IF(F38="","",ROUND(F38/100*$H$5,2))</f>
        <v/>
      </c>
      <c r="I38" s="102" t="s">
        <v>4</v>
      </c>
      <c r="K38" s="105" t="str">
        <f>IF(F38="","Bitte ausfüllen!","")</f>
        <v>Bitte ausfüllen!</v>
      </c>
    </row>
    <row r="39" spans="1:11" x14ac:dyDescent="0.2">
      <c r="A39" s="102" t="s">
        <v>46</v>
      </c>
      <c r="B39" s="102" t="s">
        <v>47</v>
      </c>
      <c r="C39" s="102"/>
      <c r="D39" s="102"/>
      <c r="E39" s="102"/>
      <c r="F39" s="53"/>
      <c r="G39" s="102" t="s">
        <v>3</v>
      </c>
      <c r="H39" s="109" t="str">
        <f>IF(F39="","",ROUND(F39/100*$H$5,2))</f>
        <v/>
      </c>
      <c r="I39" s="102" t="s">
        <v>4</v>
      </c>
      <c r="K39" s="105" t="str">
        <f>IF(F39="","Bitte ausfüllen!","")</f>
        <v>Bitte ausfüllen!</v>
      </c>
    </row>
    <row r="40" spans="1:11" x14ac:dyDescent="0.2">
      <c r="A40" s="102" t="s">
        <v>48</v>
      </c>
      <c r="B40" s="102" t="s">
        <v>49</v>
      </c>
      <c r="C40" s="102"/>
      <c r="D40" s="102"/>
      <c r="E40" s="102"/>
      <c r="F40" s="53"/>
      <c r="G40" s="102" t="s">
        <v>3</v>
      </c>
      <c r="H40" s="109" t="str">
        <f>IF(F40="","",ROUND(F40/100*$H$5,2))</f>
        <v/>
      </c>
      <c r="I40" s="102" t="s">
        <v>4</v>
      </c>
      <c r="K40" s="105" t="str">
        <f>IF(F40="","Bitte ausfüllen!","")</f>
        <v>Bitte ausfüllen!</v>
      </c>
    </row>
    <row r="41" spans="1:11" x14ac:dyDescent="0.2">
      <c r="A41" s="102" t="s">
        <v>50</v>
      </c>
      <c r="B41" s="102" t="s">
        <v>51</v>
      </c>
      <c r="C41" s="102"/>
      <c r="D41" s="102"/>
      <c r="E41" s="102"/>
      <c r="F41" s="53"/>
      <c r="G41" s="102" t="s">
        <v>3</v>
      </c>
      <c r="H41" s="109" t="str">
        <f>IF(F41="","",ROUND(F41/100*$H$5,2))</f>
        <v/>
      </c>
      <c r="I41" s="102" t="s">
        <v>4</v>
      </c>
      <c r="K41" s="105" t="str">
        <f>IF(F41="","Bitte ausfüllen!","")</f>
        <v>Bitte ausfüllen!</v>
      </c>
    </row>
    <row r="42" spans="1:11" ht="25.5" customHeight="1" x14ac:dyDescent="0.2">
      <c r="A42" s="103"/>
      <c r="B42" s="200" t="s">
        <v>52</v>
      </c>
      <c r="C42" s="200"/>
      <c r="D42" s="103"/>
      <c r="E42" s="103"/>
      <c r="F42" s="110">
        <f>IF(SUM(F38:F41)=0,0,SUM(F38:F41))</f>
        <v>0</v>
      </c>
      <c r="G42" s="103" t="s">
        <v>3</v>
      </c>
      <c r="H42" s="111" t="str">
        <f>IF(COUNTIF(H38:H41,"")&gt;0,"",SUM(H38:H41))</f>
        <v/>
      </c>
      <c r="I42" s="103" t="s">
        <v>4</v>
      </c>
      <c r="K42" s="105" t="str">
        <f>IF(H42="","Angaben offen!","")</f>
        <v>Angaben offen!</v>
      </c>
    </row>
    <row r="43" spans="1:11" x14ac:dyDescent="0.2">
      <c r="A43" s="102"/>
      <c r="B43" s="102"/>
      <c r="C43" s="102"/>
      <c r="D43" s="102"/>
      <c r="E43" s="102"/>
      <c r="F43" s="106"/>
      <c r="G43" s="102"/>
      <c r="H43" s="106"/>
      <c r="I43" s="102"/>
    </row>
    <row r="44" spans="1:11" x14ac:dyDescent="0.2">
      <c r="A44" s="103" t="s">
        <v>53</v>
      </c>
      <c r="B44" s="103" t="s">
        <v>54</v>
      </c>
      <c r="C44" s="103"/>
      <c r="D44" s="103"/>
      <c r="E44" s="103"/>
      <c r="F44" s="103"/>
      <c r="G44" s="103"/>
      <c r="H44" s="103"/>
      <c r="I44" s="103"/>
    </row>
    <row r="45" spans="1:11" x14ac:dyDescent="0.2">
      <c r="A45" s="102" t="s">
        <v>55</v>
      </c>
      <c r="B45" s="102" t="s">
        <v>56</v>
      </c>
      <c r="C45" s="102"/>
      <c r="D45" s="102"/>
      <c r="E45" s="102"/>
      <c r="F45" s="102"/>
      <c r="G45" s="102"/>
      <c r="H45" s="102"/>
      <c r="I45" s="102"/>
    </row>
    <row r="46" spans="1:11" x14ac:dyDescent="0.2">
      <c r="A46" s="102" t="s">
        <v>57</v>
      </c>
      <c r="B46" s="102"/>
      <c r="C46" s="102" t="s">
        <v>58</v>
      </c>
      <c r="D46" s="102"/>
      <c r="E46" s="102"/>
      <c r="F46" s="53"/>
      <c r="G46" s="102" t="s">
        <v>3</v>
      </c>
      <c r="H46" s="109" t="str">
        <f>IF(F46="","",ROUND(F46/100*$H$5,2))</f>
        <v/>
      </c>
      <c r="I46" s="102" t="s">
        <v>4</v>
      </c>
      <c r="K46" s="105" t="str">
        <f>IF(F46="","Bitte ausfüllen!","")</f>
        <v>Bitte ausfüllen!</v>
      </c>
    </row>
    <row r="47" spans="1:11" x14ac:dyDescent="0.2">
      <c r="A47" s="102" t="s">
        <v>59</v>
      </c>
      <c r="B47" s="102"/>
      <c r="C47" s="102" t="s">
        <v>125</v>
      </c>
      <c r="D47" s="102"/>
      <c r="E47" s="102"/>
      <c r="F47" s="53"/>
      <c r="G47" s="102" t="s">
        <v>3</v>
      </c>
      <c r="H47" s="109" t="str">
        <f>IF(F47="","",ROUND(F47/100*$H$5,2))</f>
        <v/>
      </c>
      <c r="I47" s="102" t="s">
        <v>4</v>
      </c>
      <c r="K47" s="105" t="str">
        <f>IF(F47="","Bitte ausfüllen!","")</f>
        <v>Bitte ausfüllen!</v>
      </c>
    </row>
    <row r="48" spans="1:11" x14ac:dyDescent="0.2">
      <c r="A48" s="102" t="s">
        <v>60</v>
      </c>
      <c r="B48" s="102" t="s">
        <v>61</v>
      </c>
      <c r="C48" s="102"/>
      <c r="D48" s="102"/>
      <c r="E48" s="102"/>
      <c r="F48" s="53"/>
      <c r="G48" s="102" t="s">
        <v>3</v>
      </c>
      <c r="H48" s="109" t="str">
        <f>IF(F48="","",ROUND(F48/100*$H$5,2))</f>
        <v/>
      </c>
      <c r="I48" s="102" t="s">
        <v>4</v>
      </c>
      <c r="K48" s="105" t="str">
        <f>IF(F48="","Bitte ausfüllen!","")</f>
        <v>Bitte ausfüllen!</v>
      </c>
    </row>
    <row r="49" spans="1:11" x14ac:dyDescent="0.2">
      <c r="A49" s="102" t="s">
        <v>62</v>
      </c>
      <c r="B49" s="102" t="s">
        <v>63</v>
      </c>
      <c r="C49" s="102"/>
      <c r="D49" s="102"/>
      <c r="E49" s="102"/>
      <c r="F49" s="102"/>
      <c r="G49" s="102"/>
      <c r="H49" s="102"/>
      <c r="I49" s="102"/>
    </row>
    <row r="50" spans="1:11" x14ac:dyDescent="0.2">
      <c r="A50" s="102" t="s">
        <v>64</v>
      </c>
      <c r="B50" s="102"/>
      <c r="C50" s="102" t="s">
        <v>65</v>
      </c>
      <c r="D50" s="102"/>
      <c r="E50" s="102"/>
      <c r="F50" s="53"/>
      <c r="G50" s="102" t="s">
        <v>3</v>
      </c>
      <c r="H50" s="109" t="str">
        <f t="shared" ref="H50:H56" si="0">IF(F50="","",ROUND(F50/100*$H$5,2))</f>
        <v/>
      </c>
      <c r="I50" s="102" t="s">
        <v>4</v>
      </c>
      <c r="K50" s="105" t="str">
        <f t="shared" ref="K50:K56" si="1">IF(F50="","Bitte ausfüllen!","")</f>
        <v>Bitte ausfüllen!</v>
      </c>
    </row>
    <row r="51" spans="1:11" x14ac:dyDescent="0.2">
      <c r="A51" s="102" t="s">
        <v>66</v>
      </c>
      <c r="B51" s="102"/>
      <c r="C51" s="102" t="s">
        <v>67</v>
      </c>
      <c r="D51" s="102"/>
      <c r="E51" s="102"/>
      <c r="F51" s="53"/>
      <c r="G51" s="102" t="s">
        <v>3</v>
      </c>
      <c r="H51" s="109" t="str">
        <f t="shared" si="0"/>
        <v/>
      </c>
      <c r="I51" s="102" t="s">
        <v>4</v>
      </c>
      <c r="K51" s="105" t="str">
        <f t="shared" si="1"/>
        <v>Bitte ausfüllen!</v>
      </c>
    </row>
    <row r="52" spans="1:11" x14ac:dyDescent="0.2">
      <c r="A52" s="102" t="s">
        <v>68</v>
      </c>
      <c r="B52" s="102" t="s">
        <v>69</v>
      </c>
      <c r="C52" s="102"/>
      <c r="D52" s="102"/>
      <c r="E52" s="102"/>
      <c r="F52" s="53"/>
      <c r="G52" s="102" t="s">
        <v>3</v>
      </c>
      <c r="H52" s="109" t="str">
        <f t="shared" si="0"/>
        <v/>
      </c>
      <c r="I52" s="102" t="s">
        <v>4</v>
      </c>
      <c r="K52" s="105" t="str">
        <f t="shared" si="1"/>
        <v>Bitte ausfüllen!</v>
      </c>
    </row>
    <row r="53" spans="1:11" x14ac:dyDescent="0.2">
      <c r="A53" s="102" t="s">
        <v>70</v>
      </c>
      <c r="B53" s="102" t="s">
        <v>71</v>
      </c>
      <c r="C53" s="102"/>
      <c r="D53" s="102"/>
      <c r="E53" s="102"/>
      <c r="F53" s="53"/>
      <c r="G53" s="102" t="s">
        <v>3</v>
      </c>
      <c r="H53" s="109" t="str">
        <f t="shared" si="0"/>
        <v/>
      </c>
      <c r="I53" s="102" t="s">
        <v>4</v>
      </c>
      <c r="K53" s="105" t="str">
        <f t="shared" si="1"/>
        <v>Bitte ausfüllen!</v>
      </c>
    </row>
    <row r="54" spans="1:11" x14ac:dyDescent="0.2">
      <c r="A54" s="102" t="s">
        <v>72</v>
      </c>
      <c r="B54" s="102" t="s">
        <v>73</v>
      </c>
      <c r="C54" s="102"/>
      <c r="D54" s="102"/>
      <c r="E54" s="102"/>
      <c r="F54" s="53"/>
      <c r="G54" s="102" t="s">
        <v>3</v>
      </c>
      <c r="H54" s="109" t="str">
        <f t="shared" si="0"/>
        <v/>
      </c>
      <c r="I54" s="102" t="s">
        <v>4</v>
      </c>
      <c r="K54" s="105" t="str">
        <f t="shared" si="1"/>
        <v>Bitte ausfüllen!</v>
      </c>
    </row>
    <row r="55" spans="1:11" x14ac:dyDescent="0.2">
      <c r="A55" s="102" t="s">
        <v>74</v>
      </c>
      <c r="B55" s="102" t="s">
        <v>75</v>
      </c>
      <c r="C55" s="102"/>
      <c r="D55" s="102"/>
      <c r="E55" s="102"/>
      <c r="F55" s="53"/>
      <c r="G55" s="102" t="s">
        <v>3</v>
      </c>
      <c r="H55" s="109" t="str">
        <f t="shared" si="0"/>
        <v/>
      </c>
      <c r="I55" s="102" t="s">
        <v>4</v>
      </c>
      <c r="K55" s="105" t="str">
        <f t="shared" si="1"/>
        <v>Bitte ausfüllen!</v>
      </c>
    </row>
    <row r="56" spans="1:11" x14ac:dyDescent="0.2">
      <c r="A56" s="102" t="s">
        <v>76</v>
      </c>
      <c r="B56" s="102" t="s">
        <v>77</v>
      </c>
      <c r="C56" s="102"/>
      <c r="D56" s="102"/>
      <c r="E56" s="102"/>
      <c r="F56" s="53"/>
      <c r="G56" s="102" t="s">
        <v>3</v>
      </c>
      <c r="H56" s="109" t="str">
        <f t="shared" si="0"/>
        <v/>
      </c>
      <c r="I56" s="102" t="s">
        <v>4</v>
      </c>
      <c r="K56" s="105" t="str">
        <f t="shared" si="1"/>
        <v>Bitte ausfüllen!</v>
      </c>
    </row>
    <row r="57" spans="1:11" ht="25.5" customHeight="1" x14ac:dyDescent="0.2">
      <c r="A57" s="103"/>
      <c r="B57" s="200" t="s">
        <v>78</v>
      </c>
      <c r="C57" s="200"/>
      <c r="D57" s="103"/>
      <c r="E57" s="103"/>
      <c r="F57" s="110">
        <f>IF(SUM(F45:F56)=0,0,SUM(F45:F56))</f>
        <v>0</v>
      </c>
      <c r="G57" s="103" t="s">
        <v>3</v>
      </c>
      <c r="H57" s="111" t="str">
        <f>IF(COUNTIF(H46:H56,"")&gt;1,"",SUM(H46:H56))</f>
        <v/>
      </c>
      <c r="I57" s="103" t="s">
        <v>4</v>
      </c>
      <c r="K57" s="105" t="str">
        <f>IF(H57="","Angaben offen!","")</f>
        <v>Angaben offen!</v>
      </c>
    </row>
    <row r="58" spans="1:11" x14ac:dyDescent="0.2">
      <c r="A58" s="102"/>
      <c r="B58" s="102"/>
      <c r="C58" s="102"/>
      <c r="D58" s="102"/>
      <c r="E58" s="102"/>
      <c r="F58" s="106"/>
      <c r="G58" s="102"/>
      <c r="H58" s="106"/>
      <c r="I58" s="102"/>
    </row>
    <row r="59" spans="1:11" x14ac:dyDescent="0.2">
      <c r="A59" s="103" t="s">
        <v>79</v>
      </c>
      <c r="B59" s="190" t="s">
        <v>80</v>
      </c>
      <c r="C59" s="190"/>
      <c r="D59" s="103"/>
      <c r="E59" s="103"/>
      <c r="F59" s="115">
        <f>IF(AND(F34=""),0,F34+F42+F57+F5)</f>
        <v>100</v>
      </c>
      <c r="G59" s="103" t="s">
        <v>3</v>
      </c>
      <c r="H59" s="107" t="str">
        <f>IF(H57="","",H34+H42+H57+H5)</f>
        <v/>
      </c>
      <c r="I59" s="103" t="s">
        <v>4</v>
      </c>
    </row>
    <row r="60" spans="1:11" x14ac:dyDescent="0.2">
      <c r="A60" s="103" t="s">
        <v>81</v>
      </c>
      <c r="B60" s="103" t="s">
        <v>82</v>
      </c>
      <c r="C60" s="103"/>
      <c r="D60" s="103"/>
      <c r="E60" s="103"/>
      <c r="F60" s="53"/>
      <c r="G60" s="103" t="s">
        <v>3</v>
      </c>
      <c r="H60" s="111" t="str">
        <f>IF(F60="","",ROUND(F60/100*H59,2))</f>
        <v/>
      </c>
      <c r="I60" s="103" t="s">
        <v>4</v>
      </c>
      <c r="K60" s="105" t="str">
        <f>IF(F60="","Bitte ausfüllen!","")</f>
        <v>Bitte ausfüllen!</v>
      </c>
    </row>
    <row r="61" spans="1:11" x14ac:dyDescent="0.2">
      <c r="A61" s="103"/>
      <c r="B61" s="103" t="s">
        <v>83</v>
      </c>
      <c r="C61" s="103"/>
      <c r="D61" s="103"/>
      <c r="E61" s="103"/>
      <c r="F61" s="110">
        <f ca="1">IF(H61="",0,H61/H5*100)</f>
        <v>0</v>
      </c>
      <c r="G61" s="103" t="s">
        <v>3</v>
      </c>
      <c r="H61" s="111" t="str">
        <f ca="1">IF(SUM(COUNTIF(INDIRECT({"H5","F9:F13","D17:D26","F27:F28","F32:F33","F38:F41","F46:F48","F50:F56","F60","H65:H68"}),""))&gt;0,"",H59+H60)</f>
        <v/>
      </c>
      <c r="I61" s="103" t="s">
        <v>4</v>
      </c>
      <c r="K61" s="105" t="str">
        <f ca="1">IF(SUM(COUNTIF(INDIRECT({"H5","F9:F13","D17:D26","F27:F28","F32:F33","F38:F41","F46:F48","F50:F56","F60","H65:H68"}),""))&gt;0,SUM(COUNTIF(INDIRECT({"H5","F9:F13","D17:D26","F27:F28","F32:F33","F38:F41","F46:F48","F50:F56","F60","H65:H68"}),"")) &amp;" Zelle(n) ohne Wert!","")</f>
        <v>28 Zelle(n) ohne Wert!</v>
      </c>
    </row>
    <row r="62" spans="1:11" x14ac:dyDescent="0.2">
      <c r="A62" s="102"/>
      <c r="B62" s="102" t="s">
        <v>84</v>
      </c>
      <c r="C62" s="102"/>
      <c r="D62" s="102"/>
      <c r="E62" s="102"/>
      <c r="F62" s="110">
        <f ca="1">IF(F61=0,0,F61-F5)</f>
        <v>0</v>
      </c>
      <c r="G62" s="102" t="s">
        <v>3</v>
      </c>
      <c r="H62" s="102"/>
      <c r="I62" s="102"/>
      <c r="K62" s="105" t="str">
        <f ca="1">IF(F62&lt;70,"Bitte prüfen gemäß Aufforderung!","")</f>
        <v>Bitte prüfen gemäß Aufforderung!</v>
      </c>
    </row>
    <row r="63" spans="1:11" x14ac:dyDescent="0.2">
      <c r="A63" s="102"/>
      <c r="B63" s="102"/>
      <c r="C63" s="102"/>
      <c r="D63" s="102"/>
      <c r="E63" s="102"/>
      <c r="F63" s="102"/>
      <c r="G63" s="102"/>
      <c r="H63" s="102"/>
      <c r="I63" s="102"/>
    </row>
    <row r="64" spans="1:11" x14ac:dyDescent="0.2">
      <c r="B64" s="103" t="s">
        <v>85</v>
      </c>
      <c r="D64" s="103"/>
      <c r="E64" s="103"/>
      <c r="G64" s="103"/>
      <c r="H64" s="107" t="s">
        <v>86</v>
      </c>
    </row>
    <row r="65" spans="1:11" x14ac:dyDescent="0.2">
      <c r="B65" s="102" t="s">
        <v>87</v>
      </c>
      <c r="D65" s="102"/>
      <c r="E65" s="102"/>
      <c r="G65" s="116"/>
      <c r="H65" s="54"/>
      <c r="K65" s="105" t="str">
        <f>IF(H65="","Bitte ausfüllen!","")</f>
        <v>Bitte ausfüllen!</v>
      </c>
    </row>
    <row r="66" spans="1:11" x14ac:dyDescent="0.2">
      <c r="B66" s="102" t="s">
        <v>88</v>
      </c>
      <c r="D66" s="102"/>
      <c r="E66" s="102"/>
      <c r="G66" s="116"/>
      <c r="H66" s="55"/>
      <c r="K66" s="105" t="str">
        <f>IF(H66="","Bitte ausfüllen!","")</f>
        <v>Bitte ausfüllen!</v>
      </c>
    </row>
    <row r="67" spans="1:11" x14ac:dyDescent="0.2">
      <c r="B67" s="102" t="s">
        <v>89</v>
      </c>
      <c r="D67" s="102"/>
      <c r="E67" s="102"/>
      <c r="G67" s="116"/>
      <c r="H67" s="56"/>
      <c r="K67" s="105" t="str">
        <f>IF(H67="","Bitte ausfüllen!","")</f>
        <v>Bitte ausfüllen!</v>
      </c>
    </row>
    <row r="68" spans="1:11" x14ac:dyDescent="0.2">
      <c r="B68" s="102" t="s">
        <v>90</v>
      </c>
      <c r="D68" s="102"/>
      <c r="E68" s="102"/>
      <c r="G68" s="116"/>
      <c r="H68" s="55"/>
      <c r="K68" s="105" t="str">
        <f>IF(H68="","Bitte ausfüllen!","")</f>
        <v>Bitte ausfüllen!</v>
      </c>
    </row>
    <row r="70" spans="1:11" x14ac:dyDescent="0.2">
      <c r="C70" s="117"/>
      <c r="D70" s="15"/>
    </row>
    <row r="71" spans="1:11" ht="15.95" customHeight="1" x14ac:dyDescent="0.2">
      <c r="A71" s="191" t="s">
        <v>195</v>
      </c>
      <c r="B71" s="191"/>
      <c r="C71" s="191"/>
      <c r="D71" s="191" t="s">
        <v>196</v>
      </c>
      <c r="F71" s="193" t="s">
        <v>138</v>
      </c>
      <c r="G71" s="194"/>
      <c r="H71" s="195"/>
    </row>
    <row r="72" spans="1:11" ht="15.95" customHeight="1" x14ac:dyDescent="0.2">
      <c r="A72" s="192"/>
      <c r="B72" s="192"/>
      <c r="C72" s="192"/>
      <c r="D72" s="192"/>
      <c r="F72" s="196"/>
      <c r="G72" s="197"/>
      <c r="H72" s="198"/>
      <c r="I72" s="103"/>
      <c r="J72" s="103"/>
      <c r="K72" s="103"/>
    </row>
    <row r="73" spans="1:11" ht="19.899999999999999" customHeight="1" x14ac:dyDescent="0.2">
      <c r="A73" s="189">
        <v>1</v>
      </c>
      <c r="B73" s="189"/>
      <c r="C73" s="43" t="s">
        <v>133</v>
      </c>
      <c r="D73" s="73">
        <v>7.3</v>
      </c>
      <c r="F73" s="199" t="s">
        <v>306</v>
      </c>
      <c r="G73" s="199"/>
      <c r="H73" s="199"/>
    </row>
    <row r="74" spans="1:11" ht="19.899999999999999" customHeight="1" x14ac:dyDescent="0.2">
      <c r="A74" s="189">
        <v>2</v>
      </c>
      <c r="B74" s="189"/>
      <c r="C74" s="43" t="s">
        <v>134</v>
      </c>
      <c r="D74" s="73">
        <v>9.3000000000000007</v>
      </c>
    </row>
    <row r="75" spans="1:11" ht="23.25" customHeight="1" x14ac:dyDescent="0.2">
      <c r="A75" s="189">
        <v>3</v>
      </c>
      <c r="B75" s="189"/>
      <c r="C75" s="43" t="s">
        <v>135</v>
      </c>
      <c r="D75" s="73">
        <v>1.3</v>
      </c>
    </row>
    <row r="76" spans="1:11" ht="23.25" customHeight="1" x14ac:dyDescent="0.2">
      <c r="A76" s="189">
        <v>4</v>
      </c>
      <c r="B76" s="189"/>
      <c r="C76" s="43" t="s">
        <v>136</v>
      </c>
      <c r="D76" s="73">
        <f>IF( F73="Sachsen",1.3,1.8)</f>
        <v>1.8</v>
      </c>
    </row>
    <row r="77" spans="1:11" ht="31.5" x14ac:dyDescent="0.2">
      <c r="A77" s="189">
        <v>5</v>
      </c>
      <c r="B77" s="189"/>
      <c r="C77" s="43" t="s">
        <v>197</v>
      </c>
      <c r="D77" s="73">
        <v>1.45</v>
      </c>
    </row>
    <row r="78" spans="1:11" ht="23.25" customHeight="1" x14ac:dyDescent="0.2">
      <c r="A78" s="189">
        <v>6</v>
      </c>
      <c r="B78" s="189"/>
      <c r="C78" s="43" t="s">
        <v>123</v>
      </c>
      <c r="D78" s="73"/>
    </row>
    <row r="79" spans="1:11" ht="23.25" customHeight="1" x14ac:dyDescent="0.2">
      <c r="A79" s="189">
        <v>7</v>
      </c>
      <c r="B79" s="189"/>
      <c r="C79" s="43" t="s">
        <v>137</v>
      </c>
      <c r="D79" s="73">
        <v>0.15</v>
      </c>
    </row>
  </sheetData>
  <sheetProtection algorithmName="SHA-512" hashValue="f1AQCWrb+sGLFDKEkpGt48WrI5Sp0j2b+HDLmQ/QUE7G0zszKTVCaR6CL0KZaM3pGJGRt6XbiezaaTNtMtaLnA==" saltValue="4mrKoZGGD9k5jbGgvjgnSA==" spinCount="100000" sheet="1" objects="1" scenarios="1"/>
  <mergeCells count="18">
    <mergeCell ref="B57:C57"/>
    <mergeCell ref="E1:I2"/>
    <mergeCell ref="A3:I3"/>
    <mergeCell ref="B29:C29"/>
    <mergeCell ref="B34:C34"/>
    <mergeCell ref="B42:C42"/>
    <mergeCell ref="A79:B79"/>
    <mergeCell ref="B59:C59"/>
    <mergeCell ref="A71:C72"/>
    <mergeCell ref="D71:D72"/>
    <mergeCell ref="F71:H72"/>
    <mergeCell ref="A73:B73"/>
    <mergeCell ref="F73:H73"/>
    <mergeCell ref="A74:B74"/>
    <mergeCell ref="A75:B75"/>
    <mergeCell ref="A76:B76"/>
    <mergeCell ref="A77:B77"/>
    <mergeCell ref="A78:B78"/>
  </mergeCells>
  <dataValidations count="1">
    <dataValidation type="decimal" errorStyle="warning" allowBlank="1" showInputMessage="1" showErrorMessage="1" error="Bitte überprüfen Sie Ihre Eingaben." sqref="C25" xr:uid="{38580870-6709-4BA0-9FE4-71DC94DBC7B0}">
      <formula1>8.5</formula1>
      <formula2>84</formula2>
    </dataValidation>
  </dataValidations>
  <hyperlinks>
    <hyperlink ref="K1" location="Inhaltsverzeichnis!A1" display="Zurück zum Inhaltsverzeichnis" xr:uid="{8C713490-5EF3-46CE-9FD1-9526FFA16082}"/>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Sonderreinigung</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Check Box 1">
              <controlPr defaultSize="0" autoFill="0" autoLine="0" autoPict="0" altText="Hinweis">
                <anchor moveWithCells="1">
                  <from>
                    <xdr:col>2</xdr:col>
                    <xdr:colOff>2924175</xdr:colOff>
                    <xdr:row>0</xdr:row>
                    <xdr:rowOff>123825</xdr:rowOff>
                  </from>
                  <to>
                    <xdr:col>3</xdr:col>
                    <xdr:colOff>561975</xdr:colOff>
                    <xdr:row>0</xdr:row>
                    <xdr:rowOff>409575</xdr:rowOff>
                  </to>
                </anchor>
              </controlPr>
            </control>
          </mc:Choice>
        </mc:AlternateContent>
        <mc:AlternateContent xmlns:mc="http://schemas.openxmlformats.org/markup-compatibility/2006">
          <mc:Choice Requires="x14">
            <control shapeId="115714" r:id="rId5" name="Check Box 2">
              <controlPr defaultSize="0" autoFill="0" autoLine="0" autoPict="0" altText="Hinweis">
                <anchor moveWithCells="1">
                  <from>
                    <xdr:col>2</xdr:col>
                    <xdr:colOff>2924175</xdr:colOff>
                    <xdr:row>0</xdr:row>
                    <xdr:rowOff>419100</xdr:rowOff>
                  </from>
                  <to>
                    <xdr:col>3</xdr:col>
                    <xdr:colOff>561975</xdr:colOff>
                    <xdr:row>1</xdr:row>
                    <xdr:rowOff>276225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9B967-9787-4970-B05E-42AE745142CF}">
  <sheetPr codeName="Tabelle12">
    <tabColor indexed="13"/>
  </sheetPr>
  <dimension ref="A1:K79"/>
  <sheetViews>
    <sheetView showGridLines="0" zoomScaleNormal="100" zoomScaleSheetLayoutView="70" workbookViewId="0"/>
  </sheetViews>
  <sheetFormatPr baseColWidth="10" defaultColWidth="11.42578125" defaultRowHeight="10.5" x14ac:dyDescent="0.2"/>
  <cols>
    <col min="1" max="1" width="6.42578125" style="16" customWidth="1"/>
    <col min="2" max="2" width="2.7109375" style="16" customWidth="1"/>
    <col min="3" max="3" width="45.5703125" style="16" customWidth="1"/>
    <col min="4" max="4" width="8.42578125" style="16" customWidth="1"/>
    <col min="5" max="5" width="2.5703125" style="16" customWidth="1"/>
    <col min="6" max="6" width="11.42578125" style="16"/>
    <col min="7" max="7" width="2.85546875" style="16" customWidth="1"/>
    <col min="8" max="8" width="11.42578125" style="16"/>
    <col min="9" max="9" width="2.7109375" style="16" bestFit="1" customWidth="1"/>
    <col min="10" max="10" width="1.28515625" style="16" customWidth="1"/>
    <col min="11" max="11" width="18.28515625" style="16" bestFit="1" customWidth="1"/>
    <col min="12" max="16384" width="11.42578125" style="16"/>
  </cols>
  <sheetData>
    <row r="1" spans="1:11" ht="34.9" customHeight="1" x14ac:dyDescent="0.2">
      <c r="A1" s="84" t="str">
        <f ca="1">IF(H61&lt;&gt;"","","Bitte alle gelben Zellen ausfüllen.")</f>
        <v>Bitte alle gelben Zellen ausfüllen.</v>
      </c>
      <c r="D1" s="135" t="b">
        <v>0</v>
      </c>
      <c r="E1" s="203"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203"/>
      <c r="G1" s="203"/>
      <c r="H1" s="203"/>
      <c r="I1" s="203"/>
      <c r="K1" s="5" t="s">
        <v>100</v>
      </c>
    </row>
    <row r="2" spans="1:11" ht="32.25" customHeight="1" x14ac:dyDescent="0.2">
      <c r="A2" s="16" t="s">
        <v>103</v>
      </c>
      <c r="C2" s="118" t="str">
        <f>IF(Inhaltsverzeichnis!$C$3="", "",Inhaltsverzeichnis!$C$3)</f>
        <v/>
      </c>
      <c r="D2" s="135" t="b">
        <v>0</v>
      </c>
      <c r="E2" s="203"/>
      <c r="F2" s="203"/>
      <c r="G2" s="203"/>
      <c r="H2" s="203"/>
      <c r="I2" s="203"/>
    </row>
    <row r="3" spans="1:11" s="26" customFormat="1" ht="12.75" x14ac:dyDescent="0.2">
      <c r="A3" s="205" t="s">
        <v>157</v>
      </c>
      <c r="B3" s="205"/>
      <c r="C3" s="205"/>
      <c r="D3" s="205"/>
      <c r="E3" s="205"/>
      <c r="F3" s="205"/>
      <c r="G3" s="205"/>
      <c r="H3" s="205"/>
      <c r="I3" s="205"/>
    </row>
    <row r="4" spans="1:11" x14ac:dyDescent="0.2">
      <c r="A4" s="119"/>
      <c r="B4" s="119"/>
      <c r="C4" s="119"/>
      <c r="D4" s="119"/>
      <c r="E4" s="119"/>
      <c r="F4" s="119"/>
      <c r="G4" s="119"/>
      <c r="H4" s="119"/>
      <c r="I4" s="119"/>
    </row>
    <row r="5" spans="1:11" ht="15" customHeight="1" x14ac:dyDescent="0.2">
      <c r="A5" s="120" t="s">
        <v>1</v>
      </c>
      <c r="B5" s="120" t="s">
        <v>2</v>
      </c>
      <c r="C5" s="120"/>
      <c r="D5" s="120"/>
      <c r="E5" s="120"/>
      <c r="F5" s="121">
        <v>100</v>
      </c>
      <c r="G5" s="120" t="s">
        <v>3</v>
      </c>
      <c r="H5" s="17">
        <v>15</v>
      </c>
      <c r="I5" s="120" t="s">
        <v>4</v>
      </c>
      <c r="K5" s="88"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119"/>
      <c r="B6" s="119"/>
      <c r="C6" s="119"/>
      <c r="D6" s="119"/>
      <c r="E6" s="119"/>
      <c r="F6" s="122"/>
      <c r="G6" s="119"/>
      <c r="H6" s="122"/>
      <c r="I6" s="119"/>
    </row>
    <row r="7" spans="1:11" x14ac:dyDescent="0.2">
      <c r="A7" s="120" t="s">
        <v>5</v>
      </c>
      <c r="B7" s="120" t="s">
        <v>6</v>
      </c>
      <c r="C7" s="120"/>
      <c r="D7" s="120"/>
      <c r="E7" s="120"/>
      <c r="F7" s="123"/>
      <c r="G7" s="120"/>
      <c r="H7" s="123"/>
      <c r="I7" s="120"/>
    </row>
    <row r="8" spans="1:11" ht="14.25" x14ac:dyDescent="0.2">
      <c r="A8" s="119" t="s">
        <v>7</v>
      </c>
      <c r="B8" s="119" t="s">
        <v>8</v>
      </c>
      <c r="C8" s="119"/>
      <c r="D8" s="119"/>
      <c r="E8" s="119"/>
      <c r="F8" s="123"/>
      <c r="G8" s="123"/>
      <c r="H8" s="123"/>
      <c r="I8" s="123"/>
      <c r="K8" s="124"/>
    </row>
    <row r="9" spans="1:11" x14ac:dyDescent="0.2">
      <c r="A9" s="119" t="s">
        <v>9</v>
      </c>
      <c r="B9" s="119"/>
      <c r="C9" s="119" t="s">
        <v>10</v>
      </c>
      <c r="D9" s="119"/>
      <c r="E9" s="119"/>
      <c r="F9" s="18"/>
      <c r="G9" s="119" t="s">
        <v>3</v>
      </c>
      <c r="H9" s="125" t="str">
        <f>IF(F9="","",ROUND(F9/100*$H$5,2))</f>
        <v/>
      </c>
      <c r="I9" s="119" t="s">
        <v>4</v>
      </c>
      <c r="K9" s="126" t="str">
        <f>IF(F9="","Bitte ausfüllen!","")</f>
        <v>Bitte ausfüllen!</v>
      </c>
    </row>
    <row r="10" spans="1:11" x14ac:dyDescent="0.2">
      <c r="A10" s="119" t="s">
        <v>11</v>
      </c>
      <c r="B10" s="119"/>
      <c r="C10" s="119" t="s">
        <v>12</v>
      </c>
      <c r="D10" s="119"/>
      <c r="E10" s="119"/>
      <c r="F10" s="18"/>
      <c r="G10" s="119" t="s">
        <v>3</v>
      </c>
      <c r="H10" s="125" t="str">
        <f>IF(F10="","",ROUND(F10/100*$H$5,2))</f>
        <v/>
      </c>
      <c r="I10" s="119" t="s">
        <v>4</v>
      </c>
      <c r="K10" s="126" t="str">
        <f>IF(F10="","Bitte ausfüllen!","")</f>
        <v>Bitte ausfüllen!</v>
      </c>
    </row>
    <row r="11" spans="1:11" x14ac:dyDescent="0.2">
      <c r="A11" s="119" t="s">
        <v>13</v>
      </c>
      <c r="B11" s="119"/>
      <c r="C11" s="119" t="s">
        <v>14</v>
      </c>
      <c r="D11" s="119"/>
      <c r="E11" s="119"/>
      <c r="F11" s="18"/>
      <c r="G11" s="119" t="s">
        <v>3</v>
      </c>
      <c r="H11" s="125" t="str">
        <f>IF(F11="","",ROUND(F11/100*$H$5,2))</f>
        <v/>
      </c>
      <c r="I11" s="119" t="s">
        <v>4</v>
      </c>
      <c r="K11" s="126" t="str">
        <f>IF(F11="","Bitte ausfüllen!","")</f>
        <v>Bitte ausfüllen!</v>
      </c>
    </row>
    <row r="12" spans="1:11" x14ac:dyDescent="0.2">
      <c r="A12" s="119" t="s">
        <v>15</v>
      </c>
      <c r="B12" s="119"/>
      <c r="C12" s="119" t="s">
        <v>16</v>
      </c>
      <c r="D12" s="119"/>
      <c r="E12" s="119"/>
      <c r="F12" s="18"/>
      <c r="G12" s="119" t="s">
        <v>3</v>
      </c>
      <c r="H12" s="125" t="str">
        <f>IF(F12="","",ROUND(F12/100*$H$5,2))</f>
        <v/>
      </c>
      <c r="I12" s="119" t="s">
        <v>4</v>
      </c>
      <c r="K12" s="126" t="str">
        <f>IF(F12="","Bitte ausfüllen!","")</f>
        <v>Bitte ausfüllen!</v>
      </c>
    </row>
    <row r="13" spans="1:11" x14ac:dyDescent="0.2">
      <c r="A13" s="119" t="s">
        <v>17</v>
      </c>
      <c r="B13" s="119"/>
      <c r="C13" s="119" t="s">
        <v>18</v>
      </c>
      <c r="D13" s="119"/>
      <c r="E13" s="119"/>
      <c r="F13" s="18"/>
      <c r="G13" s="119" t="s">
        <v>3</v>
      </c>
      <c r="H13" s="125" t="str">
        <f>IF(F13="","",ROUND(F13/100*$H$5,2))</f>
        <v/>
      </c>
      <c r="I13" s="119" t="s">
        <v>4</v>
      </c>
      <c r="K13" s="126" t="str">
        <f>IF(F13="","Bitte ausfüllen!","")</f>
        <v>Bitte ausfüllen!</v>
      </c>
    </row>
    <row r="14" spans="1:11" x14ac:dyDescent="0.2">
      <c r="A14" s="120"/>
      <c r="B14" s="120" t="s">
        <v>19</v>
      </c>
      <c r="C14" s="120"/>
      <c r="D14" s="120"/>
      <c r="E14" s="120"/>
      <c r="F14" s="127">
        <f>IF(SUM(F9:F13)=0,0,SUM(F9:F13))</f>
        <v>0</v>
      </c>
      <c r="G14" s="120" t="s">
        <v>3</v>
      </c>
      <c r="H14" s="128" t="str">
        <f>IF(COUNTIF(F9:F13,"")&gt;0,"",SUM(H8:H13))</f>
        <v/>
      </c>
      <c r="I14" s="120" t="s">
        <v>4</v>
      </c>
      <c r="K14" s="126" t="str">
        <f>IF(H14="","Angaben offen!","")</f>
        <v>Angaben offen!</v>
      </c>
    </row>
    <row r="15" spans="1:11" x14ac:dyDescent="0.2">
      <c r="A15" s="119"/>
      <c r="B15" s="119"/>
      <c r="C15" s="119"/>
      <c r="D15" s="119"/>
      <c r="E15" s="119"/>
      <c r="F15" s="122"/>
      <c r="G15" s="119"/>
      <c r="H15" s="122"/>
      <c r="I15" s="119"/>
    </row>
    <row r="16" spans="1:11" x14ac:dyDescent="0.2">
      <c r="A16" s="120" t="s">
        <v>20</v>
      </c>
      <c r="B16" s="120" t="s">
        <v>21</v>
      </c>
      <c r="C16" s="120"/>
      <c r="D16" s="120"/>
      <c r="E16" s="120"/>
      <c r="F16" s="123"/>
      <c r="G16" s="120"/>
      <c r="H16" s="123"/>
      <c r="I16" s="120"/>
    </row>
    <row r="17" spans="1:11" ht="11.25" x14ac:dyDescent="0.2">
      <c r="A17" s="119" t="s">
        <v>22</v>
      </c>
      <c r="B17" s="119" t="s">
        <v>126</v>
      </c>
      <c r="C17" s="119"/>
      <c r="D17" s="8">
        <f>D73+D77</f>
        <v>8.75</v>
      </c>
      <c r="E17" s="119" t="s">
        <v>3</v>
      </c>
      <c r="F17" s="122"/>
      <c r="G17" s="119"/>
      <c r="H17" s="122"/>
      <c r="I17" s="119"/>
      <c r="K17" s="126" t="str">
        <f ca="1">IF(D17&lt;(D73+D77),"Wert prüfen!",IF(H61="","Inhalt der gelben Zellen kann angepasst werden.",""))</f>
        <v>Inhalt der gelben Zellen kann angepasst werden.</v>
      </c>
    </row>
    <row r="18" spans="1:11" x14ac:dyDescent="0.2">
      <c r="A18" s="119"/>
      <c r="B18" s="119" t="s">
        <v>23</v>
      </c>
      <c r="C18" s="119"/>
      <c r="D18" s="129">
        <f>(D17/100)*$F$14</f>
        <v>0</v>
      </c>
      <c r="E18" s="119" t="s">
        <v>3</v>
      </c>
      <c r="F18" s="130">
        <f>IF(D18="","",D17+D18)</f>
        <v>8.75</v>
      </c>
      <c r="G18" s="119" t="s">
        <v>3</v>
      </c>
      <c r="H18" s="125">
        <f>IF(D18="","",ROUND(F18/100*$H$5,2))</f>
        <v>1.31</v>
      </c>
      <c r="I18" s="119" t="s">
        <v>4</v>
      </c>
      <c r="K18" s="126"/>
    </row>
    <row r="19" spans="1:11" ht="11.25" x14ac:dyDescent="0.2">
      <c r="A19" s="119" t="s">
        <v>24</v>
      </c>
      <c r="B19" s="119" t="s">
        <v>127</v>
      </c>
      <c r="C19" s="119"/>
      <c r="D19" s="18">
        <f>D74</f>
        <v>9.3000000000000007</v>
      </c>
      <c r="E19" s="119" t="s">
        <v>3</v>
      </c>
      <c r="F19" s="131"/>
      <c r="G19" s="119"/>
      <c r="H19" s="122"/>
      <c r="I19" s="119"/>
      <c r="K19" s="126" t="str">
        <f ca="1">IF(D19&lt;&gt;D74,"Wert prüfen!",IF(H61="","Inhalt der gelben Zellen kann angepasst werden.",""))</f>
        <v>Inhalt der gelben Zellen kann angepasst werden.</v>
      </c>
    </row>
    <row r="20" spans="1:11" x14ac:dyDescent="0.2">
      <c r="A20" s="119"/>
      <c r="B20" s="119" t="s">
        <v>25</v>
      </c>
      <c r="C20" s="119"/>
      <c r="D20" s="129">
        <f>(D19/100)*$F$14</f>
        <v>0</v>
      </c>
      <c r="E20" s="119" t="s">
        <v>3</v>
      </c>
      <c r="F20" s="130">
        <f>IF(D20="","",D19+D20)</f>
        <v>9.3000000000000007</v>
      </c>
      <c r="G20" s="119" t="s">
        <v>3</v>
      </c>
      <c r="H20" s="125">
        <f>IF(D20="","",ROUND(F20/100*$H$5,2))</f>
        <v>1.4</v>
      </c>
      <c r="I20" s="119" t="s">
        <v>4</v>
      </c>
      <c r="K20" s="126"/>
    </row>
    <row r="21" spans="1:11" ht="11.25" x14ac:dyDescent="0.2">
      <c r="A21" s="119" t="s">
        <v>26</v>
      </c>
      <c r="B21" s="119" t="s">
        <v>128</v>
      </c>
      <c r="C21" s="119"/>
      <c r="D21" s="18">
        <f>D75</f>
        <v>1.3</v>
      </c>
      <c r="E21" s="119" t="s">
        <v>3</v>
      </c>
      <c r="F21" s="131"/>
      <c r="G21" s="119"/>
      <c r="H21" s="122"/>
      <c r="I21" s="119"/>
      <c r="K21" s="126" t="str">
        <f ca="1">IF(D21&lt;&gt;D75,"Wert prüfen!",IF(H61="","Inhalt der gelben Zellen kann angepasst werden.",""))</f>
        <v>Inhalt der gelben Zellen kann angepasst werden.</v>
      </c>
    </row>
    <row r="22" spans="1:11" x14ac:dyDescent="0.2">
      <c r="A22" s="119"/>
      <c r="B22" s="119" t="s">
        <v>27</v>
      </c>
      <c r="C22" s="119"/>
      <c r="D22" s="129">
        <f>(D21/100)*$F$14</f>
        <v>0</v>
      </c>
      <c r="E22" s="119" t="s">
        <v>3</v>
      </c>
      <c r="F22" s="130">
        <f>IF(D22="","",D21+D22)</f>
        <v>1.3</v>
      </c>
      <c r="G22" s="119" t="s">
        <v>3</v>
      </c>
      <c r="H22" s="125">
        <f>IF(D22="","",ROUND(F22/100*$H$5,2))</f>
        <v>0.2</v>
      </c>
      <c r="I22" s="119" t="s">
        <v>4</v>
      </c>
      <c r="K22" s="126"/>
    </row>
    <row r="23" spans="1:11" ht="11.25" x14ac:dyDescent="0.2">
      <c r="A23" s="119" t="s">
        <v>28</v>
      </c>
      <c r="B23" s="119" t="s">
        <v>129</v>
      </c>
      <c r="C23" s="119"/>
      <c r="D23" s="18">
        <f>D76</f>
        <v>1.8</v>
      </c>
      <c r="E23" s="119" t="s">
        <v>3</v>
      </c>
      <c r="F23" s="131"/>
      <c r="G23" s="119"/>
      <c r="H23" s="122"/>
      <c r="I23" s="119"/>
      <c r="K23" s="126" t="str">
        <f ca="1">IF(D23&lt;&gt;D76,"Wert prüfen!",IF(H61="","Inhalt der gelben Zellen kann angepasst werden.",""))</f>
        <v>Inhalt der gelben Zellen kann angepasst werden.</v>
      </c>
    </row>
    <row r="24" spans="1:11" x14ac:dyDescent="0.2">
      <c r="A24" s="119"/>
      <c r="B24" s="119" t="s">
        <v>29</v>
      </c>
      <c r="C24" s="119"/>
      <c r="D24" s="129">
        <f>(D23/100)*$F$14</f>
        <v>0</v>
      </c>
      <c r="E24" s="119" t="s">
        <v>3</v>
      </c>
      <c r="F24" s="130">
        <f>IF(D24="","",D23+D24)</f>
        <v>1.8</v>
      </c>
      <c r="G24" s="119" t="s">
        <v>3</v>
      </c>
      <c r="H24" s="125">
        <f>IF(D24="","",ROUND(F24/100*$H$5,2))</f>
        <v>0.27</v>
      </c>
      <c r="I24" s="119" t="s">
        <v>4</v>
      </c>
      <c r="K24" s="126"/>
    </row>
    <row r="25" spans="1:11" ht="11.25" x14ac:dyDescent="0.2">
      <c r="A25" s="119" t="s">
        <v>30</v>
      </c>
      <c r="B25" s="119" t="s">
        <v>130</v>
      </c>
      <c r="C25" s="119"/>
      <c r="D25" s="18"/>
      <c r="E25" s="119" t="s">
        <v>3</v>
      </c>
      <c r="F25" s="131"/>
      <c r="G25" s="119"/>
      <c r="H25" s="122"/>
      <c r="I25" s="119"/>
      <c r="K25" s="126" t="str">
        <f>IF(D25="","Bitte ausfüllen!","")</f>
        <v>Bitte ausfüllen!</v>
      </c>
    </row>
    <row r="26" spans="1:11" x14ac:dyDescent="0.2">
      <c r="A26" s="119"/>
      <c r="B26" s="119" t="s">
        <v>31</v>
      </c>
      <c r="C26" s="119"/>
      <c r="D26" s="129">
        <f>(D25/100)*$F$14</f>
        <v>0</v>
      </c>
      <c r="E26" s="119" t="s">
        <v>3</v>
      </c>
      <c r="F26" s="130">
        <f>IF(D26="","",D25+D26)</f>
        <v>0</v>
      </c>
      <c r="G26" s="119" t="s">
        <v>3</v>
      </c>
      <c r="H26" s="125">
        <f>IF(D26="","",ROUND(F26/100*$H$5,2))</f>
        <v>0</v>
      </c>
      <c r="I26" s="119" t="s">
        <v>4</v>
      </c>
      <c r="K26" s="126"/>
    </row>
    <row r="27" spans="1:11" ht="11.25" x14ac:dyDescent="0.2">
      <c r="A27" s="119" t="s">
        <v>32</v>
      </c>
      <c r="B27" s="119" t="s">
        <v>131</v>
      </c>
      <c r="C27" s="119"/>
      <c r="D27" s="119"/>
      <c r="E27" s="119"/>
      <c r="F27" s="18"/>
      <c r="G27" s="119" t="s">
        <v>3</v>
      </c>
      <c r="H27" s="125" t="str">
        <f>IF(F27="","",ROUND(F27/100*$H$5,2))</f>
        <v/>
      </c>
      <c r="I27" s="119" t="s">
        <v>4</v>
      </c>
      <c r="K27" s="126" t="str">
        <f>IF(F27="","Bitte ausfüllen!","")</f>
        <v>Bitte ausfüllen!</v>
      </c>
    </row>
    <row r="28" spans="1:11" ht="11.25" x14ac:dyDescent="0.2">
      <c r="A28" s="119" t="s">
        <v>33</v>
      </c>
      <c r="B28" s="119" t="s">
        <v>132</v>
      </c>
      <c r="C28" s="119"/>
      <c r="D28" s="119"/>
      <c r="E28" s="119"/>
      <c r="F28" s="18">
        <f>D79</f>
        <v>0.15</v>
      </c>
      <c r="G28" s="119" t="s">
        <v>3</v>
      </c>
      <c r="H28" s="125">
        <f>IF(F28="","",ROUND(F28/100*$H$5,2))</f>
        <v>0.02</v>
      </c>
      <c r="I28" s="119" t="s">
        <v>4</v>
      </c>
      <c r="K28" s="126" t="str">
        <f ca="1">IF(F28&lt;&gt;D79,"Wert prüfen!",IF(H61="","Inhalt der gelben Zellen kann angepasst werden.",""))</f>
        <v>Inhalt der gelben Zellen kann angepasst werden.</v>
      </c>
    </row>
    <row r="29" spans="1:11" ht="25.5" customHeight="1" x14ac:dyDescent="0.2">
      <c r="A29" s="120"/>
      <c r="B29" s="206" t="s">
        <v>34</v>
      </c>
      <c r="C29" s="206"/>
      <c r="D29" s="120"/>
      <c r="E29" s="120"/>
      <c r="F29" s="127">
        <f>IF(SUM(F17:F28)=0,0,SUM(F17:F28)+F14)</f>
        <v>21.3</v>
      </c>
      <c r="G29" s="120" t="s">
        <v>3</v>
      </c>
      <c r="H29" s="128" t="str">
        <f>IF(OR(COUNTIF(D17:D26,"")&gt;0,COUNTIF(F27:F28,"")&gt;0),"",SUM(H17:H28)+H14)</f>
        <v/>
      </c>
      <c r="I29" s="120" t="s">
        <v>4</v>
      </c>
      <c r="K29" s="126" t="str">
        <f>IF(H29="","Angaben offen!","")</f>
        <v>Angaben offen!</v>
      </c>
    </row>
    <row r="30" spans="1:11" x14ac:dyDescent="0.2">
      <c r="A30" s="119"/>
      <c r="B30" s="119"/>
      <c r="C30" s="119"/>
      <c r="D30" s="119"/>
      <c r="E30" s="119"/>
      <c r="F30" s="122"/>
      <c r="G30" s="119"/>
      <c r="H30" s="122"/>
      <c r="I30" s="119"/>
    </row>
    <row r="31" spans="1:11" x14ac:dyDescent="0.2">
      <c r="A31" s="119"/>
      <c r="B31" s="120" t="s">
        <v>35</v>
      </c>
      <c r="C31" s="119"/>
      <c r="D31" s="119"/>
      <c r="E31" s="119"/>
      <c r="F31" s="122"/>
      <c r="G31" s="119"/>
      <c r="H31" s="122"/>
      <c r="I31" s="119"/>
    </row>
    <row r="32" spans="1:11" x14ac:dyDescent="0.2">
      <c r="A32" s="119" t="s">
        <v>36</v>
      </c>
      <c r="B32" s="119" t="s">
        <v>37</v>
      </c>
      <c r="C32" s="119"/>
      <c r="D32" s="119"/>
      <c r="E32" s="119"/>
      <c r="F32" s="18"/>
      <c r="G32" s="119" t="s">
        <v>3</v>
      </c>
      <c r="H32" s="125" t="str">
        <f>IF(F32="","",ROUND(F32/100*$H$5,2))</f>
        <v/>
      </c>
      <c r="I32" s="119" t="s">
        <v>4</v>
      </c>
      <c r="K32" s="126" t="str">
        <f>IF(F32="","Bitte ausfüllen!","")</f>
        <v>Bitte ausfüllen!</v>
      </c>
    </row>
    <row r="33" spans="1:11" x14ac:dyDescent="0.2">
      <c r="A33" s="119" t="s">
        <v>38</v>
      </c>
      <c r="B33" s="119" t="s">
        <v>39</v>
      </c>
      <c r="C33" s="119"/>
      <c r="D33" s="119"/>
      <c r="E33" s="119"/>
      <c r="F33" s="18"/>
      <c r="G33" s="119" t="s">
        <v>3</v>
      </c>
      <c r="H33" s="125" t="str">
        <f>IF(F33="","",ROUND(F33/100*$H$5,2))</f>
        <v/>
      </c>
      <c r="I33" s="119" t="s">
        <v>4</v>
      </c>
      <c r="K33" s="126" t="str">
        <f>IF(F33="","Bitte ausfüllen!","")</f>
        <v>Bitte ausfüllen!</v>
      </c>
    </row>
    <row r="34" spans="1:11" ht="25.5" customHeight="1" x14ac:dyDescent="0.2">
      <c r="A34" s="120"/>
      <c r="B34" s="206" t="s">
        <v>40</v>
      </c>
      <c r="C34" s="206"/>
      <c r="D34" s="120"/>
      <c r="E34" s="120"/>
      <c r="F34" s="127">
        <f>IF(SUM(F32:F33)=0,0,SUM(F32:F33)+F29)</f>
        <v>0</v>
      </c>
      <c r="G34" s="120" t="s">
        <v>3</v>
      </c>
      <c r="H34" s="128" t="str">
        <f>IF(COUNTIF(H32:H33,"")&gt;0,"",SUM(H32:H33)+H29)</f>
        <v/>
      </c>
      <c r="I34" s="120" t="s">
        <v>4</v>
      </c>
      <c r="K34" s="126" t="str">
        <f>IF(H34="","Angaben offen!","")</f>
        <v>Angaben offen!</v>
      </c>
    </row>
    <row r="35" spans="1:11" x14ac:dyDescent="0.2">
      <c r="A35" s="119"/>
      <c r="B35" s="119"/>
      <c r="C35" s="119"/>
      <c r="D35" s="119"/>
      <c r="E35" s="119"/>
      <c r="F35" s="122"/>
      <c r="G35" s="119"/>
      <c r="H35" s="122"/>
      <c r="I35" s="119"/>
    </row>
    <row r="36" spans="1:11" x14ac:dyDescent="0.2">
      <c r="A36" s="120" t="s">
        <v>41</v>
      </c>
      <c r="B36" s="120" t="s">
        <v>42</v>
      </c>
      <c r="C36" s="120"/>
      <c r="D36" s="120"/>
      <c r="E36" s="120"/>
      <c r="F36" s="123"/>
      <c r="G36" s="120"/>
      <c r="H36" s="123"/>
      <c r="I36" s="120"/>
    </row>
    <row r="37" spans="1:11" x14ac:dyDescent="0.2">
      <c r="A37" s="119" t="s">
        <v>43</v>
      </c>
      <c r="B37" s="119" t="s">
        <v>44</v>
      </c>
      <c r="C37" s="119"/>
      <c r="D37" s="119"/>
      <c r="E37" s="119"/>
      <c r="F37" s="122"/>
      <c r="G37" s="119"/>
      <c r="H37" s="122"/>
      <c r="I37" s="119"/>
    </row>
    <row r="38" spans="1:11" x14ac:dyDescent="0.2">
      <c r="A38" s="119"/>
      <c r="B38" s="119" t="s">
        <v>45</v>
      </c>
      <c r="C38" s="119"/>
      <c r="D38" s="119"/>
      <c r="E38" s="119"/>
      <c r="F38" s="18"/>
      <c r="G38" s="119" t="s">
        <v>3</v>
      </c>
      <c r="H38" s="125" t="str">
        <f>IF(F38="","",ROUND(F38/100*$H$5,2))</f>
        <v/>
      </c>
      <c r="I38" s="119" t="s">
        <v>4</v>
      </c>
      <c r="K38" s="126" t="str">
        <f>IF(F38="","Bitte ausfüllen!","")</f>
        <v>Bitte ausfüllen!</v>
      </c>
    </row>
    <row r="39" spans="1:11" x14ac:dyDescent="0.2">
      <c r="A39" s="119" t="s">
        <v>46</v>
      </c>
      <c r="B39" s="119" t="s">
        <v>47</v>
      </c>
      <c r="C39" s="119"/>
      <c r="D39" s="119"/>
      <c r="E39" s="119"/>
      <c r="F39" s="18"/>
      <c r="G39" s="119" t="s">
        <v>3</v>
      </c>
      <c r="H39" s="125" t="str">
        <f>IF(F39="","",ROUND(F39/100*$H$5,2))</f>
        <v/>
      </c>
      <c r="I39" s="119" t="s">
        <v>4</v>
      </c>
      <c r="K39" s="126" t="str">
        <f>IF(F39="","Bitte ausfüllen!","")</f>
        <v>Bitte ausfüllen!</v>
      </c>
    </row>
    <row r="40" spans="1:11" x14ac:dyDescent="0.2">
      <c r="A40" s="119" t="s">
        <v>48</v>
      </c>
      <c r="B40" s="119" t="s">
        <v>49</v>
      </c>
      <c r="C40" s="119"/>
      <c r="D40" s="119"/>
      <c r="E40" s="119"/>
      <c r="F40" s="18"/>
      <c r="G40" s="119" t="s">
        <v>3</v>
      </c>
      <c r="H40" s="125" t="str">
        <f>IF(F40="","",ROUND(F40/100*$H$5,2))</f>
        <v/>
      </c>
      <c r="I40" s="119" t="s">
        <v>4</v>
      </c>
      <c r="K40" s="126" t="str">
        <f>IF(F40="","Bitte ausfüllen!","")</f>
        <v>Bitte ausfüllen!</v>
      </c>
    </row>
    <row r="41" spans="1:11" x14ac:dyDescent="0.2">
      <c r="A41" s="119" t="s">
        <v>50</v>
      </c>
      <c r="B41" s="119" t="s">
        <v>51</v>
      </c>
      <c r="C41" s="119"/>
      <c r="D41" s="119"/>
      <c r="E41" s="119"/>
      <c r="F41" s="18"/>
      <c r="G41" s="119" t="s">
        <v>3</v>
      </c>
      <c r="H41" s="125" t="str">
        <f>IF(F41="","",ROUND(F41/100*$H$5,2))</f>
        <v/>
      </c>
      <c r="I41" s="119" t="s">
        <v>4</v>
      </c>
      <c r="K41" s="126" t="str">
        <f>IF(F41="","Bitte ausfüllen!","")</f>
        <v>Bitte ausfüllen!</v>
      </c>
    </row>
    <row r="42" spans="1:11" ht="25.5" customHeight="1" x14ac:dyDescent="0.2">
      <c r="A42" s="120"/>
      <c r="B42" s="206" t="s">
        <v>52</v>
      </c>
      <c r="C42" s="206"/>
      <c r="D42" s="120"/>
      <c r="E42" s="120"/>
      <c r="F42" s="127">
        <f>IF(SUM(F38:F41)=0,0,SUM(F38:F41))</f>
        <v>0</v>
      </c>
      <c r="G42" s="120" t="s">
        <v>3</v>
      </c>
      <c r="H42" s="128" t="str">
        <f>IF(COUNTIF(H38:H41,"")&gt;0,"",SUM(H38:H41))</f>
        <v/>
      </c>
      <c r="I42" s="120" t="s">
        <v>4</v>
      </c>
      <c r="K42" s="126" t="str">
        <f>IF(H42="","Angaben offen!","")</f>
        <v>Angaben offen!</v>
      </c>
    </row>
    <row r="43" spans="1:11" x14ac:dyDescent="0.2">
      <c r="A43" s="119"/>
      <c r="B43" s="119"/>
      <c r="C43" s="119"/>
      <c r="D43" s="119"/>
      <c r="E43" s="119"/>
      <c r="F43" s="122"/>
      <c r="G43" s="119"/>
      <c r="H43" s="122"/>
      <c r="I43" s="119"/>
    </row>
    <row r="44" spans="1:11" x14ac:dyDescent="0.2">
      <c r="A44" s="120" t="s">
        <v>53</v>
      </c>
      <c r="B44" s="120" t="s">
        <v>54</v>
      </c>
      <c r="C44" s="120"/>
      <c r="D44" s="120"/>
      <c r="E44" s="120"/>
      <c r="F44" s="120"/>
      <c r="G44" s="120"/>
      <c r="H44" s="120"/>
      <c r="I44" s="120"/>
    </row>
    <row r="45" spans="1:11" x14ac:dyDescent="0.2">
      <c r="A45" s="119" t="s">
        <v>55</v>
      </c>
      <c r="B45" s="119" t="s">
        <v>56</v>
      </c>
      <c r="C45" s="119"/>
      <c r="D45" s="119"/>
      <c r="E45" s="119"/>
      <c r="F45" s="119"/>
      <c r="G45" s="119"/>
      <c r="H45" s="119"/>
      <c r="I45" s="119"/>
    </row>
    <row r="46" spans="1:11" x14ac:dyDescent="0.2">
      <c r="A46" s="119" t="s">
        <v>57</v>
      </c>
      <c r="B46" s="119"/>
      <c r="C46" s="119" t="s">
        <v>58</v>
      </c>
      <c r="D46" s="119"/>
      <c r="E46" s="119"/>
      <c r="F46" s="18"/>
      <c r="G46" s="119" t="s">
        <v>3</v>
      </c>
      <c r="H46" s="125" t="str">
        <f>IF(F46="","",ROUND(F46/100*$H$5,2))</f>
        <v/>
      </c>
      <c r="I46" s="119" t="s">
        <v>4</v>
      </c>
      <c r="K46" s="126" t="str">
        <f>IF(F46="","Bitte ausfüllen!","")</f>
        <v>Bitte ausfüllen!</v>
      </c>
    </row>
    <row r="47" spans="1:11" x14ac:dyDescent="0.2">
      <c r="A47" s="119" t="s">
        <v>59</v>
      </c>
      <c r="B47" s="119"/>
      <c r="C47" s="119" t="s">
        <v>125</v>
      </c>
      <c r="D47" s="119"/>
      <c r="E47" s="119"/>
      <c r="F47" s="18"/>
      <c r="G47" s="119" t="s">
        <v>3</v>
      </c>
      <c r="H47" s="125" t="str">
        <f>IF(F47="","",ROUND(F47/100*$H$5,2))</f>
        <v/>
      </c>
      <c r="I47" s="119" t="s">
        <v>4</v>
      </c>
      <c r="K47" s="126" t="str">
        <f>IF(F47="","Bitte ausfüllen!","")</f>
        <v>Bitte ausfüllen!</v>
      </c>
    </row>
    <row r="48" spans="1:11" x14ac:dyDescent="0.2">
      <c r="A48" s="119" t="s">
        <v>60</v>
      </c>
      <c r="B48" s="119" t="s">
        <v>61</v>
      </c>
      <c r="C48" s="119"/>
      <c r="D48" s="119"/>
      <c r="E48" s="119"/>
      <c r="F48" s="18"/>
      <c r="G48" s="119" t="s">
        <v>3</v>
      </c>
      <c r="H48" s="125" t="str">
        <f>IF(F48="","",ROUND(F48/100*$H$5,2))</f>
        <v/>
      </c>
      <c r="I48" s="119" t="s">
        <v>4</v>
      </c>
      <c r="K48" s="126" t="str">
        <f>IF(F48="","Bitte ausfüllen!","")</f>
        <v>Bitte ausfüllen!</v>
      </c>
    </row>
    <row r="49" spans="1:11" x14ac:dyDescent="0.2">
      <c r="A49" s="119" t="s">
        <v>62</v>
      </c>
      <c r="B49" s="119" t="s">
        <v>63</v>
      </c>
      <c r="C49" s="119"/>
      <c r="D49" s="119"/>
      <c r="E49" s="119"/>
      <c r="F49" s="119"/>
      <c r="G49" s="119"/>
      <c r="H49" s="119"/>
      <c r="I49" s="119"/>
    </row>
    <row r="50" spans="1:11" x14ac:dyDescent="0.2">
      <c r="A50" s="119" t="s">
        <v>64</v>
      </c>
      <c r="B50" s="119"/>
      <c r="C50" s="119" t="s">
        <v>65</v>
      </c>
      <c r="D50" s="119"/>
      <c r="E50" s="119"/>
      <c r="F50" s="18"/>
      <c r="G50" s="119" t="s">
        <v>3</v>
      </c>
      <c r="H50" s="125" t="str">
        <f t="shared" ref="H50:H56" si="0">IF(F50="","",ROUND(F50/100*$H$5,2))</f>
        <v/>
      </c>
      <c r="I50" s="119" t="s">
        <v>4</v>
      </c>
      <c r="K50" s="126" t="str">
        <f t="shared" ref="K50:K56" si="1">IF(F50="","Bitte ausfüllen!","")</f>
        <v>Bitte ausfüllen!</v>
      </c>
    </row>
    <row r="51" spans="1:11" x14ac:dyDescent="0.2">
      <c r="A51" s="119" t="s">
        <v>66</v>
      </c>
      <c r="B51" s="119"/>
      <c r="C51" s="119" t="s">
        <v>67</v>
      </c>
      <c r="D51" s="119"/>
      <c r="E51" s="119"/>
      <c r="F51" s="18"/>
      <c r="G51" s="119" t="s">
        <v>3</v>
      </c>
      <c r="H51" s="125" t="str">
        <f t="shared" si="0"/>
        <v/>
      </c>
      <c r="I51" s="119" t="s">
        <v>4</v>
      </c>
      <c r="K51" s="126" t="str">
        <f t="shared" si="1"/>
        <v>Bitte ausfüllen!</v>
      </c>
    </row>
    <row r="52" spans="1:11" x14ac:dyDescent="0.2">
      <c r="A52" s="119" t="s">
        <v>68</v>
      </c>
      <c r="B52" s="119" t="s">
        <v>69</v>
      </c>
      <c r="C52" s="119"/>
      <c r="D52" s="119"/>
      <c r="E52" s="119"/>
      <c r="F52" s="18"/>
      <c r="G52" s="119" t="s">
        <v>3</v>
      </c>
      <c r="H52" s="125" t="str">
        <f t="shared" si="0"/>
        <v/>
      </c>
      <c r="I52" s="119" t="s">
        <v>4</v>
      </c>
      <c r="K52" s="126" t="str">
        <f t="shared" si="1"/>
        <v>Bitte ausfüllen!</v>
      </c>
    </row>
    <row r="53" spans="1:11" x14ac:dyDescent="0.2">
      <c r="A53" s="119" t="s">
        <v>70</v>
      </c>
      <c r="B53" s="119" t="s">
        <v>71</v>
      </c>
      <c r="C53" s="119"/>
      <c r="D53" s="119"/>
      <c r="E53" s="119"/>
      <c r="F53" s="18"/>
      <c r="G53" s="119" t="s">
        <v>3</v>
      </c>
      <c r="H53" s="125" t="str">
        <f t="shared" si="0"/>
        <v/>
      </c>
      <c r="I53" s="119" t="s">
        <v>4</v>
      </c>
      <c r="K53" s="126" t="str">
        <f t="shared" si="1"/>
        <v>Bitte ausfüllen!</v>
      </c>
    </row>
    <row r="54" spans="1:11" x14ac:dyDescent="0.2">
      <c r="A54" s="119" t="s">
        <v>72</v>
      </c>
      <c r="B54" s="119" t="s">
        <v>73</v>
      </c>
      <c r="C54" s="119"/>
      <c r="D54" s="119"/>
      <c r="E54" s="119"/>
      <c r="F54" s="18"/>
      <c r="G54" s="119" t="s">
        <v>3</v>
      </c>
      <c r="H54" s="125" t="str">
        <f t="shared" si="0"/>
        <v/>
      </c>
      <c r="I54" s="119" t="s">
        <v>4</v>
      </c>
      <c r="K54" s="126" t="str">
        <f t="shared" si="1"/>
        <v>Bitte ausfüllen!</v>
      </c>
    </row>
    <row r="55" spans="1:11" x14ac:dyDescent="0.2">
      <c r="A55" s="119" t="s">
        <v>74</v>
      </c>
      <c r="B55" s="119" t="s">
        <v>75</v>
      </c>
      <c r="C55" s="119"/>
      <c r="D55" s="119"/>
      <c r="E55" s="119"/>
      <c r="F55" s="18"/>
      <c r="G55" s="119" t="s">
        <v>3</v>
      </c>
      <c r="H55" s="125" t="str">
        <f t="shared" si="0"/>
        <v/>
      </c>
      <c r="I55" s="119" t="s">
        <v>4</v>
      </c>
      <c r="K55" s="126" t="str">
        <f t="shared" si="1"/>
        <v>Bitte ausfüllen!</v>
      </c>
    </row>
    <row r="56" spans="1:11" x14ac:dyDescent="0.2">
      <c r="A56" s="119" t="s">
        <v>76</v>
      </c>
      <c r="B56" s="119" t="s">
        <v>77</v>
      </c>
      <c r="C56" s="119"/>
      <c r="D56" s="119"/>
      <c r="E56" s="119"/>
      <c r="F56" s="18"/>
      <c r="G56" s="119" t="s">
        <v>3</v>
      </c>
      <c r="H56" s="125" t="str">
        <f t="shared" si="0"/>
        <v/>
      </c>
      <c r="I56" s="119" t="s">
        <v>4</v>
      </c>
      <c r="K56" s="126" t="str">
        <f t="shared" si="1"/>
        <v>Bitte ausfüllen!</v>
      </c>
    </row>
    <row r="57" spans="1:11" ht="25.5" customHeight="1" x14ac:dyDescent="0.2">
      <c r="A57" s="120"/>
      <c r="B57" s="206" t="s">
        <v>78</v>
      </c>
      <c r="C57" s="206"/>
      <c r="D57" s="120"/>
      <c r="E57" s="120"/>
      <c r="F57" s="127">
        <f>IF(SUM(F45:F56)=0,0,SUM(F45:F56))</f>
        <v>0</v>
      </c>
      <c r="G57" s="120" t="s">
        <v>3</v>
      </c>
      <c r="H57" s="128" t="str">
        <f>IF(COUNTIF(H46:H56,"")&gt;1,"",SUM(H46:H56))</f>
        <v/>
      </c>
      <c r="I57" s="120" t="s">
        <v>4</v>
      </c>
      <c r="K57" s="126" t="str">
        <f>IF(H57="","Angaben offen!","")</f>
        <v>Angaben offen!</v>
      </c>
    </row>
    <row r="58" spans="1:11" x14ac:dyDescent="0.2">
      <c r="A58" s="119"/>
      <c r="B58" s="119"/>
      <c r="C58" s="119"/>
      <c r="D58" s="119"/>
      <c r="E58" s="119"/>
      <c r="F58" s="122"/>
      <c r="G58" s="119"/>
      <c r="H58" s="122"/>
      <c r="I58" s="119"/>
    </row>
    <row r="59" spans="1:11" x14ac:dyDescent="0.2">
      <c r="A59" s="120" t="s">
        <v>79</v>
      </c>
      <c r="B59" s="204" t="s">
        <v>80</v>
      </c>
      <c r="C59" s="204"/>
      <c r="D59" s="120"/>
      <c r="E59" s="120"/>
      <c r="F59" s="132">
        <f>IF(AND(F34=""),0,F34+F42+F57+F5)</f>
        <v>100</v>
      </c>
      <c r="G59" s="120" t="s">
        <v>3</v>
      </c>
      <c r="H59" s="123" t="str">
        <f>IF(H57="","",H34+H42+H57+H5)</f>
        <v/>
      </c>
      <c r="I59" s="120" t="s">
        <v>4</v>
      </c>
    </row>
    <row r="60" spans="1:11" x14ac:dyDescent="0.2">
      <c r="A60" s="120" t="s">
        <v>81</v>
      </c>
      <c r="B60" s="120" t="s">
        <v>82</v>
      </c>
      <c r="C60" s="120"/>
      <c r="D60" s="120"/>
      <c r="E60" s="120"/>
      <c r="F60" s="18"/>
      <c r="G60" s="120" t="s">
        <v>3</v>
      </c>
      <c r="H60" s="128" t="str">
        <f>IF(F60="","",ROUND(F60/100*H59,2))</f>
        <v/>
      </c>
      <c r="I60" s="120" t="s">
        <v>4</v>
      </c>
      <c r="K60" s="126" t="str">
        <f>IF(F60="","Bitte ausfüllen!","")</f>
        <v>Bitte ausfüllen!</v>
      </c>
    </row>
    <row r="61" spans="1:11" x14ac:dyDescent="0.2">
      <c r="A61" s="120"/>
      <c r="B61" s="120" t="s">
        <v>83</v>
      </c>
      <c r="C61" s="120"/>
      <c r="D61" s="120"/>
      <c r="E61" s="120"/>
      <c r="F61" s="127">
        <f ca="1">IF(H61="",0,H61/H5*100)</f>
        <v>0</v>
      </c>
      <c r="G61" s="120" t="s">
        <v>3</v>
      </c>
      <c r="H61" s="128" t="str">
        <f ca="1">IF(SUM(COUNTIF(INDIRECT({"H5","F9:F13","D17:D26","F27:F28","F32:F33","F38:F41","F46:F48","F50:F56","F60","H65:H68"}),""))&gt;0,"",H59+H60)</f>
        <v/>
      </c>
      <c r="I61" s="120" t="s">
        <v>4</v>
      </c>
      <c r="K61" s="126" t="str">
        <f ca="1">IF(SUM(COUNTIF(INDIRECT({"H5","F9:F13","D17:D26","F27:F28","F32:F33","F38:F41","F46:F48","F50:F56","F60","H65:H68"}),""))&gt;0,SUM(COUNTIF(INDIRECT({"H5","F9:F13","D17:D26","F27:F28","F32:F33","F38:F41","F46:F48","F50:F56","F60","H65:H68"}),"")) &amp;" Zelle(n) ohne Wert!","")</f>
        <v>28 Zelle(n) ohne Wert!</v>
      </c>
    </row>
    <row r="62" spans="1:11" x14ac:dyDescent="0.2">
      <c r="A62" s="119"/>
      <c r="B62" s="119" t="s">
        <v>84</v>
      </c>
      <c r="C62" s="119"/>
      <c r="D62" s="119"/>
      <c r="E62" s="119"/>
      <c r="F62" s="127">
        <f ca="1">IF(F61=0,0,F61-F5)</f>
        <v>0</v>
      </c>
      <c r="G62" s="119" t="s">
        <v>3</v>
      </c>
      <c r="H62" s="119"/>
      <c r="I62" s="119"/>
      <c r="K62" s="88" t="str">
        <f ca="1">IF(F62&lt;70,"Bitte prüfen gemäß Aufforderung!","")</f>
        <v>Bitte prüfen gemäß Aufforderung!</v>
      </c>
    </row>
    <row r="63" spans="1:11" x14ac:dyDescent="0.2">
      <c r="A63" s="119"/>
      <c r="B63" s="120"/>
      <c r="C63" s="119"/>
      <c r="D63" s="119"/>
      <c r="E63" s="119"/>
      <c r="F63" s="132"/>
      <c r="G63" s="119"/>
      <c r="H63" s="123"/>
    </row>
    <row r="64" spans="1:11" x14ac:dyDescent="0.2">
      <c r="B64" s="120" t="s">
        <v>85</v>
      </c>
      <c r="D64" s="120"/>
      <c r="E64" s="120"/>
      <c r="G64" s="120"/>
      <c r="H64" s="123" t="s">
        <v>86</v>
      </c>
      <c r="I64" s="120"/>
    </row>
    <row r="65" spans="1:11" x14ac:dyDescent="0.2">
      <c r="B65" s="119" t="s">
        <v>87</v>
      </c>
      <c r="D65" s="119"/>
      <c r="E65" s="119"/>
      <c r="G65" s="133"/>
      <c r="H65" s="19"/>
      <c r="I65" s="133"/>
      <c r="K65" s="126" t="str">
        <f>IF(H65="","Bitte ausfüllen!","")</f>
        <v>Bitte ausfüllen!</v>
      </c>
    </row>
    <row r="66" spans="1:11" x14ac:dyDescent="0.2">
      <c r="B66" s="119" t="s">
        <v>88</v>
      </c>
      <c r="D66" s="119"/>
      <c r="E66" s="119"/>
      <c r="G66" s="133"/>
      <c r="H66" s="20"/>
      <c r="I66" s="133"/>
      <c r="K66" s="126" t="str">
        <f>IF(H66="","Bitte ausfüllen!","")</f>
        <v>Bitte ausfüllen!</v>
      </c>
    </row>
    <row r="67" spans="1:11" x14ac:dyDescent="0.2">
      <c r="B67" s="119" t="s">
        <v>89</v>
      </c>
      <c r="D67" s="119"/>
      <c r="E67" s="119"/>
      <c r="G67" s="133"/>
      <c r="H67" s="21"/>
      <c r="I67" s="133"/>
      <c r="K67" s="126" t="str">
        <f>IF(H67="","Bitte ausfüllen!","")</f>
        <v>Bitte ausfüllen!</v>
      </c>
    </row>
    <row r="68" spans="1:11" x14ac:dyDescent="0.2">
      <c r="B68" s="119" t="s">
        <v>90</v>
      </c>
      <c r="D68" s="119"/>
      <c r="E68" s="119"/>
      <c r="G68" s="133"/>
      <c r="H68" s="20"/>
      <c r="I68" s="133"/>
      <c r="K68" s="126" t="str">
        <f>IF(H68="","Bitte ausfüllen!","")</f>
        <v>Bitte ausfüllen!</v>
      </c>
    </row>
    <row r="70" spans="1:11" x14ac:dyDescent="0.2">
      <c r="C70" s="134"/>
      <c r="D70" s="118"/>
    </row>
    <row r="71" spans="1:11" ht="15.95" customHeight="1" x14ac:dyDescent="0.2">
      <c r="A71" s="178" t="s">
        <v>195</v>
      </c>
      <c r="B71" s="178"/>
      <c r="C71" s="178"/>
      <c r="D71" s="178" t="s">
        <v>196</v>
      </c>
      <c r="E71" s="3"/>
      <c r="F71" s="180" t="s">
        <v>138</v>
      </c>
      <c r="G71" s="181"/>
      <c r="H71" s="182"/>
    </row>
    <row r="72" spans="1:11" ht="15.95" customHeight="1" x14ac:dyDescent="0.2">
      <c r="A72" s="179"/>
      <c r="B72" s="179"/>
      <c r="C72" s="179"/>
      <c r="D72" s="179"/>
      <c r="E72" s="3"/>
      <c r="F72" s="183"/>
      <c r="G72" s="184"/>
      <c r="H72" s="185"/>
      <c r="I72" s="120"/>
      <c r="J72" s="120"/>
      <c r="K72" s="120"/>
    </row>
    <row r="73" spans="1:11" ht="19.899999999999999" customHeight="1" x14ac:dyDescent="0.2">
      <c r="A73" s="176">
        <v>1</v>
      </c>
      <c r="B73" s="176"/>
      <c r="C73" s="12" t="s">
        <v>133</v>
      </c>
      <c r="D73" s="72">
        <v>7.3</v>
      </c>
      <c r="F73" s="177" t="s">
        <v>306</v>
      </c>
      <c r="G73" s="177"/>
      <c r="H73" s="177"/>
    </row>
    <row r="74" spans="1:11" ht="19.899999999999999" customHeight="1" x14ac:dyDescent="0.2">
      <c r="A74" s="176">
        <v>2</v>
      </c>
      <c r="B74" s="176"/>
      <c r="C74" s="12" t="s">
        <v>134</v>
      </c>
      <c r="D74" s="72">
        <v>9.3000000000000007</v>
      </c>
    </row>
    <row r="75" spans="1:11" ht="23.25" customHeight="1" x14ac:dyDescent="0.2">
      <c r="A75" s="176">
        <v>3</v>
      </c>
      <c r="B75" s="176"/>
      <c r="C75" s="12" t="s">
        <v>135</v>
      </c>
      <c r="D75" s="72">
        <v>1.3</v>
      </c>
    </row>
    <row r="76" spans="1:11" ht="23.25" customHeight="1" x14ac:dyDescent="0.2">
      <c r="A76" s="176">
        <v>4</v>
      </c>
      <c r="B76" s="176"/>
      <c r="C76" s="12" t="s">
        <v>136</v>
      </c>
      <c r="D76" s="72">
        <f>IF( F73="Sachsen",1.3,1.8)</f>
        <v>1.8</v>
      </c>
    </row>
    <row r="77" spans="1:11" ht="31.5" x14ac:dyDescent="0.2">
      <c r="A77" s="176">
        <v>5</v>
      </c>
      <c r="B77" s="176"/>
      <c r="C77" s="12" t="s">
        <v>197</v>
      </c>
      <c r="D77" s="72">
        <v>1.45</v>
      </c>
    </row>
    <row r="78" spans="1:11" ht="23.25" customHeight="1" x14ac:dyDescent="0.2">
      <c r="A78" s="176">
        <v>6</v>
      </c>
      <c r="B78" s="176"/>
      <c r="C78" s="12" t="s">
        <v>123</v>
      </c>
      <c r="D78" s="72"/>
    </row>
    <row r="79" spans="1:11" ht="23.25" customHeight="1" x14ac:dyDescent="0.2">
      <c r="A79" s="176">
        <v>7</v>
      </c>
      <c r="B79" s="176"/>
      <c r="C79" s="12" t="s">
        <v>137</v>
      </c>
      <c r="D79" s="72">
        <v>0.15</v>
      </c>
    </row>
  </sheetData>
  <sheetProtection algorithmName="SHA-512" hashValue="c/Rs1SNmuUvkNv0LfIQWDbhNbSRhDtQsUhDExYjEOXZukix8PcGqgfTgcFaCWbqH3Ml7HqlmlweDC7Xal3TgJw==" saltValue="mJvnQP7A40KI/Oso6u/YHQ==" spinCount="100000" sheet="1" objects="1" scenarios="1"/>
  <mergeCells count="18">
    <mergeCell ref="E1:I2"/>
    <mergeCell ref="B59:C59"/>
    <mergeCell ref="A3:I3"/>
    <mergeCell ref="B29:C29"/>
    <mergeCell ref="B34:C34"/>
    <mergeCell ref="B42:C42"/>
    <mergeCell ref="B57:C57"/>
    <mergeCell ref="F73:H73"/>
    <mergeCell ref="A74:B74"/>
    <mergeCell ref="A75:B75"/>
    <mergeCell ref="D71:D72"/>
    <mergeCell ref="F71:H72"/>
    <mergeCell ref="A76:B76"/>
    <mergeCell ref="A77:B77"/>
    <mergeCell ref="A78:B78"/>
    <mergeCell ref="A79:B79"/>
    <mergeCell ref="A71:C72"/>
    <mergeCell ref="A73:B73"/>
  </mergeCells>
  <dataValidations count="1">
    <dataValidation type="decimal" errorStyle="warning" allowBlank="1" showInputMessage="1" showErrorMessage="1" error="Bitte überprüfen Sie Ihre Eingaben." sqref="C25" xr:uid="{AA5DB88E-54B1-44D0-A309-DE55E32B5576}">
      <formula1>8.5</formula1>
      <formula2>84</formula2>
    </dataValidation>
  </dataValidations>
  <hyperlinks>
    <hyperlink ref="K1" location="Inhaltsverzeichnis!A1" display="Zurück zum Inhaltsverzeichnis" xr:uid="{D9796DED-7731-49E9-8B77-88C8F611AD33}"/>
  </hyperlinks>
  <printOptions horizontalCentered="1"/>
  <pageMargins left="0.78740157480314965" right="0.78740157480314965" top="0.98425196850393704" bottom="0.98425196850393704" header="0.51181102362204722" footer="0.51181102362204722"/>
  <pageSetup paperSize="9" scale="60" firstPageNumber="6" orientation="portrait" r:id="rId1"/>
  <headerFooter alignWithMargins="0">
    <oddHeader>&amp;L&amp;F</oddHeader>
    <oddFooter>&amp;LSalzstadt Staßfurt&amp;CSeite &amp;P von &amp;N&amp;RSVS Wirtschaft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3" r:id="rId4" name="Check Box 3">
              <controlPr defaultSize="0" autoFill="0" autoLine="0" autoPict="0" altText="Hinweis">
                <anchor moveWithCells="1">
                  <from>
                    <xdr:col>2</xdr:col>
                    <xdr:colOff>2914650</xdr:colOff>
                    <xdr:row>0</xdr:row>
                    <xdr:rowOff>133350</xdr:rowOff>
                  </from>
                  <to>
                    <xdr:col>3</xdr:col>
                    <xdr:colOff>552450</xdr:colOff>
                    <xdr:row>0</xdr:row>
                    <xdr:rowOff>419100</xdr:rowOff>
                  </to>
                </anchor>
              </controlPr>
            </control>
          </mc:Choice>
        </mc:AlternateContent>
        <mc:AlternateContent xmlns:mc="http://schemas.openxmlformats.org/markup-compatibility/2006">
          <mc:Choice Requires="x14">
            <control shapeId="30724" r:id="rId5" name="Check Box 4">
              <controlPr defaultSize="0" autoFill="0" autoLine="0" autoPict="0" altText="Hinweis">
                <anchor moveWithCells="1">
                  <from>
                    <xdr:col>2</xdr:col>
                    <xdr:colOff>2914650</xdr:colOff>
                    <xdr:row>0</xdr:row>
                    <xdr:rowOff>428625</xdr:rowOff>
                  </from>
                  <to>
                    <xdr:col>3</xdr:col>
                    <xdr:colOff>552450</xdr:colOff>
                    <xdr:row>1</xdr:row>
                    <xdr:rowOff>285750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B462E-6746-4D68-ADBD-02469FB122C9}">
  <sheetPr codeName="Tabelle20">
    <tabColor indexed="40"/>
  </sheetPr>
  <dimension ref="A1:V35"/>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6.4257812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42578125" style="3"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209" t="s">
        <v>158</v>
      </c>
      <c r="B2" s="210"/>
      <c r="C2" s="210"/>
      <c r="D2" s="210" t="b">
        <v>0</v>
      </c>
      <c r="E2" s="211"/>
      <c r="G2" s="212" t="s">
        <v>171</v>
      </c>
      <c r="H2" s="212" t="s">
        <v>163</v>
      </c>
      <c r="I2" s="212" t="s">
        <v>164</v>
      </c>
      <c r="J2" s="212" t="s">
        <v>183</v>
      </c>
      <c r="M2" s="57" t="b">
        <v>0</v>
      </c>
      <c r="N2" s="167"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67"/>
      <c r="P2" s="167"/>
      <c r="Q2" s="167"/>
    </row>
    <row r="3" spans="1:22" ht="21" customHeight="1" x14ac:dyDescent="0.2">
      <c r="A3" s="137" t="s">
        <v>159</v>
      </c>
      <c r="B3" s="138"/>
      <c r="C3" s="138"/>
      <c r="D3" s="138"/>
      <c r="E3" s="139"/>
      <c r="G3" s="213"/>
      <c r="H3" s="213" t="b">
        <v>0</v>
      </c>
      <c r="I3" s="213"/>
      <c r="J3" s="213"/>
      <c r="M3" s="57" t="b">
        <v>0</v>
      </c>
      <c r="N3" s="167"/>
      <c r="O3" s="167"/>
      <c r="P3" s="167"/>
      <c r="Q3" s="167"/>
    </row>
    <row r="4" spans="1:22" ht="15" customHeight="1" x14ac:dyDescent="0.2">
      <c r="A4" s="207" t="s">
        <v>91</v>
      </c>
      <c r="B4" s="217" t="str">
        <f>IF(Inhaltsverzeichnis!C3="","",Inhaltsverzeichnis!C3)</f>
        <v/>
      </c>
      <c r="C4" s="218"/>
      <c r="D4" s="218"/>
      <c r="E4" s="219"/>
      <c r="G4" s="136" t="s">
        <v>215</v>
      </c>
      <c r="H4" s="140"/>
      <c r="I4" s="141">
        <f ca="1">SUMIF('Kal Unter Kita Regenb'!J22:M35,$G$4,'Kal Unter Kita Regenb'!M22:M35)</f>
        <v>820.66</v>
      </c>
      <c r="J4" s="79">
        <f>COUNTIFS('Kal Unter Kita Regenb'!J22:M35,$G$4)</f>
        <v>1</v>
      </c>
      <c r="M4" s="57" t="b">
        <v>0</v>
      </c>
      <c r="N4" s="167"/>
      <c r="O4" s="167"/>
      <c r="P4" s="167"/>
      <c r="Q4" s="167"/>
      <c r="U4" s="136" t="s">
        <v>215</v>
      </c>
      <c r="V4" s="3">
        <v>168.75</v>
      </c>
    </row>
    <row r="5" spans="1:22" ht="15" customHeight="1" x14ac:dyDescent="0.2">
      <c r="A5" s="208"/>
      <c r="B5" s="220"/>
      <c r="C5" s="221"/>
      <c r="D5" s="221"/>
      <c r="E5" s="222"/>
      <c r="G5" s="136" t="s">
        <v>244</v>
      </c>
      <c r="H5" s="140"/>
      <c r="I5" s="141">
        <f ca="1">SUMIF('Kal Unter Kita Regenb'!J22:M35,$G$5,'Kal Unter Kita Regenb'!M22:M35)</f>
        <v>23280.510000000002</v>
      </c>
      <c r="J5" s="79">
        <f>COUNTIFS('Kal Unter Kita Regenb'!J22:M35,$G$5)</f>
        <v>3</v>
      </c>
      <c r="M5" s="57" t="b">
        <v>0</v>
      </c>
      <c r="N5" s="167"/>
      <c r="O5" s="167"/>
      <c r="P5" s="167"/>
      <c r="Q5" s="167"/>
      <c r="U5" s="136" t="s">
        <v>244</v>
      </c>
      <c r="V5" s="3">
        <v>132.5</v>
      </c>
    </row>
    <row r="6" spans="1:22" ht="15" customHeight="1" x14ac:dyDescent="0.2">
      <c r="A6" s="142" t="s">
        <v>181</v>
      </c>
      <c r="B6" s="223" t="s">
        <v>199</v>
      </c>
      <c r="C6" s="224"/>
      <c r="D6" s="224"/>
      <c r="E6" s="225"/>
      <c r="G6" s="136" t="s">
        <v>246</v>
      </c>
      <c r="H6" s="140"/>
      <c r="I6" s="141">
        <f ca="1">SUMIF('Kal Unter Kita Regenb'!J22:M35,$G$6,'Kal Unter Kita Regenb'!M22:M35)</f>
        <v>6131.5700000000006</v>
      </c>
      <c r="J6" s="79">
        <f>COUNTIFS('Kal Unter Kita Regenb'!J22:M35,$G$6)</f>
        <v>4</v>
      </c>
      <c r="U6" s="136" t="s">
        <v>246</v>
      </c>
      <c r="V6" s="3">
        <v>53.75</v>
      </c>
    </row>
    <row r="7" spans="1:22" ht="15" customHeight="1" x14ac:dyDescent="0.2">
      <c r="A7" s="143" t="s">
        <v>179</v>
      </c>
      <c r="B7" s="226" t="s">
        <v>200</v>
      </c>
      <c r="C7" s="224"/>
      <c r="D7" s="224"/>
      <c r="E7" s="225"/>
      <c r="G7" s="136" t="s">
        <v>247</v>
      </c>
      <c r="H7" s="140"/>
      <c r="I7" s="141">
        <f ca="1">SUMIF('Kal Unter Kita Regenb'!J22:M35,$G$7,'Kal Unter Kita Regenb'!M22:M35)</f>
        <v>0</v>
      </c>
      <c r="J7" s="79">
        <f>COUNTIFS('Kal Unter Kita Regenb'!J22:M35,$G$7)</f>
        <v>1</v>
      </c>
      <c r="U7" s="136" t="s">
        <v>247</v>
      </c>
      <c r="V7" s="3">
        <v>262.5</v>
      </c>
    </row>
    <row r="8" spans="1:22" ht="15" customHeight="1" x14ac:dyDescent="0.2">
      <c r="A8" s="143" t="s">
        <v>180</v>
      </c>
      <c r="B8" s="223"/>
      <c r="C8" s="224"/>
      <c r="D8" s="224"/>
      <c r="E8" s="225"/>
      <c r="G8" s="136" t="s">
        <v>248</v>
      </c>
      <c r="H8" s="140"/>
      <c r="I8" s="141">
        <f ca="1">SUMIF('Kal Unter Kita Regenb'!J22:M35,$G$8,'Kal Unter Kita Regenb'!M22:M35)</f>
        <v>50.4</v>
      </c>
      <c r="J8" s="79">
        <f>COUNTIFS('Kal Unter Kita Regenb'!J22:M35,$G$8)</f>
        <v>1</v>
      </c>
      <c r="U8" s="136" t="s">
        <v>248</v>
      </c>
      <c r="V8" s="3">
        <v>136.25</v>
      </c>
    </row>
    <row r="9" spans="1:22" ht="15" customHeight="1" x14ac:dyDescent="0.2">
      <c r="A9" s="142" t="s">
        <v>178</v>
      </c>
      <c r="B9" s="227" t="s">
        <v>198</v>
      </c>
      <c r="C9" s="224"/>
      <c r="D9" s="224"/>
      <c r="E9" s="225"/>
      <c r="G9" s="136" t="s">
        <v>243</v>
      </c>
      <c r="H9" s="140"/>
      <c r="I9" s="141">
        <f ca="1">SUMIF('Kal Unter Kita Regenb'!J22:M35,$G$9,'Kal Unter Kita Regenb'!M22:M35)</f>
        <v>11116.35</v>
      </c>
      <c r="J9" s="79">
        <f>COUNTIFS('Kal Unter Kita Regenb'!J22:M35,$G$9)</f>
        <v>2</v>
      </c>
      <c r="U9" s="136" t="s">
        <v>243</v>
      </c>
      <c r="V9" s="3">
        <v>166.25</v>
      </c>
    </row>
    <row r="10" spans="1:22" ht="15" customHeight="1" x14ac:dyDescent="0.2">
      <c r="A10" s="143" t="s">
        <v>160</v>
      </c>
      <c r="B10" s="223" t="s">
        <v>201</v>
      </c>
      <c r="C10" s="224"/>
      <c r="D10" s="224"/>
      <c r="E10" s="225"/>
      <c r="G10" s="136" t="s">
        <v>245</v>
      </c>
      <c r="H10" s="140"/>
      <c r="I10" s="141">
        <f ca="1">SUMIF('Kal Unter Kita Regenb'!J22:M35,$G$10,'Kal Unter Kita Regenb'!M22:M35)</f>
        <v>2696.85</v>
      </c>
      <c r="J10" s="79">
        <f>COUNTIFS('Kal Unter Kita Regenb'!J22:M35,$G$10)</f>
        <v>2</v>
      </c>
      <c r="U10" s="136" t="s">
        <v>245</v>
      </c>
      <c r="V10" s="3">
        <v>67.5</v>
      </c>
    </row>
    <row r="11" spans="1:22" ht="15" customHeight="1" x14ac:dyDescent="0.2">
      <c r="A11" s="143" t="s">
        <v>161</v>
      </c>
      <c r="B11" s="228" t="s">
        <v>202</v>
      </c>
      <c r="C11" s="224"/>
      <c r="D11" s="224"/>
      <c r="E11" s="225"/>
      <c r="M11" s="3" t="str">
        <f>IF(N13&gt;0,"Bitte die Leistungswerte im Leistungsverzeichnis/ Tabellenblatt Leistungsrichtwerte","")</f>
        <v/>
      </c>
    </row>
    <row r="12" spans="1:22" ht="15" customHeight="1" x14ac:dyDescent="0.2">
      <c r="A12" s="143" t="s">
        <v>162</v>
      </c>
      <c r="B12" s="223" t="s">
        <v>203</v>
      </c>
      <c r="C12" s="224"/>
      <c r="D12" s="224"/>
      <c r="E12" s="225"/>
      <c r="M12" s="3" t="str">
        <f>IF(N13&gt;0,"für die Objektart prüfen.","")</f>
        <v/>
      </c>
    </row>
    <row r="13" spans="1:22" ht="15" customHeight="1" x14ac:dyDescent="0.2">
      <c r="A13" s="143" t="s">
        <v>165</v>
      </c>
      <c r="B13" s="214" t="str">
        <f>HYPERLINK("http://maps.google.de/maps?hl=de&amp;bav=on.2,or.r_qf.&amp;bvm=bv.44770516,d.Yms&amp;biw=1395&amp;bih=916&amp;um=1&amp;ie=UTF-8&amp;q="&amp;B7&amp;"+"&amp;B8&amp;"+"&amp;B10&amp;"+"&amp;B11&amp;"+"&amp;B12&amp;"","In Google-Maps anzeigen (wenn Internet verfügbar)")</f>
        <v>In Google-Maps anzeigen (wenn Internet verfügbar)</v>
      </c>
      <c r="C13" s="215"/>
      <c r="D13" s="215"/>
      <c r="E13" s="216"/>
      <c r="N13" s="144">
        <f>COUNTIF(V22:V$35,1)</f>
        <v>0</v>
      </c>
      <c r="O13" s="3" t="str">
        <f>IF(N13&gt;0,"Wert(e) überschritten, bitte mit dem Angebot plausibel darlegen.","")</f>
        <v/>
      </c>
    </row>
    <row r="14" spans="1:22" ht="15" customHeight="1" x14ac:dyDescent="0.2">
      <c r="N14" s="145">
        <f>COUNTIF(V22:V$35,0)</f>
        <v>14</v>
      </c>
      <c r="O14" s="3" t="str">
        <f>IF(N14&gt;0,"Wert(e) korrekt","")</f>
        <v>Wert(e) korrekt</v>
      </c>
      <c r="T14" s="146">
        <f>IF(COUNTA($T$22:$T$35)-COUNTBLANK($T$22:$T$35)=0,"",COUNTA($T$22:$T$35)-COUNTBLANK($T$22:$T$35))</f>
        <v>11</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115</v>
      </c>
      <c r="H20" s="1" t="s">
        <v>106</v>
      </c>
      <c r="I20" s="1" t="s">
        <v>107</v>
      </c>
      <c r="J20" s="1" t="s">
        <v>99</v>
      </c>
      <c r="K20" s="1" t="s">
        <v>104</v>
      </c>
      <c r="L20" s="1" t="s">
        <v>140</v>
      </c>
      <c r="M20" s="1" t="s">
        <v>109</v>
      </c>
      <c r="N20" s="1" t="s">
        <v>105</v>
      </c>
      <c r="O20" s="1" t="s">
        <v>110</v>
      </c>
      <c r="P20" s="1" t="s">
        <v>111</v>
      </c>
      <c r="Q20" s="1" t="s">
        <v>112</v>
      </c>
      <c r="R20" s="1" t="s">
        <v>182</v>
      </c>
      <c r="S20" s="1" t="s">
        <v>139</v>
      </c>
    </row>
    <row r="21" spans="1:22" ht="29.1" customHeight="1" x14ac:dyDescent="0.2">
      <c r="A21" s="147" t="s">
        <v>124</v>
      </c>
      <c r="B21" s="12"/>
      <c r="C21" s="12"/>
      <c r="D21" s="12"/>
      <c r="E21" s="12"/>
      <c r="F21" s="12"/>
      <c r="G21" s="148">
        <f>SUM($G$22:$G$35)</f>
        <v>336.6</v>
      </c>
      <c r="H21" s="148">
        <f>SUM($H$22:$H$35)</f>
        <v>0</v>
      </c>
      <c r="I21" s="148">
        <f>SUM($I$22:$I$35)</f>
        <v>0</v>
      </c>
      <c r="J21" s="58"/>
      <c r="K21" s="58"/>
      <c r="L21" s="149">
        <f>MAX(L22:L35)</f>
        <v>230.5</v>
      </c>
      <c r="M21" s="148">
        <f>SUM($M$22:$M$35)</f>
        <v>44096.34</v>
      </c>
      <c r="N21" s="58"/>
      <c r="O21" s="58"/>
      <c r="P21" s="148">
        <f>SUM($P$22:$P$35)</f>
        <v>0</v>
      </c>
      <c r="Q21" s="148">
        <f ca="1">SUM($Q$22:$Q$35)</f>
        <v>0</v>
      </c>
      <c r="R21" s="148">
        <f>ROUND(IF(L21=0,0,P21/L21),2)</f>
        <v>0</v>
      </c>
      <c r="S21" s="148">
        <f ca="1">ROUND(IF(L21=0,0,Q21/L21),2)</f>
        <v>0</v>
      </c>
    </row>
    <row r="22" spans="1:22" ht="15" customHeight="1" x14ac:dyDescent="0.2">
      <c r="A22" s="136">
        <v>1</v>
      </c>
      <c r="B22" s="150" t="s">
        <v>209</v>
      </c>
      <c r="C22" s="151" t="s">
        <v>210</v>
      </c>
      <c r="D22" s="151" t="s">
        <v>211</v>
      </c>
      <c r="E22" s="151" t="s">
        <v>212</v>
      </c>
      <c r="F22" s="151" t="s">
        <v>213</v>
      </c>
      <c r="G22" s="152">
        <v>18</v>
      </c>
      <c r="H22" s="152"/>
      <c r="I22" s="152"/>
      <c r="J22" s="136" t="s">
        <v>243</v>
      </c>
      <c r="K22" s="136" t="s">
        <v>142</v>
      </c>
      <c r="L22" s="58">
        <f>VLOOKUP(K22,Reinigungstage!A10:B31,2,FALSE)</f>
        <v>12</v>
      </c>
      <c r="M22" s="58">
        <f t="shared" ref="M22:M35" si="0">ROUND(IF(L22=0,0,L22*G22),2)</f>
        <v>216</v>
      </c>
      <c r="N22" s="153">
        <f t="shared" ref="N22:N35" si="1">VLOOKUP(J22,$G$4:$H$10,2,FALSE)</f>
        <v>0</v>
      </c>
      <c r="O22" s="58">
        <f ca="1">IF('SVS UnterhaltsRG'!H61="",0,'SVS UnterhaltsRG'!H61)</f>
        <v>0</v>
      </c>
      <c r="P22" s="58">
        <f t="shared" ref="P22:P35" si="2">ROUND(IF(N22=0,0,M22/N22),2)</f>
        <v>0</v>
      </c>
      <c r="Q22" s="58">
        <f t="shared" ref="Q22:Q35" ca="1" si="3">IF(M22=0,0,IF(O22="",0,ROUND(P22*O22,2)))</f>
        <v>0</v>
      </c>
      <c r="R22" s="58">
        <f t="shared" ref="R22:R35" si="4">ROUND(IF(P22=0,0,P22/L22),2)</f>
        <v>0</v>
      </c>
      <c r="S22" s="58">
        <f t="shared" ref="S22:S35" ca="1" si="5">ROUND(IF(Q22=0,0,Q22/L22),2)</f>
        <v>0</v>
      </c>
      <c r="T22" s="3" t="str">
        <f t="shared" ref="T22:T35" si="6">IF(M22=0,"",IF(N22=0,"Leistungswert eintragen",IF(O22=0,"SVS prüfen","")))</f>
        <v>Leistungswert eintragen</v>
      </c>
      <c r="U22" s="3">
        <f t="shared" ref="U22:U35" si="7">VLOOKUP(J22,$U$4:$V$10,2,FALSE)</f>
        <v>166.25</v>
      </c>
      <c r="V22" s="3">
        <f t="shared" ref="V22:V35" si="8">IF(M22=0,0,IF(U22&lt;N22,1,IF(U22&gt;=N22,0,"")))</f>
        <v>0</v>
      </c>
    </row>
    <row r="23" spans="1:22" ht="15" customHeight="1" x14ac:dyDescent="0.2">
      <c r="A23" s="136">
        <v>2</v>
      </c>
      <c r="B23" s="150" t="s">
        <v>214</v>
      </c>
      <c r="C23" s="151" t="s">
        <v>210</v>
      </c>
      <c r="D23" s="151"/>
      <c r="E23" s="151" t="s">
        <v>215</v>
      </c>
      <c r="F23" s="151" t="s">
        <v>213</v>
      </c>
      <c r="G23" s="152">
        <v>17.14</v>
      </c>
      <c r="H23" s="152"/>
      <c r="I23" s="152"/>
      <c r="J23" s="136" t="s">
        <v>215</v>
      </c>
      <c r="K23" s="152">
        <v>1</v>
      </c>
      <c r="L23" s="58">
        <f>VLOOKUP(K23,Reinigungstage!A10:B31,2,FALSE)</f>
        <v>47.88</v>
      </c>
      <c r="M23" s="58">
        <f t="shared" si="0"/>
        <v>820.66</v>
      </c>
      <c r="N23" s="153">
        <f t="shared" si="1"/>
        <v>0</v>
      </c>
      <c r="O23" s="58">
        <f ca="1">IF('SVS UnterhaltsRG'!H61="",0,'SVS UnterhaltsRG'!H61)</f>
        <v>0</v>
      </c>
      <c r="P23" s="58">
        <f t="shared" si="2"/>
        <v>0</v>
      </c>
      <c r="Q23" s="58">
        <f t="shared" ca="1" si="3"/>
        <v>0</v>
      </c>
      <c r="R23" s="58">
        <f t="shared" si="4"/>
        <v>0</v>
      </c>
      <c r="S23" s="58">
        <f t="shared" ca="1" si="5"/>
        <v>0</v>
      </c>
      <c r="T23" s="3" t="str">
        <f t="shared" si="6"/>
        <v>Leistungswert eintragen</v>
      </c>
      <c r="U23" s="3">
        <f t="shared" si="7"/>
        <v>168.75</v>
      </c>
      <c r="V23" s="3">
        <f t="shared" si="8"/>
        <v>0</v>
      </c>
    </row>
    <row r="24" spans="1:22" ht="15" customHeight="1" x14ac:dyDescent="0.2">
      <c r="A24" s="136">
        <v>3</v>
      </c>
      <c r="B24" s="150" t="s">
        <v>216</v>
      </c>
      <c r="C24" s="151" t="s">
        <v>210</v>
      </c>
      <c r="D24" s="151" t="s">
        <v>217</v>
      </c>
      <c r="E24" s="151" t="s">
        <v>218</v>
      </c>
      <c r="F24" s="151" t="s">
        <v>219</v>
      </c>
      <c r="G24" s="152">
        <v>70.180000000000007</v>
      </c>
      <c r="H24" s="152"/>
      <c r="I24" s="152"/>
      <c r="J24" s="136" t="s">
        <v>244</v>
      </c>
      <c r="K24" s="152">
        <v>0</v>
      </c>
      <c r="L24" s="58">
        <f>VLOOKUP(K24,Reinigungstage!A10:B31,2,FALSE)</f>
        <v>0</v>
      </c>
      <c r="M24" s="58">
        <f t="shared" si="0"/>
        <v>0</v>
      </c>
      <c r="N24" s="153">
        <f t="shared" si="1"/>
        <v>0</v>
      </c>
      <c r="O24" s="58">
        <f ca="1">IF('SVS UnterhaltsRG'!H61="",0,'SVS UnterhaltsRG'!H61)</f>
        <v>0</v>
      </c>
      <c r="P24" s="58">
        <f t="shared" si="2"/>
        <v>0</v>
      </c>
      <c r="Q24" s="58">
        <f t="shared" si="3"/>
        <v>0</v>
      </c>
      <c r="R24" s="58">
        <f t="shared" si="4"/>
        <v>0</v>
      </c>
      <c r="S24" s="58">
        <f t="shared" si="5"/>
        <v>0</v>
      </c>
      <c r="T24" s="3" t="str">
        <f t="shared" si="6"/>
        <v/>
      </c>
      <c r="U24" s="3">
        <f t="shared" si="7"/>
        <v>132.5</v>
      </c>
      <c r="V24" s="3">
        <f t="shared" si="8"/>
        <v>0</v>
      </c>
    </row>
    <row r="25" spans="1:22" ht="15" customHeight="1" x14ac:dyDescent="0.2">
      <c r="A25" s="136">
        <v>4</v>
      </c>
      <c r="B25" s="150" t="s">
        <v>220</v>
      </c>
      <c r="C25" s="151" t="s">
        <v>221</v>
      </c>
      <c r="D25" s="151"/>
      <c r="E25" s="151" t="s">
        <v>222</v>
      </c>
      <c r="F25" s="151" t="s">
        <v>219</v>
      </c>
      <c r="G25" s="152">
        <v>47.29</v>
      </c>
      <c r="H25" s="152"/>
      <c r="I25" s="152"/>
      <c r="J25" s="136" t="s">
        <v>243</v>
      </c>
      <c r="K25" s="152">
        <v>5</v>
      </c>
      <c r="L25" s="58">
        <f>VLOOKUP(K25,Reinigungstage!A10:B31,2,FALSE)</f>
        <v>230.5</v>
      </c>
      <c r="M25" s="58">
        <f t="shared" si="0"/>
        <v>10900.35</v>
      </c>
      <c r="N25" s="153">
        <f t="shared" si="1"/>
        <v>0</v>
      </c>
      <c r="O25" s="58">
        <f ca="1">IF('SVS UnterhaltsRG'!H61="",0,'SVS UnterhaltsRG'!H61)</f>
        <v>0</v>
      </c>
      <c r="P25" s="58">
        <f t="shared" si="2"/>
        <v>0</v>
      </c>
      <c r="Q25" s="58">
        <f t="shared" ca="1" si="3"/>
        <v>0</v>
      </c>
      <c r="R25" s="58">
        <f t="shared" si="4"/>
        <v>0</v>
      </c>
      <c r="S25" s="58">
        <f t="shared" ca="1" si="5"/>
        <v>0</v>
      </c>
      <c r="T25" s="3" t="str">
        <f t="shared" si="6"/>
        <v>Leistungswert eintragen</v>
      </c>
      <c r="U25" s="3">
        <f t="shared" si="7"/>
        <v>166.25</v>
      </c>
      <c r="V25" s="3">
        <f t="shared" si="8"/>
        <v>0</v>
      </c>
    </row>
    <row r="26" spans="1:22" ht="15" customHeight="1" x14ac:dyDescent="0.2">
      <c r="A26" s="136">
        <v>5</v>
      </c>
      <c r="B26" s="150" t="s">
        <v>223</v>
      </c>
      <c r="C26" s="151" t="s">
        <v>221</v>
      </c>
      <c r="D26" s="151"/>
      <c r="E26" s="151" t="s">
        <v>224</v>
      </c>
      <c r="F26" s="151" t="s">
        <v>219</v>
      </c>
      <c r="G26" s="152">
        <v>11.7</v>
      </c>
      <c r="H26" s="152"/>
      <c r="I26" s="152"/>
      <c r="J26" s="136" t="s">
        <v>245</v>
      </c>
      <c r="K26" s="152">
        <v>5</v>
      </c>
      <c r="L26" s="58">
        <f>VLOOKUP(K26,Reinigungstage!A10:B31,2,FALSE)</f>
        <v>230.5</v>
      </c>
      <c r="M26" s="58">
        <f t="shared" si="0"/>
        <v>2696.85</v>
      </c>
      <c r="N26" s="153">
        <f t="shared" si="1"/>
        <v>0</v>
      </c>
      <c r="O26" s="58">
        <f ca="1">IF('SVS UnterhaltsRG'!H61="",0,'SVS UnterhaltsRG'!H61)</f>
        <v>0</v>
      </c>
      <c r="P26" s="58">
        <f t="shared" si="2"/>
        <v>0</v>
      </c>
      <c r="Q26" s="58">
        <f t="shared" ca="1" si="3"/>
        <v>0</v>
      </c>
      <c r="R26" s="58">
        <f t="shared" si="4"/>
        <v>0</v>
      </c>
      <c r="S26" s="58">
        <f t="shared" ca="1" si="5"/>
        <v>0</v>
      </c>
      <c r="T26" s="3" t="str">
        <f t="shared" si="6"/>
        <v>Leistungswert eintragen</v>
      </c>
      <c r="U26" s="3">
        <f t="shared" si="7"/>
        <v>67.5</v>
      </c>
      <c r="V26" s="3">
        <f t="shared" si="8"/>
        <v>0</v>
      </c>
    </row>
    <row r="27" spans="1:22" ht="15" customHeight="1" x14ac:dyDescent="0.2">
      <c r="A27" s="136">
        <v>6</v>
      </c>
      <c r="B27" s="150" t="s">
        <v>225</v>
      </c>
      <c r="C27" s="151" t="s">
        <v>221</v>
      </c>
      <c r="D27" s="151"/>
      <c r="E27" s="151" t="s">
        <v>226</v>
      </c>
      <c r="F27" s="151" t="s">
        <v>219</v>
      </c>
      <c r="G27" s="152">
        <v>44.45</v>
      </c>
      <c r="H27" s="152"/>
      <c r="I27" s="152"/>
      <c r="J27" s="136" t="s">
        <v>244</v>
      </c>
      <c r="K27" s="152">
        <v>5</v>
      </c>
      <c r="L27" s="58">
        <f>VLOOKUP(K27,Reinigungstage!A10:B31,2,FALSE)</f>
        <v>230.5</v>
      </c>
      <c r="M27" s="58">
        <f t="shared" si="0"/>
        <v>10245.73</v>
      </c>
      <c r="N27" s="153">
        <f t="shared" si="1"/>
        <v>0</v>
      </c>
      <c r="O27" s="58">
        <f ca="1">IF('SVS UnterhaltsRG'!H61="",0,'SVS UnterhaltsRG'!H61)</f>
        <v>0</v>
      </c>
      <c r="P27" s="58">
        <f t="shared" si="2"/>
        <v>0</v>
      </c>
      <c r="Q27" s="58">
        <f t="shared" ca="1" si="3"/>
        <v>0</v>
      </c>
      <c r="R27" s="58">
        <f t="shared" si="4"/>
        <v>0</v>
      </c>
      <c r="S27" s="58">
        <f t="shared" ca="1" si="5"/>
        <v>0</v>
      </c>
      <c r="T27" s="3" t="str">
        <f t="shared" si="6"/>
        <v>Leistungswert eintragen</v>
      </c>
      <c r="U27" s="3">
        <f t="shared" si="7"/>
        <v>132.5</v>
      </c>
      <c r="V27" s="3">
        <f t="shared" si="8"/>
        <v>0</v>
      </c>
    </row>
    <row r="28" spans="1:22" ht="15" customHeight="1" x14ac:dyDescent="0.2">
      <c r="A28" s="136">
        <v>7</v>
      </c>
      <c r="B28" s="150" t="s">
        <v>227</v>
      </c>
      <c r="C28" s="151" t="s">
        <v>221</v>
      </c>
      <c r="D28" s="151"/>
      <c r="E28" s="151" t="s">
        <v>226</v>
      </c>
      <c r="F28" s="151" t="s">
        <v>219</v>
      </c>
      <c r="G28" s="152">
        <v>56.55</v>
      </c>
      <c r="H28" s="152"/>
      <c r="I28" s="152"/>
      <c r="J28" s="136" t="s">
        <v>244</v>
      </c>
      <c r="K28" s="152">
        <v>5</v>
      </c>
      <c r="L28" s="58">
        <f>VLOOKUP(K28,Reinigungstage!A10:B31,2,FALSE)</f>
        <v>230.5</v>
      </c>
      <c r="M28" s="58">
        <f t="shared" si="0"/>
        <v>13034.78</v>
      </c>
      <c r="N28" s="153">
        <f t="shared" si="1"/>
        <v>0</v>
      </c>
      <c r="O28" s="58">
        <f ca="1">IF('SVS UnterhaltsRG'!H61="",0,'SVS UnterhaltsRG'!H61)</f>
        <v>0</v>
      </c>
      <c r="P28" s="58">
        <f t="shared" si="2"/>
        <v>0</v>
      </c>
      <c r="Q28" s="58">
        <f t="shared" ca="1" si="3"/>
        <v>0</v>
      </c>
      <c r="R28" s="58">
        <f t="shared" si="4"/>
        <v>0</v>
      </c>
      <c r="S28" s="58">
        <f t="shared" ca="1" si="5"/>
        <v>0</v>
      </c>
      <c r="T28" s="3" t="str">
        <f t="shared" si="6"/>
        <v>Leistungswert eintragen</v>
      </c>
      <c r="U28" s="3">
        <f t="shared" si="7"/>
        <v>132.5</v>
      </c>
      <c r="V28" s="3">
        <f t="shared" si="8"/>
        <v>0</v>
      </c>
    </row>
    <row r="29" spans="1:22" ht="15" customHeight="1" x14ac:dyDescent="0.2">
      <c r="A29" s="136">
        <v>8</v>
      </c>
      <c r="B29" s="150" t="s">
        <v>228</v>
      </c>
      <c r="C29" s="151" t="s">
        <v>221</v>
      </c>
      <c r="D29" s="151"/>
      <c r="E29" s="151" t="s">
        <v>229</v>
      </c>
      <c r="F29" s="151" t="s">
        <v>219</v>
      </c>
      <c r="G29" s="152">
        <v>18.77</v>
      </c>
      <c r="H29" s="152"/>
      <c r="I29" s="152"/>
      <c r="J29" s="136" t="s">
        <v>245</v>
      </c>
      <c r="K29" s="152">
        <v>0</v>
      </c>
      <c r="L29" s="58">
        <f>VLOOKUP(K29,Reinigungstage!A10:B31,2,FALSE)</f>
        <v>0</v>
      </c>
      <c r="M29" s="58">
        <f t="shared" si="0"/>
        <v>0</v>
      </c>
      <c r="N29" s="153">
        <f t="shared" si="1"/>
        <v>0</v>
      </c>
      <c r="O29" s="58">
        <f ca="1">IF('SVS UnterhaltsRG'!H61="",0,'SVS UnterhaltsRG'!H61)</f>
        <v>0</v>
      </c>
      <c r="P29" s="58">
        <f t="shared" si="2"/>
        <v>0</v>
      </c>
      <c r="Q29" s="58">
        <f t="shared" si="3"/>
        <v>0</v>
      </c>
      <c r="R29" s="58">
        <f t="shared" si="4"/>
        <v>0</v>
      </c>
      <c r="S29" s="58">
        <f t="shared" si="5"/>
        <v>0</v>
      </c>
      <c r="T29" s="3" t="str">
        <f t="shared" si="6"/>
        <v/>
      </c>
      <c r="U29" s="3">
        <f t="shared" si="7"/>
        <v>67.5</v>
      </c>
      <c r="V29" s="3">
        <f t="shared" si="8"/>
        <v>0</v>
      </c>
    </row>
    <row r="30" spans="1:22" ht="15" customHeight="1" x14ac:dyDescent="0.2">
      <c r="A30" s="136">
        <v>9</v>
      </c>
      <c r="B30" s="150" t="s">
        <v>230</v>
      </c>
      <c r="C30" s="151" t="s">
        <v>221</v>
      </c>
      <c r="D30" s="151"/>
      <c r="E30" s="151" t="s">
        <v>231</v>
      </c>
      <c r="F30" s="151" t="s">
        <v>219</v>
      </c>
      <c r="G30" s="152">
        <v>7.54</v>
      </c>
      <c r="H30" s="152"/>
      <c r="I30" s="152"/>
      <c r="J30" s="136" t="s">
        <v>246</v>
      </c>
      <c r="K30" s="152">
        <v>5</v>
      </c>
      <c r="L30" s="58">
        <f>VLOOKUP(K30,Reinigungstage!A10:B31,2,FALSE)</f>
        <v>230.5</v>
      </c>
      <c r="M30" s="58">
        <f t="shared" si="0"/>
        <v>1737.97</v>
      </c>
      <c r="N30" s="153">
        <f t="shared" si="1"/>
        <v>0</v>
      </c>
      <c r="O30" s="58">
        <f ca="1">IF('SVS UnterhaltsRG'!H61="",0,'SVS UnterhaltsRG'!H61)</f>
        <v>0</v>
      </c>
      <c r="P30" s="58">
        <f t="shared" si="2"/>
        <v>0</v>
      </c>
      <c r="Q30" s="58">
        <f t="shared" ca="1" si="3"/>
        <v>0</v>
      </c>
      <c r="R30" s="58">
        <f t="shared" si="4"/>
        <v>0</v>
      </c>
      <c r="S30" s="58">
        <f t="shared" ca="1" si="5"/>
        <v>0</v>
      </c>
      <c r="T30" s="3" t="str">
        <f t="shared" si="6"/>
        <v>Leistungswert eintragen</v>
      </c>
      <c r="U30" s="3">
        <f t="shared" si="7"/>
        <v>53.75</v>
      </c>
      <c r="V30" s="3">
        <f t="shared" si="8"/>
        <v>0</v>
      </c>
    </row>
    <row r="31" spans="1:22" ht="15" customHeight="1" x14ac:dyDescent="0.2">
      <c r="A31" s="136">
        <v>10</v>
      </c>
      <c r="B31" s="150" t="s">
        <v>232</v>
      </c>
      <c r="C31" s="151" t="s">
        <v>221</v>
      </c>
      <c r="D31" s="151"/>
      <c r="E31" s="151" t="s">
        <v>233</v>
      </c>
      <c r="F31" s="151" t="s">
        <v>219</v>
      </c>
      <c r="G31" s="152">
        <v>10.73</v>
      </c>
      <c r="H31" s="152"/>
      <c r="I31" s="152"/>
      <c r="J31" s="136" t="s">
        <v>247</v>
      </c>
      <c r="K31" s="152">
        <v>0</v>
      </c>
      <c r="L31" s="58">
        <f>VLOOKUP(K31,Reinigungstage!A10:B31,2,FALSE)</f>
        <v>0</v>
      </c>
      <c r="M31" s="58">
        <f t="shared" si="0"/>
        <v>0</v>
      </c>
      <c r="N31" s="153">
        <f t="shared" si="1"/>
        <v>0</v>
      </c>
      <c r="O31" s="58">
        <f ca="1">IF('SVS UnterhaltsRG'!H61="",0,'SVS UnterhaltsRG'!H61)</f>
        <v>0</v>
      </c>
      <c r="P31" s="58">
        <f t="shared" si="2"/>
        <v>0</v>
      </c>
      <c r="Q31" s="58">
        <f t="shared" si="3"/>
        <v>0</v>
      </c>
      <c r="R31" s="58">
        <f t="shared" si="4"/>
        <v>0</v>
      </c>
      <c r="S31" s="58">
        <f t="shared" si="5"/>
        <v>0</v>
      </c>
      <c r="T31" s="3" t="str">
        <f t="shared" si="6"/>
        <v/>
      </c>
      <c r="U31" s="3">
        <f t="shared" si="7"/>
        <v>262.5</v>
      </c>
      <c r="V31" s="3">
        <f t="shared" si="8"/>
        <v>0</v>
      </c>
    </row>
    <row r="32" spans="1:22" ht="15" customHeight="1" x14ac:dyDescent="0.2">
      <c r="A32" s="136">
        <v>11</v>
      </c>
      <c r="B32" s="150" t="s">
        <v>234</v>
      </c>
      <c r="C32" s="151" t="s">
        <v>221</v>
      </c>
      <c r="D32" s="151"/>
      <c r="E32" s="151" t="s">
        <v>235</v>
      </c>
      <c r="F32" s="151" t="s">
        <v>236</v>
      </c>
      <c r="G32" s="152">
        <v>13.21</v>
      </c>
      <c r="H32" s="152"/>
      <c r="I32" s="152"/>
      <c r="J32" s="136" t="s">
        <v>246</v>
      </c>
      <c r="K32" s="152">
        <v>5</v>
      </c>
      <c r="L32" s="58">
        <f>VLOOKUP(K32,Reinigungstage!A10:B31,2,FALSE)</f>
        <v>230.5</v>
      </c>
      <c r="M32" s="58">
        <f t="shared" si="0"/>
        <v>3044.91</v>
      </c>
      <c r="N32" s="153">
        <f t="shared" si="1"/>
        <v>0</v>
      </c>
      <c r="O32" s="58">
        <f ca="1">IF('SVS UnterhaltsRG'!H61="",0,'SVS UnterhaltsRG'!H61)</f>
        <v>0</v>
      </c>
      <c r="P32" s="58">
        <f t="shared" si="2"/>
        <v>0</v>
      </c>
      <c r="Q32" s="58">
        <f t="shared" ca="1" si="3"/>
        <v>0</v>
      </c>
      <c r="R32" s="58">
        <f t="shared" si="4"/>
        <v>0</v>
      </c>
      <c r="S32" s="58">
        <f t="shared" ca="1" si="5"/>
        <v>0</v>
      </c>
      <c r="T32" s="3" t="str">
        <f t="shared" si="6"/>
        <v>Leistungswert eintragen</v>
      </c>
      <c r="U32" s="3">
        <f t="shared" si="7"/>
        <v>53.75</v>
      </c>
      <c r="V32" s="3">
        <f t="shared" si="8"/>
        <v>0</v>
      </c>
    </row>
    <row r="33" spans="1:22" ht="15" customHeight="1" x14ac:dyDescent="0.2">
      <c r="A33" s="136">
        <v>12</v>
      </c>
      <c r="B33" s="150" t="s">
        <v>237</v>
      </c>
      <c r="C33" s="151" t="s">
        <v>221</v>
      </c>
      <c r="D33" s="151"/>
      <c r="E33" s="151" t="s">
        <v>238</v>
      </c>
      <c r="F33" s="151" t="s">
        <v>219</v>
      </c>
      <c r="G33" s="152">
        <v>2.97</v>
      </c>
      <c r="H33" s="152"/>
      <c r="I33" s="152"/>
      <c r="J33" s="136" t="s">
        <v>246</v>
      </c>
      <c r="K33" s="152">
        <v>5</v>
      </c>
      <c r="L33" s="58">
        <f>VLOOKUP(K33,Reinigungstage!A10:B31,2,FALSE)</f>
        <v>230.5</v>
      </c>
      <c r="M33" s="58">
        <f t="shared" si="0"/>
        <v>684.59</v>
      </c>
      <c r="N33" s="153">
        <f t="shared" si="1"/>
        <v>0</v>
      </c>
      <c r="O33" s="58">
        <f ca="1">IF('SVS UnterhaltsRG'!H61="",0,'SVS UnterhaltsRG'!H61)</f>
        <v>0</v>
      </c>
      <c r="P33" s="58">
        <f t="shared" si="2"/>
        <v>0</v>
      </c>
      <c r="Q33" s="58">
        <f t="shared" ca="1" si="3"/>
        <v>0</v>
      </c>
      <c r="R33" s="58">
        <f t="shared" si="4"/>
        <v>0</v>
      </c>
      <c r="S33" s="58">
        <f t="shared" ca="1" si="5"/>
        <v>0</v>
      </c>
      <c r="T33" s="3" t="str">
        <f t="shared" si="6"/>
        <v>Leistungswert eintragen</v>
      </c>
      <c r="U33" s="3">
        <f t="shared" si="7"/>
        <v>53.75</v>
      </c>
      <c r="V33" s="3">
        <f t="shared" si="8"/>
        <v>0</v>
      </c>
    </row>
    <row r="34" spans="1:22" ht="15" customHeight="1" x14ac:dyDescent="0.2">
      <c r="A34" s="136">
        <v>13</v>
      </c>
      <c r="B34" s="150" t="s">
        <v>239</v>
      </c>
      <c r="C34" s="151" t="s">
        <v>221</v>
      </c>
      <c r="D34" s="151"/>
      <c r="E34" s="151" t="s">
        <v>240</v>
      </c>
      <c r="F34" s="151" t="s">
        <v>219</v>
      </c>
      <c r="G34" s="152">
        <v>13.87</v>
      </c>
      <c r="H34" s="152"/>
      <c r="I34" s="152"/>
      <c r="J34" s="136" t="s">
        <v>246</v>
      </c>
      <c r="K34" s="152">
        <v>1</v>
      </c>
      <c r="L34" s="58">
        <f>VLOOKUP(K34,Reinigungstage!A10:B31,2,FALSE)</f>
        <v>47.88</v>
      </c>
      <c r="M34" s="58">
        <f t="shared" si="0"/>
        <v>664.1</v>
      </c>
      <c r="N34" s="153">
        <f t="shared" si="1"/>
        <v>0</v>
      </c>
      <c r="O34" s="58">
        <f ca="1">IF('SVS UnterhaltsRG'!H61="",0,'SVS UnterhaltsRG'!H61)</f>
        <v>0</v>
      </c>
      <c r="P34" s="58">
        <f t="shared" si="2"/>
        <v>0</v>
      </c>
      <c r="Q34" s="58">
        <f t="shared" ca="1" si="3"/>
        <v>0</v>
      </c>
      <c r="R34" s="58">
        <f t="shared" si="4"/>
        <v>0</v>
      </c>
      <c r="S34" s="58">
        <f t="shared" ca="1" si="5"/>
        <v>0</v>
      </c>
      <c r="T34" s="3" t="str">
        <f t="shared" si="6"/>
        <v>Leistungswert eintragen</v>
      </c>
      <c r="U34" s="3">
        <f t="shared" si="7"/>
        <v>53.75</v>
      </c>
      <c r="V34" s="3">
        <f t="shared" si="8"/>
        <v>0</v>
      </c>
    </row>
    <row r="35" spans="1:22" ht="15" customHeight="1" x14ac:dyDescent="0.2">
      <c r="A35" s="136">
        <v>14</v>
      </c>
      <c r="B35" s="150"/>
      <c r="C35" s="151"/>
      <c r="D35" s="151"/>
      <c r="E35" s="151" t="s">
        <v>241</v>
      </c>
      <c r="F35" s="151" t="s">
        <v>242</v>
      </c>
      <c r="G35" s="152">
        <v>4.2</v>
      </c>
      <c r="H35" s="152"/>
      <c r="I35" s="152"/>
      <c r="J35" s="136" t="s">
        <v>248</v>
      </c>
      <c r="K35" s="136" t="s">
        <v>142</v>
      </c>
      <c r="L35" s="58">
        <f>VLOOKUP(K35,Reinigungstage!A10:B31,2,FALSE)</f>
        <v>12</v>
      </c>
      <c r="M35" s="58">
        <f t="shared" si="0"/>
        <v>50.4</v>
      </c>
      <c r="N35" s="153">
        <f t="shared" si="1"/>
        <v>0</v>
      </c>
      <c r="O35" s="58">
        <f ca="1">IF('SVS UnterhaltsRG'!H61="",0,'SVS UnterhaltsRG'!H61)</f>
        <v>0</v>
      </c>
      <c r="P35" s="58">
        <f t="shared" si="2"/>
        <v>0</v>
      </c>
      <c r="Q35" s="58">
        <f t="shared" ca="1" si="3"/>
        <v>0</v>
      </c>
      <c r="R35" s="58">
        <f t="shared" si="4"/>
        <v>0</v>
      </c>
      <c r="S35" s="58">
        <f t="shared" ca="1" si="5"/>
        <v>0</v>
      </c>
      <c r="T35" s="3" t="str">
        <f t="shared" si="6"/>
        <v>Leistungswert eintragen</v>
      </c>
      <c r="U35" s="3">
        <f t="shared" si="7"/>
        <v>136.25</v>
      </c>
      <c r="V35" s="3">
        <f t="shared" si="8"/>
        <v>0</v>
      </c>
    </row>
  </sheetData>
  <sheetProtection algorithmName="SHA-512" hashValue="Ayhep9yBQN2vEgjyQSUy21j6KBXa8qXugh/kPHZSkCgIILXph4iOBp5Mj8IlF9iWQIvrBplZSpifNkmFdUAp+w==" saltValue="EqQjcuurWNezlD3/GIyRpQ==" spinCount="100000" sheet="1" objects="1" scenarios="1"/>
  <sortState xmlns:xlrd2="http://schemas.microsoft.com/office/spreadsheetml/2017/richdata2" ref="U4:U10">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60"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59" priority="5" operator="containsText" text="Bitte prüfen Sie diese.">
      <formula>NOT(ISERROR(SEARCH("Bitte prüfen Sie diese.",L9)))</formula>
    </cfRule>
  </conditionalFormatting>
  <conditionalFormatting sqref="L10">
    <cfRule type="containsText" dxfId="58"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57" priority="3" operator="containsText" text="lediglich Fehleingaben vermeiden wollen.">
      <formula>NOT(ISERROR(SEARCH("lediglich Fehleingaben vermeiden wollen.",L11)))</formula>
    </cfRule>
  </conditionalFormatting>
  <conditionalFormatting sqref="M11">
    <cfRule type="containsText" dxfId="56"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55" priority="7" operator="containsText" text="für die Objektart prüfen.">
      <formula>NOT(ISERROR(SEARCH("für die Objektart prüfen.",M12)))</formula>
    </cfRule>
  </conditionalFormatting>
  <conditionalFormatting sqref="N13">
    <cfRule type="expression" dxfId="54" priority="2" stopIfTrue="1">
      <formula>N13=0</formula>
    </cfRule>
  </conditionalFormatting>
  <conditionalFormatting sqref="N14">
    <cfRule type="expression" dxfId="53" priority="1">
      <formula>N14=0</formula>
    </cfRule>
  </conditionalFormatting>
  <conditionalFormatting sqref="N22:N35">
    <cfRule type="expression" dxfId="52" priority="11">
      <formula>V22=0</formula>
    </cfRule>
    <cfRule type="expression" dxfId="51" priority="12" stopIfTrue="1">
      <formula>V22=1</formula>
    </cfRule>
  </conditionalFormatting>
  <conditionalFormatting sqref="O13">
    <cfRule type="containsText" dxfId="50"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49" priority="9" operator="containsText" text="Wert(e) prüfen.">
      <formula>NOT(ISERROR(SEARCH("Wert(e) prüfen.",O14)))</formula>
    </cfRule>
  </conditionalFormatting>
  <conditionalFormatting sqref="T22:T35">
    <cfRule type="containsText" dxfId="48" priority="13" stopIfTrue="1" operator="containsText" text="SVS prüfen">
      <formula>NOT(ISERROR(SEARCH("SVS prüfen",T22)))</formula>
    </cfRule>
    <cfRule type="containsText" dxfId="47" priority="14" stopIfTrue="1" operator="containsText" text="Leistungswert eintragen">
      <formula>NOT(ISERROR(SEARCH("Leistungswert eintragen",T22)))</formula>
    </cfRule>
  </conditionalFormatting>
  <hyperlinks>
    <hyperlink ref="M1" location="Inhaltsverzeichnis!A1" display="Zurück zum Inhaltsverzeichnis" xr:uid="{1ABD15B4-9A96-4B6B-9DEC-0CC67AD8F273}"/>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Unter Kita Regenb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6498"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6499"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6500"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9A550-A9E8-4A48-9DAE-ACA459C09E94}">
  <sheetPr codeName="Tabelle34">
    <tabColor indexed="40"/>
  </sheetPr>
  <dimension ref="A1:X34"/>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6.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1.42578125" style="3"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209" t="s">
        <v>158</v>
      </c>
      <c r="B2" s="210"/>
      <c r="C2" s="210"/>
      <c r="D2" s="210"/>
      <c r="E2" s="211"/>
      <c r="G2" s="212" t="s">
        <v>171</v>
      </c>
      <c r="H2" s="212" t="s">
        <v>163</v>
      </c>
      <c r="I2" s="212" t="s">
        <v>164</v>
      </c>
      <c r="J2" s="212" t="s">
        <v>183</v>
      </c>
      <c r="M2" s="100" t="b">
        <v>0</v>
      </c>
      <c r="N2" s="167"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67"/>
      <c r="P2" s="167"/>
      <c r="Q2" s="167"/>
    </row>
    <row r="3" spans="1:22" ht="24" customHeight="1" x14ac:dyDescent="0.2">
      <c r="A3" s="137" t="s">
        <v>166</v>
      </c>
      <c r="B3" s="138"/>
      <c r="C3" s="138"/>
      <c r="D3" s="138"/>
      <c r="E3" s="139"/>
      <c r="G3" s="213"/>
      <c r="H3" s="213"/>
      <c r="I3" s="213"/>
      <c r="J3" s="213"/>
      <c r="M3" s="100" t="b">
        <v>0</v>
      </c>
      <c r="N3" s="167"/>
      <c r="O3" s="167"/>
      <c r="P3" s="167"/>
      <c r="Q3" s="167"/>
    </row>
    <row r="4" spans="1:22" ht="18.600000000000001" customHeight="1" x14ac:dyDescent="0.2">
      <c r="A4" s="207" t="s">
        <v>91</v>
      </c>
      <c r="B4" s="217" t="str">
        <f>IF(Inhaltsverzeichnis!C3="","",Inhaltsverzeichnis!C3)</f>
        <v/>
      </c>
      <c r="C4" s="218"/>
      <c r="D4" s="218"/>
      <c r="E4" s="219"/>
      <c r="G4" s="136" t="s">
        <v>215</v>
      </c>
      <c r="H4" s="140"/>
      <c r="I4" s="141">
        <f ca="1">SUMIF('Kal Grund Kita Regenb'!J22:M34,$G$4,'Kal Grund Kita Regenb'!M22:M34)</f>
        <v>17.14</v>
      </c>
      <c r="J4" s="79">
        <f>COUNTIFS('Kal Grund Kita Regenb'!J22:M34,$G$4)</f>
        <v>1</v>
      </c>
      <c r="M4" s="100" t="b">
        <v>0</v>
      </c>
      <c r="N4" s="167"/>
      <c r="O4" s="167"/>
      <c r="P4" s="167"/>
      <c r="Q4" s="167"/>
      <c r="U4" s="136" t="s">
        <v>215</v>
      </c>
      <c r="V4" s="3">
        <v>17.125</v>
      </c>
    </row>
    <row r="5" spans="1:22" ht="15" customHeight="1" x14ac:dyDescent="0.2">
      <c r="A5" s="208"/>
      <c r="B5" s="220"/>
      <c r="C5" s="221"/>
      <c r="D5" s="221"/>
      <c r="E5" s="222"/>
      <c r="G5" s="136" t="s">
        <v>244</v>
      </c>
      <c r="H5" s="140"/>
      <c r="I5" s="141">
        <f ca="1">SUMIF('Kal Grund Kita Regenb'!J22:M34,$G$5,'Kal Grund Kita Regenb'!M22:M34)</f>
        <v>171.18</v>
      </c>
      <c r="J5" s="79">
        <f>COUNTIFS('Kal Grund Kita Regenb'!J22:M34,$G$5)</f>
        <v>3</v>
      </c>
      <c r="M5" s="100" t="b">
        <v>0</v>
      </c>
      <c r="N5" s="167"/>
      <c r="O5" s="167"/>
      <c r="P5" s="167"/>
      <c r="Q5" s="167"/>
      <c r="U5" s="136" t="s">
        <v>244</v>
      </c>
      <c r="V5" s="3">
        <v>15</v>
      </c>
    </row>
    <row r="6" spans="1:22" ht="15" customHeight="1" x14ac:dyDescent="0.2">
      <c r="A6" s="142" t="s">
        <v>181</v>
      </c>
      <c r="B6" s="223" t="s">
        <v>199</v>
      </c>
      <c r="C6" s="224"/>
      <c r="D6" s="224"/>
      <c r="E6" s="225"/>
      <c r="G6" s="136" t="s">
        <v>246</v>
      </c>
      <c r="H6" s="140"/>
      <c r="I6" s="141">
        <f ca="1">SUMIF('Kal Grund Kita Regenb'!J22:M34,$G$6,'Kal Grund Kita Regenb'!M22:M34)</f>
        <v>37.589999999999996</v>
      </c>
      <c r="J6" s="79">
        <f>COUNTIFS('Kal Grund Kita Regenb'!J22:M34,$G$6)</f>
        <v>4</v>
      </c>
      <c r="U6" s="136" t="s">
        <v>246</v>
      </c>
      <c r="V6" s="3">
        <v>8.5</v>
      </c>
    </row>
    <row r="7" spans="1:22" ht="15" customHeight="1" x14ac:dyDescent="0.2">
      <c r="A7" s="143" t="s">
        <v>179</v>
      </c>
      <c r="B7" s="226" t="s">
        <v>200</v>
      </c>
      <c r="C7" s="224"/>
      <c r="D7" s="224"/>
      <c r="E7" s="225"/>
      <c r="G7" s="136" t="s">
        <v>248</v>
      </c>
      <c r="H7" s="140"/>
      <c r="I7" s="141">
        <f ca="1">SUMIF('Kal Grund Kita Regenb'!J22:M34,$G$7,'Kal Grund Kita Regenb'!M22:M34)</f>
        <v>4.2</v>
      </c>
      <c r="J7" s="79">
        <f>COUNTIFS('Kal Grund Kita Regenb'!J22:M34,$G$7)</f>
        <v>1</v>
      </c>
      <c r="U7" s="136" t="s">
        <v>247</v>
      </c>
      <c r="V7" s="3">
        <v>21.13</v>
      </c>
    </row>
    <row r="8" spans="1:22" ht="15" customHeight="1" x14ac:dyDescent="0.2">
      <c r="A8" s="143" t="s">
        <v>180</v>
      </c>
      <c r="B8" s="223"/>
      <c r="C8" s="224"/>
      <c r="D8" s="224"/>
      <c r="E8" s="225"/>
      <c r="G8" s="136" t="s">
        <v>243</v>
      </c>
      <c r="H8" s="140"/>
      <c r="I8" s="141">
        <f ca="1">SUMIF('Kal Grund Kita Regenb'!J22:M34,$G$8,'Kal Grund Kita Regenb'!M22:M34)</f>
        <v>65.289999999999992</v>
      </c>
      <c r="J8" s="79">
        <f>COUNTIFS('Kal Grund Kita Regenb'!J22:M34,$G$8)</f>
        <v>2</v>
      </c>
      <c r="L8" s="154" t="str">
        <f>IF(N14&gt;0,"Ihre Eintragungen der Leistungswerte liegen weit über den Erfahrungswerten aus der Preisschätzung.","")</f>
        <v/>
      </c>
      <c r="U8" s="136" t="s">
        <v>248</v>
      </c>
      <c r="V8" s="3">
        <v>15</v>
      </c>
    </row>
    <row r="9" spans="1:22" ht="15" customHeight="1" x14ac:dyDescent="0.2">
      <c r="A9" s="142" t="s">
        <v>178</v>
      </c>
      <c r="B9" s="227" t="s">
        <v>198</v>
      </c>
      <c r="C9" s="224"/>
      <c r="D9" s="224"/>
      <c r="E9" s="225"/>
      <c r="G9" s="136" t="s">
        <v>245</v>
      </c>
      <c r="H9" s="140"/>
      <c r="I9" s="141">
        <f ca="1">SUMIF('Kal Grund Kita Regenb'!J22:M34,$G$9,'Kal Grund Kita Regenb'!M22:M34)</f>
        <v>30.47</v>
      </c>
      <c r="J9" s="79">
        <f>COUNTIFS('Kal Grund Kita Regenb'!J22:M34,$G$9)</f>
        <v>2</v>
      </c>
      <c r="L9" s="154" t="str">
        <f>IF(N14&gt;0,"Bitte prüfen Sie diese.","")</f>
        <v/>
      </c>
      <c r="U9" s="136" t="s">
        <v>243</v>
      </c>
      <c r="V9" s="3">
        <v>24.13</v>
      </c>
    </row>
    <row r="10" spans="1:22" ht="15" customHeight="1" x14ac:dyDescent="0.2">
      <c r="A10" s="143" t="s">
        <v>160</v>
      </c>
      <c r="B10" s="223" t="s">
        <v>201</v>
      </c>
      <c r="C10" s="224"/>
      <c r="D10" s="224"/>
      <c r="E10" s="225"/>
      <c r="L10" s="154" t="str">
        <f>IF(N14&gt;0,"Beachten Sie, dass Sie frei in der Kalkulation dieser Leistungswerte sind und wir durch den Hinweis","")</f>
        <v/>
      </c>
      <c r="U10" s="136" t="s">
        <v>245</v>
      </c>
      <c r="V10" s="3">
        <v>14.13</v>
      </c>
    </row>
    <row r="11" spans="1:22" ht="15" customHeight="1" x14ac:dyDescent="0.2">
      <c r="A11" s="143" t="s">
        <v>161</v>
      </c>
      <c r="B11" s="228" t="s">
        <v>202</v>
      </c>
      <c r="C11" s="224"/>
      <c r="D11" s="224"/>
      <c r="E11" s="225"/>
      <c r="L11" s="154" t="str">
        <f>IF(N14&gt;0,"lediglich Fehleingaben vermeiden wollen.","")</f>
        <v/>
      </c>
    </row>
    <row r="12" spans="1:22" ht="15" customHeight="1" x14ac:dyDescent="0.2">
      <c r="A12" s="143" t="s">
        <v>162</v>
      </c>
      <c r="B12" s="223" t="s">
        <v>203</v>
      </c>
      <c r="C12" s="224"/>
      <c r="D12" s="224"/>
      <c r="E12" s="225"/>
    </row>
    <row r="13" spans="1:22" ht="15" customHeight="1" x14ac:dyDescent="0.2">
      <c r="A13" s="143" t="s">
        <v>165</v>
      </c>
      <c r="B13" s="214" t="str">
        <f>HYPERLINK("http://maps.google.de/maps?hl=de&amp;bav=on.2,or.r_qf.&amp;bvm=bv.44770516,d.Yms&amp;biw=1395&amp;bih=916&amp;um=1&amp;ie=UTF-8&amp;q="&amp;B7&amp;"+"&amp;B8&amp;"+"&amp;B10&amp;"+"&amp;B11&amp;"+"&amp;B12&amp;"","In Google-Maps anzeigen (wenn Internet verfügbar)")</f>
        <v>In Google-Maps anzeigen (wenn Internet verfügbar)</v>
      </c>
      <c r="C13" s="215"/>
      <c r="D13" s="215"/>
      <c r="E13" s="216"/>
    </row>
    <row r="14" spans="1:22" ht="15" customHeight="1" x14ac:dyDescent="0.2">
      <c r="N14" s="144">
        <f>COUNTIF(X22:X$34,1)</f>
        <v>0</v>
      </c>
      <c r="O14" s="3" t="str">
        <f>IF(N14&gt;0,"Wert(e) prüfen.","")</f>
        <v/>
      </c>
      <c r="S14" s="146">
        <f>IF(COUNTA($S$22:$S$34)-COUNTBLANK($S$22:$S$34)=0,"",COUNTA($S$22:$S$34)-COUNTBLANK($S$22:$S$34))</f>
        <v>13</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115</v>
      </c>
      <c r="H20" s="1" t="s">
        <v>106</v>
      </c>
      <c r="I20" s="1" t="s">
        <v>107</v>
      </c>
      <c r="J20" s="1" t="s">
        <v>99</v>
      </c>
      <c r="K20" s="1" t="s">
        <v>104</v>
      </c>
      <c r="L20" s="1" t="s">
        <v>108</v>
      </c>
      <c r="M20" s="1" t="s">
        <v>109</v>
      </c>
      <c r="N20" s="1" t="s">
        <v>105</v>
      </c>
      <c r="O20" s="1" t="s">
        <v>110</v>
      </c>
      <c r="P20" s="1" t="s">
        <v>111</v>
      </c>
      <c r="Q20" s="1" t="s">
        <v>112</v>
      </c>
      <c r="R20" s="1" t="s">
        <v>139</v>
      </c>
    </row>
    <row r="21" spans="1:24" ht="29.1" customHeight="1" x14ac:dyDescent="0.2">
      <c r="A21" s="147" t="s">
        <v>124</v>
      </c>
      <c r="B21" s="12"/>
      <c r="C21" s="12"/>
      <c r="D21" s="12"/>
      <c r="E21" s="12"/>
      <c r="F21" s="12"/>
      <c r="G21" s="148">
        <f>SUM($G$22:$G$34)</f>
        <v>325.87</v>
      </c>
      <c r="H21" s="148">
        <f>SUM($H$22:$H$34)</f>
        <v>0</v>
      </c>
      <c r="I21" s="148">
        <f>SUM($I$22:$I$34)</f>
        <v>0</v>
      </c>
      <c r="J21" s="58"/>
      <c r="K21" s="58"/>
      <c r="L21" s="149">
        <f>MAX(L22:L34)</f>
        <v>1</v>
      </c>
      <c r="M21" s="148">
        <f>SUM($M$22:$M$34)</f>
        <v>325.87</v>
      </c>
      <c r="N21" s="58"/>
      <c r="O21" s="58"/>
      <c r="P21" s="148">
        <f>SUM($P$22:$P$34)</f>
        <v>0</v>
      </c>
      <c r="Q21" s="148">
        <f>SUM($Q$22:$Q$34)</f>
        <v>0</v>
      </c>
      <c r="R21" s="148">
        <f>ROUND(IF(Q21=0,0,Q21/L21),2)</f>
        <v>0</v>
      </c>
    </row>
    <row r="22" spans="1:24" ht="15" customHeight="1" x14ac:dyDescent="0.2">
      <c r="A22" s="136">
        <v>1</v>
      </c>
      <c r="B22" s="150" t="s">
        <v>209</v>
      </c>
      <c r="C22" s="151" t="s">
        <v>210</v>
      </c>
      <c r="D22" s="151" t="s">
        <v>211</v>
      </c>
      <c r="E22" s="151" t="s">
        <v>212</v>
      </c>
      <c r="F22" s="151" t="s">
        <v>213</v>
      </c>
      <c r="G22" s="152">
        <v>18</v>
      </c>
      <c r="H22" s="152"/>
      <c r="I22" s="152"/>
      <c r="J22" s="136" t="s">
        <v>243</v>
      </c>
      <c r="K22" s="136" t="s">
        <v>148</v>
      </c>
      <c r="L22" s="58">
        <f>VLOOKUP(K22,Reinigungstage!A10:D31,4,FALSE)</f>
        <v>1</v>
      </c>
      <c r="M22" s="58">
        <f t="shared" ref="M22:M34" si="0">ROUND(IF(L22=0,0,L22*G22),2)</f>
        <v>18</v>
      </c>
      <c r="N22" s="153">
        <f t="shared" ref="N22:N34" si="1">VLOOKUP(J22,$G$4:$H$9,2,FALSE)</f>
        <v>0</v>
      </c>
      <c r="O22" s="58">
        <f ca="1">IF('SVS GrundRG'!H61="",0,'SVS GrundRG'!H61)</f>
        <v>0</v>
      </c>
      <c r="P22" s="58">
        <f t="shared" ref="P22:P34" si="2">ROUND(IF(N22=0,0,M22/N22),2)</f>
        <v>0</v>
      </c>
      <c r="Q22" s="58">
        <f t="shared" ref="Q22:Q34" si="3">ROUND(IF(P22=0,0,P22*O22),2)</f>
        <v>0</v>
      </c>
      <c r="R22" s="58">
        <f t="shared" ref="R22:R34" si="4">ROUND(IF(P22=0,0,Q22/L22),2)</f>
        <v>0</v>
      </c>
      <c r="S22" s="3" t="str">
        <f t="shared" ref="S22:S34" si="5">IF(M22=0,"",IF(N22=0,"Leistungswert eintragen",IF(O22=0,"SVS prüfen","")))</f>
        <v>Leistungswert eintragen</v>
      </c>
      <c r="U22" s="3">
        <f t="shared" ref="U22:U34" si="6">VLOOKUP(J22,$U$4:$V$10,2,FALSE)</f>
        <v>24.13</v>
      </c>
      <c r="V22" s="3">
        <f t="shared" ref="V22:V34" si="7">U22*30%</f>
        <v>7.238999999999999</v>
      </c>
      <c r="W22" s="3">
        <f t="shared" ref="W22:W34" si="8">SUM(U22:V22)</f>
        <v>31.369</v>
      </c>
      <c r="X22" s="3" t="str">
        <f t="shared" ref="X22:X34" si="9">IF(N22=0,"",IF(W22&lt;N22,1,IF(W22&gt;=N22,0,"")))</f>
        <v/>
      </c>
    </row>
    <row r="23" spans="1:24" ht="15" customHeight="1" x14ac:dyDescent="0.2">
      <c r="A23" s="136">
        <v>2</v>
      </c>
      <c r="B23" s="150" t="s">
        <v>214</v>
      </c>
      <c r="C23" s="151" t="s">
        <v>210</v>
      </c>
      <c r="D23" s="151"/>
      <c r="E23" s="151" t="s">
        <v>215</v>
      </c>
      <c r="F23" s="151" t="s">
        <v>213</v>
      </c>
      <c r="G23" s="152">
        <v>17.14</v>
      </c>
      <c r="H23" s="152"/>
      <c r="I23" s="152"/>
      <c r="J23" s="136" t="s">
        <v>215</v>
      </c>
      <c r="K23" s="136" t="s">
        <v>148</v>
      </c>
      <c r="L23" s="58">
        <f>VLOOKUP(K23,Reinigungstage!A10:D31,4,FALSE)</f>
        <v>1</v>
      </c>
      <c r="M23" s="58">
        <f t="shared" si="0"/>
        <v>17.14</v>
      </c>
      <c r="N23" s="153">
        <f t="shared" si="1"/>
        <v>0</v>
      </c>
      <c r="O23" s="58">
        <f ca="1">IF('SVS GrundRG'!H61="",0,'SVS GrundRG'!H61)</f>
        <v>0</v>
      </c>
      <c r="P23" s="58">
        <f t="shared" si="2"/>
        <v>0</v>
      </c>
      <c r="Q23" s="58">
        <f t="shared" si="3"/>
        <v>0</v>
      </c>
      <c r="R23" s="58">
        <f t="shared" si="4"/>
        <v>0</v>
      </c>
      <c r="S23" s="3" t="str">
        <f t="shared" si="5"/>
        <v>Leistungswert eintragen</v>
      </c>
      <c r="U23" s="3">
        <f t="shared" si="6"/>
        <v>17.125</v>
      </c>
      <c r="V23" s="3">
        <f t="shared" si="7"/>
        <v>5.1375000000000002</v>
      </c>
      <c r="W23" s="3">
        <f t="shared" si="8"/>
        <v>22.262499999999999</v>
      </c>
      <c r="X23" s="3" t="str">
        <f t="shared" si="9"/>
        <v/>
      </c>
    </row>
    <row r="24" spans="1:24" ht="15" customHeight="1" x14ac:dyDescent="0.2">
      <c r="A24" s="136">
        <v>3</v>
      </c>
      <c r="B24" s="150" t="s">
        <v>216</v>
      </c>
      <c r="C24" s="151" t="s">
        <v>210</v>
      </c>
      <c r="D24" s="151" t="s">
        <v>217</v>
      </c>
      <c r="E24" s="151" t="s">
        <v>218</v>
      </c>
      <c r="F24" s="151" t="s">
        <v>219</v>
      </c>
      <c r="G24" s="152">
        <v>70.180000000000007</v>
      </c>
      <c r="H24" s="152"/>
      <c r="I24" s="152"/>
      <c r="J24" s="136" t="s">
        <v>244</v>
      </c>
      <c r="K24" s="136" t="s">
        <v>148</v>
      </c>
      <c r="L24" s="58">
        <f>VLOOKUP(K24,Reinigungstage!A10:D31,4,FALSE)</f>
        <v>1</v>
      </c>
      <c r="M24" s="58">
        <f t="shared" si="0"/>
        <v>70.180000000000007</v>
      </c>
      <c r="N24" s="153">
        <f t="shared" si="1"/>
        <v>0</v>
      </c>
      <c r="O24" s="58">
        <f ca="1">IF('SVS GrundRG'!H61="",0,'SVS GrundRG'!H61)</f>
        <v>0</v>
      </c>
      <c r="P24" s="58">
        <f t="shared" si="2"/>
        <v>0</v>
      </c>
      <c r="Q24" s="58">
        <f t="shared" si="3"/>
        <v>0</v>
      </c>
      <c r="R24" s="58">
        <f t="shared" si="4"/>
        <v>0</v>
      </c>
      <c r="S24" s="3" t="str">
        <f t="shared" si="5"/>
        <v>Leistungswert eintragen</v>
      </c>
      <c r="U24" s="3">
        <f t="shared" si="6"/>
        <v>15</v>
      </c>
      <c r="V24" s="3">
        <f t="shared" si="7"/>
        <v>4.5</v>
      </c>
      <c r="W24" s="3">
        <f t="shared" si="8"/>
        <v>19.5</v>
      </c>
      <c r="X24" s="3" t="str">
        <f t="shared" si="9"/>
        <v/>
      </c>
    </row>
    <row r="25" spans="1:24" ht="15" customHeight="1" x14ac:dyDescent="0.2">
      <c r="A25" s="136">
        <v>4</v>
      </c>
      <c r="B25" s="150" t="s">
        <v>220</v>
      </c>
      <c r="C25" s="151" t="s">
        <v>221</v>
      </c>
      <c r="D25" s="151"/>
      <c r="E25" s="151" t="s">
        <v>222</v>
      </c>
      <c r="F25" s="151" t="s">
        <v>219</v>
      </c>
      <c r="G25" s="152">
        <v>47.29</v>
      </c>
      <c r="H25" s="152"/>
      <c r="I25" s="152"/>
      <c r="J25" s="136" t="s">
        <v>243</v>
      </c>
      <c r="K25" s="136" t="s">
        <v>148</v>
      </c>
      <c r="L25" s="58">
        <f>VLOOKUP(K25,Reinigungstage!A10:D31,4,FALSE)</f>
        <v>1</v>
      </c>
      <c r="M25" s="58">
        <f t="shared" si="0"/>
        <v>47.29</v>
      </c>
      <c r="N25" s="153">
        <f t="shared" si="1"/>
        <v>0</v>
      </c>
      <c r="O25" s="58">
        <f ca="1">IF('SVS GrundRG'!H61="",0,'SVS GrundRG'!H61)</f>
        <v>0</v>
      </c>
      <c r="P25" s="58">
        <f t="shared" si="2"/>
        <v>0</v>
      </c>
      <c r="Q25" s="58">
        <f t="shared" si="3"/>
        <v>0</v>
      </c>
      <c r="R25" s="58">
        <f t="shared" si="4"/>
        <v>0</v>
      </c>
      <c r="S25" s="3" t="str">
        <f t="shared" si="5"/>
        <v>Leistungswert eintragen</v>
      </c>
      <c r="U25" s="3">
        <f t="shared" si="6"/>
        <v>24.13</v>
      </c>
      <c r="V25" s="3">
        <f t="shared" si="7"/>
        <v>7.238999999999999</v>
      </c>
      <c r="W25" s="3">
        <f t="shared" si="8"/>
        <v>31.369</v>
      </c>
      <c r="X25" s="3" t="str">
        <f t="shared" si="9"/>
        <v/>
      </c>
    </row>
    <row r="26" spans="1:24" ht="15" customHeight="1" x14ac:dyDescent="0.2">
      <c r="A26" s="136">
        <v>5</v>
      </c>
      <c r="B26" s="150" t="s">
        <v>223</v>
      </c>
      <c r="C26" s="151" t="s">
        <v>221</v>
      </c>
      <c r="D26" s="151"/>
      <c r="E26" s="151" t="s">
        <v>224</v>
      </c>
      <c r="F26" s="151" t="s">
        <v>219</v>
      </c>
      <c r="G26" s="152">
        <v>11.7</v>
      </c>
      <c r="H26" s="152"/>
      <c r="I26" s="152"/>
      <c r="J26" s="136" t="s">
        <v>245</v>
      </c>
      <c r="K26" s="136" t="s">
        <v>148</v>
      </c>
      <c r="L26" s="58">
        <f>VLOOKUP(K26,Reinigungstage!A10:D31,4,FALSE)</f>
        <v>1</v>
      </c>
      <c r="M26" s="58">
        <f t="shared" si="0"/>
        <v>11.7</v>
      </c>
      <c r="N26" s="153">
        <f t="shared" si="1"/>
        <v>0</v>
      </c>
      <c r="O26" s="58">
        <f ca="1">IF('SVS GrundRG'!H61="",0,'SVS GrundRG'!H61)</f>
        <v>0</v>
      </c>
      <c r="P26" s="58">
        <f t="shared" si="2"/>
        <v>0</v>
      </c>
      <c r="Q26" s="58">
        <f t="shared" si="3"/>
        <v>0</v>
      </c>
      <c r="R26" s="58">
        <f t="shared" si="4"/>
        <v>0</v>
      </c>
      <c r="S26" s="3" t="str">
        <f t="shared" si="5"/>
        <v>Leistungswert eintragen</v>
      </c>
      <c r="U26" s="3">
        <f t="shared" si="6"/>
        <v>14.13</v>
      </c>
      <c r="V26" s="3">
        <f t="shared" si="7"/>
        <v>4.2389999999999999</v>
      </c>
      <c r="W26" s="3">
        <f t="shared" si="8"/>
        <v>18.369</v>
      </c>
      <c r="X26" s="3" t="str">
        <f t="shared" si="9"/>
        <v/>
      </c>
    </row>
    <row r="27" spans="1:24" ht="15" customHeight="1" x14ac:dyDescent="0.2">
      <c r="A27" s="136">
        <v>6</v>
      </c>
      <c r="B27" s="150" t="s">
        <v>225</v>
      </c>
      <c r="C27" s="151" t="s">
        <v>221</v>
      </c>
      <c r="D27" s="151"/>
      <c r="E27" s="151" t="s">
        <v>226</v>
      </c>
      <c r="F27" s="151" t="s">
        <v>219</v>
      </c>
      <c r="G27" s="152">
        <v>44.45</v>
      </c>
      <c r="H27" s="152"/>
      <c r="I27" s="152"/>
      <c r="J27" s="136" t="s">
        <v>244</v>
      </c>
      <c r="K27" s="136" t="s">
        <v>148</v>
      </c>
      <c r="L27" s="58">
        <f>VLOOKUP(K27,Reinigungstage!A10:D31,4,FALSE)</f>
        <v>1</v>
      </c>
      <c r="M27" s="58">
        <f t="shared" si="0"/>
        <v>44.45</v>
      </c>
      <c r="N27" s="153">
        <f t="shared" si="1"/>
        <v>0</v>
      </c>
      <c r="O27" s="58">
        <f ca="1">IF('SVS GrundRG'!H61="",0,'SVS GrundRG'!H61)</f>
        <v>0</v>
      </c>
      <c r="P27" s="58">
        <f t="shared" si="2"/>
        <v>0</v>
      </c>
      <c r="Q27" s="58">
        <f t="shared" si="3"/>
        <v>0</v>
      </c>
      <c r="R27" s="58">
        <f t="shared" si="4"/>
        <v>0</v>
      </c>
      <c r="S27" s="3" t="str">
        <f t="shared" si="5"/>
        <v>Leistungswert eintragen</v>
      </c>
      <c r="U27" s="3">
        <f t="shared" si="6"/>
        <v>15</v>
      </c>
      <c r="V27" s="3">
        <f t="shared" si="7"/>
        <v>4.5</v>
      </c>
      <c r="W27" s="3">
        <f t="shared" si="8"/>
        <v>19.5</v>
      </c>
      <c r="X27" s="3" t="str">
        <f t="shared" si="9"/>
        <v/>
      </c>
    </row>
    <row r="28" spans="1:24" ht="15" customHeight="1" x14ac:dyDescent="0.2">
      <c r="A28" s="136">
        <v>7</v>
      </c>
      <c r="B28" s="150" t="s">
        <v>227</v>
      </c>
      <c r="C28" s="151" t="s">
        <v>221</v>
      </c>
      <c r="D28" s="151"/>
      <c r="E28" s="151" t="s">
        <v>226</v>
      </c>
      <c r="F28" s="151" t="s">
        <v>219</v>
      </c>
      <c r="G28" s="152">
        <v>56.55</v>
      </c>
      <c r="H28" s="152"/>
      <c r="I28" s="152"/>
      <c r="J28" s="136" t="s">
        <v>244</v>
      </c>
      <c r="K28" s="136" t="s">
        <v>148</v>
      </c>
      <c r="L28" s="58">
        <f>VLOOKUP(K28,Reinigungstage!A10:D31,4,FALSE)</f>
        <v>1</v>
      </c>
      <c r="M28" s="58">
        <f t="shared" si="0"/>
        <v>56.55</v>
      </c>
      <c r="N28" s="153">
        <f t="shared" si="1"/>
        <v>0</v>
      </c>
      <c r="O28" s="58">
        <f ca="1">IF('SVS GrundRG'!H61="",0,'SVS GrundRG'!H61)</f>
        <v>0</v>
      </c>
      <c r="P28" s="58">
        <f t="shared" si="2"/>
        <v>0</v>
      </c>
      <c r="Q28" s="58">
        <f t="shared" si="3"/>
        <v>0</v>
      </c>
      <c r="R28" s="58">
        <f t="shared" si="4"/>
        <v>0</v>
      </c>
      <c r="S28" s="3" t="str">
        <f t="shared" si="5"/>
        <v>Leistungswert eintragen</v>
      </c>
      <c r="U28" s="3">
        <f t="shared" si="6"/>
        <v>15</v>
      </c>
      <c r="V28" s="3">
        <f t="shared" si="7"/>
        <v>4.5</v>
      </c>
      <c r="W28" s="3">
        <f t="shared" si="8"/>
        <v>19.5</v>
      </c>
      <c r="X28" s="3" t="str">
        <f t="shared" si="9"/>
        <v/>
      </c>
    </row>
    <row r="29" spans="1:24" ht="15" customHeight="1" x14ac:dyDescent="0.2">
      <c r="A29" s="136">
        <v>8</v>
      </c>
      <c r="B29" s="150" t="s">
        <v>228</v>
      </c>
      <c r="C29" s="151" t="s">
        <v>221</v>
      </c>
      <c r="D29" s="151"/>
      <c r="E29" s="151" t="s">
        <v>229</v>
      </c>
      <c r="F29" s="151" t="s">
        <v>219</v>
      </c>
      <c r="G29" s="152">
        <v>18.77</v>
      </c>
      <c r="H29" s="152"/>
      <c r="I29" s="152"/>
      <c r="J29" s="136" t="s">
        <v>245</v>
      </c>
      <c r="K29" s="136" t="s">
        <v>148</v>
      </c>
      <c r="L29" s="58">
        <f>VLOOKUP(K29,Reinigungstage!A10:D31,4,FALSE)</f>
        <v>1</v>
      </c>
      <c r="M29" s="58">
        <f t="shared" si="0"/>
        <v>18.77</v>
      </c>
      <c r="N29" s="153">
        <f t="shared" si="1"/>
        <v>0</v>
      </c>
      <c r="O29" s="58">
        <f ca="1">IF('SVS GrundRG'!H61="",0,'SVS GrundRG'!H61)</f>
        <v>0</v>
      </c>
      <c r="P29" s="58">
        <f t="shared" si="2"/>
        <v>0</v>
      </c>
      <c r="Q29" s="58">
        <f t="shared" si="3"/>
        <v>0</v>
      </c>
      <c r="R29" s="58">
        <f t="shared" si="4"/>
        <v>0</v>
      </c>
      <c r="S29" s="3" t="str">
        <f t="shared" si="5"/>
        <v>Leistungswert eintragen</v>
      </c>
      <c r="U29" s="3">
        <f t="shared" si="6"/>
        <v>14.13</v>
      </c>
      <c r="V29" s="3">
        <f t="shared" si="7"/>
        <v>4.2389999999999999</v>
      </c>
      <c r="W29" s="3">
        <f t="shared" si="8"/>
        <v>18.369</v>
      </c>
      <c r="X29" s="3" t="str">
        <f t="shared" si="9"/>
        <v/>
      </c>
    </row>
    <row r="30" spans="1:24" ht="15" customHeight="1" x14ac:dyDescent="0.2">
      <c r="A30" s="136">
        <v>9</v>
      </c>
      <c r="B30" s="150" t="s">
        <v>230</v>
      </c>
      <c r="C30" s="151" t="s">
        <v>221</v>
      </c>
      <c r="D30" s="151"/>
      <c r="E30" s="151" t="s">
        <v>231</v>
      </c>
      <c r="F30" s="151" t="s">
        <v>219</v>
      </c>
      <c r="G30" s="152">
        <v>7.54</v>
      </c>
      <c r="H30" s="152"/>
      <c r="I30" s="152"/>
      <c r="J30" s="136" t="s">
        <v>246</v>
      </c>
      <c r="K30" s="136" t="s">
        <v>148</v>
      </c>
      <c r="L30" s="58">
        <f>VLOOKUP(K30,Reinigungstage!A10:D31,4,FALSE)</f>
        <v>1</v>
      </c>
      <c r="M30" s="58">
        <f t="shared" si="0"/>
        <v>7.54</v>
      </c>
      <c r="N30" s="153">
        <f t="shared" si="1"/>
        <v>0</v>
      </c>
      <c r="O30" s="58">
        <f ca="1">IF('SVS GrundRG'!H61="",0,'SVS GrundRG'!H61)</f>
        <v>0</v>
      </c>
      <c r="P30" s="58">
        <f t="shared" si="2"/>
        <v>0</v>
      </c>
      <c r="Q30" s="58">
        <f t="shared" si="3"/>
        <v>0</v>
      </c>
      <c r="R30" s="58">
        <f t="shared" si="4"/>
        <v>0</v>
      </c>
      <c r="S30" s="3" t="str">
        <f t="shared" si="5"/>
        <v>Leistungswert eintragen</v>
      </c>
      <c r="U30" s="3">
        <f t="shared" si="6"/>
        <v>8.5</v>
      </c>
      <c r="V30" s="3">
        <f t="shared" si="7"/>
        <v>2.5499999999999998</v>
      </c>
      <c r="W30" s="3">
        <f t="shared" si="8"/>
        <v>11.05</v>
      </c>
      <c r="X30" s="3" t="str">
        <f t="shared" si="9"/>
        <v/>
      </c>
    </row>
    <row r="31" spans="1:24" ht="15" customHeight="1" x14ac:dyDescent="0.2">
      <c r="A31" s="136">
        <v>10</v>
      </c>
      <c r="B31" s="150" t="s">
        <v>234</v>
      </c>
      <c r="C31" s="151" t="s">
        <v>221</v>
      </c>
      <c r="D31" s="151"/>
      <c r="E31" s="151" t="s">
        <v>235</v>
      </c>
      <c r="F31" s="151" t="s">
        <v>236</v>
      </c>
      <c r="G31" s="152">
        <v>13.21</v>
      </c>
      <c r="H31" s="152"/>
      <c r="I31" s="152"/>
      <c r="J31" s="136" t="s">
        <v>246</v>
      </c>
      <c r="K31" s="136" t="s">
        <v>148</v>
      </c>
      <c r="L31" s="58">
        <f>VLOOKUP(K31,Reinigungstage!A10:D31,4,FALSE)</f>
        <v>1</v>
      </c>
      <c r="M31" s="58">
        <f t="shared" si="0"/>
        <v>13.21</v>
      </c>
      <c r="N31" s="153">
        <f t="shared" si="1"/>
        <v>0</v>
      </c>
      <c r="O31" s="58">
        <f ca="1">IF('SVS GrundRG'!H61="",0,'SVS GrundRG'!H61)</f>
        <v>0</v>
      </c>
      <c r="P31" s="58">
        <f t="shared" si="2"/>
        <v>0</v>
      </c>
      <c r="Q31" s="58">
        <f t="shared" si="3"/>
        <v>0</v>
      </c>
      <c r="R31" s="58">
        <f t="shared" si="4"/>
        <v>0</v>
      </c>
      <c r="S31" s="3" t="str">
        <f t="shared" si="5"/>
        <v>Leistungswert eintragen</v>
      </c>
      <c r="U31" s="3">
        <f t="shared" si="6"/>
        <v>8.5</v>
      </c>
      <c r="V31" s="3">
        <f t="shared" si="7"/>
        <v>2.5499999999999998</v>
      </c>
      <c r="W31" s="3">
        <f t="shared" si="8"/>
        <v>11.05</v>
      </c>
      <c r="X31" s="3" t="str">
        <f t="shared" si="9"/>
        <v/>
      </c>
    </row>
    <row r="32" spans="1:24" ht="15" customHeight="1" x14ac:dyDescent="0.2">
      <c r="A32" s="136">
        <v>11</v>
      </c>
      <c r="B32" s="150" t="s">
        <v>237</v>
      </c>
      <c r="C32" s="151" t="s">
        <v>221</v>
      </c>
      <c r="D32" s="151"/>
      <c r="E32" s="151" t="s">
        <v>238</v>
      </c>
      <c r="F32" s="151" t="s">
        <v>219</v>
      </c>
      <c r="G32" s="152">
        <v>2.97</v>
      </c>
      <c r="H32" s="152"/>
      <c r="I32" s="152"/>
      <c r="J32" s="136" t="s">
        <v>246</v>
      </c>
      <c r="K32" s="136" t="s">
        <v>148</v>
      </c>
      <c r="L32" s="58">
        <f>VLOOKUP(K32,Reinigungstage!A10:D31,4,FALSE)</f>
        <v>1</v>
      </c>
      <c r="M32" s="58">
        <f t="shared" si="0"/>
        <v>2.97</v>
      </c>
      <c r="N32" s="153">
        <f t="shared" si="1"/>
        <v>0</v>
      </c>
      <c r="O32" s="58">
        <f ca="1">IF('SVS GrundRG'!H61="",0,'SVS GrundRG'!H61)</f>
        <v>0</v>
      </c>
      <c r="P32" s="58">
        <f t="shared" si="2"/>
        <v>0</v>
      </c>
      <c r="Q32" s="58">
        <f t="shared" si="3"/>
        <v>0</v>
      </c>
      <c r="R32" s="58">
        <f t="shared" si="4"/>
        <v>0</v>
      </c>
      <c r="S32" s="3" t="str">
        <f t="shared" si="5"/>
        <v>Leistungswert eintragen</v>
      </c>
      <c r="U32" s="3">
        <f t="shared" si="6"/>
        <v>8.5</v>
      </c>
      <c r="V32" s="3">
        <f t="shared" si="7"/>
        <v>2.5499999999999998</v>
      </c>
      <c r="W32" s="3">
        <f t="shared" si="8"/>
        <v>11.05</v>
      </c>
      <c r="X32" s="3" t="str">
        <f t="shared" si="9"/>
        <v/>
      </c>
    </row>
    <row r="33" spans="1:24" ht="15" customHeight="1" x14ac:dyDescent="0.2">
      <c r="A33" s="136">
        <v>12</v>
      </c>
      <c r="B33" s="150" t="s">
        <v>239</v>
      </c>
      <c r="C33" s="151" t="s">
        <v>221</v>
      </c>
      <c r="D33" s="151"/>
      <c r="E33" s="151" t="s">
        <v>240</v>
      </c>
      <c r="F33" s="151" t="s">
        <v>219</v>
      </c>
      <c r="G33" s="152">
        <v>13.87</v>
      </c>
      <c r="H33" s="152"/>
      <c r="I33" s="152"/>
      <c r="J33" s="136" t="s">
        <v>246</v>
      </c>
      <c r="K33" s="136" t="s">
        <v>148</v>
      </c>
      <c r="L33" s="58">
        <f>VLOOKUP(K33,Reinigungstage!A10:D31,4,FALSE)</f>
        <v>1</v>
      </c>
      <c r="M33" s="58">
        <f t="shared" si="0"/>
        <v>13.87</v>
      </c>
      <c r="N33" s="153">
        <f t="shared" si="1"/>
        <v>0</v>
      </c>
      <c r="O33" s="58">
        <f ca="1">IF('SVS GrundRG'!H61="",0,'SVS GrundRG'!H61)</f>
        <v>0</v>
      </c>
      <c r="P33" s="58">
        <f t="shared" si="2"/>
        <v>0</v>
      </c>
      <c r="Q33" s="58">
        <f t="shared" si="3"/>
        <v>0</v>
      </c>
      <c r="R33" s="58">
        <f t="shared" si="4"/>
        <v>0</v>
      </c>
      <c r="S33" s="3" t="str">
        <f t="shared" si="5"/>
        <v>Leistungswert eintragen</v>
      </c>
      <c r="U33" s="3">
        <f t="shared" si="6"/>
        <v>8.5</v>
      </c>
      <c r="V33" s="3">
        <f t="shared" si="7"/>
        <v>2.5499999999999998</v>
      </c>
      <c r="W33" s="3">
        <f t="shared" si="8"/>
        <v>11.05</v>
      </c>
      <c r="X33" s="3" t="str">
        <f t="shared" si="9"/>
        <v/>
      </c>
    </row>
    <row r="34" spans="1:24" ht="15" customHeight="1" x14ac:dyDescent="0.2">
      <c r="A34" s="136">
        <v>13</v>
      </c>
      <c r="B34" s="150"/>
      <c r="C34" s="151"/>
      <c r="D34" s="151"/>
      <c r="E34" s="151" t="s">
        <v>241</v>
      </c>
      <c r="F34" s="151" t="s">
        <v>242</v>
      </c>
      <c r="G34" s="152">
        <v>4.2</v>
      </c>
      <c r="H34" s="152"/>
      <c r="I34" s="152"/>
      <c r="J34" s="136" t="s">
        <v>248</v>
      </c>
      <c r="K34" s="136" t="s">
        <v>148</v>
      </c>
      <c r="L34" s="58">
        <f>VLOOKUP(K34,Reinigungstage!A10:D31,4,FALSE)</f>
        <v>1</v>
      </c>
      <c r="M34" s="58">
        <f t="shared" si="0"/>
        <v>4.2</v>
      </c>
      <c r="N34" s="153">
        <f t="shared" si="1"/>
        <v>0</v>
      </c>
      <c r="O34" s="58">
        <f ca="1">IF('SVS GrundRG'!H61="",0,'SVS GrundRG'!H61)</f>
        <v>0</v>
      </c>
      <c r="P34" s="58">
        <f t="shared" si="2"/>
        <v>0</v>
      </c>
      <c r="Q34" s="58">
        <f t="shared" si="3"/>
        <v>0</v>
      </c>
      <c r="R34" s="58">
        <f t="shared" si="4"/>
        <v>0</v>
      </c>
      <c r="S34" s="3" t="str">
        <f t="shared" si="5"/>
        <v>Leistungswert eintragen</v>
      </c>
      <c r="U34" s="3">
        <f t="shared" si="6"/>
        <v>15</v>
      </c>
      <c r="V34" s="3">
        <f t="shared" si="7"/>
        <v>4.5</v>
      </c>
      <c r="W34" s="3">
        <f t="shared" si="8"/>
        <v>19.5</v>
      </c>
      <c r="X34" s="3" t="str">
        <f t="shared" si="9"/>
        <v/>
      </c>
    </row>
  </sheetData>
  <sheetProtection algorithmName="SHA-512" hashValue="oA7+myVi2LRk/dDzohznjQFlW4NTwfdWni35YYG8cx7hHX0RVSXYKsD+g4sJUOL/I/Qhmhvl5ZaXFGZLcM2UYQ==" saltValue="mP2ZI/MYj4P8pj9kyVyU4Q==" spinCount="100000" sheet="1" objects="1" scenarios="1"/>
  <sortState xmlns:xlrd2="http://schemas.microsoft.com/office/spreadsheetml/2017/richdata2" ref="U4:U10">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46"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45" priority="5" operator="containsText" text="Bitte prüfen Sie diese.">
      <formula>NOT(ISERROR(SEARCH("Bitte prüfen Sie diese.",L9)))</formula>
    </cfRule>
  </conditionalFormatting>
  <conditionalFormatting sqref="L10">
    <cfRule type="containsText" dxfId="44"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43" priority="3" operator="containsText" text="lediglich Fehleingaben vermeiden wollen.">
      <formula>NOT(ISERROR(SEARCH("lediglich Fehleingaben vermeiden wollen.",L11)))</formula>
    </cfRule>
  </conditionalFormatting>
  <conditionalFormatting sqref="M11">
    <cfRule type="containsText" dxfId="42"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41" priority="7" operator="containsText" text="für die Objektart prüfen.">
      <formula>NOT(ISERROR(SEARCH("für die Objektart prüfen.",M12)))</formula>
    </cfRule>
  </conditionalFormatting>
  <conditionalFormatting sqref="N13">
    <cfRule type="expression" dxfId="40" priority="2" stopIfTrue="1">
      <formula>N13=0</formula>
    </cfRule>
  </conditionalFormatting>
  <conditionalFormatting sqref="N14">
    <cfRule type="expression" dxfId="39" priority="1">
      <formula>N14=0</formula>
    </cfRule>
  </conditionalFormatting>
  <conditionalFormatting sqref="N22:N34">
    <cfRule type="expression" dxfId="38" priority="11">
      <formula>X22=0</formula>
    </cfRule>
    <cfRule type="expression" dxfId="37" priority="12" stopIfTrue="1">
      <formula>X22=1</formula>
    </cfRule>
  </conditionalFormatting>
  <conditionalFormatting sqref="O13">
    <cfRule type="containsText" dxfId="36"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35" priority="9" operator="containsText" text="Wert(e) prüfen.">
      <formula>NOT(ISERROR(SEARCH("Wert(e) prüfen.",O14)))</formula>
    </cfRule>
  </conditionalFormatting>
  <conditionalFormatting sqref="S22:S34">
    <cfRule type="containsText" dxfId="34" priority="13" stopIfTrue="1" operator="containsText" text="SVS prüfen">
      <formula>NOT(ISERROR(SEARCH("SVS prüfen",S22)))</formula>
    </cfRule>
    <cfRule type="containsText" dxfId="33" priority="14" stopIfTrue="1" operator="containsText" text="Leistungswert eintragen">
      <formula>NOT(ISERROR(SEARCH("Leistungswert eintragen",S22)))</formula>
    </cfRule>
  </conditionalFormatting>
  <hyperlinks>
    <hyperlink ref="M1" location="Inhaltsverzeichnis!A1" display="Zurück zum Inhaltsverzeichnis" xr:uid="{2AD70936-1143-423E-8E97-C68B836D2E36}"/>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Kita Regenb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08546"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08547"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08548"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T o u r   x m l n s : x s i = " h t t p : / / w w w . w 3 . o r g / 2 0 0 1 / X M L S c h e m a - i n s t a n c e "   x m l n s : x s d = " h t t p : / / w w w . w 3 . o r g / 2 0 0 1 / X M L S c h e m a "   N a m e = " T o u r   1 "   D e s c r i p t i o n = " H i e r   s t e h t   e i n e   B e s c h r e i b u n g   f � r   d i e   T o u r . "   x m l n s = " h t t p : / / m i c r o s o f t . d a t a . v i s u a l i z a t i o n . e n g i n e . t o u r s / 1 . 0 " > < S c e n e s > < S c e n e   C u s t o m M a p G u i d = " 0 0 0 0 0 0 0 0 - 0 0 0 0 - 0 0 0 0 - 0 0 0 0 - 0 0 0 0 0 0 0 0 0 0 0 0 "   C u s t o m M a p I d = " 0 0 0 0 0 0 0 0 - 0 0 0 0 - 0 0 0 0 - 0 0 0 0 - 0 0 0 0 0 0 0 0 0 0 0 0 "   S c e n e I d = " 5 6 1 7 9 6 2 d - 9 5 7 7 - 4 7 e 2 - 8 7 2 e - f f 1 2 2 5 8 2 9 4 e f " > < T r a n s i t i o n > M o v e T o < / T r a n s i t i o n > < E f f e c t > S t a t i o n < / E f f e c t > < T h e m e > B i n g R o a d < / T h e m e > < T h e m e W i t h L a b e l > t r u e < / T h e m e W i t h L a b e l > < F l a t M o d e E n a b l e d > t r u e < / F l a t M o d e E n a b l e d > < D u r a t i o n > 1 0 0 0 0 0 0 0 0 < / D u r a t i o n > < T r a n s i t i o n D u r a t i o n > 3 0 0 0 0 0 0 0 < / T r a n s i t i o n D u r a t i o n > < S p e e d > 0 . 5 < / S p e e d > < F r a m e > < C a m e r a > < L a t i t u d e > 5 0 . 5 4 2 6 8 1 3 9 4 7 6 3 0 4 4 < / L a t i t u d e > < L o n g i t u d e > 1 1 . 8 1 2 8 7 3 8 1 9 8 9 2 1 < / L o n g i t u d e > < R o t a t i o n > 0 < / R o t a t i o n > < P i v o t A n g l e > - 0 . 0 3 3 4 8 7 4 8 6 5 1 0 7 8 8 2 2 1 < / P i v o t A n g l e > < D i s t a n c e > 0 . 1 9 3 2 7 3 5 2 8 3 1 9 9 9 9 9 4 < / D i s t a n c e > < / C a m e r a > < 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 N a m e = " S c h i c h t   1 "   G u i d = " a a c a f 2 d 8 - 6 2 d 7 - 4 7 1 a - 9 b 9 6 - f 8 7 7 3 9 3 7 f 0 7 7 "   R e v = " 1 "   R e v G u i d = " e 6 8 8 e 3 0 3 - 4 5 d 1 - 4 3 9 8 - 9 7 b b - c c 2 c 7 1 7 1 3 7 0 7 " 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i = " h t t p : / / w w w . w 3 . o r g / 2 0 0 1 / X M L S c h e m a - i n s t a n c e "   x m l n s : x s d = " h t t p : / / w w w . w 3 . o r g / 2 0 0 1 / X M L S c h e m a "   x m l n s = " h t t p : / / m i c r o s o f t . d a t a . v i s u a l i z a t i o n . C l i e n t . E x c e l / 1 . 0 " > < T o u r s > < T o u r   N a m e = " T o u r   1 "   I d = " { D 6 7 B 3 E 5 6 - A 9 A A - 4 4 3 A - B F 6 5 - 1 7 3 A B 6 B E 0 C 4 D } "   T o u r I d = " 3 8 0 7 f 0 2 a - c f b e - 4 4 5 c - 9 8 e 5 - c 6 d 0 1 5 4 b 0 6 0 6 "   X m l V e r = " 6 "   M i n X m l V e r = " 3 " > < D e s c r i p t i o n > H i e r   s t e h t   e i n e   B e s c h r e i b u n g   f � r   d i e   T o u r . < / D e s c r i p t i o n > < 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T o u r > < / T o u r s > < / V i s u a l i z a t i o n > 
</file>

<file path=customXml/itemProps1.xml><?xml version="1.0" encoding="utf-8"?>
<ds:datastoreItem xmlns:ds="http://schemas.openxmlformats.org/officeDocument/2006/customXml" ds:itemID="{D67B3E56-A9AA-443A-BF65-173AB6BE0C4D}">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76F40F56-8083-4478-9D8F-A04379D50268}">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21</vt:i4>
      </vt:variant>
    </vt:vector>
  </HeadingPairs>
  <TitlesOfParts>
    <vt:vector size="36" baseType="lpstr">
      <vt:lpstr>Inhaltsverzeichnis</vt:lpstr>
      <vt:lpstr>Preisübersicht</vt:lpstr>
      <vt:lpstr>Preisübersicht (nach Bedarf)</vt:lpstr>
      <vt:lpstr>SVS UnterhaltsRG</vt:lpstr>
      <vt:lpstr>SVS GrundRG</vt:lpstr>
      <vt:lpstr>SVS Sonderreinigung</vt:lpstr>
      <vt:lpstr>SVS Wirtschaft</vt:lpstr>
      <vt:lpstr>Kal Unter Kita Regenb</vt:lpstr>
      <vt:lpstr>Kal Grund Kita Regenb</vt:lpstr>
      <vt:lpstr>Kal Unter Kita Teichspa</vt:lpstr>
      <vt:lpstr>Kal Grund Kita Teichspa</vt:lpstr>
      <vt:lpstr>Kal Sonderreinigung Bed</vt:lpstr>
      <vt:lpstr>Kal Verbrauch Gesamt</vt:lpstr>
      <vt:lpstr>Kal Wirtschaft Gesamt</vt:lpstr>
      <vt:lpstr>Reinigungstage</vt:lpstr>
      <vt:lpstr>Inhaltsverzeichnis!Druckbereich</vt:lpstr>
      <vt:lpstr>'Kal Grund Kita Regenb'!Druckbereich</vt:lpstr>
      <vt:lpstr>'Kal Grund Kita Teichspa'!Druckbereich</vt:lpstr>
      <vt:lpstr>'Kal Sonderreinigung Bed'!Druckbereich</vt:lpstr>
      <vt:lpstr>'Kal Unter Kita Regenb'!Druckbereich</vt:lpstr>
      <vt:lpstr>'Kal Unter Kita Teichspa'!Druckbereich</vt:lpstr>
      <vt:lpstr>'Kal Verbrauch Gesamt'!Druckbereich</vt:lpstr>
      <vt:lpstr>'Kal Wirtschaft Gesamt'!Druckbereich</vt:lpstr>
      <vt:lpstr>Preisübersicht!Druckbereich</vt:lpstr>
      <vt:lpstr>'Preisübersicht (nach Bedarf)'!Druckbereich</vt:lpstr>
      <vt:lpstr>Reinigungstage!Druckbereich</vt:lpstr>
      <vt:lpstr>'SVS GrundRG'!Druckbereich</vt:lpstr>
      <vt:lpstr>'SVS Sonderreinigung'!Druckbereich</vt:lpstr>
      <vt:lpstr>'SVS UnterhaltsRG'!Druckbereich</vt:lpstr>
      <vt:lpstr>'SVS Wirtschaft'!Druckbereich</vt:lpstr>
      <vt:lpstr>'Kal Grund Kita Regenb'!Drucktitel</vt:lpstr>
      <vt:lpstr>'Kal Grund Kita Teichspa'!Drucktitel</vt:lpstr>
      <vt:lpstr>'Kal Unter Kita Regenb'!Drucktitel</vt:lpstr>
      <vt:lpstr>'Kal Unter Kita Teichspa'!Drucktitel</vt:lpstr>
      <vt:lpstr>Preisübersicht!Drucktitel</vt:lpstr>
      <vt:lpstr>'Preisübersicht (nach Bedarf)'!Drucktitel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Zander</dc:creator>
  <cp:lastModifiedBy>Torsten Günther</cp:lastModifiedBy>
  <cp:lastPrinted>2026-03-12T13:24:20Z</cp:lastPrinted>
  <dcterms:created xsi:type="dcterms:W3CDTF">2012-06-08T19:50:39Z</dcterms:created>
  <dcterms:modified xsi:type="dcterms:W3CDTF">2026-03-24T10:32:10Z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ad21cca4-380d-4149-a11d-405a40d038e6</vt:lpwstr>
  </property>
</Properties>
</file>