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I:\Ref 37\Vergaben\2028_SUN\07_VU\ANLAGEN\Final für Bekanntmachung\"/>
    </mc:Choice>
  </mc:AlternateContent>
  <xr:revisionPtr revIDLastSave="0" documentId="13_ncr:1_{336DBD88-DE94-4F74-953F-9F8C3A7B357A}" xr6:coauthVersionLast="47" xr6:coauthVersionMax="47" xr10:uidLastSave="{00000000-0000-0000-0000-000000000000}"/>
  <bookViews>
    <workbookView xWindow="-120" yWindow="-120" windowWidth="29040" windowHeight="17640" tabRatio="901" firstSheet="48" activeTab="54" xr2:uid="{00000000-000D-0000-FFFF-FFFF00000000}"/>
  </bookViews>
  <sheets>
    <sheet name="INHALT" sheetId="93" r:id="rId1"/>
    <sheet name="QUALITÄTSANALYSE" sheetId="102" r:id="rId2"/>
    <sheet name="0_Zsfsg. Thüringen GA Los A" sheetId="89" r:id="rId3"/>
    <sheet name="0a_Zsfsg. Thüringen GA Los B" sheetId="154" r:id="rId4"/>
    <sheet name="0b_Zsfsg. Thüringen O Los B" sheetId="150" r:id="rId5"/>
    <sheet name="0c_Zsfsg. BEG GA Los A" sheetId="151" r:id="rId6"/>
    <sheet name="0d_Zsfsg. BEG GA Los B" sheetId="152" r:id="rId7"/>
    <sheet name="0e_Zsfsg. BEG O Los A" sheetId="153" r:id="rId8"/>
    <sheet name="0f_Zsfsg. BEG O Los B" sheetId="155" r:id="rId9"/>
    <sheet name="1a_Leistungsvolumen" sheetId="92" r:id="rId10"/>
    <sheet name="1b_Mehr_Zusatzleistungen" sheetId="96" r:id="rId11"/>
    <sheet name="2a_Linienpünktlichkeit " sheetId="18" r:id="rId12"/>
    <sheet name="2b_Pünktlichkeitsdaten" sheetId="119" r:id="rId13"/>
    <sheet name="2c_Anwendung Pünktlichwertung" sheetId="103" r:id="rId14"/>
    <sheet name="2d_Züge unter 85%" sheetId="121" r:id="rId15"/>
    <sheet name="2e_Verspätungsursachen" sheetId="125" r:id="rId16"/>
    <sheet name="3_Nachweis Anschluss" sheetId="1" r:id="rId17"/>
    <sheet name="4_Operative Zugausfälle" sheetId="22" r:id="rId18"/>
    <sheet name="5_Planmäßige Zugausfälle " sheetId="104" r:id="rId19"/>
    <sheet name="6a_Verspätungsausfälle &gt;Takt" sheetId="24" r:id="rId20"/>
    <sheet name="6b_Abfahrten vor Plan" sheetId="143" r:id="rId21"/>
    <sheet name="6c_Nichtbedienung Halte" sheetId="144" r:id="rId22"/>
    <sheet name="7_Statistik Zugausfälle" sheetId="82" r:id="rId23"/>
    <sheet name="8_Abweichungen Zugbildung" sheetId="25" r:id="rId24"/>
    <sheet name="9_Statistik Zugbildung" sheetId="40" r:id="rId25"/>
    <sheet name="10_Vereinbarung Zugbildung" sheetId="51" r:id="rId26"/>
    <sheet name="11_Vertriebsstellen" sheetId="45" r:id="rId27"/>
    <sheet name="12_stationäre FAA" sheetId="47" r:id="rId28"/>
    <sheet name="13_Entwerter" sheetId="105" r:id="rId29"/>
    <sheet name="14a_Abweichungen pbV,vbV" sheetId="31" r:id="rId30"/>
    <sheet name="14b_Abw pbV,vbV_USZ" sheetId="139" r:id="rId31"/>
    <sheet name="14c_Abw pbV,vbV_UA" sheetId="140" r:id="rId32"/>
    <sheet name="15_Störungen stationäre FAA" sheetId="30" r:id="rId33"/>
    <sheet name="16_Störungen Entwerter" sheetId="123" r:id="rId34"/>
    <sheet name="17_Störungen mobile Terminals" sheetId="84" r:id="rId35"/>
    <sheet name="18_Besetzung KiN_SiP" sheetId="35" r:id="rId36"/>
    <sheet name="19a_Statistik_Kundenbetreuer " sheetId="117" r:id="rId37"/>
    <sheet name="19b_Aufgaben Zugpersonal" sheetId="141" r:id="rId38"/>
    <sheet name="20_Statistik SiP" sheetId="124" r:id="rId39"/>
    <sheet name="21_Sicherheit" sheetId="122" r:id="rId40"/>
    <sheet name="22_zusätzl. Personale" sheetId="113" r:id="rId41"/>
    <sheet name="23a_Schäden an Fahrzeugen" sheetId="34" r:id="rId42"/>
    <sheet name="23b_Fahrzeugstatus" sheetId="145" r:id="rId43"/>
    <sheet name="24_Außenreinigung" sheetId="126" r:id="rId44"/>
    <sheet name="25_Innenreinigung" sheetId="127" r:id="rId45"/>
    <sheet name="26_Fahrgastinformation" sheetId="137" r:id="rId46"/>
    <sheet name="27a_Beschwerdestatistik" sheetId="50" r:id="rId47"/>
    <sheet name="27b_Kundengarantien" sheetId="107" r:id="rId48"/>
    <sheet name="28a_Erfüllungssquote AFZS" sheetId="109" r:id="rId49"/>
    <sheet name="28b_Details Ausfall AFZS" sheetId="147" r:id="rId50"/>
    <sheet name="29_Infrastrukturkosten" sheetId="115" r:id="rId51"/>
    <sheet name="30_Erlösprognose" sheetId="110" r:id="rId52"/>
    <sheet name="31_Kassentechn. Einnahmen" sheetId="118" r:id="rId53"/>
    <sheet name="32_Anschlussmanagement" sheetId="128" r:id="rId54"/>
    <sheet name="33a_Beträge Minderung_Vergütung" sheetId="130" r:id="rId55"/>
    <sheet name="33b_Qualität SEV BNV" sheetId="148" r:id="rId56"/>
    <sheet name="34_3. Ausgleich Baumaßnahmen" sheetId="131" r:id="rId57"/>
    <sheet name="34_2. SEV Baumaßnahmen" sheetId="134" r:id="rId58"/>
    <sheet name="34_1. Ausfälle Baumaßnahmen" sheetId="132" r:id="rId59"/>
    <sheet name="34_Baumaßnahmen" sheetId="133" r:id="rId60"/>
  </sheets>
  <externalReferences>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s>
  <definedNames>
    <definedName name="_xlnm._FilterDatabase" localSheetId="25" hidden="1">'10_Vereinbarung Zugbildung'!$A$5:$S$10</definedName>
    <definedName name="_xlnm._FilterDatabase" localSheetId="29" hidden="1">'14a_Abweichungen pbV,vbV'!#REF!</definedName>
    <definedName name="_xlnm._FilterDatabase" localSheetId="32" hidden="1">'15_Störungen stationäre FAA'!#REF!</definedName>
    <definedName name="_xlnm._FilterDatabase" localSheetId="33" hidden="1">'16_Störungen Entwerter'!#REF!</definedName>
    <definedName name="_xlnm._FilterDatabase" localSheetId="34" hidden="1">'17_Störungen mobile Terminals'!#REF!</definedName>
    <definedName name="_xlnm._FilterDatabase" localSheetId="38" hidden="1">'20_Statistik SiP'!#REF!</definedName>
    <definedName name="_xlnm._FilterDatabase" localSheetId="40" hidden="1">'22_zusätzl. Personale'!#REF!</definedName>
    <definedName name="_xlnm._FilterDatabase" localSheetId="41" hidden="1">'23a_Schäden an Fahrzeugen'!$A$19:$K$23</definedName>
    <definedName name="_xlnm._FilterDatabase" localSheetId="43" hidden="1">'24_Außenreinigung'!$A$10:$AK$17</definedName>
    <definedName name="_xlnm._FilterDatabase" localSheetId="44" hidden="1">'25_Innenreinigung'!$B$10:$AE$17</definedName>
    <definedName name="_xlnm._FilterDatabase" localSheetId="45" hidden="1">#N/A</definedName>
    <definedName name="_xlnm._FilterDatabase" localSheetId="53" hidden="1">'32_Anschlussmanagement'!$O$9:$O$21</definedName>
    <definedName name="_xlnm._FilterDatabase" localSheetId="59" hidden="1">'34_Baumaßnahmen'!$A$7:$Y$7</definedName>
    <definedName name="_Hlk160175170" localSheetId="55">'33b_Qualität SEV BNV'!$A$21</definedName>
    <definedName name="a">[1]Punkte!$D$5</definedName>
    <definedName name="aufteilung" localSheetId="57">#REF!</definedName>
    <definedName name="aufteilung">#REF!</definedName>
    <definedName name="Auswahl1">'[2]SKS Los A'!$B$259</definedName>
    <definedName name="b">[1]Punkte!$D$3</definedName>
    <definedName name="BaB">#N/A</definedName>
    <definedName name="Bescr">#REF!</definedName>
    <definedName name="buch">[3]Lexikon!$A$1:$F$10000</definedName>
    <definedName name="dddd">#N/A</definedName>
    <definedName name="_xlnm.Print_Area" localSheetId="2">'0_Zsfsg. Thüringen GA Los A'!$A$1:$G$100</definedName>
    <definedName name="_xlnm.Print_Area" localSheetId="3">'0a_Zsfsg. Thüringen GA Los B'!$A$1:$G$100</definedName>
    <definedName name="_xlnm.Print_Area" localSheetId="4">'0b_Zsfsg. Thüringen O Los B'!$A$1:$G$100</definedName>
    <definedName name="_xlnm.Print_Area" localSheetId="5">'0c_Zsfsg. BEG GA Los A'!$A$1:$K$100</definedName>
    <definedName name="_xlnm.Print_Area" localSheetId="6">'0d_Zsfsg. BEG GA Los B'!$A$1:$K$100</definedName>
    <definedName name="_xlnm.Print_Area" localSheetId="7">'0e_Zsfsg. BEG O Los A'!$A$1:$K$101</definedName>
    <definedName name="_xlnm.Print_Area" localSheetId="8">'0f_Zsfsg. BEG O Los B'!$A$1:$K$100</definedName>
    <definedName name="_xlnm.Print_Area" localSheetId="41">'23a_Schäden an Fahrzeugen'!$A$1:$Z$38</definedName>
    <definedName name="_xlnm.Print_Area" localSheetId="42">'23b_Fahrzeugstatus'!$A$1:$AJ$36</definedName>
    <definedName name="_xlnm.Print_Area" localSheetId="43">'24_Außenreinigung'!$A$1:$AH$30</definedName>
    <definedName name="_xlnm.Print_Area" localSheetId="44">'25_Innenreinigung'!$A$1:$AG$30</definedName>
    <definedName name="_xlnm.Print_Area" localSheetId="45">'26_Fahrgastinformation'!$A$1:$N$44</definedName>
    <definedName name="_xlnm.Print_Area" localSheetId="55">'33b_Qualität SEV BNV'!$A$1:$F$63</definedName>
    <definedName name="_xlnm.Print_Area" localSheetId="56">'34_3. Ausgleich Baumaßnahmen'!$A$1:$K$47</definedName>
    <definedName name="_xlnm.Print_Titles" localSheetId="27">'12_stationäre FAA'!$4:$4</definedName>
    <definedName name="_xlnm.Print_Titles" localSheetId="28">'13_Entwerter'!$4:$4</definedName>
    <definedName name="_xlnm.Print_Titles" localSheetId="29">'14a_Abweichungen pbV,vbV'!#REF!</definedName>
    <definedName name="_xlnm.Print_Titles" localSheetId="32">'15_Störungen stationäre FAA'!#REF!</definedName>
    <definedName name="_xlnm.Print_Titles" localSheetId="33">'16_Störungen Entwerter'!#REF!</definedName>
    <definedName name="_xlnm.Print_Titles" localSheetId="34">'17_Störungen mobile Terminals'!#REF!</definedName>
    <definedName name="_xlnm.Print_Titles" localSheetId="35">'18_Besetzung KiN_SiP'!$5:$5</definedName>
    <definedName name="_xlnm.Print_Titles" localSheetId="38">'20_Statistik SiP'!#REF!</definedName>
    <definedName name="_xlnm.Print_Titles" localSheetId="39">'21_Sicherheit'!$8:$8</definedName>
    <definedName name="_xlnm.Print_Titles" localSheetId="40">'22_zusätzl. Personale'!#REF!</definedName>
    <definedName name="_xlnm.Print_Titles" localSheetId="41">'23a_Schäden an Fahrzeugen'!$19:$19</definedName>
    <definedName name="_xlnm.Print_Titles" localSheetId="46">'27a_Beschwerdestatistik'!$10:$10</definedName>
    <definedName name="_xlnm.Print_Titles" localSheetId="47">'27b_Kundengarantien'!$4:$4</definedName>
    <definedName name="Erdöl_Erdgas">'[4]GP Nr. 05,06,08'!$B$88</definedName>
    <definedName name="Euro" localSheetId="54">#REF!</definedName>
    <definedName name="Euro" localSheetId="57">#REF!</definedName>
    <definedName name="Euro" localSheetId="56">#REF!</definedName>
    <definedName name="Euro">#REF!</definedName>
    <definedName name="f">#REF!</definedName>
    <definedName name="Fahrzeug" localSheetId="42">'[5]fehlendes Fahrzeug'!#REF!</definedName>
    <definedName name="Fahrzeug" localSheetId="20">'[5]fehlendes Fahrzeug'!#REF!</definedName>
    <definedName name="Fahrzeug" localSheetId="21">'[5]fehlendes Fahrzeug'!#REF!</definedName>
    <definedName name="Fahrzeug">'[5]fehlendes Fahrzeug'!#REF!</definedName>
    <definedName name="Fahrzeug_Restwert" localSheetId="54">#REF!</definedName>
    <definedName name="Fahrzeug_Restwert" localSheetId="57">#REF!</definedName>
    <definedName name="Fahrzeug_Restwert" localSheetId="56">#REF!</definedName>
    <definedName name="Fahrzeug_Restwert">#REF!</definedName>
    <definedName name="FörderFzg" localSheetId="54">#REF!</definedName>
    <definedName name="FörderFzg" localSheetId="57">#REF!</definedName>
    <definedName name="FörderFzg" localSheetId="56">#REF!</definedName>
    <definedName name="FörderFzg">#REF!</definedName>
    <definedName name="Fplkm">'[6]1 Kostenrechnung Kalkulation'!$H$19</definedName>
    <definedName name="Frist">[3]Tabelle1!$D$5</definedName>
    <definedName name="Frist_schriftl_Antw" localSheetId="42">[7]Tabelle1!$D$5</definedName>
    <definedName name="Frist_schriftl_Antw" localSheetId="45">[7]Tabelle1!$D$5</definedName>
    <definedName name="Frist_schriftl_Antw" localSheetId="20">[7]Tabelle1!$D$5</definedName>
    <definedName name="Frist_schriftl_Antw" localSheetId="21">[7]Tabelle1!$D$5</definedName>
    <definedName name="Frist_schriftl_Antw">[8]Punkte!$D$5</definedName>
    <definedName name="Frist_Telefon" localSheetId="42">[7]Tabelle1!$D$3</definedName>
    <definedName name="Frist_Telefon" localSheetId="45">[7]Tabelle1!$D$3</definedName>
    <definedName name="Frist_Telefon" localSheetId="20">[7]Tabelle1!$D$3</definedName>
    <definedName name="Frist_Telefon" localSheetId="21">[7]Tabelle1!$D$3</definedName>
    <definedName name="Frist_Telefon">[8]Punkte!$D$3</definedName>
    <definedName name="Fz">#REF!</definedName>
    <definedName name="FzgGes" localSheetId="54">#REF!</definedName>
    <definedName name="FzgGes" localSheetId="57">#REF!</definedName>
    <definedName name="FzgGes" localSheetId="56">#REF!</definedName>
    <definedName name="FzgGes">#REF!</definedName>
    <definedName name="GHZT">#REF!</definedName>
    <definedName name="gkjg">#REF!</definedName>
    <definedName name="Graffiti" localSheetId="42">'[5]33_Grafitti'!#REF!</definedName>
    <definedName name="Graffiti" localSheetId="45">'[5]33_Grafitti'!#REF!</definedName>
    <definedName name="Graffiti" localSheetId="20">'[5]33_Grafitti'!#REF!</definedName>
    <definedName name="Graffiti" localSheetId="21">'[5]33_Grafitti'!#REF!</definedName>
    <definedName name="Graffiti">'[9]33_Grafitti'!$J$6</definedName>
    <definedName name="hh">#REF!</definedName>
    <definedName name="i">#REF!</definedName>
    <definedName name="ID" localSheetId="55" hidden="1">"816cb51f-910d-4c4d-a895-9771c3ad2dee"</definedName>
    <definedName name="Instandhaltung_Lok_ET__VT">#REF!</definedName>
    <definedName name="Instandhaltung_Reisezugwagen">#REF!</definedName>
    <definedName name="k" localSheetId="42">[1]Punkte!$D$3</definedName>
    <definedName name="k" localSheetId="45">[1]Punkte!$D$3</definedName>
    <definedName name="k" localSheetId="20">[1]Punkte!$D$3</definedName>
    <definedName name="k" localSheetId="21">[1]Punkte!$D$3</definedName>
    <definedName name="k">#REF!</definedName>
    <definedName name="KategorieI" localSheetId="57">#REF!</definedName>
    <definedName name="KategorieI">#REF!</definedName>
    <definedName name="KategorieII" localSheetId="57">#REF!</definedName>
    <definedName name="KategorieII">#REF!</definedName>
    <definedName name="Kohle">'[4]GP Nr. 05,06,08'!$B$28</definedName>
    <definedName name="kopie" localSheetId="54">#REF!</definedName>
    <definedName name="kopie">#REF!</definedName>
    <definedName name="Land" localSheetId="57">#REF!</definedName>
    <definedName name="Land">#REF!</definedName>
    <definedName name="Lexikon" localSheetId="42">[7]Lexikon!$A$1:$F$10000</definedName>
    <definedName name="Lexikon" localSheetId="45">[7]Lexikon!$A$1:$F$10000</definedName>
    <definedName name="Lexikon" localSheetId="20">[7]Lexikon!$A$1:$F$10000</definedName>
    <definedName name="Lexikon" localSheetId="21">[7]Lexikon!$A$1:$F$10000</definedName>
    <definedName name="Lexikon">[8]Lexikon!$A$1:$F$10000</definedName>
    <definedName name="Maßn.April">#N/A</definedName>
    <definedName name="Maßn.RB">#N/A</definedName>
    <definedName name="MmExcelLinker_BBDBD5F9_B6D3_419E_8E30_5100BB56357E" localSheetId="3">Kalkulation alle [10]Fzg!$I$7:$I$7</definedName>
    <definedName name="MmExcelLinker_BBDBD5F9_B6D3_419E_8E30_5100BB56357E" localSheetId="4">Kalkulation alle [10]Fzg!$I$7:$I$7</definedName>
    <definedName name="MmExcelLinker_BBDBD5F9_B6D3_419E_8E30_5100BB56357E" localSheetId="5">Kalkulation alle [10]Fzg!$I$7:$I$7</definedName>
    <definedName name="MmExcelLinker_BBDBD5F9_B6D3_419E_8E30_5100BB56357E" localSheetId="6">Kalkulation alle [10]Fzg!$I$7:$I$7</definedName>
    <definedName name="MmExcelLinker_BBDBD5F9_B6D3_419E_8E30_5100BB56357E" localSheetId="7">Kalkulation alle [10]Fzg!$I$7:$I$7</definedName>
    <definedName name="MmExcelLinker_BBDBD5F9_B6D3_419E_8E30_5100BB56357E" localSheetId="8">Kalkulation alle [10]Fzg!$I$7:$I$7</definedName>
    <definedName name="MmExcelLinker_BBDBD5F9_B6D3_419E_8E30_5100BB56357E" localSheetId="49">Kalkulation alle [10]Fzg!$I$7:$I$7</definedName>
    <definedName name="MmExcelLinker_BBDBD5F9_B6D3_419E_8E30_5100BB56357E">Kalkulation alle [10]Fzg!$I$7:$I$7</definedName>
    <definedName name="MoFr">'[6]1 Kostenrechnung Kalkulation'!$H$69</definedName>
    <definedName name="NASA" localSheetId="42">[11]Schlüssel!$D$4</definedName>
    <definedName name="NASA" localSheetId="45">[11]Schlüssel!$D$4</definedName>
    <definedName name="NASA" localSheetId="57">'[12]18_Störungen stationäre FAA'!#REF!</definedName>
    <definedName name="NASA" localSheetId="20">[11]Schlüssel!$D$4</definedName>
    <definedName name="NASA" localSheetId="21">[11]Schlüssel!$D$4</definedName>
    <definedName name="NASA">[13]Schlüssel!$D$4</definedName>
    <definedName name="nein">[1]Lexikon!$A$1:$F$10000</definedName>
    <definedName name="Neu0fZsfsgBEGOLosB">Kalkulation alle [10]Fzg!$I$7:$I$7</definedName>
    <definedName name="NVS" localSheetId="42">[11]Schlüssel!$D$5</definedName>
    <definedName name="NVS" localSheetId="45">[11]Schlüssel!$D$5</definedName>
    <definedName name="NVS" localSheetId="20">[11]Schlüssel!$D$5</definedName>
    <definedName name="NVS" localSheetId="21">[11]Schlüssel!$D$5</definedName>
    <definedName name="NVS">[13]Schlüssel!$D$5</definedName>
    <definedName name="ort" localSheetId="57">#REF!</definedName>
    <definedName name="ort">#REF!</definedName>
    <definedName name="P_1">#REF!</definedName>
    <definedName name="P_2">#REF!</definedName>
    <definedName name="P_3">#REF!</definedName>
    <definedName name="P_4">#REF!</definedName>
    <definedName name="P_5">#REF!</definedName>
    <definedName name="P_6">#REF!</definedName>
    <definedName name="P_7">#REF!</definedName>
    <definedName name="Pönale">[7]Tabelle1!$D$6</definedName>
    <definedName name="Pönale_AR" localSheetId="42">'[5]17_Außenreinigung'!#REF!</definedName>
    <definedName name="Pönale_AR" localSheetId="45">'[5]17_Außenreinigung'!#REF!</definedName>
    <definedName name="Pönale_AR" localSheetId="20">'[5]17_Außenreinigung'!#REF!</definedName>
    <definedName name="Pönale_AR" localSheetId="21">'[5]17_Außenreinigung'!#REF!</definedName>
    <definedName name="Pönale_AR">#REF!</definedName>
    <definedName name="Pönale_Graffiti" localSheetId="42">'[5]33_Grafitti'!#REF!</definedName>
    <definedName name="Pönale_Graffiti" localSheetId="45">'[5]33_Grafitti'!#REF!</definedName>
    <definedName name="Pönale_Graffiti" localSheetId="54">#REF!</definedName>
    <definedName name="Pönale_Graffiti" localSheetId="20">'[5]33_Grafitti'!#REF!</definedName>
    <definedName name="Pönale_Graffiti" localSheetId="21">'[5]33_Grafitti'!#REF!</definedName>
    <definedName name="Pönale_Graffiti">#REF!</definedName>
    <definedName name="Pönale_grav">#REF!</definedName>
    <definedName name="Pönale_leicht">#REF!</definedName>
    <definedName name="PR">#N/A</definedName>
    <definedName name="Prüfer">#N/A</definedName>
    <definedName name="PXLH90_96">[14]BIPJ!$AC$3:$AI$22</definedName>
    <definedName name="PXLHGesamt">[14]BIPJ!$A$4:$I$34</definedName>
    <definedName name="Sa">'[6]1 Kostenrechnung Kalkulation'!$H$77</definedName>
    <definedName name="SoF">'[6]1 Kostenrechnung Kalkulation'!$H$85</definedName>
    <definedName name="StartMonat0">#REF!</definedName>
    <definedName name="Suchergebnis" localSheetId="28">'15_Störungen stationäre FAA'!#REF!</definedName>
    <definedName name="Suchergebnis" localSheetId="29">'14a_Abweichungen pbV,vbV'!#REF!</definedName>
    <definedName name="Suchergebnis" localSheetId="33">'16_Störungen Entwerter'!#REF!</definedName>
    <definedName name="Suchergebnis" localSheetId="34">'17_Störungen mobile Terminals'!#REF!</definedName>
    <definedName name="Suchergebnis" localSheetId="36">'15_Störungen stationäre FAA'!#REF!</definedName>
    <definedName name="Suchergebnis" localSheetId="10">'15_Störungen stationäre FAA'!#REF!</definedName>
    <definedName name="Suchergebnis" localSheetId="38">'20_Statistik SiP'!#REF!</definedName>
    <definedName name="Suchergebnis" localSheetId="39">'15_Störungen stationäre FAA'!#REF!</definedName>
    <definedName name="Suchergebnis" localSheetId="40">'22_zusätzl. Personale'!#REF!</definedName>
    <definedName name="Suchergebnis" localSheetId="41">'23a_Schäden an Fahrzeugen'!$A$19:$K$19</definedName>
    <definedName name="Suchergebnis" localSheetId="42">#N/A</definedName>
    <definedName name="Suchergebnis" localSheetId="45">#N/A</definedName>
    <definedName name="Suchergebnis" localSheetId="47">'15_Störungen stationäre FAA'!#REF!</definedName>
    <definedName name="Suchergebnis" localSheetId="48">'15_Störungen stationäre FAA'!#REF!</definedName>
    <definedName name="Suchergebnis" localSheetId="49">'15_Störungen stationäre FAA'!#REF!</definedName>
    <definedName name="Suchergebnis" localSheetId="50">'15_Störungen stationäre FAA'!#REF!</definedName>
    <definedName name="Suchergebnis" localSheetId="12">'15_Störungen stationäre FAA'!#REF!</definedName>
    <definedName name="Suchergebnis" localSheetId="13">'15_Störungen stationäre FAA'!#REF!</definedName>
    <definedName name="Suchergebnis" localSheetId="14">'15_Störungen stationäre FAA'!#REF!</definedName>
    <definedName name="Suchergebnis" localSheetId="51">'15_Störungen stationäre FAA'!#REF!</definedName>
    <definedName name="Suchergebnis" localSheetId="52">'15_Störungen stationäre FAA'!#REF!</definedName>
    <definedName name="Suchergebnis" localSheetId="54">#REF!</definedName>
    <definedName name="Suchergebnis" localSheetId="55">'[15]15_Störungen stationäre FAA'!#REF!</definedName>
    <definedName name="Suchergebnis" localSheetId="57">'[12]18_Störungen stationäre FAA'!#REF!</definedName>
    <definedName name="Suchergebnis" localSheetId="18">'15_Störungen stationäre FAA'!#REF!</definedName>
    <definedName name="Suchergebnis" localSheetId="20">#N/A</definedName>
    <definedName name="Suchergebnis" localSheetId="21">#N/A</definedName>
    <definedName name="Suchergebnis" localSheetId="1">'15_Störungen stationäre FAA'!#REF!</definedName>
    <definedName name="Suchergebnis">'15_Störungen stationäre FAA'!#REF!</definedName>
    <definedName name="_xlnm.Criteria" localSheetId="53">'32_Anschlussmanagement'!$O$5:$O$6</definedName>
    <definedName name="Summentabelle_erstellen">#N/A</definedName>
    <definedName name="test" localSheetId="42">[16]Schlüssel!$D$6</definedName>
    <definedName name="test" localSheetId="45">[16]Schlüssel!$D$6</definedName>
    <definedName name="test" localSheetId="54">#REF!</definedName>
    <definedName name="test" localSheetId="20">[16]Schlüssel!$D$6</definedName>
    <definedName name="test" localSheetId="21">[16]Schlüssel!$D$6</definedName>
    <definedName name="test">#REF!</definedName>
    <definedName name="TM1REBUILDOPTION">1</definedName>
    <definedName name="V1_Stationskosten_NASA">[17]Mengengerüst!$BY$9</definedName>
    <definedName name="V1_Stationskosten_ZVNL">[17]Mengengerüst!$BV$9</definedName>
    <definedName name="V1_Trassenkosten_NASA">[17]Mengengerüst!$BZ$9</definedName>
    <definedName name="V1_Trassenkosten_ZVNL">[17]Mengengerüst!$BW$9</definedName>
    <definedName name="V1_Zugkm">[17]Eingangsdaten!$G$34</definedName>
    <definedName name="V1_Zugkm_NASA">'[17]M-V1'!$R$9</definedName>
    <definedName name="V1_Zugkm_TH">'[17]M-V1'!$P$9</definedName>
    <definedName name="V1_Zugkm_ZVNL">'[17]M-V1'!$Q$9</definedName>
    <definedName name="VBB" localSheetId="42">[11]Schlüssel!$D$7</definedName>
    <definedName name="VBB" localSheetId="45">[11]Schlüssel!$D$7</definedName>
    <definedName name="VBB" localSheetId="20">[11]Schlüssel!$D$7</definedName>
    <definedName name="VBB" localSheetId="21">[11]Schlüssel!$D$7</definedName>
    <definedName name="VBB">[13]Schlüssel!$D$7</definedName>
    <definedName name="Verkehrstageregelung">#REF!</definedName>
    <definedName name="VertrDauer">#REF!</definedName>
    <definedName name="www">#N/A</definedName>
    <definedName name="wwww">#N/A</definedName>
    <definedName name="wwwwww">#N/A</definedName>
    <definedName name="x">#N/A</definedName>
    <definedName name="xy">#N/A</definedName>
    <definedName name="Z_8C123D81_4A4C_452C_99F8_6AEE5CDC519F_.wvu.PrintTitles" localSheetId="35" hidden="1">'18_Besetzung KiN_SiP'!$5:$5</definedName>
    <definedName name="Zinssatz" localSheetId="54">#REF!</definedName>
    <definedName name="Zinssatz" localSheetId="57">#REF!</definedName>
    <definedName name="Zinssatz" localSheetId="56">#REF!</definedName>
    <definedName name="Zinssatz">#REF!</definedName>
    <definedName name="Zugkm" localSheetId="54">#REF!</definedName>
    <definedName name="Zugkm" localSheetId="57">#REF!</definedName>
    <definedName name="Zugkm" localSheetId="56">#REF!</definedName>
    <definedName name="Zugkm">#REF!</definedName>
    <definedName name="ZugkmN" localSheetId="54">#REF!</definedName>
    <definedName name="ZugkmN" localSheetId="57">#REF!</definedName>
    <definedName name="ZugkmN" localSheetId="56">#REF!</definedName>
    <definedName name="ZugkmN">#REF!</definedName>
    <definedName name="ZVMS" localSheetId="42">[11]Schlüssel!$D$6</definedName>
    <definedName name="ZVMS" localSheetId="45">[11]Schlüssel!$D$6</definedName>
    <definedName name="ZVMS" localSheetId="20">[11]Schlüssel!$D$6</definedName>
    <definedName name="ZVMS" localSheetId="21">[11]Schlüssel!$D$6</definedName>
    <definedName name="ZVMS">[13]Schlüssel!$D$6</definedName>
    <definedName name="ZVNL" localSheetId="42">[11]Schlüssel!$D$3</definedName>
    <definedName name="ZVNL" localSheetId="45">[11]Schlüssel!$D$3</definedName>
    <definedName name="ZVNL" localSheetId="20">[11]Schlüssel!$D$3</definedName>
    <definedName name="ZVNL" localSheetId="21">[11]Schlüssel!$D$3</definedName>
    <definedName name="ZVNL">[13]Schlüssel!$D$3</definedName>
    <definedName name="ZVOE" localSheetId="42">[11]Schlüssel!$D$8</definedName>
    <definedName name="ZVOE" localSheetId="45">[11]Schlüssel!$D$8</definedName>
    <definedName name="ZVOE" localSheetId="20">[11]Schlüssel!$D$8</definedName>
    <definedName name="ZVOE" localSheetId="21">[11]Schlüssel!$D$8</definedName>
    <definedName name="ZVOE">[13]Schlüssel!$D$8</definedName>
    <definedName name="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6" i="104" l="1"/>
  <c r="D7" i="22"/>
  <c r="D6" i="22"/>
  <c r="M6" i="22"/>
  <c r="M12" i="22"/>
  <c r="M11" i="22"/>
  <c r="M10" i="22"/>
  <c r="M9" i="22"/>
  <c r="M8" i="22"/>
  <c r="M7" i="22"/>
  <c r="F8" i="115"/>
  <c r="I8" i="115"/>
  <c r="K5" i="117"/>
  <c r="J5" i="117"/>
  <c r="I5" i="117"/>
  <c r="H5" i="117"/>
  <c r="G5" i="117"/>
  <c r="F5" i="117"/>
  <c r="E5" i="117"/>
  <c r="C16" i="117"/>
  <c r="C15" i="117"/>
  <c r="C14" i="117"/>
  <c r="C6" i="24"/>
  <c r="Q12" i="104"/>
  <c r="X12" i="104" s="1"/>
  <c r="Q11" i="104"/>
  <c r="X11" i="104" s="1"/>
  <c r="Q10" i="104"/>
  <c r="X10" i="104" s="1"/>
  <c r="Q9" i="104"/>
  <c r="X9" i="104" s="1"/>
  <c r="Q8" i="104"/>
  <c r="X8" i="104" s="1"/>
  <c r="Q7" i="104"/>
  <c r="X7" i="104" s="1"/>
  <c r="Q6" i="104"/>
  <c r="X6" i="104" s="1"/>
  <c r="O12" i="104"/>
  <c r="O11" i="104"/>
  <c r="O10" i="104"/>
  <c r="O9" i="104"/>
  <c r="O8" i="104"/>
  <c r="O7" i="104"/>
  <c r="O6" i="104"/>
  <c r="G17" i="92"/>
  <c r="F17" i="92"/>
  <c r="D22" i="154" l="1"/>
  <c r="E5" i="40"/>
  <c r="E6" i="40" s="1"/>
  <c r="B6" i="31"/>
  <c r="D10" i="31"/>
  <c r="C10" i="31"/>
  <c r="B10" i="31"/>
  <c r="C5" i="144"/>
  <c r="C18" i="148" l="1"/>
  <c r="D72" i="92" l="1"/>
  <c r="J70" i="92"/>
  <c r="C72" i="92"/>
  <c r="E34" i="155" l="1"/>
  <c r="E33" i="155"/>
  <c r="E71" i="89" l="1"/>
  <c r="K10" i="109"/>
  <c r="F7" i="126"/>
  <c r="E44" i="89"/>
  <c r="B50" i="155"/>
  <c r="B49" i="155"/>
  <c r="B48" i="155"/>
  <c r="B50" i="153"/>
  <c r="B49" i="153"/>
  <c r="B48" i="153"/>
  <c r="B50" i="152"/>
  <c r="B49" i="152"/>
  <c r="B48" i="152"/>
  <c r="B50" i="151"/>
  <c r="B49" i="151"/>
  <c r="B48" i="151"/>
  <c r="B50" i="150"/>
  <c r="B49" i="150"/>
  <c r="B48" i="150"/>
  <c r="B50" i="154"/>
  <c r="B49" i="154"/>
  <c r="B48" i="154"/>
  <c r="B50" i="89"/>
  <c r="B49" i="89"/>
  <c r="B48" i="89"/>
  <c r="E44" i="155"/>
  <c r="E44" i="153"/>
  <c r="E44" i="152"/>
  <c r="E44" i="151"/>
  <c r="E44" i="150"/>
  <c r="E44" i="154"/>
  <c r="K13" i="117"/>
  <c r="K12" i="117"/>
  <c r="K11" i="117"/>
  <c r="K10" i="117"/>
  <c r="K9" i="117"/>
  <c r="M25" i="35"/>
  <c r="M24" i="35"/>
  <c r="M23" i="35"/>
  <c r="M22" i="35"/>
  <c r="M21" i="35"/>
  <c r="M20" i="35"/>
  <c r="M19" i="35"/>
  <c r="M18" i="35"/>
  <c r="M17" i="35"/>
  <c r="M16" i="35"/>
  <c r="M15" i="35"/>
  <c r="B37" i="89"/>
  <c r="E37" i="89" s="1"/>
  <c r="D22" i="153"/>
  <c r="E23" i="153" s="1"/>
  <c r="D23" i="152"/>
  <c r="D22" i="152"/>
  <c r="D24" i="151"/>
  <c r="D23" i="151"/>
  <c r="D22" i="151"/>
  <c r="B22" i="151"/>
  <c r="E22" i="151" s="1"/>
  <c r="D22" i="150"/>
  <c r="E22" i="150" s="1"/>
  <c r="D24" i="154"/>
  <c r="D23" i="154"/>
  <c r="D25" i="89"/>
  <c r="D24" i="89"/>
  <c r="D23" i="89"/>
  <c r="A22" i="153"/>
  <c r="E22" i="152"/>
  <c r="B22" i="153"/>
  <c r="E24" i="154"/>
  <c r="B23" i="152"/>
  <c r="E23" i="152" s="1"/>
  <c r="B22" i="152"/>
  <c r="B24" i="151"/>
  <c r="E24" i="151" s="1"/>
  <c r="B23" i="151"/>
  <c r="E23" i="151" s="1"/>
  <c r="B22" i="150"/>
  <c r="B24" i="154"/>
  <c r="B23" i="154"/>
  <c r="E23" i="154" s="1"/>
  <c r="B22" i="154"/>
  <c r="E22" i="154" s="1"/>
  <c r="B25" i="89"/>
  <c r="E25" i="89" s="1"/>
  <c r="B24" i="89"/>
  <c r="E24" i="89" s="1"/>
  <c r="B23" i="89"/>
  <c r="E23" i="89" s="1"/>
  <c r="B22" i="89"/>
  <c r="B34" i="155"/>
  <c r="B33" i="155"/>
  <c r="E34" i="153"/>
  <c r="E33" i="153"/>
  <c r="B34" i="153"/>
  <c r="B33" i="153"/>
  <c r="E34" i="152"/>
  <c r="E33" i="152"/>
  <c r="B34" i="152"/>
  <c r="B33" i="152"/>
  <c r="E34" i="151"/>
  <c r="E33" i="151"/>
  <c r="B34" i="151"/>
  <c r="B33" i="151"/>
  <c r="E34" i="150"/>
  <c r="E33" i="150"/>
  <c r="B34" i="150"/>
  <c r="B33" i="150"/>
  <c r="E34" i="154"/>
  <c r="E33" i="154"/>
  <c r="B34" i="154"/>
  <c r="B33" i="154"/>
  <c r="B7" i="22"/>
  <c r="A23" i="152"/>
  <c r="A22" i="152"/>
  <c r="A24" i="151"/>
  <c r="C97" i="150"/>
  <c r="A22" i="150"/>
  <c r="A24" i="154"/>
  <c r="A23" i="154"/>
  <c r="A22" i="154"/>
  <c r="B18" i="89" l="1"/>
  <c r="E18" i="89" s="1"/>
  <c r="E22" i="153"/>
  <c r="B71" i="89"/>
  <c r="E66" i="155"/>
  <c r="E65" i="155"/>
  <c r="E64" i="155"/>
  <c r="E63" i="155"/>
  <c r="E62" i="155"/>
  <c r="D22" i="155"/>
  <c r="E22" i="89"/>
  <c r="E15" i="89"/>
  <c r="E92" i="153" l="1"/>
  <c r="E91" i="153"/>
  <c r="E91" i="152"/>
  <c r="E90" i="152"/>
  <c r="E18" i="152"/>
  <c r="E15" i="152"/>
  <c r="E13" i="152"/>
  <c r="E91" i="151"/>
  <c r="E90" i="151"/>
  <c r="E18" i="151"/>
  <c r="E15" i="151"/>
  <c r="E14" i="151"/>
  <c r="E13" i="151"/>
  <c r="E18" i="155"/>
  <c r="E17" i="155"/>
  <c r="E15" i="155"/>
  <c r="E14" i="155"/>
  <c r="E13" i="155"/>
  <c r="E91" i="155"/>
  <c r="E90" i="155"/>
  <c r="P12" i="22"/>
  <c r="W12" i="22" s="1"/>
  <c r="P11" i="22"/>
  <c r="W11" i="22" s="1"/>
  <c r="P10" i="22"/>
  <c r="W10" i="22" s="1"/>
  <c r="P9" i="22"/>
  <c r="W9" i="22" s="1"/>
  <c r="P8" i="22"/>
  <c r="W8" i="22" s="1"/>
  <c r="P7" i="22"/>
  <c r="W7" i="22" s="1"/>
  <c r="P6" i="22"/>
  <c r="W6" i="22" s="1"/>
  <c r="Q12" i="22"/>
  <c r="X12" i="22" s="1"/>
  <c r="Q11" i="22"/>
  <c r="X11" i="22" s="1"/>
  <c r="Q10" i="22"/>
  <c r="X10" i="22" s="1"/>
  <c r="Q9" i="22"/>
  <c r="X9" i="22" s="1"/>
  <c r="Q8" i="22"/>
  <c r="X8" i="22" s="1"/>
  <c r="Q7" i="22"/>
  <c r="X7" i="22" s="1"/>
  <c r="Q6" i="22"/>
  <c r="X6" i="22" s="1"/>
  <c r="P12" i="104"/>
  <c r="W12" i="104" s="1"/>
  <c r="P11" i="104"/>
  <c r="W11" i="104" s="1"/>
  <c r="P10" i="104"/>
  <c r="W10" i="104" s="1"/>
  <c r="P9" i="104"/>
  <c r="W9" i="104" s="1"/>
  <c r="P8" i="104"/>
  <c r="W8" i="104" s="1"/>
  <c r="P7" i="104"/>
  <c r="W7" i="104" s="1"/>
  <c r="P6" i="104"/>
  <c r="W6" i="104" s="1"/>
  <c r="H6" i="24"/>
  <c r="H5" i="24"/>
  <c r="H6" i="143"/>
  <c r="H5" i="143"/>
  <c r="H6" i="144"/>
  <c r="H5" i="144"/>
  <c r="H5" i="25"/>
  <c r="D9" i="131"/>
  <c r="J14" i="131"/>
  <c r="J13" i="131"/>
  <c r="I14" i="131"/>
  <c r="I15" i="131" s="1"/>
  <c r="I17" i="131" s="1"/>
  <c r="I23" i="131" s="1"/>
  <c r="I13" i="131"/>
  <c r="H13" i="131"/>
  <c r="H14" i="131" s="1"/>
  <c r="G13" i="131"/>
  <c r="H12" i="131"/>
  <c r="G12" i="131"/>
  <c r="I12" i="131"/>
  <c r="D12" i="131"/>
  <c r="I36" i="131"/>
  <c r="J36" i="131"/>
  <c r="H36" i="131"/>
  <c r="G36" i="131"/>
  <c r="J33" i="131"/>
  <c r="J32" i="131"/>
  <c r="J31" i="131"/>
  <c r="I33" i="131"/>
  <c r="I32" i="131"/>
  <c r="I31" i="131"/>
  <c r="H33" i="131"/>
  <c r="H32" i="131"/>
  <c r="H31" i="131"/>
  <c r="G33" i="131"/>
  <c r="G32" i="131"/>
  <c r="G31" i="131"/>
  <c r="F33" i="131"/>
  <c r="F32" i="131"/>
  <c r="F31" i="131"/>
  <c r="E33" i="131"/>
  <c r="E32" i="131"/>
  <c r="E31" i="131"/>
  <c r="I30" i="131"/>
  <c r="D30" i="131"/>
  <c r="C30" i="131" s="1"/>
  <c r="H30" i="131"/>
  <c r="C22" i="131"/>
  <c r="C21" i="131"/>
  <c r="C12" i="131"/>
  <c r="H9" i="131"/>
  <c r="I9" i="131"/>
  <c r="J8" i="131"/>
  <c r="I8" i="131"/>
  <c r="H8" i="131"/>
  <c r="E9" i="131"/>
  <c r="D8" i="131"/>
  <c r="I6" i="131"/>
  <c r="G30" i="131"/>
  <c r="G14" i="131"/>
  <c r="H15" i="131" s="1"/>
  <c r="H17" i="131" s="1"/>
  <c r="H23" i="131" s="1"/>
  <c r="I7" i="134"/>
  <c r="N20" i="132"/>
  <c r="M20" i="132"/>
  <c r="J20" i="132"/>
  <c r="F20" i="132"/>
  <c r="E20" i="132"/>
  <c r="N19" i="132"/>
  <c r="M19" i="132"/>
  <c r="L19" i="132"/>
  <c r="J19" i="132"/>
  <c r="F19" i="132"/>
  <c r="E19" i="132"/>
  <c r="E18" i="132"/>
  <c r="B56" i="148"/>
  <c r="E56" i="148"/>
  <c r="D56" i="148"/>
  <c r="C56" i="148"/>
  <c r="E55" i="148"/>
  <c r="D55" i="148"/>
  <c r="C55" i="148"/>
  <c r="B55" i="148"/>
  <c r="B5" i="110"/>
  <c r="I17" i="137"/>
  <c r="H17" i="137"/>
  <c r="C17" i="137"/>
  <c r="B17" i="137"/>
  <c r="B21" i="137"/>
  <c r="B25" i="137"/>
  <c r="I24" i="137"/>
  <c r="H24" i="137"/>
  <c r="H22" i="137"/>
  <c r="G17" i="137"/>
  <c r="D14" i="34"/>
  <c r="D13" i="34"/>
  <c r="D10" i="34"/>
  <c r="D7" i="34"/>
  <c r="E11" i="141"/>
  <c r="E10" i="141"/>
  <c r="E9" i="141"/>
  <c r="E7" i="141"/>
  <c r="E6" i="141"/>
  <c r="D7" i="84"/>
  <c r="D6" i="84"/>
  <c r="K6" i="84"/>
  <c r="J6" i="84"/>
  <c r="K7" i="123"/>
  <c r="E8" i="123"/>
  <c r="E7" i="123"/>
  <c r="L7" i="123"/>
  <c r="J7" i="123"/>
  <c r="E7" i="30"/>
  <c r="E6" i="30"/>
  <c r="L6" i="30"/>
  <c r="K6" i="30"/>
  <c r="J6" i="30"/>
  <c r="I6" i="30"/>
  <c r="H6" i="30"/>
  <c r="F6" i="30"/>
  <c r="G5" i="25"/>
  <c r="F5" i="25"/>
  <c r="K5" i="40"/>
  <c r="B37" i="150" s="1"/>
  <c r="J5" i="40"/>
  <c r="I5" i="40"/>
  <c r="B37" i="152" s="1"/>
  <c r="K22" i="82"/>
  <c r="J22" i="82"/>
  <c r="I22" i="82"/>
  <c r="H22" i="82"/>
  <c r="N22" i="82"/>
  <c r="M22" i="82"/>
  <c r="L22" i="82"/>
  <c r="G22" i="82"/>
  <c r="F22" i="82"/>
  <c r="E22" i="82"/>
  <c r="D22" i="82"/>
  <c r="S43" i="82"/>
  <c r="B22" i="155"/>
  <c r="E22" i="155" s="1"/>
  <c r="A22" i="155"/>
  <c r="J6" i="40" l="1"/>
  <c r="B37" i="155"/>
  <c r="E37" i="155" s="1"/>
  <c r="E35" i="155" s="1"/>
  <c r="K6" i="40"/>
  <c r="I6" i="117"/>
  <c r="B41" i="152"/>
  <c r="E41" i="152" s="1"/>
  <c r="K6" i="117"/>
  <c r="B41" i="150"/>
  <c r="J6" i="117"/>
  <c r="B41" i="155"/>
  <c r="E41" i="155" s="1"/>
  <c r="H19" i="131"/>
  <c r="I19" i="131"/>
  <c r="J15" i="131"/>
  <c r="E93" i="155"/>
  <c r="G15" i="131"/>
  <c r="I37" i="131"/>
  <c r="I38" i="131" s="1"/>
  <c r="H37" i="131"/>
  <c r="C97" i="155"/>
  <c r="D71" i="155"/>
  <c r="E71" i="155" s="1"/>
  <c r="A29" i="155"/>
  <c r="A71" i="155"/>
  <c r="D10" i="155"/>
  <c r="E10" i="155" s="1"/>
  <c r="D9" i="155"/>
  <c r="E9" i="155" s="1"/>
  <c r="G3" i="155"/>
  <c r="A100" i="155" s="1"/>
  <c r="H27" i="133"/>
  <c r="H28" i="133"/>
  <c r="E60" i="155" l="1"/>
  <c r="E20" i="155"/>
  <c r="E7" i="155"/>
  <c r="H91" i="92"/>
  <c r="J72" i="92"/>
  <c r="I72" i="92"/>
  <c r="H72" i="92"/>
  <c r="H70" i="92"/>
  <c r="H32" i="92"/>
  <c r="H17" i="92"/>
  <c r="F13" i="131"/>
  <c r="E13" i="131"/>
  <c r="H38" i="131"/>
  <c r="F36" i="131"/>
  <c r="E36" i="131"/>
  <c r="J28" i="133"/>
  <c r="D7" i="134"/>
  <c r="J26" i="133"/>
  <c r="H26" i="133"/>
  <c r="J27" i="133"/>
  <c r="C7" i="134"/>
  <c r="B7" i="134"/>
  <c r="F17" i="132"/>
  <c r="M17" i="132" s="1"/>
  <c r="N17" i="132" s="1"/>
  <c r="F16" i="132"/>
  <c r="L18" i="132"/>
  <c r="E17" i="132"/>
  <c r="L17" i="132" s="1"/>
  <c r="E16" i="132"/>
  <c r="L16" i="132" s="1"/>
  <c r="E15" i="132"/>
  <c r="L15" i="132" s="1"/>
  <c r="L20" i="132"/>
  <c r="J30" i="131"/>
  <c r="J18" i="132"/>
  <c r="J17" i="132"/>
  <c r="J16" i="132"/>
  <c r="F30" i="131" s="1"/>
  <c r="J15" i="132"/>
  <c r="E30" i="131" s="1"/>
  <c r="M23" i="133"/>
  <c r="M21" i="133"/>
  <c r="M20" i="133"/>
  <c r="M19" i="133"/>
  <c r="M18" i="133"/>
  <c r="M17" i="133"/>
  <c r="M16" i="133"/>
  <c r="M14" i="133"/>
  <c r="M13" i="133"/>
  <c r="M12" i="133"/>
  <c r="M11" i="133"/>
  <c r="M10" i="133"/>
  <c r="M9" i="133"/>
  <c r="M8" i="133"/>
  <c r="M22" i="133"/>
  <c r="M15" i="133"/>
  <c r="I39" i="131" l="1"/>
  <c r="M18" i="132"/>
  <c r="N18" i="132" s="1"/>
  <c r="H6" i="131" s="1"/>
  <c r="F15" i="132"/>
  <c r="M15" i="132" s="1"/>
  <c r="N15" i="132" s="1"/>
  <c r="J6" i="131"/>
  <c r="J12" i="131" s="1"/>
  <c r="M16" i="132"/>
  <c r="N16" i="132" s="1"/>
  <c r="F18" i="132"/>
  <c r="G14" i="132"/>
  <c r="M26" i="133"/>
  <c r="M27" i="133" l="1"/>
  <c r="M28" i="133"/>
  <c r="E14" i="132"/>
  <c r="F14" i="132" s="1"/>
  <c r="H39" i="131" l="1"/>
  <c r="N26" i="133"/>
  <c r="L26" i="133"/>
  <c r="K26" i="133"/>
  <c r="H14" i="132"/>
  <c r="K27" i="133" l="1"/>
  <c r="E7" i="134" s="1"/>
  <c r="O7" i="134" s="1"/>
  <c r="Q7" i="134" s="1"/>
  <c r="D36" i="131" s="1"/>
  <c r="K28" i="133"/>
  <c r="L27" i="133"/>
  <c r="F7" i="134" s="1"/>
  <c r="H7" i="134"/>
  <c r="Q26" i="133"/>
  <c r="J7" i="134"/>
  <c r="N27" i="133"/>
  <c r="N28" i="133" s="1"/>
  <c r="C36" i="131" l="1"/>
  <c r="K36" i="131" s="1"/>
  <c r="L28" i="133"/>
  <c r="S7" i="134"/>
  <c r="L7" i="134"/>
  <c r="J18" i="30"/>
  <c r="J17" i="30"/>
  <c r="J16" i="30"/>
  <c r="J15" i="30"/>
  <c r="J14" i="30"/>
  <c r="J13" i="30"/>
  <c r="J12" i="30"/>
  <c r="J11" i="30"/>
  <c r="J10" i="30"/>
  <c r="I10" i="30"/>
  <c r="R27" i="82"/>
  <c r="R43" i="82" s="1"/>
  <c r="Q27" i="82"/>
  <c r="Q43" i="82" s="1"/>
  <c r="B8" i="104"/>
  <c r="M7" i="140"/>
  <c r="M6" i="140"/>
  <c r="M5" i="140"/>
  <c r="O7" i="139"/>
  <c r="O6" i="139"/>
  <c r="O5" i="139"/>
  <c r="B12" i="22"/>
  <c r="E8" i="18"/>
  <c r="E7" i="18"/>
  <c r="E6" i="18"/>
  <c r="E5" i="18"/>
  <c r="H9" i="18"/>
  <c r="H8" i="18"/>
  <c r="H7" i="18"/>
  <c r="H6" i="18"/>
  <c r="E9" i="18"/>
  <c r="A25" i="89"/>
  <c r="A74" i="89" s="1"/>
  <c r="A24" i="89"/>
  <c r="A73" i="89" s="1"/>
  <c r="A23" i="89"/>
  <c r="A72" i="89" s="1"/>
  <c r="F5" i="40"/>
  <c r="I6" i="40"/>
  <c r="H5" i="40"/>
  <c r="G5" i="40"/>
  <c r="A22" i="89"/>
  <c r="A71" i="89" s="1"/>
  <c r="E8" i="115"/>
  <c r="D8" i="115"/>
  <c r="E6" i="131"/>
  <c r="E12" i="131" s="1"/>
  <c r="G6" i="131"/>
  <c r="E7" i="148"/>
  <c r="D18" i="148"/>
  <c r="D43" i="148" s="1"/>
  <c r="C43" i="148"/>
  <c r="E43" i="148"/>
  <c r="L10" i="109"/>
  <c r="E6" i="50"/>
  <c r="G24" i="137"/>
  <c r="I22" i="137"/>
  <c r="F17" i="137"/>
  <c r="E17" i="137"/>
  <c r="D17" i="137"/>
  <c r="B10" i="137"/>
  <c r="B8" i="137"/>
  <c r="B6" i="137"/>
  <c r="F8" i="126"/>
  <c r="L11" i="109"/>
  <c r="G6" i="40" l="1"/>
  <c r="B37" i="153"/>
  <c r="H6" i="40"/>
  <c r="B37" i="154"/>
  <c r="F6" i="40"/>
  <c r="D5" i="40"/>
  <c r="B37" i="151"/>
  <c r="E37" i="151" s="1"/>
  <c r="D27" i="82"/>
  <c r="D43" i="82" s="1"/>
  <c r="K27" i="82"/>
  <c r="G8" i="131"/>
  <c r="E14" i="131"/>
  <c r="E15" i="131" s="1"/>
  <c r="C24" i="117"/>
  <c r="C23" i="117"/>
  <c r="C21" i="117"/>
  <c r="C20" i="117"/>
  <c r="C19" i="117"/>
  <c r="C18" i="117"/>
  <c r="C17" i="117"/>
  <c r="F14" i="117"/>
  <c r="C13" i="117"/>
  <c r="C12" i="117"/>
  <c r="C11" i="117"/>
  <c r="C10" i="117"/>
  <c r="F10" i="117" s="1"/>
  <c r="C9" i="117"/>
  <c r="G25" i="117"/>
  <c r="E25" i="117"/>
  <c r="D25" i="117"/>
  <c r="F9" i="117"/>
  <c r="B23" i="117"/>
  <c r="A23" i="117"/>
  <c r="B21" i="117"/>
  <c r="A21" i="117"/>
  <c r="B20" i="117"/>
  <c r="A20" i="117"/>
  <c r="B19" i="117"/>
  <c r="A19" i="117"/>
  <c r="B17" i="117"/>
  <c r="A17" i="117"/>
  <c r="B16" i="117"/>
  <c r="A16" i="117"/>
  <c r="B14" i="117"/>
  <c r="A14" i="117"/>
  <c r="B13" i="117"/>
  <c r="A13" i="117"/>
  <c r="B12" i="117"/>
  <c r="A12" i="117"/>
  <c r="B11" i="117"/>
  <c r="A11" i="117"/>
  <c r="D6" i="40" l="1"/>
  <c r="K43" i="82"/>
  <c r="G9" i="131"/>
  <c r="H10" i="117"/>
  <c r="I10" i="117" s="1"/>
  <c r="C25" i="117"/>
  <c r="I6" i="84"/>
  <c r="H6" i="84"/>
  <c r="F6" i="84"/>
  <c r="G6" i="84"/>
  <c r="E6" i="84"/>
  <c r="H15" i="84"/>
  <c r="H14" i="84"/>
  <c r="H13" i="84"/>
  <c r="H12" i="84"/>
  <c r="H11" i="84"/>
  <c r="H10" i="84"/>
  <c r="I7" i="123"/>
  <c r="H7" i="123"/>
  <c r="G7" i="123"/>
  <c r="F7" i="123"/>
  <c r="G6" i="30"/>
  <c r="I15" i="30"/>
  <c r="I14" i="30"/>
  <c r="I13" i="30"/>
  <c r="I12" i="30"/>
  <c r="I11" i="30"/>
  <c r="I9" i="40"/>
  <c r="F9" i="40"/>
  <c r="E5" i="25"/>
  <c r="D5" i="25"/>
  <c r="C5" i="25"/>
  <c r="B5" i="25"/>
  <c r="I5" i="25" l="1"/>
  <c r="G17" i="131"/>
  <c r="G37" i="131" l="1"/>
  <c r="G38" i="131" s="1"/>
  <c r="G39" i="131" s="1"/>
  <c r="G19" i="131"/>
  <c r="G23" i="131"/>
  <c r="I6" i="24"/>
  <c r="G6" i="24"/>
  <c r="F6" i="24"/>
  <c r="E6" i="24"/>
  <c r="D6" i="24"/>
  <c r="I5" i="24"/>
  <c r="G5" i="24"/>
  <c r="F5" i="24"/>
  <c r="E5" i="24"/>
  <c r="D5" i="24"/>
  <c r="C5" i="24"/>
  <c r="B6" i="24" l="1"/>
  <c r="B5" i="24"/>
  <c r="D7" i="31"/>
  <c r="D6" i="31"/>
  <c r="C7" i="31"/>
  <c r="C6" i="31"/>
  <c r="B7" i="31"/>
  <c r="M12" i="104"/>
  <c r="M11" i="104"/>
  <c r="M10" i="104"/>
  <c r="M9" i="104"/>
  <c r="M8" i="104"/>
  <c r="M7" i="104"/>
  <c r="M6" i="104"/>
  <c r="E7" i="31" l="1"/>
  <c r="E6" i="31"/>
  <c r="E10" i="31" s="1"/>
  <c r="B12" i="104"/>
  <c r="B11" i="104"/>
  <c r="B10" i="104"/>
  <c r="B9" i="104"/>
  <c r="B7" i="104"/>
  <c r="B6" i="104"/>
  <c r="I14" i="104"/>
  <c r="F10" i="115" l="1"/>
  <c r="I10" i="115"/>
  <c r="M27" i="82"/>
  <c r="M43" i="82" s="1"/>
  <c r="N27" i="82"/>
  <c r="N43" i="82" s="1"/>
  <c r="J27" i="82"/>
  <c r="J43" i="82" s="1"/>
  <c r="L27" i="82"/>
  <c r="N12" i="104"/>
  <c r="V12" i="104" s="1"/>
  <c r="N11" i="104"/>
  <c r="V11" i="104" s="1"/>
  <c r="N10" i="104"/>
  <c r="V10" i="104" s="1"/>
  <c r="N9" i="104"/>
  <c r="V9" i="104" s="1"/>
  <c r="N8" i="104"/>
  <c r="V8" i="104" s="1"/>
  <c r="N7" i="104"/>
  <c r="V7" i="104" s="1"/>
  <c r="N6" i="104"/>
  <c r="V6" i="104" s="1"/>
  <c r="K12" i="104"/>
  <c r="K11" i="104"/>
  <c r="K10" i="104"/>
  <c r="K9" i="104"/>
  <c r="K8" i="104"/>
  <c r="K7" i="104"/>
  <c r="K6" i="104"/>
  <c r="C9" i="22"/>
  <c r="C8" i="22"/>
  <c r="C7" i="22"/>
  <c r="R7" i="22" s="1"/>
  <c r="C6" i="22"/>
  <c r="L12" i="22"/>
  <c r="L11" i="22"/>
  <c r="L10" i="22"/>
  <c r="L9" i="22"/>
  <c r="L8" i="22"/>
  <c r="N12" i="22"/>
  <c r="N11" i="22"/>
  <c r="N10" i="22"/>
  <c r="N9" i="22"/>
  <c r="N8" i="22"/>
  <c r="N7" i="22"/>
  <c r="N6" i="22"/>
  <c r="L7" i="22"/>
  <c r="L6" i="22"/>
  <c r="K12" i="22"/>
  <c r="K11" i="22"/>
  <c r="K10" i="22"/>
  <c r="U10" i="22" s="1"/>
  <c r="K9" i="22"/>
  <c r="U9" i="22" s="1"/>
  <c r="K8" i="22"/>
  <c r="K7" i="22"/>
  <c r="K6" i="22"/>
  <c r="J12" i="22"/>
  <c r="T12" i="22" s="1"/>
  <c r="J11" i="22"/>
  <c r="T11" i="22" s="1"/>
  <c r="J10" i="22"/>
  <c r="T10" i="22" s="1"/>
  <c r="J9" i="22"/>
  <c r="T9" i="22" s="1"/>
  <c r="J8" i="22"/>
  <c r="T8" i="22" s="1"/>
  <c r="J7" i="22"/>
  <c r="T7" i="22" s="1"/>
  <c r="J6" i="22"/>
  <c r="T6" i="22" s="1"/>
  <c r="D9" i="22"/>
  <c r="D8" i="22"/>
  <c r="C12" i="22"/>
  <c r="R12" i="22" s="1"/>
  <c r="C11" i="22"/>
  <c r="C10" i="22"/>
  <c r="B11" i="22"/>
  <c r="B10" i="22"/>
  <c r="B9" i="22"/>
  <c r="B8" i="22"/>
  <c r="B6" i="22"/>
  <c r="U11" i="22" l="1"/>
  <c r="U6" i="22"/>
  <c r="I9" i="115"/>
  <c r="I13" i="115" s="1"/>
  <c r="I14" i="115" s="1"/>
  <c r="F9" i="115"/>
  <c r="F13" i="115" s="1"/>
  <c r="F14" i="115" s="1"/>
  <c r="U7" i="22"/>
  <c r="U12" i="22"/>
  <c r="R6" i="22"/>
  <c r="G27" i="82"/>
  <c r="G43" i="82" s="1"/>
  <c r="R10" i="22"/>
  <c r="U8" i="22"/>
  <c r="H27" i="82"/>
  <c r="H43" i="82" s="1"/>
  <c r="R11" i="22"/>
  <c r="E27" i="82"/>
  <c r="E43" i="82" s="1"/>
  <c r="R8" i="22"/>
  <c r="F27" i="82"/>
  <c r="F43" i="82" s="1"/>
  <c r="R9" i="22"/>
  <c r="L43" i="82"/>
  <c r="B14" i="89"/>
  <c r="E14" i="89" s="1"/>
  <c r="O27" i="82"/>
  <c r="B9" i="89" s="1"/>
  <c r="D9" i="115"/>
  <c r="E9" i="115"/>
  <c r="I12" i="22"/>
  <c r="I11" i="22"/>
  <c r="I10" i="22"/>
  <c r="I9" i="22"/>
  <c r="I8" i="22"/>
  <c r="I7" i="22"/>
  <c r="I6" i="22"/>
  <c r="H6" i="22"/>
  <c r="H12" i="22"/>
  <c r="H11" i="22"/>
  <c r="H10" i="22"/>
  <c r="H9" i="22"/>
  <c r="H8" i="22"/>
  <c r="H7" i="22"/>
  <c r="G32" i="92"/>
  <c r="I32" i="92"/>
  <c r="C70" i="92"/>
  <c r="I91" i="92"/>
  <c r="G91" i="92"/>
  <c r="F91" i="92"/>
  <c r="E91" i="92"/>
  <c r="D91" i="92"/>
  <c r="C91" i="92"/>
  <c r="J90" i="92"/>
  <c r="J89" i="92"/>
  <c r="J88" i="92"/>
  <c r="J87" i="92"/>
  <c r="J86" i="92"/>
  <c r="J85" i="92"/>
  <c r="J84" i="92"/>
  <c r="J83" i="92"/>
  <c r="J82" i="92"/>
  <c r="J81" i="92"/>
  <c r="J80" i="92"/>
  <c r="B13" i="89" l="1"/>
  <c r="E13" i="89" s="1"/>
  <c r="I27" i="82"/>
  <c r="B10" i="89" s="1"/>
  <c r="O43" i="82"/>
  <c r="J91" i="92"/>
  <c r="P27" i="82" l="1"/>
  <c r="D22" i="89" s="1"/>
  <c r="I43" i="82"/>
  <c r="I93" i="92"/>
  <c r="H93" i="92"/>
  <c r="G93" i="92"/>
  <c r="T4" i="139" s="1"/>
  <c r="T7" i="139" s="1"/>
  <c r="F93" i="92"/>
  <c r="I5" i="123" s="1"/>
  <c r="E93" i="92"/>
  <c r="D93" i="92"/>
  <c r="C93" i="92"/>
  <c r="I70" i="92"/>
  <c r="G70" i="92"/>
  <c r="J31" i="92"/>
  <c r="J30" i="92"/>
  <c r="J29" i="92"/>
  <c r="J28" i="92"/>
  <c r="J27" i="92"/>
  <c r="J26" i="92"/>
  <c r="J25" i="92"/>
  <c r="J24" i="92"/>
  <c r="J23" i="92"/>
  <c r="J22" i="92"/>
  <c r="J21" i="92"/>
  <c r="C97" i="154"/>
  <c r="D73" i="154"/>
  <c r="D72" i="154"/>
  <c r="D71" i="154"/>
  <c r="E66" i="154"/>
  <c r="E65" i="154"/>
  <c r="A29" i="154"/>
  <c r="A73" i="154"/>
  <c r="A72" i="154"/>
  <c r="A71" i="154"/>
  <c r="E18" i="154"/>
  <c r="E17" i="154"/>
  <c r="E15" i="154"/>
  <c r="D10" i="154"/>
  <c r="D9" i="154"/>
  <c r="G3" i="154"/>
  <c r="A100" i="154" s="1"/>
  <c r="M23" i="96"/>
  <c r="M22" i="96"/>
  <c r="M24" i="96"/>
  <c r="E18" i="96"/>
  <c r="D18" i="96"/>
  <c r="C18" i="96"/>
  <c r="B18" i="96"/>
  <c r="E17" i="96"/>
  <c r="D17" i="96"/>
  <c r="C17" i="96"/>
  <c r="B17" i="96"/>
  <c r="I17" i="92"/>
  <c r="E17" i="92"/>
  <c r="D17" i="92"/>
  <c r="C17" i="92"/>
  <c r="J16" i="92"/>
  <c r="J15" i="92"/>
  <c r="J14" i="92"/>
  <c r="J13" i="92"/>
  <c r="J12" i="92"/>
  <c r="J11" i="92"/>
  <c r="J10" i="92"/>
  <c r="J9" i="92"/>
  <c r="J8" i="92"/>
  <c r="J7" i="92"/>
  <c r="J6" i="92"/>
  <c r="P43" i="82" l="1"/>
  <c r="H4" i="84"/>
  <c r="I4" i="30"/>
  <c r="I4" i="141"/>
  <c r="H4" i="124"/>
  <c r="J4" i="34"/>
  <c r="K4" i="30"/>
  <c r="N5" i="127"/>
  <c r="N8" i="127" s="1"/>
  <c r="E56" i="155" s="1"/>
  <c r="H20" i="137"/>
  <c r="H21" i="137" s="1"/>
  <c r="H25" i="137" s="1"/>
  <c r="J4" i="124"/>
  <c r="K4" i="141"/>
  <c r="K5" i="50"/>
  <c r="K8" i="50" s="1"/>
  <c r="O5" i="126"/>
  <c r="O8" i="126" s="1"/>
  <c r="E55" i="155" s="1"/>
  <c r="J4" i="84"/>
  <c r="J7" i="84" s="1"/>
  <c r="K5" i="123"/>
  <c r="K8" i="123" s="1"/>
  <c r="I4" i="109"/>
  <c r="J93" i="92"/>
  <c r="E4" i="34"/>
  <c r="L4" i="141"/>
  <c r="K4" i="84"/>
  <c r="K7" i="84" s="1"/>
  <c r="K4" i="34"/>
  <c r="J17" i="92"/>
  <c r="J4" i="109"/>
  <c r="U4" i="140"/>
  <c r="U7" i="140" s="1"/>
  <c r="U4" i="139"/>
  <c r="U7" i="139" s="1"/>
  <c r="E4" i="124"/>
  <c r="F4" i="141"/>
  <c r="F5" i="123"/>
  <c r="E4" i="84"/>
  <c r="F4" i="30"/>
  <c r="I4" i="124"/>
  <c r="J4" i="141"/>
  <c r="J4" i="30"/>
  <c r="K7" i="30" s="1"/>
  <c r="J5" i="123"/>
  <c r="I4" i="84"/>
  <c r="K4" i="124"/>
  <c r="L5" i="123"/>
  <c r="L8" i="123" s="1"/>
  <c r="L4" i="30"/>
  <c r="K13" i="34" l="1"/>
  <c r="E50" i="150" s="1"/>
  <c r="K7" i="34"/>
  <c r="K10" i="34"/>
  <c r="E49" i="150" s="1"/>
  <c r="E52" i="155"/>
  <c r="J7" i="34"/>
  <c r="J10" i="34"/>
  <c r="E49" i="155" s="1"/>
  <c r="J13" i="34"/>
  <c r="E50" i="155" s="1"/>
  <c r="L10" i="141"/>
  <c r="L7" i="141"/>
  <c r="E7" i="34"/>
  <c r="E13" i="34"/>
  <c r="E50" i="89" s="1"/>
  <c r="E10" i="34"/>
  <c r="E49" i="89" s="1"/>
  <c r="K7" i="141"/>
  <c r="K10" i="141"/>
  <c r="K11" i="141" s="1"/>
  <c r="E43" i="155" s="1"/>
  <c r="E13" i="130"/>
  <c r="E14" i="130"/>
  <c r="E15" i="130"/>
  <c r="E16" i="130"/>
  <c r="E17" i="130"/>
  <c r="E18" i="130"/>
  <c r="M7" i="139"/>
  <c r="K7" i="139"/>
  <c r="O6" i="140"/>
  <c r="O5" i="140"/>
  <c r="O7" i="140"/>
  <c r="K7" i="140"/>
  <c r="B14" i="137"/>
  <c r="AB6" i="140"/>
  <c r="M6" i="139"/>
  <c r="M5" i="139"/>
  <c r="AB6" i="139"/>
  <c r="G16" i="18"/>
  <c r="F16" i="18"/>
  <c r="D16" i="18"/>
  <c r="C16" i="18"/>
  <c r="C14" i="96"/>
  <c r="C13" i="96"/>
  <c r="L11" i="141" l="1"/>
  <c r="E43" i="150" s="1"/>
  <c r="E48" i="89"/>
  <c r="E46" i="89" s="1"/>
  <c r="E14" i="34"/>
  <c r="K14" i="34"/>
  <c r="E48" i="150"/>
  <c r="E48" i="155"/>
  <c r="E46" i="155" s="1"/>
  <c r="J14" i="34"/>
  <c r="E16" i="18"/>
  <c r="H16" i="18"/>
  <c r="G3" i="152"/>
  <c r="G6" i="147"/>
  <c r="L5" i="50"/>
  <c r="E8" i="50"/>
  <c r="I20" i="137"/>
  <c r="I21" i="137" s="1"/>
  <c r="H25" i="40"/>
  <c r="G25" i="40"/>
  <c r="E25" i="40"/>
  <c r="D25" i="40"/>
  <c r="J102" i="92"/>
  <c r="J101" i="92"/>
  <c r="J100" i="92"/>
  <c r="B16" i="137"/>
  <c r="B12" i="137"/>
  <c r="C22" i="137" s="1"/>
  <c r="I6" i="144"/>
  <c r="I5" i="144"/>
  <c r="I6" i="143"/>
  <c r="I5" i="143"/>
  <c r="L12" i="104"/>
  <c r="U12" i="104" s="1"/>
  <c r="L11" i="104"/>
  <c r="U11" i="104" s="1"/>
  <c r="L10" i="104"/>
  <c r="U10" i="104" s="1"/>
  <c r="L9" i="104"/>
  <c r="U9" i="104" s="1"/>
  <c r="L8" i="104"/>
  <c r="U8" i="104" s="1"/>
  <c r="L7" i="104"/>
  <c r="U7" i="104" s="1"/>
  <c r="L6" i="104"/>
  <c r="U6" i="104" s="1"/>
  <c r="O10" i="22"/>
  <c r="V10" i="22" s="1"/>
  <c r="O9" i="22"/>
  <c r="V9" i="22" s="1"/>
  <c r="O8" i="22"/>
  <c r="V8" i="22" s="1"/>
  <c r="O7" i="22"/>
  <c r="V7" i="22" s="1"/>
  <c r="O6" i="22"/>
  <c r="V6" i="22" s="1"/>
  <c r="L8" i="50" l="1"/>
  <c r="I25" i="40"/>
  <c r="F25" i="40"/>
  <c r="O5" i="127"/>
  <c r="P5" i="126"/>
  <c r="E37" i="153"/>
  <c r="P8" i="126" l="1"/>
  <c r="E55" i="150" s="1"/>
  <c r="H11" i="18"/>
  <c r="E11" i="18"/>
  <c r="E14" i="96"/>
  <c r="E13" i="96"/>
  <c r="D14" i="96"/>
  <c r="D13" i="96"/>
  <c r="B14" i="96"/>
  <c r="B13" i="96"/>
  <c r="D12" i="153"/>
  <c r="E12" i="153" s="1"/>
  <c r="H26" i="96"/>
  <c r="J26" i="96" s="1"/>
  <c r="C22" i="115"/>
  <c r="C23" i="115" s="1"/>
  <c r="E13" i="124" l="1"/>
  <c r="J11" i="123" l="1"/>
  <c r="K25" i="34"/>
  <c r="K24" i="34"/>
  <c r="K23" i="34"/>
  <c r="K22" i="34"/>
  <c r="K21" i="34"/>
  <c r="K20" i="34"/>
  <c r="J25" i="34"/>
  <c r="J24" i="34"/>
  <c r="J23" i="34"/>
  <c r="J22" i="34"/>
  <c r="J21" i="34"/>
  <c r="J20" i="34"/>
  <c r="I17" i="30"/>
  <c r="I16" i="30"/>
  <c r="I11" i="123"/>
  <c r="L27" i="34"/>
  <c r="D12" i="34" s="1"/>
  <c r="F25" i="34"/>
  <c r="F24" i="34"/>
  <c r="E19" i="130"/>
  <c r="F19" i="130"/>
  <c r="G19" i="130" s="1"/>
  <c r="H19" i="130" s="1"/>
  <c r="I19" i="130" s="1"/>
  <c r="J19" i="130" s="1"/>
  <c r="G16" i="109"/>
  <c r="J16" i="109" s="1"/>
  <c r="K16" i="109" s="1"/>
  <c r="L16" i="109" s="1"/>
  <c r="G15" i="109"/>
  <c r="J15" i="109" s="1"/>
  <c r="K15" i="109" s="1"/>
  <c r="G14" i="109"/>
  <c r="J14" i="109" s="1"/>
  <c r="K14" i="109" s="1"/>
  <c r="G13" i="109"/>
  <c r="J13" i="109" s="1"/>
  <c r="K13" i="109" s="1"/>
  <c r="G11" i="109"/>
  <c r="J11" i="109" s="1"/>
  <c r="K11" i="109" s="1"/>
  <c r="L13" i="109" l="1"/>
  <c r="E73" i="154"/>
  <c r="E72" i="154"/>
  <c r="L15" i="109"/>
  <c r="L14" i="109"/>
  <c r="I18" i="30"/>
  <c r="G10" i="109"/>
  <c r="J10" i="109" s="1"/>
  <c r="G22" i="137"/>
  <c r="E22" i="137"/>
  <c r="D22" i="137"/>
  <c r="F24" i="137"/>
  <c r="E24" i="137"/>
  <c r="D24" i="137"/>
  <c r="C24" i="137"/>
  <c r="F22" i="137"/>
  <c r="E71" i="154" l="1"/>
  <c r="K21" i="109"/>
  <c r="C6" i="109" s="1"/>
  <c r="AG19" i="127"/>
  <c r="E7" i="127" s="1"/>
  <c r="E8" i="127" s="1"/>
  <c r="O8" i="127" s="1"/>
  <c r="E56" i="150" s="1"/>
  <c r="O23" i="139" l="1"/>
  <c r="E37" i="154"/>
  <c r="E35" i="154" s="1"/>
  <c r="G6" i="144"/>
  <c r="G5" i="144"/>
  <c r="F6" i="144"/>
  <c r="F5" i="144"/>
  <c r="E6" i="144"/>
  <c r="E5" i="144"/>
  <c r="D6" i="144"/>
  <c r="D5" i="144"/>
  <c r="C6" i="144"/>
  <c r="H14" i="143"/>
  <c r="F14" i="143"/>
  <c r="F13" i="143"/>
  <c r="F12" i="143"/>
  <c r="F11" i="143"/>
  <c r="F10" i="143"/>
  <c r="G6" i="143"/>
  <c r="F6" i="143"/>
  <c r="E6" i="143"/>
  <c r="D6" i="143"/>
  <c r="G5" i="143"/>
  <c r="F5" i="143"/>
  <c r="E5" i="143"/>
  <c r="D5" i="143"/>
  <c r="C6" i="143"/>
  <c r="C5" i="143"/>
  <c r="B5" i="143" s="1"/>
  <c r="B6" i="144" l="1"/>
  <c r="B5" i="144"/>
  <c r="B6" i="143"/>
  <c r="H17" i="84"/>
  <c r="H7" i="84" l="1"/>
  <c r="I7" i="84"/>
  <c r="E34" i="148"/>
  <c r="D34" i="148"/>
  <c r="F6" i="131"/>
  <c r="E8" i="131"/>
  <c r="F8" i="131" l="1"/>
  <c r="F12" i="131"/>
  <c r="F14" i="131" s="1"/>
  <c r="F15" i="131" s="1"/>
  <c r="C32" i="92"/>
  <c r="O12" i="22"/>
  <c r="V12" i="22" s="1"/>
  <c r="O11" i="22"/>
  <c r="V11" i="22" s="1"/>
  <c r="G12" i="22"/>
  <c r="G11" i="22"/>
  <c r="G10" i="22"/>
  <c r="G9" i="22"/>
  <c r="G8" i="22"/>
  <c r="G7" i="22"/>
  <c r="G6" i="22"/>
  <c r="F12" i="22"/>
  <c r="F11" i="22"/>
  <c r="F10" i="22"/>
  <c r="F9" i="22"/>
  <c r="F8" i="22"/>
  <c r="F7" i="22"/>
  <c r="F6" i="22"/>
  <c r="E12" i="22"/>
  <c r="E11" i="22"/>
  <c r="E10" i="22"/>
  <c r="E9" i="22"/>
  <c r="S9" i="22" s="1"/>
  <c r="E8" i="22"/>
  <c r="E7" i="22"/>
  <c r="E6" i="22"/>
  <c r="D12" i="22"/>
  <c r="D11" i="22"/>
  <c r="D10" i="22"/>
  <c r="S10" i="22" s="1"/>
  <c r="E13" i="154"/>
  <c r="E10" i="154"/>
  <c r="J12" i="104"/>
  <c r="T12" i="104" s="1"/>
  <c r="J11" i="104"/>
  <c r="T11" i="104" s="1"/>
  <c r="J10" i="104"/>
  <c r="T10" i="104" s="1"/>
  <c r="J9" i="104"/>
  <c r="T9" i="104" s="1"/>
  <c r="J8" i="104"/>
  <c r="T8" i="104" s="1"/>
  <c r="J7" i="104"/>
  <c r="T7" i="104" s="1"/>
  <c r="J6" i="104"/>
  <c r="T6" i="104" s="1"/>
  <c r="I12" i="104"/>
  <c r="I11" i="104"/>
  <c r="I10" i="104"/>
  <c r="I9" i="104"/>
  <c r="I8" i="104"/>
  <c r="I7" i="104"/>
  <c r="I6" i="104"/>
  <c r="H12" i="104"/>
  <c r="H11" i="104"/>
  <c r="H10" i="104"/>
  <c r="H9" i="104"/>
  <c r="H8" i="104"/>
  <c r="H7" i="104"/>
  <c r="H6" i="104"/>
  <c r="G12" i="104"/>
  <c r="G11" i="104"/>
  <c r="G10" i="104"/>
  <c r="G8" i="104"/>
  <c r="G7" i="104"/>
  <c r="F12" i="104"/>
  <c r="F11" i="104"/>
  <c r="F10" i="104"/>
  <c r="F9" i="104"/>
  <c r="F8" i="104"/>
  <c r="F7" i="104"/>
  <c r="F6" i="104"/>
  <c r="E12" i="104"/>
  <c r="E11" i="104"/>
  <c r="E10" i="104"/>
  <c r="E9" i="104"/>
  <c r="E8" i="104"/>
  <c r="E7" i="104"/>
  <c r="D12" i="104"/>
  <c r="D11" i="104"/>
  <c r="D10" i="104"/>
  <c r="S10" i="104" s="1"/>
  <c r="D9" i="104"/>
  <c r="D8" i="104"/>
  <c r="D7" i="104"/>
  <c r="D6" i="104"/>
  <c r="C12" i="104"/>
  <c r="R12" i="104" s="1"/>
  <c r="C10" i="104"/>
  <c r="R10" i="104" s="1"/>
  <c r="C8" i="104"/>
  <c r="R8" i="104" s="1"/>
  <c r="C7" i="104"/>
  <c r="R7" i="104" s="1"/>
  <c r="E12" i="96"/>
  <c r="E11" i="96"/>
  <c r="E10" i="96"/>
  <c r="E9" i="96"/>
  <c r="E8" i="96"/>
  <c r="E7" i="96"/>
  <c r="D12" i="96"/>
  <c r="D11" i="96"/>
  <c r="D10" i="96"/>
  <c r="D9" i="96"/>
  <c r="D8" i="96"/>
  <c r="D7" i="96"/>
  <c r="C12" i="96"/>
  <c r="C11" i="96"/>
  <c r="C10" i="96"/>
  <c r="C9" i="96"/>
  <c r="C8" i="96"/>
  <c r="C7" i="96"/>
  <c r="B12" i="96"/>
  <c r="B11" i="96"/>
  <c r="B10" i="96"/>
  <c r="B9" i="96"/>
  <c r="B8" i="96"/>
  <c r="B7" i="96"/>
  <c r="S8" i="104" l="1"/>
  <c r="S12" i="104"/>
  <c r="S11" i="104"/>
  <c r="S6" i="22"/>
  <c r="S7" i="22"/>
  <c r="S8" i="22"/>
  <c r="S11" i="22"/>
  <c r="S12" i="22"/>
  <c r="S7" i="104"/>
  <c r="D10" i="115"/>
  <c r="D13" i="115" s="1"/>
  <c r="D14" i="115" s="1"/>
  <c r="E10" i="115"/>
  <c r="E13" i="115" s="1"/>
  <c r="E14" i="115" s="1"/>
  <c r="C8" i="115"/>
  <c r="C9" i="115"/>
  <c r="F4" i="124" l="1"/>
  <c r="G4" i="141"/>
  <c r="G5" i="123"/>
  <c r="F4" i="84"/>
  <c r="G4" i="30"/>
  <c r="S4" i="140"/>
  <c r="S7" i="140" s="1"/>
  <c r="T4" i="140"/>
  <c r="T7" i="140" s="1"/>
  <c r="Q4" i="139"/>
  <c r="Q7" i="139" s="1"/>
  <c r="Q4" i="140"/>
  <c r="Q7" i="140" s="1"/>
  <c r="H15" i="18"/>
  <c r="E15" i="18"/>
  <c r="F70" i="92"/>
  <c r="E70" i="92"/>
  <c r="D70" i="92"/>
  <c r="D32" i="92"/>
  <c r="E32" i="92"/>
  <c r="F32" i="92"/>
  <c r="J32" i="92" s="1"/>
  <c r="G8" i="123" l="1"/>
  <c r="R4" i="139"/>
  <c r="R7" i="139" s="1"/>
  <c r="G4" i="124"/>
  <c r="D4" i="124" s="1"/>
  <c r="H4" i="141"/>
  <c r="E4" i="141" s="1"/>
  <c r="G4" i="84"/>
  <c r="G7" i="84" s="1"/>
  <c r="H4" i="30"/>
  <c r="H5" i="123"/>
  <c r="E5" i="123" s="1"/>
  <c r="F7" i="84"/>
  <c r="B10" i="124"/>
  <c r="I8" i="123"/>
  <c r="J8" i="123"/>
  <c r="H4" i="109"/>
  <c r="S4" i="139"/>
  <c r="S7" i="139" s="1"/>
  <c r="R4" i="140"/>
  <c r="R7" i="140" s="1"/>
  <c r="P4" i="140"/>
  <c r="P4" i="139"/>
  <c r="F13" i="117"/>
  <c r="F12" i="117"/>
  <c r="F11" i="117"/>
  <c r="E4" i="30" l="1"/>
  <c r="H7" i="30"/>
  <c r="D4" i="84"/>
  <c r="E72" i="92"/>
  <c r="H8" i="123"/>
  <c r="P7" i="139"/>
  <c r="O4" i="139"/>
  <c r="O4" i="140"/>
  <c r="P7" i="140"/>
  <c r="G72" i="92"/>
  <c r="F72" i="92"/>
  <c r="F8" i="123"/>
  <c r="E7" i="84"/>
  <c r="B13" i="124"/>
  <c r="H13" i="117"/>
  <c r="I13" i="117" s="1"/>
  <c r="H9" i="117"/>
  <c r="I9" i="117" s="1"/>
  <c r="H11" i="117"/>
  <c r="I11" i="117" s="1"/>
  <c r="H12" i="117"/>
  <c r="H14" i="117"/>
  <c r="J9" i="131"/>
  <c r="J17" i="131" s="1"/>
  <c r="F9" i="131"/>
  <c r="C9" i="131" s="1"/>
  <c r="C98" i="153"/>
  <c r="C97" i="151"/>
  <c r="G6" i="117" l="1"/>
  <c r="B41" i="153"/>
  <c r="J23" i="131"/>
  <c r="J19" i="131"/>
  <c r="J37" i="131"/>
  <c r="I14" i="117"/>
  <c r="K14" i="117" s="1"/>
  <c r="B41" i="89" s="1"/>
  <c r="I12" i="117"/>
  <c r="C97" i="89"/>
  <c r="J103" i="92"/>
  <c r="C97" i="152"/>
  <c r="E17" i="131"/>
  <c r="E19" i="131" s="1"/>
  <c r="J38" i="131" l="1"/>
  <c r="J39" i="131" s="1"/>
  <c r="E37" i="131"/>
  <c r="E38" i="131" s="1"/>
  <c r="E39" i="131" s="1"/>
  <c r="E6" i="117"/>
  <c r="E23" i="131"/>
  <c r="G6" i="104"/>
  <c r="S6" i="104" s="1"/>
  <c r="G9" i="104"/>
  <c r="S9" i="104" s="1"/>
  <c r="E9" i="154"/>
  <c r="E14" i="154"/>
  <c r="C11" i="104"/>
  <c r="R11" i="104" s="1"/>
  <c r="C6" i="104"/>
  <c r="R6" i="104" s="1"/>
  <c r="C9" i="104"/>
  <c r="R9" i="104" s="1"/>
  <c r="F6" i="117" l="1"/>
  <c r="B41" i="151"/>
  <c r="E41" i="151" s="1"/>
  <c r="C10" i="115"/>
  <c r="C13" i="115" s="1"/>
  <c r="C14" i="115" s="1"/>
  <c r="E7" i="154"/>
  <c r="E93" i="154" l="1"/>
  <c r="C99" i="154" s="1"/>
  <c r="C99" i="155"/>
  <c r="I4" i="34"/>
  <c r="F4" i="34"/>
  <c r="G4" i="34"/>
  <c r="F13" i="34" l="1"/>
  <c r="E50" i="151" s="1"/>
  <c r="F10" i="34"/>
  <c r="E49" i="151" s="1"/>
  <c r="F7" i="34"/>
  <c r="G10" i="34"/>
  <c r="E49" i="153" s="1"/>
  <c r="G7" i="34"/>
  <c r="G13" i="34"/>
  <c r="E50" i="153" s="1"/>
  <c r="I13" i="34"/>
  <c r="E50" i="152" s="1"/>
  <c r="K5" i="126"/>
  <c r="D20" i="137"/>
  <c r="D21" i="137" s="1"/>
  <c r="G5" i="50"/>
  <c r="G8" i="50" s="1"/>
  <c r="E4" i="109"/>
  <c r="J5" i="127"/>
  <c r="J8" i="127" s="1"/>
  <c r="E56" i="151" s="1"/>
  <c r="H5" i="50"/>
  <c r="H8" i="50" s="1"/>
  <c r="F4" i="109"/>
  <c r="L5" i="126"/>
  <c r="F5" i="50"/>
  <c r="K5" i="127"/>
  <c r="E20" i="137"/>
  <c r="E21" i="137" s="1"/>
  <c r="J5" i="50"/>
  <c r="J8" i="50" s="1"/>
  <c r="G20" i="137"/>
  <c r="G21" i="137" s="1"/>
  <c r="I5" i="127"/>
  <c r="M5" i="127"/>
  <c r="M8" i="127" s="1"/>
  <c r="E56" i="152" s="1"/>
  <c r="J5" i="126"/>
  <c r="N5" i="126"/>
  <c r="G4" i="109"/>
  <c r="F20" i="137"/>
  <c r="F21" i="137" s="1"/>
  <c r="H4" i="34"/>
  <c r="I5" i="50"/>
  <c r="I8" i="50" s="1"/>
  <c r="M5" i="126"/>
  <c r="L5" i="127"/>
  <c r="L8" i="127" s="1"/>
  <c r="E56" i="154" s="1"/>
  <c r="D4" i="109"/>
  <c r="C20" i="137"/>
  <c r="C21" i="137" s="1"/>
  <c r="D71" i="153"/>
  <c r="A29" i="153"/>
  <c r="A71" i="153"/>
  <c r="E18" i="153"/>
  <c r="E17" i="153"/>
  <c r="E15" i="153"/>
  <c r="D11" i="153"/>
  <c r="D10" i="153"/>
  <c r="E10" i="153" s="1"/>
  <c r="G4" i="153"/>
  <c r="A101" i="153" s="1"/>
  <c r="G14" i="34" l="1"/>
  <c r="E48" i="153"/>
  <c r="F14" i="34"/>
  <c r="E48" i="151"/>
  <c r="H10" i="34"/>
  <c r="E49" i="154" s="1"/>
  <c r="H13" i="34"/>
  <c r="E50" i="154" s="1"/>
  <c r="H7" i="34"/>
  <c r="D4" i="34"/>
  <c r="E5" i="50"/>
  <c r="C4" i="109"/>
  <c r="F5" i="126"/>
  <c r="I8" i="127"/>
  <c r="E56" i="89" s="1"/>
  <c r="E5" i="127"/>
  <c r="B20" i="137"/>
  <c r="F8" i="50"/>
  <c r="H14" i="34" l="1"/>
  <c r="E48" i="154"/>
  <c r="D72" i="152"/>
  <c r="D71" i="152"/>
  <c r="A29" i="152"/>
  <c r="A72" i="152"/>
  <c r="A71" i="152"/>
  <c r="E17" i="152"/>
  <c r="D10" i="152"/>
  <c r="E10" i="152" s="1"/>
  <c r="D9" i="152"/>
  <c r="E9" i="152" s="1"/>
  <c r="A100" i="152"/>
  <c r="D73" i="151"/>
  <c r="D72" i="151"/>
  <c r="D71" i="151"/>
  <c r="A29" i="151"/>
  <c r="A73" i="151"/>
  <c r="A23" i="151"/>
  <c r="A72" i="151" s="1"/>
  <c r="A22" i="151"/>
  <c r="A71" i="151" s="1"/>
  <c r="E17" i="151"/>
  <c r="D10" i="151"/>
  <c r="E10" i="151" s="1"/>
  <c r="D9" i="151"/>
  <c r="E9" i="151" s="1"/>
  <c r="G3" i="151"/>
  <c r="A100" i="151" s="1"/>
  <c r="D73" i="150"/>
  <c r="D72" i="150"/>
  <c r="D71" i="150"/>
  <c r="A29" i="150"/>
  <c r="A73" i="150"/>
  <c r="A72" i="150"/>
  <c r="A71" i="150"/>
  <c r="E18" i="150"/>
  <c r="E17" i="150"/>
  <c r="E15" i="150"/>
  <c r="D10" i="150"/>
  <c r="D9" i="150"/>
  <c r="G3" i="150"/>
  <c r="A100" i="150" s="1"/>
  <c r="E4" i="130"/>
  <c r="D21" i="132"/>
  <c r="E35" i="153"/>
  <c r="O24" i="96"/>
  <c r="E6" i="96" s="1"/>
  <c r="F15" i="84"/>
  <c r="F14" i="84"/>
  <c r="F13" i="84"/>
  <c r="F12" i="84"/>
  <c r="F11" i="84"/>
  <c r="F10" i="84"/>
  <c r="F17" i="84" l="1"/>
  <c r="E37" i="150"/>
  <c r="E35" i="150" s="1"/>
  <c r="E37" i="152"/>
  <c r="E35" i="152" s="1"/>
  <c r="E35" i="151"/>
  <c r="E52" i="150"/>
  <c r="I19" i="123"/>
  <c r="J19" i="123" s="1"/>
  <c r="I18" i="123"/>
  <c r="J18" i="123" s="1"/>
  <c r="I17" i="123"/>
  <c r="J17" i="123" s="1"/>
  <c r="I16" i="123"/>
  <c r="J16" i="123" s="1"/>
  <c r="I15" i="123"/>
  <c r="J15" i="123" s="1"/>
  <c r="I14" i="123"/>
  <c r="J14" i="123" s="1"/>
  <c r="I13" i="123"/>
  <c r="J13" i="123" s="1"/>
  <c r="I12" i="123"/>
  <c r="J12" i="123" s="1"/>
  <c r="D35" i="148" l="1"/>
  <c r="C34" i="148"/>
  <c r="C35" i="148" s="1"/>
  <c r="E35" i="148"/>
  <c r="C50" i="148" l="1"/>
  <c r="C54" i="148"/>
  <c r="C52" i="148"/>
  <c r="C53" i="148"/>
  <c r="C51" i="148"/>
  <c r="E64" i="154"/>
  <c r="L7" i="30"/>
  <c r="E64" i="153"/>
  <c r="E64" i="152"/>
  <c r="E64" i="150"/>
  <c r="E64" i="151"/>
  <c r="E53" i="148"/>
  <c r="E52" i="148"/>
  <c r="E54" i="148"/>
  <c r="E51" i="148"/>
  <c r="D53" i="148"/>
  <c r="D51" i="148"/>
  <c r="D54" i="148"/>
  <c r="D52" i="148"/>
  <c r="E50" i="148"/>
  <c r="D50" i="148"/>
  <c r="E17" i="89"/>
  <c r="B50" i="148" l="1"/>
  <c r="B53" i="148"/>
  <c r="B52" i="148"/>
  <c r="G7" i="30"/>
  <c r="J7" i="30"/>
  <c r="F7" i="30"/>
  <c r="I7" i="30"/>
  <c r="B51" i="148"/>
  <c r="B54" i="148"/>
  <c r="H24" i="96" l="1"/>
  <c r="J24" i="96" l="1"/>
  <c r="C6" i="96" s="1"/>
  <c r="B6" i="96"/>
  <c r="N24" i="96"/>
  <c r="D6" i="96" s="1"/>
  <c r="O22" i="96"/>
  <c r="E5" i="96" s="1"/>
  <c r="O23" i="96"/>
  <c r="B34" i="89" l="1"/>
  <c r="E34" i="89"/>
  <c r="E71" i="153" l="1"/>
  <c r="E71" i="150"/>
  <c r="E71" i="152"/>
  <c r="E71" i="151"/>
  <c r="F16" i="130"/>
  <c r="G16" i="130" s="1"/>
  <c r="H16" i="130" s="1"/>
  <c r="I16" i="130" s="1"/>
  <c r="J16" i="130" s="1"/>
  <c r="W23" i="140" l="1"/>
  <c r="F20" i="31" l="1"/>
  <c r="E20" i="31" l="1"/>
  <c r="D20" i="31"/>
  <c r="E62" i="154" l="1"/>
  <c r="E62" i="153"/>
  <c r="E62" i="152"/>
  <c r="E62" i="151"/>
  <c r="E62" i="150"/>
  <c r="B62" i="89"/>
  <c r="E62" i="89" s="1"/>
  <c r="E63" i="154"/>
  <c r="E63" i="153"/>
  <c r="E63" i="151"/>
  <c r="E63" i="150"/>
  <c r="E63" i="152"/>
  <c r="B63" i="89"/>
  <c r="E63" i="89" s="1"/>
  <c r="M17" i="139"/>
  <c r="W23" i="139"/>
  <c r="Q23" i="139"/>
  <c r="M25" i="139"/>
  <c r="M24" i="139"/>
  <c r="M23" i="139"/>
  <c r="M22" i="139"/>
  <c r="M21" i="139"/>
  <c r="M19" i="139"/>
  <c r="M18" i="139"/>
  <c r="M36" i="139"/>
  <c r="M35" i="139"/>
  <c r="M34" i="139"/>
  <c r="M33" i="139"/>
  <c r="M32" i="139"/>
  <c r="M31" i="139"/>
  <c r="W67" i="139"/>
  <c r="U88" i="139"/>
  <c r="T88" i="139"/>
  <c r="P88" i="139"/>
  <c r="U44" i="139"/>
  <c r="T44" i="139"/>
  <c r="W37" i="139"/>
  <c r="U37" i="139"/>
  <c r="T37" i="139"/>
  <c r="Q37" i="139"/>
  <c r="L14" i="139"/>
  <c r="N14" i="139"/>
  <c r="N58" i="140"/>
  <c r="N14" i="140"/>
  <c r="N12" i="140"/>
  <c r="N12" i="139"/>
  <c r="N58" i="139"/>
  <c r="A12" i="139"/>
  <c r="E60" i="154" l="1"/>
  <c r="I20" i="123"/>
  <c r="F23" i="34"/>
  <c r="F22" i="34"/>
  <c r="F21" i="34"/>
  <c r="F20" i="34"/>
  <c r="J27" i="34"/>
  <c r="D6" i="34" s="1"/>
  <c r="I7" i="34" l="1"/>
  <c r="E48" i="152" s="1"/>
  <c r="I13" i="144"/>
  <c r="H13" i="144"/>
  <c r="F17" i="24"/>
  <c r="I14" i="22"/>
  <c r="Q20" i="141" l="1"/>
  <c r="Q19" i="141"/>
  <c r="Q18" i="141"/>
  <c r="Q17" i="141"/>
  <c r="R20" i="141"/>
  <c r="R19" i="141"/>
  <c r="R18" i="141"/>
  <c r="R17" i="141"/>
  <c r="S17" i="141"/>
  <c r="Q22" i="141" l="1"/>
  <c r="R22" i="141"/>
  <c r="I10" i="141" l="1"/>
  <c r="J10" i="141"/>
  <c r="J11" i="141" s="1"/>
  <c r="E43" i="152" s="1"/>
  <c r="F10" i="141"/>
  <c r="G10" i="141"/>
  <c r="H10" i="141"/>
  <c r="I7" i="141"/>
  <c r="J7" i="141"/>
  <c r="F7" i="141"/>
  <c r="G7" i="141"/>
  <c r="H7" i="141"/>
  <c r="S11" i="50"/>
  <c r="T11" i="50"/>
  <c r="C34" i="130"/>
  <c r="E20" i="130"/>
  <c r="F20" i="130" s="1"/>
  <c r="G20" i="130" s="1"/>
  <c r="H20" i="130" s="1"/>
  <c r="I20" i="130" s="1"/>
  <c r="J20" i="130" s="1"/>
  <c r="H11" i="141" l="1"/>
  <c r="E43" i="153" s="1"/>
  <c r="G11" i="141"/>
  <c r="E43" i="151" s="1"/>
  <c r="I11" i="141"/>
  <c r="E43" i="154" s="1"/>
  <c r="F11" i="141"/>
  <c r="E43" i="89" s="1"/>
  <c r="A14" i="139"/>
  <c r="M93" i="139" l="1"/>
  <c r="M70" i="139"/>
  <c r="M61" i="139"/>
  <c r="M50" i="139"/>
  <c r="M39" i="139"/>
  <c r="M93" i="140"/>
  <c r="L97" i="139"/>
  <c r="M97" i="139" s="1"/>
  <c r="G97" i="139"/>
  <c r="L96" i="139"/>
  <c r="G96" i="139"/>
  <c r="M96" i="139" s="1"/>
  <c r="L95" i="139"/>
  <c r="M95" i="139" s="1"/>
  <c r="G95" i="139"/>
  <c r="L94" i="139"/>
  <c r="G94" i="139"/>
  <c r="L92" i="139"/>
  <c r="G92" i="139"/>
  <c r="M92" i="139" s="1"/>
  <c r="L91" i="139"/>
  <c r="M91" i="139" s="1"/>
  <c r="G91" i="139"/>
  <c r="L88" i="139"/>
  <c r="G88" i="139"/>
  <c r="M88" i="139" s="1"/>
  <c r="L87" i="139"/>
  <c r="G87" i="139"/>
  <c r="M87" i="139" s="1"/>
  <c r="L86" i="139"/>
  <c r="G86" i="139"/>
  <c r="M86" i="139" s="1"/>
  <c r="L85" i="139"/>
  <c r="G85" i="139"/>
  <c r="M85" i="139" s="1"/>
  <c r="L84" i="139"/>
  <c r="G84" i="139"/>
  <c r="M84" i="139" s="1"/>
  <c r="L83" i="139"/>
  <c r="G83" i="139"/>
  <c r="M83" i="139" s="1"/>
  <c r="L82" i="139"/>
  <c r="G82" i="139"/>
  <c r="L81" i="139"/>
  <c r="G81" i="139"/>
  <c r="M81" i="139" s="1"/>
  <c r="L80" i="139"/>
  <c r="G80" i="139"/>
  <c r="M80" i="139" s="1"/>
  <c r="L79" i="139"/>
  <c r="G79" i="139"/>
  <c r="M79" i="139" s="1"/>
  <c r="L78" i="139"/>
  <c r="G78" i="139"/>
  <c r="M78" i="139" s="1"/>
  <c r="L77" i="139"/>
  <c r="G77" i="139"/>
  <c r="M77" i="139" s="1"/>
  <c r="L76" i="139"/>
  <c r="G76" i="139"/>
  <c r="M76" i="139" s="1"/>
  <c r="L75" i="139"/>
  <c r="W81" i="139" s="1"/>
  <c r="G75" i="139"/>
  <c r="P81" i="139" s="1"/>
  <c r="L74" i="139"/>
  <c r="G74" i="139"/>
  <c r="M74" i="139" s="1"/>
  <c r="L73" i="139"/>
  <c r="G73" i="139"/>
  <c r="M73" i="139" s="1"/>
  <c r="L72" i="139"/>
  <c r="M72" i="139" s="1"/>
  <c r="G72" i="139"/>
  <c r="L71" i="139"/>
  <c r="M71" i="139" s="1"/>
  <c r="G71" i="139"/>
  <c r="L70" i="139"/>
  <c r="G70" i="139"/>
  <c r="L69" i="139"/>
  <c r="G69" i="139"/>
  <c r="M69" i="139" s="1"/>
  <c r="L68" i="139"/>
  <c r="W74" i="139" s="1"/>
  <c r="G68" i="139"/>
  <c r="L67" i="139"/>
  <c r="G67" i="139"/>
  <c r="M67" i="139" s="1"/>
  <c r="L66" i="139"/>
  <c r="G66" i="139"/>
  <c r="M66" i="139" s="1"/>
  <c r="L65" i="139"/>
  <c r="M65" i="139" s="1"/>
  <c r="G65" i="139"/>
  <c r="L64" i="139"/>
  <c r="G64" i="139"/>
  <c r="M64" i="139" s="1"/>
  <c r="L63" i="139"/>
  <c r="M63" i="139" s="1"/>
  <c r="G63" i="139"/>
  <c r="L62" i="139"/>
  <c r="G62" i="139"/>
  <c r="M62" i="139" s="1"/>
  <c r="L61" i="139"/>
  <c r="G61" i="139"/>
  <c r="P67" i="139" s="1"/>
  <c r="G58" i="139"/>
  <c r="A58" i="139"/>
  <c r="L53" i="139"/>
  <c r="G53" i="139"/>
  <c r="M53" i="139" s="1"/>
  <c r="L52" i="139"/>
  <c r="G52" i="139"/>
  <c r="M52" i="139" s="1"/>
  <c r="L51" i="139"/>
  <c r="G51" i="139"/>
  <c r="M51" i="139" s="1"/>
  <c r="L50" i="139"/>
  <c r="G50" i="139"/>
  <c r="L49" i="139"/>
  <c r="G49" i="139"/>
  <c r="M49" i="139" s="1"/>
  <c r="L48" i="139"/>
  <c r="G48" i="139"/>
  <c r="M48" i="139" s="1"/>
  <c r="L47" i="139"/>
  <c r="G47" i="139"/>
  <c r="L44" i="139"/>
  <c r="G44" i="139"/>
  <c r="M44" i="139" s="1"/>
  <c r="L43" i="139"/>
  <c r="G43" i="139"/>
  <c r="M43" i="139" s="1"/>
  <c r="L42" i="139"/>
  <c r="G42" i="139"/>
  <c r="L41" i="139"/>
  <c r="M41" i="139" s="1"/>
  <c r="G41" i="139"/>
  <c r="L40" i="139"/>
  <c r="G40" i="139"/>
  <c r="M40" i="139" s="1"/>
  <c r="L39" i="139"/>
  <c r="G39" i="139"/>
  <c r="L38" i="139"/>
  <c r="G38" i="139"/>
  <c r="M38" i="139" s="1"/>
  <c r="L37" i="139"/>
  <c r="G37" i="139"/>
  <c r="M37" i="139" s="1"/>
  <c r="L36" i="139"/>
  <c r="G36" i="139"/>
  <c r="L35" i="139"/>
  <c r="G35" i="139"/>
  <c r="L34" i="139"/>
  <c r="G34" i="139"/>
  <c r="L33" i="139"/>
  <c r="G33" i="139"/>
  <c r="L32" i="139"/>
  <c r="G32" i="139"/>
  <c r="L31" i="139"/>
  <c r="G31" i="139"/>
  <c r="O37" i="139" s="1"/>
  <c r="R37" i="139" s="1"/>
  <c r="V37" i="139" s="1"/>
  <c r="X37" i="139" s="1"/>
  <c r="Y37" i="139" s="1"/>
  <c r="L30" i="139"/>
  <c r="G30" i="139"/>
  <c r="M30" i="139" s="1"/>
  <c r="L29" i="139"/>
  <c r="G29" i="139"/>
  <c r="M29" i="139" s="1"/>
  <c r="L28" i="139"/>
  <c r="G28" i="139"/>
  <c r="M28" i="139" s="1"/>
  <c r="L27" i="139"/>
  <c r="G27" i="139"/>
  <c r="M27" i="139" s="1"/>
  <c r="L26" i="139"/>
  <c r="G26" i="139"/>
  <c r="M26" i="139" s="1"/>
  <c r="L25" i="139"/>
  <c r="G25" i="139"/>
  <c r="L24" i="139"/>
  <c r="G24" i="139"/>
  <c r="L23" i="139"/>
  <c r="G23" i="139"/>
  <c r="L22" i="139"/>
  <c r="G22" i="139"/>
  <c r="L21" i="139"/>
  <c r="G21" i="139"/>
  <c r="L20" i="139"/>
  <c r="G20" i="139"/>
  <c r="L19" i="139"/>
  <c r="G19" i="139"/>
  <c r="L18" i="139"/>
  <c r="G18" i="139"/>
  <c r="L17" i="139"/>
  <c r="G17" i="139"/>
  <c r="A58" i="140"/>
  <c r="A14" i="140"/>
  <c r="P23" i="139" l="1"/>
  <c r="R23" i="139"/>
  <c r="M20" i="139"/>
  <c r="T23" i="139"/>
  <c r="U23" i="139" s="1"/>
  <c r="Q88" i="139"/>
  <c r="W88" i="139"/>
  <c r="W58" i="139" s="1"/>
  <c r="P30" i="139"/>
  <c r="O30" i="139"/>
  <c r="R30" i="139" s="1"/>
  <c r="T30" i="139"/>
  <c r="U30" i="139" s="1"/>
  <c r="M42" i="139"/>
  <c r="O53" i="139"/>
  <c r="O88" i="139"/>
  <c r="P37" i="139"/>
  <c r="W97" i="139"/>
  <c r="O74" i="139"/>
  <c r="O97" i="139"/>
  <c r="M47" i="139"/>
  <c r="M94" i="139"/>
  <c r="T81" i="139"/>
  <c r="U81" i="139" s="1"/>
  <c r="P53" i="139"/>
  <c r="M68" i="139"/>
  <c r="M75" i="139"/>
  <c r="P44" i="139"/>
  <c r="W53" i="139"/>
  <c r="P74" i="139"/>
  <c r="M82" i="139"/>
  <c r="T67" i="139"/>
  <c r="T97" i="139"/>
  <c r="U97" i="139" s="1"/>
  <c r="W44" i="139"/>
  <c r="Q53" i="139"/>
  <c r="L58" i="139"/>
  <c r="L12" i="139" s="1"/>
  <c r="Q74" i="139"/>
  <c r="P97" i="139"/>
  <c r="O44" i="139"/>
  <c r="O67" i="139"/>
  <c r="O81" i="139"/>
  <c r="Q97" i="139"/>
  <c r="G14" i="139"/>
  <c r="G12" i="139" s="1"/>
  <c r="Q30" i="139"/>
  <c r="W30" i="139"/>
  <c r="Q44" i="139"/>
  <c r="T53" i="139"/>
  <c r="U53" i="139" s="1"/>
  <c r="Q67" i="139"/>
  <c r="T74" i="139"/>
  <c r="U74" i="139" s="1"/>
  <c r="Q81" i="139"/>
  <c r="A12" i="140"/>
  <c r="L97" i="140"/>
  <c r="G97" i="140"/>
  <c r="L96" i="140"/>
  <c r="G96" i="140"/>
  <c r="M96" i="140" s="1"/>
  <c r="L95" i="140"/>
  <c r="G95" i="140"/>
  <c r="L94" i="140"/>
  <c r="G94" i="140"/>
  <c r="L92" i="140"/>
  <c r="G92" i="140"/>
  <c r="M92" i="140" s="1"/>
  <c r="L91" i="140"/>
  <c r="G91" i="140"/>
  <c r="L88" i="140"/>
  <c r="M88" i="140" s="1"/>
  <c r="G88" i="140"/>
  <c r="L87" i="140"/>
  <c r="G87" i="140"/>
  <c r="M87" i="140" s="1"/>
  <c r="L86" i="140"/>
  <c r="G86" i="140"/>
  <c r="L85" i="140"/>
  <c r="G85" i="140"/>
  <c r="L84" i="140"/>
  <c r="G84" i="140"/>
  <c r="M84" i="140" s="1"/>
  <c r="L83" i="140"/>
  <c r="M83" i="140" s="1"/>
  <c r="G83" i="140"/>
  <c r="L82" i="140"/>
  <c r="W88" i="140" s="1"/>
  <c r="G82" i="140"/>
  <c r="L81" i="140"/>
  <c r="G81" i="140"/>
  <c r="M81" i="140" s="1"/>
  <c r="L80" i="140"/>
  <c r="G80" i="140"/>
  <c r="L79" i="140"/>
  <c r="M79" i="140" s="1"/>
  <c r="G79" i="140"/>
  <c r="L78" i="140"/>
  <c r="G78" i="140"/>
  <c r="M78" i="140" s="1"/>
  <c r="L77" i="140"/>
  <c r="G77" i="140"/>
  <c r="L76" i="140"/>
  <c r="G76" i="140"/>
  <c r="L75" i="140"/>
  <c r="G75" i="140"/>
  <c r="M75" i="140" s="1"/>
  <c r="L74" i="140"/>
  <c r="G74" i="140"/>
  <c r="L73" i="140"/>
  <c r="G73" i="140"/>
  <c r="L72" i="140"/>
  <c r="G72" i="140"/>
  <c r="L71" i="140"/>
  <c r="G71" i="140"/>
  <c r="L70" i="140"/>
  <c r="G70" i="140"/>
  <c r="L69" i="140"/>
  <c r="G69" i="140"/>
  <c r="M69" i="140" s="1"/>
  <c r="L68" i="140"/>
  <c r="G68" i="140"/>
  <c r="L67" i="140"/>
  <c r="G67" i="140"/>
  <c r="L66" i="140"/>
  <c r="G66" i="140"/>
  <c r="M66" i="140" s="1"/>
  <c r="L65" i="140"/>
  <c r="G65" i="140"/>
  <c r="L64" i="140"/>
  <c r="M64" i="140" s="1"/>
  <c r="G64" i="140"/>
  <c r="L63" i="140"/>
  <c r="G63" i="140"/>
  <c r="M63" i="140" s="1"/>
  <c r="L62" i="140"/>
  <c r="G62" i="140"/>
  <c r="L61" i="140"/>
  <c r="G61" i="140"/>
  <c r="L53" i="140"/>
  <c r="G53" i="140"/>
  <c r="M53" i="140" s="1"/>
  <c r="L52" i="140"/>
  <c r="G52" i="140"/>
  <c r="L51" i="140"/>
  <c r="G51" i="140"/>
  <c r="L50" i="140"/>
  <c r="G50" i="140"/>
  <c r="M50" i="140" s="1"/>
  <c r="L49" i="140"/>
  <c r="G49" i="140"/>
  <c r="L48" i="140"/>
  <c r="G48" i="140"/>
  <c r="L47" i="140"/>
  <c r="G47" i="140"/>
  <c r="M47" i="140" s="1"/>
  <c r="L44" i="140"/>
  <c r="G44" i="140"/>
  <c r="L43" i="140"/>
  <c r="G43" i="140"/>
  <c r="L42" i="140"/>
  <c r="G42" i="140"/>
  <c r="M42" i="140" s="1"/>
  <c r="L41" i="140"/>
  <c r="G41" i="140"/>
  <c r="L40" i="140"/>
  <c r="G40" i="140"/>
  <c r="L39" i="140"/>
  <c r="G39" i="140"/>
  <c r="M39" i="140" s="1"/>
  <c r="L38" i="140"/>
  <c r="G38" i="140"/>
  <c r="L37" i="140"/>
  <c r="G37" i="140"/>
  <c r="L36" i="140"/>
  <c r="G36" i="140"/>
  <c r="M36" i="140" s="1"/>
  <c r="L35" i="140"/>
  <c r="M35" i="140" s="1"/>
  <c r="G35" i="140"/>
  <c r="L34" i="140"/>
  <c r="G34" i="140"/>
  <c r="G33" i="140"/>
  <c r="M33" i="140" s="1"/>
  <c r="L32" i="140"/>
  <c r="G32" i="140"/>
  <c r="L31" i="140"/>
  <c r="G31" i="140"/>
  <c r="M31" i="140" s="1"/>
  <c r="L30" i="140"/>
  <c r="G30" i="140"/>
  <c r="M30" i="140" s="1"/>
  <c r="L29" i="140"/>
  <c r="G29" i="140"/>
  <c r="L28" i="140"/>
  <c r="G28" i="140"/>
  <c r="L27" i="140"/>
  <c r="G27" i="140"/>
  <c r="M27" i="140" s="1"/>
  <c r="L26" i="140"/>
  <c r="G26" i="140"/>
  <c r="L25" i="140"/>
  <c r="G25" i="140"/>
  <c r="M25" i="140" s="1"/>
  <c r="L24" i="140"/>
  <c r="G24" i="140"/>
  <c r="M24" i="140" s="1"/>
  <c r="L23" i="140"/>
  <c r="G23" i="140"/>
  <c r="L22" i="140"/>
  <c r="G22" i="140"/>
  <c r="M22" i="140" s="1"/>
  <c r="L21" i="140"/>
  <c r="G21" i="140"/>
  <c r="M21" i="140" s="1"/>
  <c r="L20" i="140"/>
  <c r="G20" i="140"/>
  <c r="T23" i="140" s="1"/>
  <c r="U23" i="140" s="1"/>
  <c r="L19" i="140"/>
  <c r="G19" i="140"/>
  <c r="M19" i="140" s="1"/>
  <c r="L18" i="140"/>
  <c r="G18" i="140"/>
  <c r="M18" i="140" s="1"/>
  <c r="L17" i="140"/>
  <c r="G17" i="140"/>
  <c r="R74" i="139" l="1"/>
  <c r="V74" i="139" s="1"/>
  <c r="S30" i="139"/>
  <c r="V30" i="139"/>
  <c r="X30" i="139" s="1"/>
  <c r="Y30" i="139" s="1"/>
  <c r="R53" i="139"/>
  <c r="V53" i="139" s="1"/>
  <c r="X53" i="139" s="1"/>
  <c r="Y53" i="139" s="1"/>
  <c r="V23" i="139"/>
  <c r="X23" i="139" s="1"/>
  <c r="Y23" i="139" s="1"/>
  <c r="S37" i="139"/>
  <c r="Z37" i="139" s="1"/>
  <c r="T58" i="139"/>
  <c r="U67" i="139"/>
  <c r="W14" i="139"/>
  <c r="W12" i="139" s="1"/>
  <c r="R88" i="139"/>
  <c r="V88" i="139" s="1"/>
  <c r="X88" i="139" s="1"/>
  <c r="R97" i="139"/>
  <c r="T14" i="139"/>
  <c r="Q23" i="140"/>
  <c r="M72" i="140"/>
  <c r="W81" i="140"/>
  <c r="M34" i="140"/>
  <c r="M37" i="140"/>
  <c r="M40" i="140"/>
  <c r="M43" i="140"/>
  <c r="M48" i="140"/>
  <c r="M51" i="140"/>
  <c r="M61" i="140"/>
  <c r="M67" i="140"/>
  <c r="M70" i="140"/>
  <c r="M73" i="140"/>
  <c r="M76" i="140"/>
  <c r="M82" i="140"/>
  <c r="M85" i="140"/>
  <c r="M94" i="140"/>
  <c r="M97" i="140"/>
  <c r="M28" i="140"/>
  <c r="Q37" i="140"/>
  <c r="W37" i="140"/>
  <c r="M38" i="140"/>
  <c r="M41" i="140"/>
  <c r="M44" i="140"/>
  <c r="M49" i="140"/>
  <c r="M52" i="140"/>
  <c r="M62" i="140"/>
  <c r="M65" i="140"/>
  <c r="M68" i="140"/>
  <c r="M71" i="140"/>
  <c r="M74" i="140"/>
  <c r="M77" i="140"/>
  <c r="M80" i="140"/>
  <c r="M86" i="140"/>
  <c r="M91" i="140"/>
  <c r="M95" i="140"/>
  <c r="P23" i="140"/>
  <c r="O23" i="140"/>
  <c r="R23" i="140" s="1"/>
  <c r="M17" i="140"/>
  <c r="G14" i="140"/>
  <c r="M20" i="140"/>
  <c r="M23" i="140"/>
  <c r="M26" i="140"/>
  <c r="M29" i="140"/>
  <c r="M32" i="140"/>
  <c r="S74" i="139"/>
  <c r="R67" i="139"/>
  <c r="V67" i="139" s="1"/>
  <c r="X67" i="139" s="1"/>
  <c r="R81" i="139"/>
  <c r="R44" i="139"/>
  <c r="V44" i="139" s="1"/>
  <c r="X44" i="139" s="1"/>
  <c r="Y44" i="139" s="1"/>
  <c r="L14" i="140"/>
  <c r="O74" i="140"/>
  <c r="G58" i="140"/>
  <c r="P88" i="140"/>
  <c r="W67" i="140"/>
  <c r="W74" i="140"/>
  <c r="Q97" i="140"/>
  <c r="W30" i="140"/>
  <c r="T74" i="140"/>
  <c r="U74" i="140" s="1"/>
  <c r="T88" i="140"/>
  <c r="U88" i="140" s="1"/>
  <c r="T30" i="140"/>
  <c r="U30" i="140" s="1"/>
  <c r="P44" i="140"/>
  <c r="P53" i="140"/>
  <c r="T67" i="140"/>
  <c r="T81" i="140"/>
  <c r="U81" i="140" s="1"/>
  <c r="T97" i="140"/>
  <c r="U97" i="140" s="1"/>
  <c r="P67" i="140"/>
  <c r="P81" i="140"/>
  <c r="P97" i="140"/>
  <c r="L58" i="140"/>
  <c r="Q67" i="140"/>
  <c r="O67" i="140"/>
  <c r="O81" i="140"/>
  <c r="O97" i="140"/>
  <c r="W97" i="140"/>
  <c r="O88" i="140"/>
  <c r="Q81" i="140"/>
  <c r="P74" i="140"/>
  <c r="Q74" i="140"/>
  <c r="Q88" i="140"/>
  <c r="W44" i="140"/>
  <c r="O30" i="140"/>
  <c r="P37" i="140"/>
  <c r="T44" i="140"/>
  <c r="U44" i="140" s="1"/>
  <c r="W53" i="140"/>
  <c r="O44" i="140"/>
  <c r="P30" i="140"/>
  <c r="Q53" i="140"/>
  <c r="Q30" i="140"/>
  <c r="T37" i="140"/>
  <c r="U37" i="140" s="1"/>
  <c r="Q44" i="140"/>
  <c r="T53" i="140"/>
  <c r="U53" i="140" s="1"/>
  <c r="O37" i="140"/>
  <c r="O53" i="140"/>
  <c r="R74" i="140" l="1"/>
  <c r="V74" i="140" s="1"/>
  <c r="X74" i="140" s="1"/>
  <c r="Y74" i="140" s="1"/>
  <c r="S53" i="139"/>
  <c r="S97" i="139"/>
  <c r="V97" i="139"/>
  <c r="X97" i="139" s="1"/>
  <c r="Y97" i="139" s="1"/>
  <c r="Z97" i="139" s="1"/>
  <c r="R14" i="139"/>
  <c r="Z53" i="139"/>
  <c r="S23" i="140"/>
  <c r="V23" i="140"/>
  <c r="X23" i="140" s="1"/>
  <c r="Y88" i="139"/>
  <c r="T12" i="139"/>
  <c r="S88" i="139"/>
  <c r="U14" i="139"/>
  <c r="V81" i="139"/>
  <c r="X81" i="139" s="1"/>
  <c r="Y81" i="139" s="1"/>
  <c r="X74" i="139"/>
  <c r="Y74" i="139" s="1"/>
  <c r="Z74" i="139" s="1"/>
  <c r="S23" i="139"/>
  <c r="Z23" i="139" s="1"/>
  <c r="U58" i="139"/>
  <c r="Y67" i="139"/>
  <c r="R37" i="140"/>
  <c r="V37" i="140" s="1"/>
  <c r="W58" i="140"/>
  <c r="W14" i="140"/>
  <c r="G12" i="140"/>
  <c r="U67" i="140"/>
  <c r="U58" i="140" s="1"/>
  <c r="T58" i="140"/>
  <c r="T14" i="140"/>
  <c r="T12" i="140" s="1"/>
  <c r="U14" i="140"/>
  <c r="L12" i="140"/>
  <c r="Z30" i="139"/>
  <c r="S81" i="139"/>
  <c r="S44" i="139"/>
  <c r="R58" i="139"/>
  <c r="R12" i="139" s="1"/>
  <c r="S67" i="139"/>
  <c r="R30" i="140"/>
  <c r="R97" i="140"/>
  <c r="R81" i="140"/>
  <c r="V81" i="140" s="1"/>
  <c r="R67" i="140"/>
  <c r="V67" i="140" s="1"/>
  <c r="S74" i="140"/>
  <c r="R88" i="140"/>
  <c r="V88" i="140" s="1"/>
  <c r="R44" i="140"/>
  <c r="R53" i="140"/>
  <c r="M37" i="137"/>
  <c r="L37" i="137"/>
  <c r="K37" i="137"/>
  <c r="J37" i="137"/>
  <c r="I37" i="137"/>
  <c r="H37" i="137"/>
  <c r="G37" i="137"/>
  <c r="U11" i="50"/>
  <c r="I25" i="137" l="1"/>
  <c r="N37" i="137"/>
  <c r="D25" i="137"/>
  <c r="F25" i="137"/>
  <c r="C25" i="137"/>
  <c r="E25" i="137"/>
  <c r="Y23" i="140"/>
  <c r="Z23" i="140" s="1"/>
  <c r="U12" i="139"/>
  <c r="Z88" i="139"/>
  <c r="V58" i="139"/>
  <c r="V14" i="139"/>
  <c r="Z67" i="139"/>
  <c r="W12" i="140"/>
  <c r="S97" i="140"/>
  <c r="V97" i="140"/>
  <c r="X97" i="140" s="1"/>
  <c r="Y97" i="140" s="1"/>
  <c r="S30" i="140"/>
  <c r="V30" i="140"/>
  <c r="X30" i="140" s="1"/>
  <c r="Y30" i="140" s="1"/>
  <c r="Z30" i="140" s="1"/>
  <c r="Z74" i="140"/>
  <c r="U12" i="140"/>
  <c r="S53" i="140"/>
  <c r="V53" i="140"/>
  <c r="X53" i="140" s="1"/>
  <c r="Y53" i="140" s="1"/>
  <c r="Z53" i="140" s="1"/>
  <c r="V58" i="140"/>
  <c r="S44" i="140"/>
  <c r="V44" i="140"/>
  <c r="X44" i="140" s="1"/>
  <c r="Y44" i="140" s="1"/>
  <c r="Z44" i="140" s="1"/>
  <c r="S81" i="140"/>
  <c r="X14" i="139"/>
  <c r="R14" i="140"/>
  <c r="X58" i="139"/>
  <c r="Z81" i="139"/>
  <c r="Z44" i="139"/>
  <c r="X81" i="140"/>
  <c r="Y81" i="140" s="1"/>
  <c r="X88" i="140"/>
  <c r="Y88" i="140" s="1"/>
  <c r="S88" i="140"/>
  <c r="S67" i="140"/>
  <c r="X67" i="140"/>
  <c r="R58" i="140"/>
  <c r="X37" i="140"/>
  <c r="Y37" i="140" s="1"/>
  <c r="S37" i="140"/>
  <c r="G25" i="137" l="1"/>
  <c r="E68" i="154"/>
  <c r="E68" i="155"/>
  <c r="Z97" i="140"/>
  <c r="V12" i="139"/>
  <c r="V14" i="140"/>
  <c r="V12" i="140" s="1"/>
  <c r="Z81" i="140"/>
  <c r="X12" i="139"/>
  <c r="Z14" i="139"/>
  <c r="R12" i="140"/>
  <c r="Z58" i="139"/>
  <c r="Z37" i="140"/>
  <c r="Z88" i="140"/>
  <c r="Y67" i="140"/>
  <c r="Z67" i="140" s="1"/>
  <c r="X58" i="140"/>
  <c r="E81" i="89" l="1"/>
  <c r="Z12" i="139"/>
  <c r="Z14" i="140"/>
  <c r="X14" i="140"/>
  <c r="Z58" i="140"/>
  <c r="X12" i="140" l="1"/>
  <c r="D12" i="31" s="1"/>
  <c r="Z12" i="140"/>
  <c r="S22" i="128" l="1"/>
  <c r="P14" i="134" l="1"/>
  <c r="C14" i="134"/>
  <c r="F14" i="134"/>
  <c r="F17" i="131" l="1"/>
  <c r="B14" i="134"/>
  <c r="D14" i="134"/>
  <c r="J14" i="134"/>
  <c r="F19" i="131" l="1"/>
  <c r="F23" i="131"/>
  <c r="F37" i="131"/>
  <c r="H14" i="134"/>
  <c r="L14" i="134" s="1"/>
  <c r="F38" i="131" l="1"/>
  <c r="F39" i="131" s="1"/>
  <c r="F21" i="132"/>
  <c r="E11" i="153" l="1"/>
  <c r="B10" i="150"/>
  <c r="E10" i="150" s="1"/>
  <c r="E13" i="153"/>
  <c r="B13" i="150"/>
  <c r="E13" i="150" s="1"/>
  <c r="I12" i="133"/>
  <c r="I26" i="133" s="1"/>
  <c r="C21" i="132"/>
  <c r="B21" i="132"/>
  <c r="H21" i="132"/>
  <c r="I14" i="132" l="1"/>
  <c r="J14" i="132" s="1"/>
  <c r="I27" i="133"/>
  <c r="I28" i="133" s="1"/>
  <c r="G7" i="134"/>
  <c r="E14" i="134"/>
  <c r="E21" i="132"/>
  <c r="G21" i="132"/>
  <c r="K14" i="132" l="1"/>
  <c r="L14" i="132" s="1"/>
  <c r="M14" i="132"/>
  <c r="Q14" i="134"/>
  <c r="O14" i="134"/>
  <c r="I21" i="132"/>
  <c r="D31" i="131" l="1"/>
  <c r="C31" i="131" s="1"/>
  <c r="D32" i="131"/>
  <c r="K30" i="131"/>
  <c r="K7" i="134"/>
  <c r="R7" i="134"/>
  <c r="T7" i="134" s="1"/>
  <c r="D13" i="131" s="1"/>
  <c r="G14" i="134"/>
  <c r="J21" i="132"/>
  <c r="C32" i="131" l="1"/>
  <c r="K32" i="131" s="1"/>
  <c r="D33" i="131"/>
  <c r="K31" i="131"/>
  <c r="K21" i="132"/>
  <c r="F24" i="132" s="1"/>
  <c r="M24" i="132" s="1"/>
  <c r="S14" i="134"/>
  <c r="R14" i="134"/>
  <c r="M21" i="132"/>
  <c r="N14" i="132" s="1"/>
  <c r="C33" i="131" l="1"/>
  <c r="K33" i="131" s="1"/>
  <c r="C10" i="124"/>
  <c r="D10" i="124" s="1"/>
  <c r="F10" i="124" s="1"/>
  <c r="H10" i="124" s="1"/>
  <c r="H13" i="124" s="1"/>
  <c r="D6" i="124" s="1"/>
  <c r="D7" i="124" s="1"/>
  <c r="J7" i="124" s="1"/>
  <c r="E42" i="155" s="1"/>
  <c r="E39" i="155" s="1"/>
  <c r="H26" i="22"/>
  <c r="I26" i="22"/>
  <c r="H25" i="104"/>
  <c r="D6" i="131" l="1"/>
  <c r="N21" i="132"/>
  <c r="H7" i="124"/>
  <c r="E42" i="154" s="1"/>
  <c r="F7" i="124"/>
  <c r="E42" i="151" s="1"/>
  <c r="E7" i="124"/>
  <c r="E42" i="89" s="1"/>
  <c r="K7" i="124"/>
  <c r="E42" i="150" s="1"/>
  <c r="I7" i="124"/>
  <c r="E42" i="152" s="1"/>
  <c r="G7" i="124"/>
  <c r="E42" i="153" s="1"/>
  <c r="B9" i="150"/>
  <c r="E9" i="150" s="1"/>
  <c r="E14" i="153"/>
  <c r="E14" i="152"/>
  <c r="B14" i="150"/>
  <c r="E14" i="150" s="1"/>
  <c r="C6" i="131" l="1"/>
  <c r="E8" i="153"/>
  <c r="E7" i="150"/>
  <c r="E7" i="151"/>
  <c r="E7" i="152"/>
  <c r="C8" i="131" l="1"/>
  <c r="D14" i="131"/>
  <c r="G21" i="109"/>
  <c r="I21" i="109"/>
  <c r="D13" i="124"/>
  <c r="F15" i="130"/>
  <c r="G15" i="130" s="1"/>
  <c r="H15" i="130" s="1"/>
  <c r="I15" i="130" s="1"/>
  <c r="J15" i="130" s="1"/>
  <c r="F14" i="130"/>
  <c r="G14" i="130" s="1"/>
  <c r="H14" i="130" s="1"/>
  <c r="I14" i="130" s="1"/>
  <c r="J14" i="130" s="1"/>
  <c r="T17" i="50"/>
  <c r="U17" i="50" s="1"/>
  <c r="U18" i="50" s="1"/>
  <c r="T16" i="50"/>
  <c r="U16" i="50" s="1"/>
  <c r="T15" i="50"/>
  <c r="U15" i="50" s="1"/>
  <c r="T14" i="50"/>
  <c r="U14" i="50" s="1"/>
  <c r="T13" i="50"/>
  <c r="U13" i="50" s="1"/>
  <c r="T12" i="50"/>
  <c r="U12" i="50" s="1"/>
  <c r="S17" i="50"/>
  <c r="S16" i="50"/>
  <c r="S15" i="50"/>
  <c r="S14" i="50"/>
  <c r="S13" i="50"/>
  <c r="D15" i="131" l="1"/>
  <c r="C15" i="131" s="1"/>
  <c r="K15" i="131" s="1"/>
  <c r="C14" i="131"/>
  <c r="K9" i="131"/>
  <c r="E65" i="153"/>
  <c r="E65" i="152"/>
  <c r="E65" i="151"/>
  <c r="E65" i="150"/>
  <c r="B65" i="89"/>
  <c r="E65" i="89" s="1"/>
  <c r="C13" i="124"/>
  <c r="E24" i="130"/>
  <c r="E11" i="130"/>
  <c r="E10" i="130"/>
  <c r="F10" i="130" s="1"/>
  <c r="G10" i="130" s="1"/>
  <c r="H10" i="130" s="1"/>
  <c r="I10" i="130" s="1"/>
  <c r="J10" i="130" s="1"/>
  <c r="E9" i="130"/>
  <c r="F9" i="130" s="1"/>
  <c r="G9" i="130" s="1"/>
  <c r="H9" i="130" s="1"/>
  <c r="I9" i="130" s="1"/>
  <c r="J9" i="130" s="1"/>
  <c r="D17" i="131" l="1"/>
  <c r="C17" i="131" s="1"/>
  <c r="E82" i="89"/>
  <c r="F24" i="130"/>
  <c r="G24" i="130" s="1"/>
  <c r="H24" i="130" s="1"/>
  <c r="I24" i="130" s="1"/>
  <c r="J24" i="130" s="1"/>
  <c r="F11" i="130"/>
  <c r="G11" i="130" s="1"/>
  <c r="H11" i="130" s="1"/>
  <c r="I11" i="130" s="1"/>
  <c r="J11" i="130" s="1"/>
  <c r="C23" i="131" l="1"/>
  <c r="K17" i="131"/>
  <c r="D37" i="131"/>
  <c r="C37" i="131" s="1"/>
  <c r="D23" i="131"/>
  <c r="D19" i="131"/>
  <c r="E7" i="130"/>
  <c r="F7" i="130" s="1"/>
  <c r="G7" i="130" s="1"/>
  <c r="H7" i="130" s="1"/>
  <c r="I7" i="130" s="1"/>
  <c r="J7" i="130" s="1"/>
  <c r="K23" i="131" l="1"/>
  <c r="D38" i="131"/>
  <c r="D39" i="131" s="1"/>
  <c r="K37" i="131"/>
  <c r="H23" i="96"/>
  <c r="N23" i="96" s="1"/>
  <c r="H22" i="96"/>
  <c r="B5" i="96" l="1"/>
  <c r="N22" i="96"/>
  <c r="C38" i="131"/>
  <c r="K38" i="131" s="1"/>
  <c r="J22" i="96"/>
  <c r="C5" i="96" s="1"/>
  <c r="J23" i="96"/>
  <c r="E33" i="130"/>
  <c r="F33" i="130" s="1"/>
  <c r="G33" i="130" s="1"/>
  <c r="H33" i="130" s="1"/>
  <c r="I33" i="130" s="1"/>
  <c r="J33" i="130" s="1"/>
  <c r="E32" i="130"/>
  <c r="F32" i="130" s="1"/>
  <c r="G32" i="130" s="1"/>
  <c r="H32" i="130" s="1"/>
  <c r="I32" i="130" s="1"/>
  <c r="J32" i="130" s="1"/>
  <c r="E31" i="130"/>
  <c r="F31" i="130" s="1"/>
  <c r="G31" i="130" s="1"/>
  <c r="H31" i="130" s="1"/>
  <c r="I31" i="130" s="1"/>
  <c r="J31" i="130" s="1"/>
  <c r="E30" i="130"/>
  <c r="F30" i="130" s="1"/>
  <c r="G30" i="130" s="1"/>
  <c r="H30" i="130" s="1"/>
  <c r="I30" i="130" s="1"/>
  <c r="J30" i="130" s="1"/>
  <c r="E29" i="130"/>
  <c r="F29" i="130" s="1"/>
  <c r="G29" i="130" s="1"/>
  <c r="H29" i="130" s="1"/>
  <c r="I29" i="130" s="1"/>
  <c r="J29" i="130" s="1"/>
  <c r="E28" i="130"/>
  <c r="F28" i="130" s="1"/>
  <c r="G28" i="130" s="1"/>
  <c r="H28" i="130" s="1"/>
  <c r="I28" i="130" s="1"/>
  <c r="J28" i="130" s="1"/>
  <c r="E27" i="130"/>
  <c r="F27" i="130" s="1"/>
  <c r="G27" i="130" s="1"/>
  <c r="H27" i="130" s="1"/>
  <c r="I27" i="130" s="1"/>
  <c r="J27" i="130" s="1"/>
  <c r="E26" i="130"/>
  <c r="F26" i="130" s="1"/>
  <c r="G26" i="130" s="1"/>
  <c r="H26" i="130" s="1"/>
  <c r="I26" i="130" s="1"/>
  <c r="J26" i="130" s="1"/>
  <c r="E25" i="130"/>
  <c r="F25" i="130" s="1"/>
  <c r="G25" i="130" s="1"/>
  <c r="H25" i="130" s="1"/>
  <c r="I25" i="130" s="1"/>
  <c r="J25" i="130" s="1"/>
  <c r="E23" i="130"/>
  <c r="F23" i="130" s="1"/>
  <c r="G23" i="130" s="1"/>
  <c r="H23" i="130" s="1"/>
  <c r="I23" i="130" s="1"/>
  <c r="J23" i="130" s="1"/>
  <c r="E22" i="130"/>
  <c r="F22" i="130" s="1"/>
  <c r="G22" i="130" s="1"/>
  <c r="H22" i="130" s="1"/>
  <c r="I22" i="130" s="1"/>
  <c r="J22" i="130" s="1"/>
  <c r="E21" i="130"/>
  <c r="F21" i="130" s="1"/>
  <c r="G21" i="130" s="1"/>
  <c r="H21" i="130" s="1"/>
  <c r="I21" i="130" s="1"/>
  <c r="J21" i="130" s="1"/>
  <c r="F18" i="130"/>
  <c r="G18" i="130" s="1"/>
  <c r="H18" i="130" s="1"/>
  <c r="I18" i="130" s="1"/>
  <c r="J18" i="130" s="1"/>
  <c r="F17" i="130"/>
  <c r="G17" i="130" s="1"/>
  <c r="H17" i="130" s="1"/>
  <c r="I17" i="130" s="1"/>
  <c r="J17" i="130" s="1"/>
  <c r="F13" i="130"/>
  <c r="G13" i="130" s="1"/>
  <c r="H13" i="130" s="1"/>
  <c r="I13" i="130" s="1"/>
  <c r="J13" i="130" s="1"/>
  <c r="E12" i="130"/>
  <c r="F12" i="130" s="1"/>
  <c r="G12" i="130" s="1"/>
  <c r="H12" i="130" s="1"/>
  <c r="I12" i="130" s="1"/>
  <c r="J12" i="130" s="1"/>
  <c r="E8" i="130"/>
  <c r="F8" i="130" s="1"/>
  <c r="G8" i="130" s="1"/>
  <c r="H8" i="130" s="1"/>
  <c r="I8" i="130" s="1"/>
  <c r="J8" i="130" s="1"/>
  <c r="E6" i="130"/>
  <c r="F6" i="130" s="1"/>
  <c r="G6" i="130" s="1"/>
  <c r="H6" i="130" s="1"/>
  <c r="I6" i="130" s="1"/>
  <c r="J6" i="130" s="1"/>
  <c r="E5" i="130"/>
  <c r="F5" i="130" s="1"/>
  <c r="G5" i="130" s="1"/>
  <c r="H5" i="130" s="1"/>
  <c r="I5" i="130" s="1"/>
  <c r="J5" i="130" s="1"/>
  <c r="F4" i="130"/>
  <c r="G4" i="130" s="1"/>
  <c r="D34" i="130"/>
  <c r="E33" i="89" l="1"/>
  <c r="E31" i="155"/>
  <c r="E86" i="155" s="1"/>
  <c r="C98" i="155" s="1"/>
  <c r="C100" i="155" s="1"/>
  <c r="E31" i="154"/>
  <c r="B33" i="89"/>
  <c r="D5" i="96"/>
  <c r="C12" i="115" s="1"/>
  <c r="E31" i="153"/>
  <c r="E31" i="152"/>
  <c r="E31" i="151"/>
  <c r="E31" i="150"/>
  <c r="H4" i="130"/>
  <c r="I4" i="130" s="1"/>
  <c r="J4" i="130" s="1"/>
  <c r="F34" i="130"/>
  <c r="E34" i="130"/>
  <c r="G34" i="130" l="1"/>
  <c r="H34" i="130"/>
  <c r="G9" i="128"/>
  <c r="L9" i="128"/>
  <c r="N9" i="128"/>
  <c r="G10" i="128"/>
  <c r="L10" i="128"/>
  <c r="N10" i="128"/>
  <c r="G11" i="128"/>
  <c r="L11" i="128"/>
  <c r="N11" i="128"/>
  <c r="G13" i="128"/>
  <c r="L13" i="128"/>
  <c r="N13" i="128"/>
  <c r="S13" i="128"/>
  <c r="G14" i="128"/>
  <c r="L14" i="128"/>
  <c r="N14" i="128"/>
  <c r="S14" i="128"/>
  <c r="G15" i="128"/>
  <c r="L15" i="128"/>
  <c r="N15" i="128"/>
  <c r="S15" i="128"/>
  <c r="G16" i="128"/>
  <c r="L16" i="128"/>
  <c r="N16" i="128"/>
  <c r="S16" i="128"/>
  <c r="G17" i="128"/>
  <c r="L17" i="128"/>
  <c r="N17" i="128"/>
  <c r="S17" i="128"/>
  <c r="G18" i="128"/>
  <c r="L18" i="128"/>
  <c r="N18" i="128"/>
  <c r="S18" i="128"/>
  <c r="G19" i="128"/>
  <c r="L19" i="128"/>
  <c r="N19" i="128"/>
  <c r="S19" i="128"/>
  <c r="G20" i="128"/>
  <c r="L20" i="128"/>
  <c r="N20" i="128"/>
  <c r="S20" i="128"/>
  <c r="G21" i="128"/>
  <c r="L21" i="128"/>
  <c r="N21" i="128"/>
  <c r="S21" i="128"/>
  <c r="K8" i="127" l="1"/>
  <c r="E56" i="153" s="1"/>
  <c r="J34" i="130"/>
  <c r="I34" i="130"/>
  <c r="AH14" i="126" l="1"/>
  <c r="AH15" i="126"/>
  <c r="AH13" i="126" l="1"/>
  <c r="AH12" i="126"/>
  <c r="AH11" i="126"/>
  <c r="AH17" i="126" l="1"/>
  <c r="A29" i="89"/>
  <c r="I23" i="113"/>
  <c r="J23" i="113"/>
  <c r="H23" i="113"/>
  <c r="B9" i="117"/>
  <c r="A9" i="117"/>
  <c r="F25" i="117" l="1"/>
  <c r="N8" i="126"/>
  <c r="E55" i="152" s="1"/>
  <c r="E52" i="152" s="1"/>
  <c r="K8" i="126"/>
  <c r="E55" i="151" s="1"/>
  <c r="E52" i="151" s="1"/>
  <c r="J8" i="126"/>
  <c r="E55" i="89" s="1"/>
  <c r="M8" i="126"/>
  <c r="E55" i="154" s="1"/>
  <c r="E52" i="154" s="1"/>
  <c r="L8" i="126"/>
  <c r="E55" i="153" s="1"/>
  <c r="E52" i="153" s="1"/>
  <c r="I25" i="104"/>
  <c r="H25" i="117" l="1"/>
  <c r="N64" i="125"/>
  <c r="M64" i="125"/>
  <c r="L64" i="125"/>
  <c r="K64" i="125"/>
  <c r="J64" i="125"/>
  <c r="I64" i="125"/>
  <c r="H64" i="125"/>
  <c r="G64" i="125"/>
  <c r="F64" i="125"/>
  <c r="E64" i="125"/>
  <c r="D64" i="125"/>
  <c r="C64" i="125"/>
  <c r="O64" i="125" s="1"/>
  <c r="N63" i="125"/>
  <c r="M63" i="125"/>
  <c r="L63" i="125"/>
  <c r="K63" i="125"/>
  <c r="J63" i="125"/>
  <c r="I63" i="125"/>
  <c r="H63" i="125"/>
  <c r="G63" i="125"/>
  <c r="F63" i="125"/>
  <c r="E63" i="125"/>
  <c r="D63" i="125"/>
  <c r="C63" i="125"/>
  <c r="O63" i="125" s="1"/>
  <c r="O61" i="125"/>
  <c r="O60" i="125"/>
  <c r="O59" i="125"/>
  <c r="O58" i="125"/>
  <c r="O56" i="125"/>
  <c r="O55" i="125"/>
  <c r="O54" i="125"/>
  <c r="O53" i="125"/>
  <c r="O52" i="125"/>
  <c r="O51" i="125"/>
  <c r="O50" i="125"/>
  <c r="O49" i="125"/>
  <c r="O48" i="125"/>
  <c r="O47" i="125"/>
  <c r="O46" i="125"/>
  <c r="O45" i="125"/>
  <c r="O44" i="125"/>
  <c r="O43" i="125"/>
  <c r="O42" i="125"/>
  <c r="O41" i="125"/>
  <c r="O40" i="125"/>
  <c r="O39" i="125"/>
  <c r="O37" i="125"/>
  <c r="O36" i="125"/>
  <c r="O35" i="125"/>
  <c r="O34" i="125"/>
  <c r="O33" i="125"/>
  <c r="O32" i="125"/>
  <c r="O31" i="125"/>
  <c r="O30" i="125"/>
  <c r="O29" i="125"/>
  <c r="O28" i="125"/>
  <c r="O27" i="125"/>
  <c r="O26" i="125"/>
  <c r="O25" i="125"/>
  <c r="O24" i="125"/>
  <c r="O23" i="125"/>
  <c r="O22" i="125"/>
  <c r="O21" i="125"/>
  <c r="O20" i="125"/>
  <c r="O18" i="125"/>
  <c r="O17" i="125"/>
  <c r="O16" i="125"/>
  <c r="O15" i="125"/>
  <c r="O14" i="125"/>
  <c r="O13" i="125"/>
  <c r="O12" i="125"/>
  <c r="O11" i="125"/>
  <c r="O10" i="125"/>
  <c r="O9" i="125"/>
  <c r="O8" i="125"/>
  <c r="O7" i="125"/>
  <c r="K25" i="117" l="1"/>
  <c r="A2" i="92"/>
  <c r="G3" i="89"/>
  <c r="A100" i="89" s="1"/>
  <c r="A2" i="102"/>
  <c r="B41" i="154" l="1"/>
  <c r="E41" i="154" s="1"/>
  <c r="E39" i="154" s="1"/>
  <c r="D5" i="117"/>
  <c r="H6" i="117"/>
  <c r="D6" i="117" s="1"/>
  <c r="A2" i="147"/>
  <c r="A2" i="141"/>
  <c r="A2" i="31"/>
  <c r="A2" i="139"/>
  <c r="A2" i="140"/>
  <c r="A2" i="40"/>
  <c r="A2" i="124"/>
  <c r="A2" i="107"/>
  <c r="A2" i="125"/>
  <c r="B16" i="110"/>
  <c r="A2" i="122"/>
  <c r="A2" i="1"/>
  <c r="A2" i="35"/>
  <c r="A2" i="22"/>
  <c r="A2" i="117"/>
  <c r="A2" i="109"/>
  <c r="A2" i="96"/>
  <c r="A2" i="104"/>
  <c r="A2" i="113"/>
  <c r="A2" i="115"/>
  <c r="A2" i="18"/>
  <c r="A2" i="24"/>
  <c r="A2" i="30"/>
  <c r="A2" i="34"/>
  <c r="A2" i="103"/>
  <c r="A2" i="82"/>
  <c r="A2" i="123"/>
  <c r="A2" i="50"/>
  <c r="A2" i="121"/>
  <c r="A2" i="25"/>
  <c r="A2" i="84"/>
  <c r="H13" i="18" l="1"/>
  <c r="H14" i="18"/>
  <c r="D73" i="89" l="1"/>
  <c r="E74" i="89"/>
  <c r="E13" i="18"/>
  <c r="E14" i="18"/>
  <c r="J20" i="123" l="1"/>
  <c r="E66" i="153" l="1"/>
  <c r="E60" i="153" s="1"/>
  <c r="E66" i="151"/>
  <c r="E60" i="151" s="1"/>
  <c r="E66" i="150"/>
  <c r="E60" i="150" s="1"/>
  <c r="E66" i="152"/>
  <c r="E60" i="152" s="1"/>
  <c r="B66" i="89"/>
  <c r="E66" i="89" s="1"/>
  <c r="E41" i="89" l="1"/>
  <c r="E39" i="89" s="1"/>
  <c r="E91" i="89" l="1"/>
  <c r="E91" i="150"/>
  <c r="E41" i="153"/>
  <c r="E39" i="153" s="1"/>
  <c r="E39" i="151"/>
  <c r="E41" i="150"/>
  <c r="E39" i="150" s="1"/>
  <c r="E39" i="152"/>
  <c r="K27" i="34"/>
  <c r="D9" i="34" s="1"/>
  <c r="E46" i="154" l="1"/>
  <c r="I10" i="34"/>
  <c r="G17" i="24"/>
  <c r="I14" i="34" l="1"/>
  <c r="E49" i="152"/>
  <c r="E90" i="89"/>
  <c r="E93" i="89" s="1"/>
  <c r="C99" i="89" s="1"/>
  <c r="E94" i="153"/>
  <c r="C100" i="153" s="1"/>
  <c r="E93" i="152"/>
  <c r="C99" i="152" s="1"/>
  <c r="E93" i="151"/>
  <c r="C99" i="151" s="1"/>
  <c r="E90" i="150"/>
  <c r="E93" i="150" s="1"/>
  <c r="C99" i="150" s="1"/>
  <c r="J104" i="92" l="1"/>
  <c r="E72" i="150" l="1"/>
  <c r="E72" i="151"/>
  <c r="E72" i="152"/>
  <c r="K12" i="107"/>
  <c r="J12" i="107"/>
  <c r="I12" i="107"/>
  <c r="H12" i="107"/>
  <c r="E68" i="153" l="1"/>
  <c r="E68" i="152"/>
  <c r="E73" i="151"/>
  <c r="E68" i="151" s="1"/>
  <c r="E73" i="150"/>
  <c r="E68" i="150" s="1"/>
  <c r="E73" i="89"/>
  <c r="L21" i="109"/>
  <c r="C7" i="109" s="1"/>
  <c r="K13" i="107"/>
  <c r="I7" i="109" l="1"/>
  <c r="J7" i="109"/>
  <c r="H7" i="109"/>
  <c r="E7" i="109"/>
  <c r="F7" i="109"/>
  <c r="G7" i="109"/>
  <c r="D7" i="109"/>
  <c r="H10" i="18"/>
  <c r="H12" i="18"/>
  <c r="H5" i="18"/>
  <c r="E10" i="18"/>
  <c r="E12" i="18"/>
  <c r="E20" i="154" l="1"/>
  <c r="E86" i="154" s="1"/>
  <c r="C98" i="154" s="1"/>
  <c r="C100" i="154" s="1"/>
  <c r="E20" i="153" l="1"/>
  <c r="E20" i="152"/>
  <c r="E20" i="151"/>
  <c r="E20" i="150"/>
  <c r="E20" i="89"/>
  <c r="D10" i="89" l="1"/>
  <c r="E10" i="89" s="1"/>
  <c r="D9" i="89"/>
  <c r="E9" i="89" s="1"/>
  <c r="D72" i="89" l="1"/>
  <c r="E72" i="89" s="1"/>
  <c r="D71" i="89"/>
  <c r="E35" i="89"/>
  <c r="E7" i="89" l="1"/>
  <c r="E31" i="89"/>
  <c r="E68" i="89"/>
  <c r="K6" i="82" l="1"/>
  <c r="G6" i="82"/>
  <c r="E18" i="50" l="1"/>
  <c r="H18" i="50"/>
  <c r="I18" i="50"/>
  <c r="J18" i="50"/>
  <c r="K18" i="50"/>
  <c r="L18" i="50"/>
  <c r="M18" i="50"/>
  <c r="N18" i="50"/>
  <c r="N19" i="50" l="1"/>
  <c r="B64" i="89" l="1"/>
  <c r="E46" i="153" l="1"/>
  <c r="E87" i="153" s="1"/>
  <c r="C99" i="153" s="1"/>
  <c r="C101" i="153" s="1"/>
  <c r="E46" i="151"/>
  <c r="E46" i="152"/>
  <c r="E86" i="152" s="1"/>
  <c r="C98" i="152" s="1"/>
  <c r="C100" i="152" s="1"/>
  <c r="E46" i="150"/>
  <c r="E86" i="150" s="1"/>
  <c r="C98" i="150" s="1"/>
  <c r="C100" i="150" s="1"/>
  <c r="E64" i="89"/>
  <c r="E60" i="89" s="1"/>
  <c r="E86" i="151" l="1"/>
  <c r="C98" i="151" s="1"/>
  <c r="C100" i="151" s="1"/>
  <c r="E52" i="89"/>
  <c r="E86" i="89" s="1"/>
  <c r="C98" i="89" s="1"/>
  <c r="C100" i="8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Bischleb, Cornelia</author>
  </authors>
  <commentList>
    <comment ref="L15" authorId="0" shapeId="0" xr:uid="{00000000-0006-0000-0B00-000001000000}">
      <text>
        <r>
          <rPr>
            <b/>
            <sz val="9"/>
            <color indexed="81"/>
            <rFont val="Segoe UI"/>
            <family val="2"/>
          </rPr>
          <t>Bischleb, Cornelia:</t>
        </r>
        <r>
          <rPr>
            <sz val="9"/>
            <color indexed="81"/>
            <rFont val="Segoe UI"/>
            <family val="2"/>
          </rPr>
          <t xml:space="preserve">
Kodierungsliste verwenden;
Kodierung muss in der täglichen Meldung noch nicht erfolgen; erst beim Qualitätsbericht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Bischleb, Cornelia</author>
  </authors>
  <commentList>
    <comment ref="L15" authorId="0" shapeId="0" xr:uid="{00000000-0006-0000-0C00-000001000000}">
      <text>
        <r>
          <rPr>
            <b/>
            <sz val="9"/>
            <color indexed="81"/>
            <rFont val="Segoe UI"/>
            <family val="2"/>
          </rPr>
          <t>Bischleb, Cornelia:</t>
        </r>
        <r>
          <rPr>
            <sz val="9"/>
            <color indexed="81"/>
            <rFont val="Segoe UI"/>
            <family val="2"/>
          </rPr>
          <t xml:space="preserve">
Kodierungsliste verwenden;
Kodierung muss in der täglichen Meldung noch nicht erfolgen; erst beim Qualitätsbericht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TLBV Römhild, Babett</author>
  </authors>
  <commentList>
    <comment ref="W58" authorId="0" shapeId="0" xr:uid="{2FA7D680-AD28-457E-8075-E89595099020}">
      <text>
        <r>
          <rPr>
            <sz val="9"/>
            <color indexed="81"/>
            <rFont val="Segoe UI"/>
            <family val="2"/>
          </rPr>
          <t>Ergibt sich aus dem Soll des VDV abzgl. der geplanten Öffnungszeiten an Tagen, wo geschlossen war.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TLBV Römhild, Babett</author>
  </authors>
  <commentList>
    <comment ref="V15" authorId="0" shapeId="0" xr:uid="{1308127B-1EF8-4584-B2E9-6EBBCD4CAD77}">
      <text>
        <r>
          <rPr>
            <sz val="9"/>
            <color indexed="81"/>
            <rFont val="Segoe UI"/>
            <family val="2"/>
          </rPr>
          <t>Ergibt sich aus dem Soll des VDV abzgl. der geplanten Öffnungszeiten an Tagen, an denen geschlossen war.</t>
        </r>
      </text>
    </comment>
    <comment ref="V59" authorId="0" shapeId="0" xr:uid="{B9E48BC4-13C6-46E2-BC00-B398E5F594E0}">
      <text>
        <r>
          <rPr>
            <sz val="9"/>
            <color indexed="81"/>
            <rFont val="Segoe UI"/>
            <family val="2"/>
          </rPr>
          <t>Ergibt sich aus dem Soll des VDV abzgl. der geplanten Öffnungszeiten an Tagen, wo geschlossen war.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TLBV Römhild, Babett</author>
  </authors>
  <commentList>
    <comment ref="V15" authorId="0" shapeId="0" xr:uid="{A9B22BAF-0369-4511-B3CF-3AE808143EBF}">
      <text>
        <r>
          <rPr>
            <sz val="9"/>
            <color indexed="81"/>
            <rFont val="Segoe UI"/>
            <family val="2"/>
          </rPr>
          <t>Ergibt sich aus dem Soll des VDV abzgl. der geplanten Öffnungszeiten an Tagen, an denen geschlossen war.</t>
        </r>
      </text>
    </comment>
    <comment ref="V59" authorId="0" shapeId="0" xr:uid="{F9794A1C-6D36-458B-8361-9B57FA324262}">
      <text>
        <r>
          <rPr>
            <sz val="9"/>
            <color indexed="81"/>
            <rFont val="Segoe UI"/>
            <family val="2"/>
          </rPr>
          <t>Ergibt sich aus dem Soll des VDV abzgl. der geplanten Öffnungszeiten an Tagen, wo geschlossen war.</t>
        </r>
      </text>
    </comment>
  </commentList>
</comments>
</file>

<file path=xl/sharedStrings.xml><?xml version="1.0" encoding="utf-8"?>
<sst xmlns="http://schemas.openxmlformats.org/spreadsheetml/2006/main" count="5213" uniqueCount="1717">
  <si>
    <t>Linie</t>
  </si>
  <si>
    <t>Linienbeschreibung</t>
  </si>
  <si>
    <t>Anzahl An unpünktlich</t>
  </si>
  <si>
    <t>Anzahl An pünktlich</t>
  </si>
  <si>
    <t>Pünktlichkeits-
niveau An</t>
  </si>
  <si>
    <t>Anzahl Ab unpünktlich</t>
  </si>
  <si>
    <t>Anzahl Ab pünktlich</t>
  </si>
  <si>
    <t>Pünktlichkeits-
niveau Ab</t>
  </si>
  <si>
    <t>Messung
Datum</t>
  </si>
  <si>
    <t>Mess-
stelle</t>
  </si>
  <si>
    <t>Soll-
Ankunft</t>
  </si>
  <si>
    <t>Ist-
Ankunft</t>
  </si>
  <si>
    <t>Abweichung
An in min</t>
  </si>
  <si>
    <t>Ort der 
Anschluss-
gewährung</t>
  </si>
  <si>
    <t>Anschluss 
auf 
Fahrtnummer</t>
  </si>
  <si>
    <t>Verpätung 
des abzuwartenden
Fahrt in min</t>
  </si>
  <si>
    <t>Verkehrs-
unternehmen</t>
  </si>
  <si>
    <t>14</t>
  </si>
  <si>
    <t>Fahrt</t>
  </si>
  <si>
    <t>EVU</t>
  </si>
  <si>
    <t>EVU XXX</t>
  </si>
  <si>
    <t>Erläuterungen:</t>
  </si>
  <si>
    <t>Betreiber</t>
  </si>
  <si>
    <t>Bahnhofsabkürzung nach DS 100</t>
  </si>
  <si>
    <t>Anzahl 
Zugfahrten</t>
  </si>
  <si>
    <t>Operative Zugausfälle</t>
  </si>
  <si>
    <t>Zugnr</t>
  </si>
  <si>
    <t>Datum 
von</t>
  </si>
  <si>
    <t>Datum 
bis</t>
  </si>
  <si>
    <t>Haltepunkt 
von</t>
  </si>
  <si>
    <t>Haltepunkt 
bis</t>
  </si>
  <si>
    <t>Ersatz</t>
  </si>
  <si>
    <t>Ursache</t>
  </si>
  <si>
    <t>Einsatzzeit
BNV in min</t>
  </si>
  <si>
    <t>Weichenstörung</t>
  </si>
  <si>
    <t>Summe</t>
  </si>
  <si>
    <t>Datum von</t>
  </si>
  <si>
    <t>Erster Betriebstag des Ausfallzeitraums - Format siehe Tabelle</t>
  </si>
  <si>
    <t>Datum bis</t>
  </si>
  <si>
    <t>Letzer Betriebstag des Ausfallzeitraums - Format siehe Tabelle</t>
  </si>
  <si>
    <t>Haltepunkt von</t>
  </si>
  <si>
    <t>Haltepunkt bis</t>
  </si>
  <si>
    <t>Anzahl Zugfahrten</t>
  </si>
  <si>
    <t xml:space="preserve">Anzahl der ausgefallenen Zugfahrten </t>
  </si>
  <si>
    <t>ist. Anderenfalls ist der Zeitraum entsprechend zu splitten bzw. muss die taggenaue Meldung erfolgen.</t>
  </si>
  <si>
    <t>ausgefallene Zugkm</t>
  </si>
  <si>
    <t>berechnen sich aus Streckenentfernung und Anzahl der Zugfahrten</t>
  </si>
  <si>
    <t xml:space="preserve">vor dem Taktnachfolger) angeboten, so wird laut Verkehrsvertrag der Zug als Komplettausfall bewertet. In diesem Fall ist die </t>
  </si>
  <si>
    <t>Gesamtstrecke der Zugfahrt für die Berechnung der ausgefallenen Kilometer zugrunde zu legen.</t>
  </si>
  <si>
    <t>Bitte folgende Codierungen verwenden:</t>
  </si>
  <si>
    <t>0 = ohne Ersatz</t>
  </si>
  <si>
    <t>2 = Ersatzverkehr durch anderen Zug vor dem Taktnachfolger</t>
  </si>
  <si>
    <t>operativ/planmäßig</t>
  </si>
  <si>
    <t>0 = operativ</t>
  </si>
  <si>
    <t>1 = planmäßig</t>
  </si>
  <si>
    <t>Einsatzzeit in min</t>
  </si>
  <si>
    <t>Datum</t>
  </si>
  <si>
    <t>Start</t>
  </si>
  <si>
    <t>Ziel</t>
  </si>
  <si>
    <t>Anzahl Fahrten</t>
  </si>
  <si>
    <r>
      <t xml:space="preserve">Nummer </t>
    </r>
    <r>
      <rPr>
        <u/>
        <sz val="10"/>
        <rFont val="Arial"/>
        <family val="2"/>
      </rPr>
      <t>ohne</t>
    </r>
    <r>
      <rPr>
        <sz val="10"/>
        <rFont val="Arial"/>
        <family val="2"/>
      </rPr>
      <t xml:space="preserve"> Gattung</t>
    </r>
  </si>
  <si>
    <t>Abfahrts- 
zeit</t>
  </si>
  <si>
    <t>Fahrzeug-
verband IST</t>
  </si>
  <si>
    <t>Abgestimmt</t>
  </si>
  <si>
    <t>Zugkm pönalisiert</t>
  </si>
  <si>
    <t>Spalte</t>
  </si>
  <si>
    <t>Beschreibung</t>
  </si>
  <si>
    <t>optional</t>
  </si>
  <si>
    <t>obligatorisch</t>
  </si>
  <si>
    <t>Fahrplan-Betriebstag - Datumsformat siehe Tabelle</t>
  </si>
  <si>
    <t>x</t>
  </si>
  <si>
    <t>Kürzel der Starthaltestelle (nach DS 100)</t>
  </si>
  <si>
    <t>Kürzel der Zielhaltestelle (nach DS 100)</t>
  </si>
  <si>
    <t>Kürzel der Starthaltestelle mit Zugbildungsabweichung (nach DS 100) - nur verkürzte Fahrten</t>
  </si>
  <si>
    <t>Kürzel der Zielhaltestelle mit Zugbildungsabweichung (nach DS 100) - nur verkürzte Fahrten</t>
  </si>
  <si>
    <t>Abfahrtszeit</t>
  </si>
  <si>
    <t>Abfahrtszeit laut Fahrplan (Starthaltestelle)</t>
  </si>
  <si>
    <t>Fahrzeugverband IST</t>
  </si>
  <si>
    <r>
      <t>IST-Fahrzeugverband</t>
    </r>
    <r>
      <rPr>
        <sz val="8"/>
        <rFont val="Arial"/>
        <family val="2"/>
      </rPr>
      <t xml:space="preserve"> (sofern Fahrzeugverband unter SOLL-Fahrzeugverband Verkehrsvertrag zurück bleibt.)</t>
    </r>
  </si>
  <si>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</si>
  <si>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</si>
  <si>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</si>
  <si>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</si>
  <si>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</si>
  <si>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</si>
  <si>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</si>
  <si>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</si>
  <si>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</si>
  <si>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</si>
  <si>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</si>
  <si>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</si>
  <si>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</si>
  <si>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</si>
  <si>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</si>
  <si>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</si>
  <si>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</si>
  <si>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</si>
  <si>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</si>
  <si>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</si>
  <si>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</si>
  <si>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</si>
  <si>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</si>
  <si>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</si>
  <si>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</si>
  <si>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</si>
  <si>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</si>
  <si>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</si>
  <si>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</si>
  <si>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</si>
  <si>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W</t>
  </si>
  <si>
    <t>Beginn
Tag</t>
  </si>
  <si>
    <t>Beginn
Std</t>
  </si>
  <si>
    <t>Ende
Tag</t>
  </si>
  <si>
    <t>Ende
Std</t>
  </si>
  <si>
    <t>Dauer (Tage)</t>
  </si>
  <si>
    <t>Störungsart</t>
  </si>
  <si>
    <t>14:40:00</t>
  </si>
  <si>
    <t>12:30:00</t>
  </si>
  <si>
    <t>08:21:00</t>
  </si>
  <si>
    <t>12:00:00</t>
  </si>
  <si>
    <t>Standort</t>
  </si>
  <si>
    <t>06:14:00</t>
  </si>
  <si>
    <t>Tastatur-Störung</t>
  </si>
  <si>
    <t>Kommunikationsstörung</t>
  </si>
  <si>
    <t>Netzteil-Störung</t>
  </si>
  <si>
    <t>Eingang</t>
  </si>
  <si>
    <t>Zug-
nummer</t>
  </si>
  <si>
    <t>Haltepunkt
von</t>
  </si>
  <si>
    <t>Betreiber:</t>
  </si>
  <si>
    <t>Format siehe Tabelle</t>
  </si>
  <si>
    <t>Streckenentfernung der Abweichung</t>
  </si>
  <si>
    <t>Fahrzeug
Nr.</t>
  </si>
  <si>
    <t>Beschreibung der Störung</t>
  </si>
  <si>
    <t>Fzg xxx</t>
  </si>
  <si>
    <t>WC-Spülung defekt (WC nicht benutzbar)</t>
  </si>
  <si>
    <t>EVU (nach Vereinbarung)</t>
  </si>
  <si>
    <t xml:space="preserve">vereinbartes Kürzel </t>
  </si>
  <si>
    <t xml:space="preserve">Summe </t>
  </si>
  <si>
    <t>Automaten-
Nr.</t>
  </si>
  <si>
    <t>xxxxx</t>
  </si>
  <si>
    <t>Anzahl
Zugfahrten</t>
  </si>
  <si>
    <t>Anzahl
Zugfahrten
abweichend</t>
  </si>
  <si>
    <t>Prozent
Zugfahrten
vertragsgerecht</t>
  </si>
  <si>
    <t>mit
BNV</t>
  </si>
  <si>
    <t>mit
EV</t>
  </si>
  <si>
    <t>gesamt</t>
  </si>
  <si>
    <t>Anzahl operativer Ausfälle</t>
  </si>
  <si>
    <t>Anzahl planmäßiger Ausfälle</t>
  </si>
  <si>
    <t>mit
SEV</t>
  </si>
  <si>
    <t>Erläuterung:</t>
  </si>
  <si>
    <t>ohne
BNV/EV</t>
  </si>
  <si>
    <t>Fahrzeug-/
Wagennummer</t>
  </si>
  <si>
    <t>Vertriebsstellenart</t>
  </si>
  <si>
    <t>Anschrift</t>
  </si>
  <si>
    <t>Wochentag</t>
  </si>
  <si>
    <t>Öffnungszeiten</t>
  </si>
  <si>
    <t>Anzahl</t>
  </si>
  <si>
    <t>Nr.</t>
  </si>
  <si>
    <t>Zahlungsmittel</t>
  </si>
  <si>
    <t>Stand: Betriebsbeginn</t>
  </si>
  <si>
    <t>Stand zu Betriebsbeginn</t>
  </si>
  <si>
    <t>Beschwerdestatistik</t>
  </si>
  <si>
    <t>Kontakt-
form</t>
  </si>
  <si>
    <t>Name</t>
  </si>
  <si>
    <t>Straße</t>
  </si>
  <si>
    <t>Plz</t>
  </si>
  <si>
    <t>Ort</t>
  </si>
  <si>
    <t>Fahrzeug</t>
  </si>
  <si>
    <t>Personal</t>
  </si>
  <si>
    <t>Sonstiges</t>
  </si>
  <si>
    <t>Mail</t>
  </si>
  <si>
    <t>Brief</t>
  </si>
  <si>
    <t>Zusammenfassung</t>
  </si>
  <si>
    <t>Anzahl Beschwerden gesamt:</t>
  </si>
  <si>
    <t>Fahrgastinformation</t>
  </si>
  <si>
    <t>Vertrieb</t>
  </si>
  <si>
    <t>Antwort</t>
  </si>
  <si>
    <t>Kurzbeschreibung Inhalt</t>
  </si>
  <si>
    <t>Fahrplanangebot</t>
  </si>
  <si>
    <t>Tarif</t>
  </si>
  <si>
    <t>Fahrplaneinhaltung</t>
  </si>
  <si>
    <r>
      <t xml:space="preserve">Zwischen-
bescheid
</t>
    </r>
    <r>
      <rPr>
        <sz val="8"/>
        <rFont val="Arial"/>
        <family val="2"/>
      </rPr>
      <t>(Antwort 
nicht 
umgehend 
mgl.)</t>
    </r>
  </si>
  <si>
    <t>von</t>
  </si>
  <si>
    <t>nach</t>
  </si>
  <si>
    <t>ab</t>
  </si>
  <si>
    <t>an</t>
  </si>
  <si>
    <t>Mo</t>
  </si>
  <si>
    <t>Di</t>
  </si>
  <si>
    <t>Mi</t>
  </si>
  <si>
    <t>Do</t>
  </si>
  <si>
    <t>Fr</t>
  </si>
  <si>
    <t>Sa</t>
  </si>
  <si>
    <t>So</t>
  </si>
  <si>
    <t>Tage 
Pönale</t>
  </si>
  <si>
    <t>Armlehne Sitz beschädigt</t>
  </si>
  <si>
    <t>Abfahrten vor Plan</t>
  </si>
  <si>
    <t>Abstimmung der veränderten Zugbildung mit Auftraggeber (ja=1; nein=0)</t>
  </si>
  <si>
    <t>Kategorie</t>
  </si>
  <si>
    <t>Dauer 
(Tage)</t>
  </si>
  <si>
    <t>P</t>
  </si>
  <si>
    <t>Minderung pro Stunde Unterschreitung Öffnungszeiten</t>
  </si>
  <si>
    <t>Minderung gesamt</t>
  </si>
  <si>
    <t>Anlage zum monatlichen Qualitätsbericht</t>
  </si>
  <si>
    <r>
      <t xml:space="preserve">Anlage zum monatlichen Qualitätsbericht;
Bei Nutzung ivu.control:
</t>
    </r>
    <r>
      <rPr>
        <sz val="10"/>
        <rFont val="Arial"/>
        <family val="2"/>
      </rPr>
      <t>Die als pünktlich zu bewertenden Züge können 
codiert werden und werden durch die Software auf Basis
der vertraglichen Regelungen berücksichtigt.
Die Dokumentation dient dem Nachweis der Codierungen.</t>
    </r>
  </si>
  <si>
    <t>kein Import</t>
  </si>
  <si>
    <t>Kodierung der Zusatzbewertung</t>
  </si>
  <si>
    <t>Bitte folgende Kodierungen verwenden:</t>
  </si>
  <si>
    <t>Ursachen-Kodierung</t>
  </si>
  <si>
    <t>kann in täglichen Ausfallmeldungen frei bleiben; Bei Lieferung des Qualitätsberichtes mit Kodierung entsprechend Liste</t>
  </si>
  <si>
    <t>Ursache als Langtext (optional)</t>
  </si>
  <si>
    <t>kann frei bleiben (optional)</t>
  </si>
  <si>
    <t>Vergangene Zeit - Einsatz BNV zur planmäßigen Abfahrtszeit  (kein Import - nur Nachweis in täglicher Meldung)</t>
  </si>
  <si>
    <r>
      <t xml:space="preserve">Nummer </t>
    </r>
    <r>
      <rPr>
        <u/>
        <sz val="10"/>
        <rFont val="Arial"/>
        <family val="2"/>
      </rPr>
      <t>ohne</t>
    </r>
    <r>
      <rPr>
        <sz val="10"/>
        <rFont val="Arial"/>
        <family val="2"/>
      </rPr>
      <t xml:space="preserve"> Gattung</t>
    </r>
  </si>
  <si>
    <r>
      <t>Hinweis:</t>
    </r>
    <r>
      <rPr>
        <sz val="10"/>
        <rFont val="Arial"/>
        <family val="2"/>
      </rPr>
      <t xml:space="preserve"> Ein Zeitraum darf nur dann angegeben werden, wenn der Zug während des </t>
    </r>
    <r>
      <rPr>
        <u/>
        <sz val="10"/>
        <rFont val="Arial"/>
        <family val="2"/>
      </rPr>
      <t>gesamten</t>
    </r>
    <r>
      <rPr>
        <sz val="10"/>
        <rFont val="Arial"/>
        <family val="2"/>
      </rPr>
      <t xml:space="preserve"> Zeitraumes </t>
    </r>
    <r>
      <rPr>
        <sz val="10"/>
        <rFont val="Arial"/>
        <family val="2"/>
      </rPr>
      <t>nicht</t>
    </r>
    <r>
      <rPr>
        <sz val="10"/>
        <rFont val="Arial"/>
        <family val="2"/>
      </rPr>
      <t xml:space="preserve"> gefahren.</t>
    </r>
  </si>
  <si>
    <r>
      <t>Hinweis:</t>
    </r>
    <r>
      <rPr>
        <sz val="10"/>
        <rFont val="Arial"/>
        <family val="2"/>
      </rPr>
      <t xml:space="preserve"> Wird bei Zugausfällen auf Teilstrecken des Fahrtverlaufes eines Zuges kein Ersatzverkehr (BNV, SEV, anderer Zug </t>
    </r>
  </si>
  <si>
    <t>Kodierung 
der 
Ursache</t>
  </si>
  <si>
    <t>Kodierung 
der Zusatz-
bewertung</t>
  </si>
  <si>
    <t>Planmäßige Zugausfälle</t>
  </si>
  <si>
    <t>Linien-
beschreibung</t>
  </si>
  <si>
    <t>Hinweis:</t>
  </si>
  <si>
    <r>
      <rPr>
        <b/>
        <sz val="10"/>
        <rFont val="Arial"/>
        <family val="2"/>
      </rPr>
      <t>BNV</t>
    </r>
    <r>
      <rPr>
        <sz val="10"/>
        <rFont val="Arial"/>
        <family val="2"/>
      </rPr>
      <t xml:space="preserve"> - Busnotverkehr, Busse bzw. Taxis, die eigens für den Zweck der Weiterbeförderung der Fahrgäste eingesetzt werden. Eine Anerkennung als BNV erfolgt nur auf Basis der vertraglichen Regelungen. Bei Anerkennung erfolgt die vertraglich vereinbarte Vergütung.</t>
    </r>
  </si>
  <si>
    <r>
      <rPr>
        <b/>
        <sz val="10"/>
        <rFont val="Arial"/>
        <family val="2"/>
      </rPr>
      <t>EV</t>
    </r>
    <r>
      <rPr>
        <sz val="10"/>
        <rFont val="Arial"/>
        <family val="2"/>
      </rPr>
      <t xml:space="preserve"> - Ersatzverkehr stellt die Weiterbeförderung der Fahrgäste durch bereits vorhandene Verkehrsangebote ohne gesonderte Vergütung dar. Eine Anerkennung als BNV erfolgt nur auf Basis der vertraglichen Regelungen. </t>
    </r>
  </si>
  <si>
    <r>
      <rPr>
        <b/>
        <sz val="10"/>
        <rFont val="Arial"/>
        <family val="2"/>
      </rPr>
      <t>ohne BNV/EV</t>
    </r>
    <r>
      <rPr>
        <sz val="10"/>
        <rFont val="Arial"/>
        <family val="2"/>
      </rPr>
      <t xml:space="preserve"> - es konnte keine Ersatzfahrt vor der nächsten planmäßigen Fahrt der Linie bzw. binnen 60 min angeboten werden.</t>
    </r>
  </si>
  <si>
    <t>Fahrzeug-
verband Soll</t>
  </si>
  <si>
    <t>Die Werte sind Beispielwerte und nicht aus dem Fahrplan bzw. der Kilometrierung abgeleitet</t>
  </si>
  <si>
    <t>Jährliche Lieferung vor Fahrplanwechsel bzw. unterjährig bei Änderungen</t>
  </si>
  <si>
    <t>Personal-
typ</t>
  </si>
  <si>
    <t>Anzahl
Personale</t>
  </si>
  <si>
    <t>Schicht-/
Dienstnummer</t>
  </si>
  <si>
    <t>Einsatz-
ort</t>
  </si>
  <si>
    <t>Personaltyp</t>
  </si>
  <si>
    <t>Anzahl Personale</t>
  </si>
  <si>
    <t>Anzahl der Personale von Personaltyp</t>
  </si>
  <si>
    <t>Schicht-/Dienstnummer</t>
  </si>
  <si>
    <t>Nummer der Schicht, bzw. des Dienstes (optional)</t>
  </si>
  <si>
    <t>Einsatzort</t>
  </si>
  <si>
    <t>Gemeldete Zugkm</t>
  </si>
  <si>
    <t>vom EVU gemeldete km für den Personalausfall (optional)</t>
  </si>
  <si>
    <r>
      <t xml:space="preserve">Anlage zum monatlichen Qualitätsbericht;
</t>
    </r>
    <r>
      <rPr>
        <sz val="10"/>
        <rFont val="Arial"/>
        <family val="2"/>
      </rPr>
      <t>Schnittstellenformat für Übergabe der ausgefallenen Personalbesetzungen;
zusätzlich zur Excel-Version auch
Übergabe als Datentyp ".csv" erforderlich</t>
    </r>
    <r>
      <rPr>
        <b/>
        <sz val="10"/>
        <rFont val="Arial"/>
        <family val="2"/>
      </rPr>
      <t xml:space="preserve">
Bei Nutzung ivu.control:
</t>
    </r>
    <r>
      <rPr>
        <sz val="10"/>
        <rFont val="Arial"/>
        <family val="2"/>
      </rPr>
      <t>Datenformat entspricht Importschnittstelle für ivu.control</t>
    </r>
  </si>
  <si>
    <t>Daten aus betrieblichem QMS</t>
  </si>
  <si>
    <r>
      <t xml:space="preserve">Anlage zum monatlichen Qualitätsbericht;
Bei Nutzung ivu.control:
</t>
    </r>
    <r>
      <rPr>
        <sz val="10"/>
        <rFont val="Arial"/>
        <family val="2"/>
      </rPr>
      <t>Analyseergebnis aus Besetzungsdaten</t>
    </r>
  </si>
  <si>
    <r>
      <t xml:space="preserve">Anlage zum monatlichen Qualitätsbericht;
Bei Nutzung ivu.control:
</t>
    </r>
    <r>
      <rPr>
        <sz val="10"/>
        <rFont val="Arial"/>
        <family val="2"/>
      </rPr>
      <t>Analyseergebnis aus Pünktlichkeitsdaten</t>
    </r>
  </si>
  <si>
    <t>Erhebung EBE</t>
  </si>
  <si>
    <t>Übersicht der Tabellenblätter</t>
  </si>
  <si>
    <t>1a</t>
  </si>
  <si>
    <t>1b</t>
  </si>
  <si>
    <t>Nachweis Anschluss</t>
  </si>
  <si>
    <t>Statistik Zugausfälle</t>
  </si>
  <si>
    <t>Abweichungen Zugbildung</t>
  </si>
  <si>
    <t>Schäden an Fahrzeugen</t>
  </si>
  <si>
    <t>Linienverlauf</t>
  </si>
  <si>
    <t>Fahrplankilometer</t>
  </si>
  <si>
    <t>Zusammenfassung Thüringen</t>
  </si>
  <si>
    <t xml:space="preserve">Leistungsvolumen </t>
  </si>
  <si>
    <t>AT</t>
  </si>
  <si>
    <t>A) Summe Minderungen / Mehrungen</t>
  </si>
  <si>
    <t>Berichtsmonat:</t>
  </si>
  <si>
    <t>Kriterium</t>
  </si>
  <si>
    <t>Einheit / Bezugsgröße</t>
  </si>
  <si>
    <t>1) Zugausfälle, SEV/BNV</t>
  </si>
  <si>
    <t>planmäßige Ausfälle:</t>
  </si>
  <si>
    <t>Fplkm</t>
  </si>
  <si>
    <t xml:space="preserve">Fplkm </t>
  </si>
  <si>
    <t>Busnotverkehr</t>
  </si>
  <si>
    <t>Schienenersatzverkehr</t>
  </si>
  <si>
    <t>2) Pünktlichkeit der Linien</t>
  </si>
  <si>
    <t>monatliches Leistungsentgelt je Linie</t>
  </si>
  <si>
    <t>4) Zugbildung / Fahrzeugeinsatz</t>
  </si>
  <si>
    <t>Fplkm mit zu geringen Platzkapazitäten</t>
  </si>
  <si>
    <t xml:space="preserve">leichte Schäden </t>
  </si>
  <si>
    <t xml:space="preserve">gravierende Schäden </t>
  </si>
  <si>
    <t>Tag(e)</t>
  </si>
  <si>
    <t>Stunden</t>
  </si>
  <si>
    <t xml:space="preserve">Ausfall stationäre Automaten </t>
  </si>
  <si>
    <t xml:space="preserve">Sonstiges: </t>
  </si>
  <si>
    <t>Summe der Minderungen/Mehrungen</t>
  </si>
  <si>
    <r>
      <t xml:space="preserve">Tag(e) </t>
    </r>
    <r>
      <rPr>
        <sz val="8"/>
        <rFont val="Arial"/>
        <family val="2"/>
      </rPr>
      <t>Fristüberschreitung</t>
    </r>
  </si>
  <si>
    <t>Zugnr lt. (SEV) Fahrplan</t>
  </si>
  <si>
    <t>%</t>
  </si>
  <si>
    <t>Freistaat Thüringen</t>
  </si>
  <si>
    <t>6) Schadensfreiheit</t>
  </si>
  <si>
    <t>JJJJ</t>
  </si>
  <si>
    <t>gem. Anlage I zum VDV</t>
  </si>
  <si>
    <t>Dez</t>
  </si>
  <si>
    <t>Monatliche Abschlagszahlung gem. Anlage I:</t>
  </si>
  <si>
    <t>AFZ: Unterschreitung der Erfüllungsquote (90%)</t>
  </si>
  <si>
    <t>Bemerkung / Begründung</t>
  </si>
  <si>
    <t>2a</t>
  </si>
  <si>
    <t>2b</t>
  </si>
  <si>
    <t>Pünktlichkeit</t>
  </si>
  <si>
    <t>Text</t>
  </si>
  <si>
    <t>Besondere Einzelstörungen mit Auswirkungen auf Pünktlichkeit und Zugausfälle waren:</t>
  </si>
  <si>
    <t>Beschreibung der Einzelstörung</t>
  </si>
  <si>
    <t>Oberleitungsstörung; Verspätungen und Ausfälle</t>
  </si>
  <si>
    <t>Bombenfund Erfurt Hbf; Verspätungen und Ausfälle</t>
  </si>
  <si>
    <t xml:space="preserve">Kurzwenden wegen Fz-Mangel ; Verspätungen </t>
  </si>
  <si>
    <t>dd.mm.jjjj</t>
  </si>
  <si>
    <t>Fahrzeuge</t>
  </si>
  <si>
    <t>Personaleinsatz</t>
  </si>
  <si>
    <t>QUALITÄTSANALYSE</t>
  </si>
  <si>
    <t>Anwendung Pünktlichwertung</t>
  </si>
  <si>
    <t>Beginn</t>
  </si>
  <si>
    <t>Ende</t>
  </si>
  <si>
    <t>Messstelle</t>
  </si>
  <si>
    <t>Verspätung
[min]</t>
  </si>
  <si>
    <t>Teilausfall</t>
  </si>
  <si>
    <t>Vollausfall</t>
  </si>
  <si>
    <t>Beschreibung des Vorfalls</t>
  </si>
  <si>
    <t>Kodierung *</t>
  </si>
  <si>
    <t>B7</t>
  </si>
  <si>
    <t>Quelle: Bericht aus der zentralen Leitstelle</t>
  </si>
  <si>
    <t>Linienpünktlichkeit</t>
  </si>
  <si>
    <t>Dieser Bericht enthält alle unmittelbar berechnungsrelevanten Daten.</t>
  </si>
  <si>
    <t>UE  P</t>
  </si>
  <si>
    <t>Maßnahmen zur Verbesserung</t>
  </si>
  <si>
    <t>Verfügbarkeit, Schadstand, etc.</t>
  </si>
  <si>
    <t>Situationsanalyse, etc.</t>
  </si>
  <si>
    <t>Ausfall-
kilometer</t>
  </si>
  <si>
    <t>Statistik Zugbildung</t>
  </si>
  <si>
    <t>Fahrplanperiode MM/JJJJ - MM/JJJJ</t>
  </si>
  <si>
    <t>Vereinbarung Zugbildung</t>
  </si>
  <si>
    <r>
      <t xml:space="preserve">Anlage zum monatlichen Qualitätsbericht;
</t>
    </r>
    <r>
      <rPr>
        <sz val="10"/>
        <rFont val="Arial"/>
        <family val="2"/>
      </rPr>
      <t>Schnittstellenformat für Übergabe der ausgefallenen Leistungen;
 zusätzlich zur Excel-Version auch
Übergabe als Datentyp ".csv" erforderlich</t>
    </r>
    <r>
      <rPr>
        <b/>
        <sz val="10"/>
        <rFont val="Arial"/>
        <family val="2"/>
      </rPr>
      <t xml:space="preserve">
Bei Nutzung ivu.control:
</t>
    </r>
    <r>
      <rPr>
        <sz val="10"/>
        <rFont val="Arial"/>
        <family val="2"/>
      </rPr>
      <t>Datenformat entspricht Importschnittstelle für ivu.control</t>
    </r>
  </si>
  <si>
    <t>Sicherheit</t>
  </si>
  <si>
    <t>Linienverkehr</t>
  </si>
  <si>
    <t>N für Nichtlinienverkehr (Linienverkehr nur für Stadtverkehre)</t>
  </si>
  <si>
    <t>vereinbartes Kürzel</t>
  </si>
  <si>
    <t>Fahrtnr.</t>
  </si>
  <si>
    <t>Zugnummer ohne Zuggattung</t>
  </si>
  <si>
    <t>Liniennr.</t>
  </si>
  <si>
    <t>nur bei Linienverkehr</t>
  </si>
  <si>
    <t>Fahrplan Datum</t>
  </si>
  <si>
    <t>Datum bei planmäßiger Fahrt - Format siehe Tabelle</t>
  </si>
  <si>
    <t>Messung Datum</t>
  </si>
  <si>
    <t>Datum bei Messung - Format siehe Tabelle</t>
  </si>
  <si>
    <t>Verkehrsmittel</t>
  </si>
  <si>
    <t>Abweichung Ankunft (min)</t>
  </si>
  <si>
    <t>Abweichung der Ankunft vom Fahrplan in min,ss</t>
  </si>
  <si>
    <t>Abweichung Abfahrt (min)</t>
  </si>
  <si>
    <t>Abweichung der Abfahrt vom Fahrplan in min,ss</t>
  </si>
  <si>
    <t>Ursache Codierung</t>
  </si>
  <si>
    <t>Soll-Abfahrt</t>
  </si>
  <si>
    <t>Fahrt Start</t>
  </si>
  <si>
    <t>Fahrt Ziel</t>
  </si>
  <si>
    <t>Kodierung Zugausfälle</t>
  </si>
  <si>
    <t>Codg</t>
  </si>
  <si>
    <t>Bezeichnung Ursache</t>
  </si>
  <si>
    <t>Bsp.</t>
  </si>
  <si>
    <t>Fahrzeuge - eigenes EVU</t>
  </si>
  <si>
    <t>Triebfahrzeuge</t>
  </si>
  <si>
    <t>Lokschaden</t>
  </si>
  <si>
    <t>Triebwagen</t>
  </si>
  <si>
    <t>Motorschaden; Türfreigabe gestört</t>
  </si>
  <si>
    <t>Steuer- oder Reisezugwagen</t>
  </si>
  <si>
    <t>Steuerwagenschaden, Beleuchtung defekt, Türstörung</t>
  </si>
  <si>
    <t>Fahrzeugverfügbarkeit - Instandhaltung</t>
  </si>
  <si>
    <t>überdurchschnittlicher Instandhaltungsbedarf</t>
  </si>
  <si>
    <t>Fahrzeugverfügbarkeit - Unfall</t>
  </si>
  <si>
    <t>reduzierte Fahrzeuganzahl nach Unfall</t>
  </si>
  <si>
    <t>Fahrzeugverfügbarkeit - Baureihenproblem</t>
  </si>
  <si>
    <t>Austausch Powerpacks, zusätzliche Sicherheitsüberprüfungen auf Anordnung des EBA</t>
  </si>
  <si>
    <t>Sonstige Fahrzeugursachen - eigenes EVU</t>
  </si>
  <si>
    <t>Trasse</t>
  </si>
  <si>
    <t>Bauarbeiten (planmäßig)</t>
  </si>
  <si>
    <t>Streckensperrung (planmäßig)</t>
  </si>
  <si>
    <t>Unregelmäßigkeit im Bauablauf</t>
  </si>
  <si>
    <t>Oberleitungsstörung</t>
  </si>
  <si>
    <t>Störung an Leit - u. Sicherungstechnik</t>
  </si>
  <si>
    <t>Fahrbahnstörung</t>
  </si>
  <si>
    <t>Schnee - keine Befahrbarkeit Trasse</t>
  </si>
  <si>
    <t>Trasse (Sonstiges)</t>
  </si>
  <si>
    <t>Keine Zugfahrt auf Grund planmäßiger Bauarbeiten mit veröffentlichter Fplo</t>
  </si>
  <si>
    <t>Keine Zugfahrt auf Grund längerfristiger Streckensperrung</t>
  </si>
  <si>
    <t>Überschreitung der Betra</t>
  </si>
  <si>
    <t>Schaden an der Oberleitung (nicht diebstahlbedingt)</t>
  </si>
  <si>
    <t>eingefrorene Weiche, defekte Weichensteuerung</t>
  </si>
  <si>
    <t>Stellwerksausfall, Signalstörung, Störung BÜ</t>
  </si>
  <si>
    <t>Schienenbruch, witterungsbedingte Störung</t>
  </si>
  <si>
    <t>Schneeberäumung unzureichend</t>
  </si>
  <si>
    <t>Ursachen, die nicht zuzuordnen sind</t>
  </si>
  <si>
    <t>Einwirkung Dritter</t>
  </si>
  <si>
    <t>Personenunfälle</t>
  </si>
  <si>
    <t>Suizid, Unfälle mit Körperverletzungen</t>
  </si>
  <si>
    <t>Zusammenstöße mit Straßenfahrzeugen</t>
  </si>
  <si>
    <t>Unfälle an BÜ</t>
  </si>
  <si>
    <t>Bombenentschärfung, Bombendrohung</t>
  </si>
  <si>
    <t>Streckensperrungen aufgrund Bombenentschärfungen, Stationssperrung aufgrund Bombenverdacht</t>
  </si>
  <si>
    <t>Diebstahl, Vandalismus durch Dritte</t>
  </si>
  <si>
    <t>Diebstahl von Oberleitungen, Kabel etc.</t>
  </si>
  <si>
    <t>Behördliche Maßnahmen</t>
  </si>
  <si>
    <t>Notarzteinsatz, Einsatz Bundesgrenzschutz etc.</t>
  </si>
  <si>
    <t>Tiere im Gleisbereich</t>
  </si>
  <si>
    <t>Aufprall auf Wild, Pferde etc.</t>
  </si>
  <si>
    <t>Sonstige Einwirkungen Dritter</t>
  </si>
  <si>
    <t>Personen im Gleis u. a.</t>
  </si>
  <si>
    <t>Eisenbahnbetrieb</t>
  </si>
  <si>
    <t>Bahnbetriebsunfall (EVU)</t>
  </si>
  <si>
    <t>Zusammenstoß mit anderem Schienenfahrzeug, Entgleisung</t>
  </si>
  <si>
    <t>Bahnbetriebsunfall (anderes EVU)</t>
  </si>
  <si>
    <t>gefährliches Ereignis (EVU)</t>
  </si>
  <si>
    <t>Signalüberfahrung</t>
  </si>
  <si>
    <t>gefährliches Ereignis (Netz oder anderes EVU)</t>
  </si>
  <si>
    <t>Planungs-, Dispositionsfehler (eigenes EVU)</t>
  </si>
  <si>
    <t>Fehler bei der Fahrzeugdisposition</t>
  </si>
  <si>
    <t>Störung - anderes EVU</t>
  </si>
  <si>
    <t>Triebfahrzeug- oder Lokschaden eines anderen EVU</t>
  </si>
  <si>
    <t>Verspätungsabbau umlaufbedingt</t>
  </si>
  <si>
    <t>nur verwenden, wenn Verspätungsursache nicht identifizierbar</t>
  </si>
  <si>
    <t>Je nach Vertragslage - werden als Ausfall gewertet</t>
  </si>
  <si>
    <t>Sonstige betriebliche Störungen</t>
  </si>
  <si>
    <t>Personal (EVU)</t>
  </si>
  <si>
    <t>kein Tf oder KiN eingeteilt; Tf kurzfristig erkrankt oder nicht zum Dienst erschienen, unzureichende Personalvorhaltg</t>
  </si>
  <si>
    <t xml:space="preserve">Personal (Netz oder andere EVU) </t>
  </si>
  <si>
    <t>Ausfall Fahrdienstleiter etc.</t>
  </si>
  <si>
    <t>Streik (EVU)</t>
  </si>
  <si>
    <t>Streik Tf oder KiN</t>
  </si>
  <si>
    <t>Streik (Netz oder andere EVU)</t>
  </si>
  <si>
    <t>Streik Fahrdienstleiter</t>
  </si>
  <si>
    <t>Sonstige personalbedingte Ursachen</t>
  </si>
  <si>
    <t>Natur-
ereignisse</t>
  </si>
  <si>
    <t>Sturm ab Windstärke 8</t>
  </si>
  <si>
    <t>witterungsbedingte Fahrbahnstörung</t>
  </si>
  <si>
    <t>Böschungsbrand</t>
  </si>
  <si>
    <t>Streckensperrung aufgrund Böschungsbrand</t>
  </si>
  <si>
    <t>Hochwasser</t>
  </si>
  <si>
    <t>Streckenbefahrung nicht mehr gegeben</t>
  </si>
  <si>
    <t>ungewöhlicher Schneefall (nicht beherrschbar für Schneepflüge)</t>
  </si>
  <si>
    <t>durch Schneelast umgeknickte Bäume im Gleisbereich, 30 bis 40 cm Neuschnee in wenigen Stunden</t>
  </si>
  <si>
    <t>Sonstige Naturereignisse</t>
  </si>
  <si>
    <t>Erdbeben, Erdabsenkung, Blitzschlag</t>
  </si>
  <si>
    <t>Son-
stiges</t>
  </si>
  <si>
    <t>Sonstige Ausfallursachen</t>
  </si>
  <si>
    <t>Ursachen, die keiner der anderen Kategorien zuzuordnen sind</t>
  </si>
  <si>
    <t>Halt ausgelassen</t>
  </si>
  <si>
    <t>Personalmangel aufgrund Personalunterbestand</t>
  </si>
  <si>
    <t>31.</t>
  </si>
  <si>
    <t>Erfurt Hbf</t>
  </si>
  <si>
    <t>Bahnübergangsunfälle</t>
  </si>
  <si>
    <t>Prämissen/Anmerkungen</t>
  </si>
  <si>
    <t>P1</t>
  </si>
  <si>
    <t>P2</t>
  </si>
  <si>
    <t>P3</t>
  </si>
  <si>
    <t>P4</t>
  </si>
  <si>
    <t>P5</t>
  </si>
  <si>
    <t>Pünktlichwertung für Ereignisse erfolgt nur, solange für das Ereignis keine neue FPLO veröffentlicht wurde.</t>
  </si>
  <si>
    <t>P6</t>
  </si>
  <si>
    <t>Pünktlichwertung erfolgt nicht für Ereignisse, die das EVU verschuldet hat.</t>
  </si>
  <si>
    <t>P7</t>
  </si>
  <si>
    <t>P8</t>
  </si>
  <si>
    <t>Bei Ereignissen, die durch das EIU zu vertreten sind (Teil I), muss das EVU nachweislich das EIU zur Beseitigung der Störung auffordern. Dies gilt auch schon dann, wenn das EVU erkennt, dass ohne ein Eingreifen des EIU eine Störung auftreten wird. Die Maßnahmen des EVU sind dem Freistaat gegenüber zu dokumentieren.</t>
  </si>
  <si>
    <t>P9</t>
  </si>
  <si>
    <t>Das EVU wird im Rahmen des Monatsberichtes gesondert über nach diesem Katalog pünktlich zu wertende Verspätungen berichten. Sofern nicht im Einzelfall anders vereinbart, enthält dieser Bericht eine Einzelfallbeschreibung und die erforderlichen Nachweise, z. Bsp. über aufgetretene Windstärken.</t>
  </si>
  <si>
    <t>P10</t>
  </si>
  <si>
    <t>Minderung pro Tag Fristüberschreitung</t>
  </si>
  <si>
    <t>zu wenige besetzte Fplkm</t>
  </si>
  <si>
    <t>Kundengarantien</t>
  </si>
  <si>
    <t>Karte</t>
  </si>
  <si>
    <t>E-Mail</t>
  </si>
  <si>
    <t>Internet</t>
  </si>
  <si>
    <t>Einstiegsgarantie</t>
  </si>
  <si>
    <t xml:space="preserve">Antwortgarantie </t>
  </si>
  <si>
    <t>Sauberkeitsgarantie</t>
  </si>
  <si>
    <t>Anzahl Kundengarantiefälle gesamt:</t>
  </si>
  <si>
    <t>Zug vor Abfahrt verschlossen</t>
  </si>
  <si>
    <t>verschmutzte Sitze</t>
  </si>
  <si>
    <t>Massnahme</t>
  </si>
  <si>
    <t>falsche Fahrplanauskunft</t>
  </si>
  <si>
    <t>Fahrgast war falsch informiert, keine Maßnahme erforderlich</t>
  </si>
  <si>
    <t>Garantieticket</t>
  </si>
  <si>
    <t>IST-Quote</t>
  </si>
  <si>
    <t>IST-Zählfahrten</t>
  </si>
  <si>
    <t>Unterschreitung SOLL-Quote</t>
  </si>
  <si>
    <t>Vertriebsstellen</t>
  </si>
  <si>
    <t>stationäre FAA</t>
  </si>
  <si>
    <t>Statistik Kundenbetreuer</t>
  </si>
  <si>
    <t>Infrastrukturkosten</t>
  </si>
  <si>
    <t>bundeslandspezifisches Trassenentgelt SPNV (€/Trkm)</t>
  </si>
  <si>
    <t>Abzug planmäßige Ausfälle (Basis bewertete planmäßige Ausfälle IVU)</t>
  </si>
  <si>
    <t>Leistungsentgelt (pro Jahr)</t>
  </si>
  <si>
    <t>Trassenkosten (pro Jahr)</t>
  </si>
  <si>
    <t>Stationskosten (pro Jahr)</t>
  </si>
  <si>
    <t>Delta zu SOLL-Trassenkosten</t>
  </si>
  <si>
    <t>SOLL-Trassenkosten (Basis SOLL-Leistung IVU)</t>
  </si>
  <si>
    <t>IST-Trassenkosten</t>
  </si>
  <si>
    <t>SOLL-Stationskosten (Basis SOLL-Leistung IVU)</t>
  </si>
  <si>
    <t>IST-Stationskosten</t>
  </si>
  <si>
    <t>Delta zu SOLL-Stationskosten</t>
  </si>
  <si>
    <t>Delta zu monatlichen SOLL-Stationskosten</t>
  </si>
  <si>
    <t>Delta zu monatlichen SOLL-Trassenkosten</t>
  </si>
  <si>
    <t>Summe Infrastrukturkostenabzug</t>
  </si>
  <si>
    <t>2c</t>
  </si>
  <si>
    <t>8) Vertrieb</t>
  </si>
  <si>
    <t xml:space="preserve">9) Sonstiges </t>
  </si>
  <si>
    <t>7) Sauberkeit</t>
  </si>
  <si>
    <t xml:space="preserve">Tag(e) </t>
  </si>
  <si>
    <t>Erlöse</t>
  </si>
  <si>
    <t>zusätzl. Personale</t>
  </si>
  <si>
    <t>Standort / besetzte Leistung</t>
  </si>
  <si>
    <t>Anlass</t>
  </si>
  <si>
    <t>Einsatz Reisendenlenker zum Krämerbrückenfest</t>
  </si>
  <si>
    <t>Erfurt</t>
  </si>
  <si>
    <t>Einsatz Sicherheitspersonale wg. Großveranstaltung</t>
  </si>
  <si>
    <t>Nichtbesetzung pbV / vbV</t>
  </si>
  <si>
    <t>Unterschreitung Mindestöffnungszeiten pbV / vbV</t>
  </si>
  <si>
    <t>Abweichungen personenbedienter Vertrieb, videobasiertes Vertriebsformat</t>
  </si>
  <si>
    <t>Terminal-
Nr.</t>
  </si>
  <si>
    <t>Entwerterstandorte</t>
  </si>
  <si>
    <t>Umleitung mit Haltausfällen</t>
  </si>
  <si>
    <t xml:space="preserve">Heizungsausfall, Temperaturabfall </t>
  </si>
  <si>
    <t>eine der Türen eines Wagen defekt</t>
  </si>
  <si>
    <t>gravierender
Schaden (Kategorie 1)</t>
  </si>
  <si>
    <t>leichter 
Schaden (Kategorie 2)</t>
  </si>
  <si>
    <t>Tage ohne Fahrgast-einsatz</t>
  </si>
  <si>
    <t>Legende</t>
  </si>
  <si>
    <t>Fahrzeug nicht im Einsatz</t>
  </si>
  <si>
    <t>BB DB</t>
  </si>
  <si>
    <t>Verbundtarife</t>
  </si>
  <si>
    <t xml:space="preserve">Semestertickets </t>
  </si>
  <si>
    <t>Schülerferientickets</t>
  </si>
  <si>
    <t>SGB IX</t>
  </si>
  <si>
    <t>Sonstige</t>
  </si>
  <si>
    <t>Soll-Fahrplanleistung ohne Ausfälle</t>
  </si>
  <si>
    <t xml:space="preserve">Ausfälle ohne BNV/SEV </t>
  </si>
  <si>
    <t>Abgestimmte Nichtbesetzung</t>
  </si>
  <si>
    <t>Berechnungsbasis zu besetzende Leistungen</t>
  </si>
  <si>
    <t xml:space="preserve">besetzte Leistungen </t>
  </si>
  <si>
    <t>zu wenig besetzte Fplkm</t>
  </si>
  <si>
    <t xml:space="preserve">KiN Besetzungs-quote 
Ist
</t>
  </si>
  <si>
    <t xml:space="preserve">KiN Besetzungs-quote 
Soll
</t>
  </si>
  <si>
    <t>sFAA</t>
  </si>
  <si>
    <t>Vertriebsweg</t>
  </si>
  <si>
    <t>online</t>
  </si>
  <si>
    <t>Vertriebswege sind:</t>
  </si>
  <si>
    <t>pbV</t>
  </si>
  <si>
    <t>MT</t>
  </si>
  <si>
    <t>personenbedienter Vertrieb pro Standort</t>
  </si>
  <si>
    <t>mobiles Terminal</t>
  </si>
  <si>
    <t>vbV</t>
  </si>
  <si>
    <t>Die vereinbarte Kodierungsliste wird weiter unverändert angewendet. Erfolgt eine Pünktlichwertung auf Basis eines nachfolgend aufgeführten Ereignisses, wird das Ereignis im Bemerkungsfeld der monatlich abgestimmten Liste der "pünktlich zu wertenden Verspätungen" benannt.</t>
  </si>
  <si>
    <t>Wenn die DB Netz AG durch eine Änderung der SNB die Erstattung von Pönaleschäden an die EVU einführt, die aus von der DB Netz AG selbst verursachten Störungen resultieren, werden die entsprechenden Regelungen hinfällig (betrifft insbesondere I1 und I5).</t>
  </si>
  <si>
    <t>Ereignis</t>
  </si>
  <si>
    <t>Bewertung</t>
  </si>
  <si>
    <t>H</t>
  </si>
  <si>
    <t>Höhere Gewalt i. S. des HaftpflG (besondere Wetterereignisse und Sabotage)</t>
  </si>
  <si>
    <t>H1</t>
  </si>
  <si>
    <t>Schnee</t>
  </si>
  <si>
    <t>Pünktlichwertung bei Ereignissen, bei denen aufgrund überdurchschnittlicher Schneemengen die Infrastruktur nicht oder nur eingeschränkt zur Verfügung stand, wenn mindestens 5 Züge einer Linie betroffen sind und längstens für 48 Stunden ab Ereignisbeginn. Für andere Ereignisse bei denen Verspätungen durch Schneefall und dessen Folgen entstehen, gilt H5 (Einzelfallregelung).</t>
  </si>
  <si>
    <t>H2</t>
  </si>
  <si>
    <t>Blitz</t>
  </si>
  <si>
    <t>Pünktlichwertung für alle Primär- und Folgeverspätungen ab Eintritt des Ereignisses, wenn mindestens 5 Züge einer Linie davon betroffen sind, gleich welche Sekundärursache die Verspätungen verursacht  (i. d. R. Infrastrukturstörungen wie ESTW-Ausfall, Anlagen Leit- und Sicherungstechnik usw.); längestens für 48 Stunden ab Ereignisbeginn.</t>
  </si>
  <si>
    <t>H3</t>
  </si>
  <si>
    <t>Pünktlichwertung bei Ereignissen "Hochwasser aufgrund von Stark- bzw. Dauerregen sowie von starkem Tauwetter mit der Folge von Über- und Unterspülungen der Schieneninfrastruktur bzw. Dammrutsch oder Brückensperrung"; Voraussetzung ist, dass mind. 5 Züge einer Linie betroffen sind.</t>
  </si>
  <si>
    <t>H4</t>
  </si>
  <si>
    <t>Sturm</t>
  </si>
  <si>
    <t>Pünktlichwertung bei Ereignissen "schwerer Sturm bzw. Sturmböen ab Windstärke 10" sowie Ereignissen, bei denen das EVU oder das EIU zur Gewährleistung der Fahrgastsicherheit eine Reduzierung der zulässigen Geschwindigkeit vorgenommen hat (Weisung/Ermessen EIU/EVU), wenn mindestens 5 Züge einer Linie betroffen sind und längstens für 48 Stunden ab Ereignisbeginn.</t>
  </si>
  <si>
    <t>H5</t>
  </si>
  <si>
    <t xml:space="preserve">Unwetter </t>
  </si>
  <si>
    <t>Einzelfallregelung</t>
  </si>
  <si>
    <t>H6</t>
  </si>
  <si>
    <t>vorsätzliche Zerstörung von Infrastruktur</t>
  </si>
  <si>
    <t>Pünktlichwertung bei Ereignissen, bei denen durch vorsätzliche Beschädigung oder Zerstörung von Maschinen bzw. Anlagen des EIU der Zugbetrieb erheblich gestört ist, wenn mindestens 5 Züge einer Linie betroffen sind und längstens für 48 Stunden ab Ereignisbeginn.</t>
  </si>
  <si>
    <t>I</t>
  </si>
  <si>
    <t>Infrastrukturbedingte Einschränkungen des planmäßigen Zugbetriebs</t>
  </si>
  <si>
    <t>I1</t>
  </si>
  <si>
    <t xml:space="preserve">besondere Streckenstörung (z.B.: Erdfall, Böschungsbrand, Hangsturz, aber nicht Grünschnitt) </t>
  </si>
  <si>
    <t>Pünktlichwertung bei besonderen Ereignissen mit Dauer länger als 24 Stunden; wenn erhebliche Auswirkungen und Störung länger als 24 h andauert, längstens bis Veröffentlichung einer FPLO.</t>
  </si>
  <si>
    <t>I2</t>
  </si>
  <si>
    <t xml:space="preserve">EIU schränkt den Betrieb aus besonderen Gründen ein (Nichtbenutzung von Brücken, Einstellung des Betriebs, Geschwindigkeitsbeschränkungen) </t>
  </si>
  <si>
    <t>keine Berücksichtigung</t>
  </si>
  <si>
    <t>I3</t>
  </si>
  <si>
    <t xml:space="preserve">Störungen der Infrastruktur durch Dritte </t>
  </si>
  <si>
    <t>keine Berücksichtigung, außer H6 und B4</t>
  </si>
  <si>
    <t>I4</t>
  </si>
  <si>
    <t>Einrichtung von Langsamfahrstellen, Oberbaumängel</t>
  </si>
  <si>
    <t>I5</t>
  </si>
  <si>
    <t xml:space="preserve">Ausfall von Anlagen der Leit- und Sicherungstechnik sowie zur Bahnübergangssicherung und Stellwerksausfall </t>
  </si>
  <si>
    <t>Pünktlichwertung bei Ereignissen mit Dauer länger als 24 Stunden .</t>
  </si>
  <si>
    <t>I6</t>
  </si>
  <si>
    <t>Schlecht-/Nichtausregelung FPLO</t>
  </si>
  <si>
    <t>Einzelfall-/Individualregelung</t>
  </si>
  <si>
    <t>I7</t>
  </si>
  <si>
    <t>kurzfristige Baustellen</t>
  </si>
  <si>
    <t>I8</t>
  </si>
  <si>
    <t>Großbaumaßnahmen</t>
  </si>
  <si>
    <t>I9</t>
  </si>
  <si>
    <t>Ausfall Messstellen bei Baumaßnahmen</t>
  </si>
  <si>
    <t>Einzelfall-/Individualregelung; in Betracht kommen Ersatzmessstellen, Fzg.-Daten, Hochrechnung der Daten aus anderen Zeiträumen</t>
  </si>
  <si>
    <t>B</t>
  </si>
  <si>
    <t>Behördliche Anordnung Polizei/BuPo mit den entsprechenden Netz-(Fein)Kodierungen 84, 85, 90 für die Primärverspätung</t>
  </si>
  <si>
    <t>B1</t>
  </si>
  <si>
    <t>Suizid, versuchter Suizid und Suizidgefahr</t>
  </si>
  <si>
    <t>B2</t>
  </si>
  <si>
    <t>Bombendrohung / Bombenentschärfung / Bombenfund</t>
  </si>
  <si>
    <t>standardmäßige Pünktlichwertung bei auf das Ereignis zurückzuführenden Verspätungen  (Primär- und Folgeverspätungen)</t>
  </si>
  <si>
    <t>B3</t>
  </si>
  <si>
    <t>Fussball / Großveranstaltung</t>
  </si>
  <si>
    <t>Bei bestimmten definierten Großereignissen Pünktlichwertung für Verspätungen  (Primär- und Folgeverspätungen)</t>
  </si>
  <si>
    <t>B4</t>
  </si>
  <si>
    <t>standardmäßige Pünktlichwertung bei auf das Ereignis zurückzuführenden Verspätungen (Primär- und Folgeverspätungen)</t>
  </si>
  <si>
    <t>B5</t>
  </si>
  <si>
    <t>Tiere im Gleis</t>
  </si>
  <si>
    <t>B6</t>
  </si>
  <si>
    <t>Notarzteinsatz im Zug bzw. am Zug oder an der Strecke</t>
  </si>
  <si>
    <t>Fahndungs- und Ermittlungsarbeiten der Polizei (einschließlich Sperrung auf deren Anordnung)</t>
  </si>
  <si>
    <t>B8</t>
  </si>
  <si>
    <t>Behördliche Anordnung (EBA)</t>
  </si>
  <si>
    <t>standardmäßige Pünktlichwertung bei auf die Anordnung zurückzuführenden Verspätungen (insbesondere Langsamfahrstellen und sonstige Geschwindigkeitsreduktionen), für Primär- und Folgeverspätungen</t>
  </si>
  <si>
    <t>F</t>
  </si>
  <si>
    <t>Vorgaben AT (Probleme hieraus sind im Rahmen der Fahrplanbestellung vom EVU zu thematisieren bzw. dem Freistaat mitzuteilen)</t>
  </si>
  <si>
    <t>F1</t>
  </si>
  <si>
    <t>zusätzliche Halte</t>
  </si>
  <si>
    <t>Einzelfall-/Individualregelungen</t>
  </si>
  <si>
    <t>F2</t>
  </si>
  <si>
    <t>Flügelung</t>
  </si>
  <si>
    <t>F3</t>
  </si>
  <si>
    <t>Bedarfshalte</t>
  </si>
  <si>
    <t>F4</t>
  </si>
  <si>
    <t>Fahrzeitverkürzung</t>
  </si>
  <si>
    <t>F5</t>
  </si>
  <si>
    <t>Kreuzungsregime geändert</t>
  </si>
  <si>
    <t>Jan - Nov (monatlich gerundet)</t>
  </si>
  <si>
    <t>Linien-
verkehr</t>
  </si>
  <si>
    <t>Betrei-
ber</t>
  </si>
  <si>
    <t>Fahrt-
nr.</t>
  </si>
  <si>
    <t>Linien-
nr.</t>
  </si>
  <si>
    <t>Fahrplan
Datum</t>
  </si>
  <si>
    <t>Verkehrs-
mittel</t>
  </si>
  <si>
    <t>Abweichung
Ab in min</t>
  </si>
  <si>
    <t>Soll-
Abfahrt</t>
  </si>
  <si>
    <t>Fahrt 
Start</t>
  </si>
  <si>
    <t>Fahrt
Ziel</t>
  </si>
  <si>
    <t>N</t>
  </si>
  <si>
    <t>20</t>
  </si>
  <si>
    <r>
      <rPr>
        <b/>
        <sz val="10"/>
        <rFont val="Arial"/>
        <family val="2"/>
      </rPr>
      <t>Hinweis:</t>
    </r>
    <r>
      <rPr>
        <sz val="10"/>
        <rFont val="Arial"/>
        <family val="2"/>
      </rPr>
      <t xml:space="preserve"> </t>
    </r>
  </si>
  <si>
    <t>Das Datenformat kann sich noch ändern!</t>
  </si>
  <si>
    <t>Es wird derzeit an der Schaffung eines</t>
  </si>
  <si>
    <t xml:space="preserve">bundesweit einheitlichen Datenformates </t>
  </si>
  <si>
    <t>für Pünktlichkeitsdaten gearbeitet.</t>
  </si>
  <si>
    <t xml:space="preserve">Die genaue Abstimmung des Datenformates </t>
  </si>
  <si>
    <t>sollte daher spätestens 6 Monate vor</t>
  </si>
  <si>
    <t>Betriebsaufnahme erfolgen</t>
  </si>
  <si>
    <r>
      <t xml:space="preserve">Tägliche Lieferung als Importdatei 
mit Typ ".pkt" (entspricht Typ ".csv")
Bei Nutzung ivu.control:
</t>
    </r>
    <r>
      <rPr>
        <sz val="10"/>
        <rFont val="Arial"/>
        <family val="2"/>
      </rPr>
      <t>Es existieren derzeit 5 Schnittstellen 
für unterschiedliche Datenformate</t>
    </r>
  </si>
  <si>
    <t>Es wird eine Codierungsliste gestellt</t>
  </si>
  <si>
    <t>nur bei Linienverkehr - Abfahrtszeit laut Fahrplan</t>
  </si>
  <si>
    <t>nur bei Linienverkehr - Start-Haltestelle</t>
  </si>
  <si>
    <t>nur bei Linienverkehr - End-Haltestelle</t>
  </si>
  <si>
    <t>mindestens bei Verspätungen, die laut Verkehrsvertrag als pünktlich zu bewerten sind</t>
  </si>
  <si>
    <t>Die Kosten der Nachweisführung werden von den Aufgabenträgern nicht erstattet.</t>
  </si>
  <si>
    <t>Anzahl An
pünktlich</t>
  </si>
  <si>
    <t>Anzahl An
unpünktlich</t>
  </si>
  <si>
    <t>Verspätung An
minimal (min)</t>
  </si>
  <si>
    <t>Verspätung An
maximal (min)</t>
  </si>
  <si>
    <t>Verspätung An
avg (min)</t>
  </si>
  <si>
    <t>Ursache/Bemerkung</t>
  </si>
  <si>
    <t>Anschlussgewährung</t>
  </si>
  <si>
    <t>regelmäßig zu hohes Reisendenaufkommen</t>
  </si>
  <si>
    <t>Sachverhalt</t>
  </si>
  <si>
    <t>Feststelldatum</t>
  </si>
  <si>
    <t>Feststellzeit</t>
  </si>
  <si>
    <t>Land</t>
  </si>
  <si>
    <t>Bundesland</t>
  </si>
  <si>
    <t>nächstg. Bst
(Kürzel)</t>
  </si>
  <si>
    <t>nächstg. Bst
(Name)</t>
  </si>
  <si>
    <t>Feststellort
(bewegl.
Tatort)</t>
  </si>
  <si>
    <t>Zuglinie</t>
  </si>
  <si>
    <t>Körperverletzung</t>
  </si>
  <si>
    <t>D</t>
  </si>
  <si>
    <t>TH</t>
  </si>
  <si>
    <t>Urkundenfälschung</t>
  </si>
  <si>
    <t xml:space="preserve"> Zeit</t>
  </si>
  <si>
    <t>Täter verletzte einen Zugbegleiter bei Fahrkartenkontrolle am Kopf und beschädigte in der weiteren Folge dessen Brille</t>
  </si>
  <si>
    <t>Sachbeschädigung, Sabotage</t>
  </si>
  <si>
    <t>Im Berichtsmonat wurden insgesamt  38 Züge mit einem Zeitaufwand von 141,6 Stunden bestreift.</t>
  </si>
  <si>
    <t>Betrachtet werden alle Ereignisse, die räumlich den Verkehrsvertrag betreffen und Auswirkungen auf Zugleistungen nach Thüringen haben. D.h. es werden nicht nur Ereignisse betrachtet, die ihre räumliche Ursache auf dem Gebiet des Freistaats Thüringen haben.</t>
  </si>
  <si>
    <t xml:space="preserve">Betrachtet werden alle Ereignisse, die räumlich den Verkehrsvertrag betreffen und Auswirkungen auf Zugleistungen des Verkehrsvertrages haben. </t>
  </si>
  <si>
    <t>Station</t>
  </si>
  <si>
    <t>ggf. Kooperations-partner</t>
  </si>
  <si>
    <t>Standplatz</t>
  </si>
  <si>
    <t>ggf. Kooperationspartner</t>
  </si>
  <si>
    <t xml:space="preserve">Station </t>
  </si>
  <si>
    <t>Entwerteraufdruck unvollständig</t>
  </si>
  <si>
    <t>Entwerterstempel defekt</t>
  </si>
  <si>
    <t>Entwerterschlitz verstopft</t>
  </si>
  <si>
    <t>Handyapp/ Onlinevertrieb</t>
  </si>
  <si>
    <t>videobasierter Vertrieb pro Standort</t>
  </si>
  <si>
    <t>stationärer Fahrscheinautomat pro Standort</t>
  </si>
  <si>
    <t>Bemerkungen</t>
  </si>
  <si>
    <t>Bemerkung</t>
  </si>
  <si>
    <t>Lieferung vor Betriebsaufnahme bzw. umgehend bei Änderungen</t>
  </si>
  <si>
    <t>Schulungstermine</t>
  </si>
  <si>
    <t>Ausfall Entwerter</t>
  </si>
  <si>
    <t>Täter schlitzte Sitz mit Messer auf</t>
  </si>
  <si>
    <t>Mehrleistungen</t>
  </si>
  <si>
    <t>Einsatzstunden Reisenden-lenker</t>
  </si>
  <si>
    <t>Einsatzstunden Sicherheits-personale</t>
  </si>
  <si>
    <t>Einsatz-stunden Aushilfskräft</t>
  </si>
  <si>
    <t>Stundensatz Aushilfskräfte</t>
  </si>
  <si>
    <t>Stundensatz Reisendenlenker/Servicepersonale</t>
  </si>
  <si>
    <t>Stundensatz Sicherheitspersonal</t>
  </si>
  <si>
    <t>Monat</t>
  </si>
  <si>
    <t>2d</t>
  </si>
  <si>
    <t>Züge unter 85%</t>
  </si>
  <si>
    <t>3 = sonstiger Ersatzverkehr (z. B. Staßenbahn)</t>
  </si>
  <si>
    <t>5 = Vertragsstrafe wegen fehlenden Ersatzverkehr</t>
  </si>
  <si>
    <t>Verspätungsursachen</t>
  </si>
  <si>
    <t>Verspätungskategorie</t>
  </si>
  <si>
    <t>Eigenverschuldung</t>
  </si>
  <si>
    <t>Fremdverschulden</t>
  </si>
  <si>
    <t>Wende</t>
  </si>
  <si>
    <t>Infrastruktur</t>
  </si>
  <si>
    <t>Januar</t>
  </si>
  <si>
    <t>Februar</t>
  </si>
  <si>
    <t>März</t>
  </si>
  <si>
    <t>April</t>
  </si>
  <si>
    <t>Mai</t>
  </si>
  <si>
    <t>Juni</t>
  </si>
  <si>
    <t>Juli</t>
  </si>
  <si>
    <t>August</t>
  </si>
  <si>
    <t>September</t>
  </si>
  <si>
    <t>Oktober</t>
  </si>
  <si>
    <t>November</t>
  </si>
  <si>
    <t>Dezember</t>
  </si>
  <si>
    <t>Verspätungsfälle</t>
  </si>
  <si>
    <t>Verspätungsminuten</t>
  </si>
  <si>
    <t>Haltezeitüberschreitung</t>
  </si>
  <si>
    <t>Baumaßnahmen</t>
  </si>
  <si>
    <t>Unregelmäßigkeiten bei Baumaßnahmen</t>
  </si>
  <si>
    <t>Störung Leittechnik</t>
  </si>
  <si>
    <t>Fahrweg</t>
  </si>
  <si>
    <t>Oberleitungsanlagen</t>
  </si>
  <si>
    <t>Mängellangsamfahrstellen</t>
  </si>
  <si>
    <t>BÜ-Sicherungsanlagen</t>
  </si>
  <si>
    <t>externe Einflüsse und sekundäre Ursachen</t>
  </si>
  <si>
    <t>Zugfolge (betr. Zug war Plan)</t>
  </si>
  <si>
    <t>Zugfolge (betr. Zug war verspätet)</t>
  </si>
  <si>
    <t>gefährliche Ereignisse</t>
  </si>
  <si>
    <t>Witterung</t>
  </si>
  <si>
    <t>Schmierfilm</t>
  </si>
  <si>
    <t>Anschluss</t>
  </si>
  <si>
    <t/>
  </si>
  <si>
    <t>alle Verspätungsursachen</t>
  </si>
  <si>
    <t>UGO</t>
  </si>
  <si>
    <t xml:space="preserve"> </t>
  </si>
  <si>
    <t>UE P</t>
  </si>
  <si>
    <t>Gesamt</t>
  </si>
  <si>
    <t>Minderung gesamt:</t>
  </si>
  <si>
    <t>Reinigung Vormonat</t>
  </si>
  <si>
    <t>Anzahl Pönaletage</t>
  </si>
  <si>
    <t>Reinigung</t>
  </si>
  <si>
    <t>Monat JJJJ</t>
  </si>
  <si>
    <t>Außenreinigung</t>
  </si>
  <si>
    <t>Innenreinigung</t>
  </si>
  <si>
    <t>Anzahl Tage Fristüberschreitung</t>
  </si>
  <si>
    <t>nein</t>
  </si>
  <si>
    <t>EIU hat Anschlussherstellung abgelehnt</t>
  </si>
  <si>
    <t>Vorgabe EIU</t>
  </si>
  <si>
    <t>aufgegeben</t>
  </si>
  <si>
    <t>ja</t>
  </si>
  <si>
    <t>Anschluss nicht rechtzeitig bearbeitet</t>
  </si>
  <si>
    <t>Dispositionsfehler</t>
  </si>
  <si>
    <t>gesichert</t>
  </si>
  <si>
    <t>Bonus/Malus Anschluss-sicherung</t>
  </si>
  <si>
    <t>Verantwortung abbringendes EVU</t>
  </si>
  <si>
    <t>Anmerkungen Anschluss-Aufgabe</t>
  </si>
  <si>
    <t>Grund für Anschluss-Aufgabe</t>
  </si>
  <si>
    <t xml:space="preserve">Anschluss-Status </t>
  </si>
  <si>
    <t>realisierte Übergangs-zeit [min]</t>
  </si>
  <si>
    <t>Mindest-übergangs-zeit [min]</t>
  </si>
  <si>
    <t>Ankunfts-Verspätung [min]</t>
  </si>
  <si>
    <t>Ist-Ankunft</t>
  </si>
  <si>
    <t>Soll-Ankunft</t>
  </si>
  <si>
    <t>Fahrt-nummer</t>
  </si>
  <si>
    <t>Verkehrs-unter-nehmen</t>
  </si>
  <si>
    <t>Abfahrts-Verspätung [min]</t>
  </si>
  <si>
    <t>Ist-Abfahrt</t>
  </si>
  <si>
    <t>für Anschluss maßgebende Zubringerfahrt</t>
  </si>
  <si>
    <t>Abbringer</t>
  </si>
  <si>
    <t>Abbringer-EVU nicht verantwortlich:</t>
  </si>
  <si>
    <t>Anschluss wurde aufgegeben:</t>
  </si>
  <si>
    <t>Betrag je Fall:</t>
  </si>
  <si>
    <t>Abbringer-EVU verantwortlich:</t>
  </si>
  <si>
    <t>Anschluss wurde gesichert:</t>
  </si>
  <si>
    <t>Anschlussmanagement</t>
  </si>
  <si>
    <t>Betrag/Bezugsgröße</t>
  </si>
  <si>
    <t>anfallende Minderung bzw. Vergütung</t>
  </si>
  <si>
    <t>Betrag</t>
  </si>
  <si>
    <t>Vergütung Busersatzverkehr*</t>
  </si>
  <si>
    <t>Vertrieb*</t>
  </si>
  <si>
    <t>Fahrzeugschäden*</t>
  </si>
  <si>
    <t>fehlende Reinigung*</t>
  </si>
  <si>
    <t>Fahrgastinformation*</t>
  </si>
  <si>
    <t>grober Verstoß Fahrgastinformation je Fahrt</t>
  </si>
  <si>
    <t>leichter Verstoß Fahrgastinformation je Fahrt</t>
  </si>
  <si>
    <t>Fortsetzung</t>
  </si>
  <si>
    <t>Minderungen/Mehrungen entsprechend Auflistung:</t>
  </si>
  <si>
    <t>Infrastrukturkostenabzug entsprechend Auflistung:</t>
  </si>
  <si>
    <t>Leistungs-
entgelt EUR</t>
  </si>
  <si>
    <t>Trassen-
kosten EUR</t>
  </si>
  <si>
    <t>Stations-
kosten EUR</t>
  </si>
  <si>
    <t>Fplkm Fahrt</t>
  </si>
  <si>
    <t>Fplkm gesamt</t>
  </si>
  <si>
    <t>Trassenpreis (Fahrplanjahr xxxx) - EUR/Fplkm</t>
  </si>
  <si>
    <t>Umleitung über xxx gemäß Fplo xxxxx</t>
  </si>
  <si>
    <t>Umleitung über xxxxx gemäß Fplo xxxxx</t>
  </si>
  <si>
    <t>Entfall Verkehrshalt xxx und xxx</t>
  </si>
  <si>
    <t>Entfall Verkehrshalt xxx, xxxx und xxxx</t>
  </si>
  <si>
    <t>Die endgültige Infrastrukturkostenabrechnung der Mehr- und Sonderleistungen und zusätzlichen Züge erfolgt im Rahmen der jeweiligen Jahresschlussrechnung.</t>
  </si>
  <si>
    <t>Krankheit</t>
  </si>
  <si>
    <t>Vandalismus-schaden ja/nein</t>
  </si>
  <si>
    <t>xxxxxx</t>
  </si>
  <si>
    <t>Platzkapazitäten/Fahrzeugeinsatz*</t>
  </si>
  <si>
    <t>Beschwerdemanagement/Kundenbeschwerden*</t>
  </si>
  <si>
    <t>aus Vormonat</t>
  </si>
  <si>
    <t>Touchpanel-Störung</t>
  </si>
  <si>
    <t>xxxxxxxxx</t>
  </si>
  <si>
    <t>gravierender Schaden je Fahrzeug und je Tag</t>
  </si>
  <si>
    <t>leichter Schaden je Fahrzeug und je Tag</t>
  </si>
  <si>
    <t>leichte Verstöße Aufgaben Zugbegleiter</t>
  </si>
  <si>
    <t>gravierende Verstöße Aufgaben Zugbegleiter</t>
  </si>
  <si>
    <t>Zugpersonal/Sicherheitspersonal*</t>
  </si>
  <si>
    <t>Überschreitung Antwortfrist je Fall und je Tag</t>
  </si>
  <si>
    <t>Informations- und Vertriebsgarantie</t>
  </si>
  <si>
    <t>fehlende Information des AT je Fall</t>
  </si>
  <si>
    <t>Stationen / Anlagen</t>
  </si>
  <si>
    <t>internes Kontaktformular</t>
  </si>
  <si>
    <t>Vorgangsnummer</t>
  </si>
  <si>
    <t>Frist in Tagen Zwischenbescheid</t>
  </si>
  <si>
    <t>Ausfälle</t>
  </si>
  <si>
    <t>Art</t>
  </si>
  <si>
    <t>Beschwerde</t>
  </si>
  <si>
    <t>Anfrage</t>
  </si>
  <si>
    <t>Vormonat</t>
  </si>
  <si>
    <t>Beschwerde Fahrzeugauslastung</t>
  </si>
  <si>
    <t>betroffene Zugfahrt</t>
  </si>
  <si>
    <t>Ticket nicht erhältlich</t>
  </si>
  <si>
    <t>Störung mobiles Terminal je Gerät je Störtag und betroffener Zugfahrt</t>
  </si>
  <si>
    <t>Nichtgewährleistung Verkauf in pb und vb Vertriebsstellen je Fall</t>
  </si>
  <si>
    <t>Unterschreitung der Mindestöffnungszeiten der pb bzw. vb Vertriebsstellen je Vertriebsstelle und unterschrittener Stunde</t>
  </si>
  <si>
    <t xml:space="preserve">SiP Besetzungs-quote 
Ist
</t>
  </si>
  <si>
    <t xml:space="preserve">SiP Besetzungs-quote 
Soll
</t>
  </si>
  <si>
    <t>08:21:01</t>
  </si>
  <si>
    <t>12:00:01</t>
  </si>
  <si>
    <t>06:14:01</t>
  </si>
  <si>
    <t>06:14:02</t>
  </si>
  <si>
    <t>Tage</t>
  </si>
  <si>
    <t>Minderung pro Tag bei Nichtbesetzung</t>
  </si>
  <si>
    <t>Wochen-
tag</t>
  </si>
  <si>
    <t>Geplante Öffnungszeit</t>
  </si>
  <si>
    <t>Plan
in h</t>
  </si>
  <si>
    <t>Realisierte Öffnungszeit</t>
  </si>
  <si>
    <t>IST
in h</t>
  </si>
  <si>
    <t>SOLL/IST</t>
  </si>
  <si>
    <t>Feiertag</t>
  </si>
  <si>
    <t>SOLL
in Tagen</t>
  </si>
  <si>
    <t>Plan 
in Tagen</t>
  </si>
  <si>
    <t>IST
in Tagen</t>
  </si>
  <si>
    <t>Minderung pro Tag
in €</t>
  </si>
  <si>
    <t>zul. Plan
in h</t>
  </si>
  <si>
    <t>Soll neu in h</t>
  </si>
  <si>
    <r>
      <t>Minderung</t>
    </r>
    <r>
      <rPr>
        <b/>
        <sz val="10"/>
        <rFont val="Arial"/>
        <family val="2"/>
      </rPr>
      <t xml:space="preserve"> in €</t>
    </r>
  </si>
  <si>
    <t>bis</t>
  </si>
  <si>
    <t>Verrechnung im Folgemonat</t>
  </si>
  <si>
    <t>zu behandelnde Themen im Rahmen der Schulung</t>
  </si>
  <si>
    <t>FT</t>
  </si>
  <si>
    <t>KW</t>
  </si>
  <si>
    <t>neue ÖZ ab 01.10.2025</t>
  </si>
  <si>
    <t>Störung Kassensystem</t>
  </si>
  <si>
    <t>Betriebsversammlung</t>
  </si>
  <si>
    <t>Monate kummulieren für JSR</t>
  </si>
  <si>
    <t>angewandter Tarif</t>
  </si>
  <si>
    <t>Fahrausweis des angewandten Tarifs</t>
  </si>
  <si>
    <t>kassentechnische Gesamteinnahme (brutto)</t>
  </si>
  <si>
    <t>kassentechnische Gesamteinnahme (netto)</t>
  </si>
  <si>
    <t xml:space="preserve"> Monat JJJJ</t>
  </si>
  <si>
    <t>km EV</t>
  </si>
  <si>
    <t>Ersatzkodierung</t>
  </si>
  <si>
    <t>Ausfall ohne Ersatz</t>
  </si>
  <si>
    <t>5</t>
  </si>
  <si>
    <t>Ausfall ohne Ersatz zzgl. Vertragsstrafe für fehlende Ersatzbeförderung</t>
  </si>
  <si>
    <t>Ersatz gleiches VM</t>
  </si>
  <si>
    <t>Ersatz Sonstige</t>
  </si>
  <si>
    <t>15</t>
  </si>
  <si>
    <t>Fplo 41007</t>
  </si>
  <si>
    <t>11</t>
  </si>
  <si>
    <t>Vertragsstrafe</t>
  </si>
  <si>
    <t>km BNV 1 Bus</t>
  </si>
  <si>
    <t>km ohne BNV/EV</t>
  </si>
  <si>
    <t>Fplo 40791</t>
  </si>
  <si>
    <t>Fplo 43790</t>
  </si>
  <si>
    <t>12</t>
  </si>
  <si>
    <t>Fplkm operative Ausfälle</t>
  </si>
  <si>
    <t>Fplkm planmäßige Ausfälle</t>
  </si>
  <si>
    <t>Fplkm Ausfälle gesamt</t>
  </si>
  <si>
    <t>mit
BNV 1 Bus</t>
  </si>
  <si>
    <t>mit BNV 2 Busse</t>
  </si>
  <si>
    <t>mit BNV mehr als 2 Busse</t>
  </si>
  <si>
    <t>ohne
SEV/EV</t>
  </si>
  <si>
    <t>mit
SEV 1 Bus</t>
  </si>
  <si>
    <t>mit SEV 2 Busse</t>
  </si>
  <si>
    <t>mit SEV mehr als 2 Busse</t>
  </si>
  <si>
    <r>
      <t xml:space="preserve">Anlage zum monatlichen Qualitätsbericht;
Bei Nutzung ivu.control:
</t>
    </r>
    <r>
      <rPr>
        <sz val="10"/>
        <rFont val="Arial"/>
        <family val="2"/>
      </rPr>
      <t>Analyseergebnis aus Leistungsabrechnung</t>
    </r>
  </si>
  <si>
    <r>
      <t xml:space="preserve">Anlage zum monatlichen Qualitätsbericht;
Bei Nutzung ivu.control:
</t>
    </r>
    <r>
      <rPr>
        <sz val="10"/>
        <rFont val="Arial"/>
        <family val="2"/>
      </rPr>
      <t>Analyseergebnis aus Fahrzeugeinsatz</t>
    </r>
  </si>
  <si>
    <t>Bei Nutzung ivu.control:
Basisdaten für Abrechnung Vertriebsstellen</t>
  </si>
  <si>
    <r>
      <t xml:space="preserve">Abstimmung vor jedem Fahrplanwechsel
</t>
    </r>
    <r>
      <rPr>
        <sz val="10"/>
        <rFont val="Arial"/>
        <family val="2"/>
      </rPr>
      <t>Grundlage für die Vertragsabrechnung der Zugbildungsabweichungen</t>
    </r>
    <r>
      <rPr>
        <b/>
        <sz val="10"/>
        <rFont val="Arial"/>
        <family val="2"/>
      </rPr>
      <t xml:space="preserve">
Bei Nutzung ivu.control:
</t>
    </r>
    <r>
      <rPr>
        <sz val="10"/>
        <rFont val="Arial"/>
        <family val="2"/>
      </rPr>
      <t xml:space="preserve">Basisdaten für Abrechnung Zugbildungsabweichungen </t>
    </r>
    <r>
      <rPr>
        <b/>
        <sz val="10"/>
        <rFont val="Arial"/>
        <family val="2"/>
      </rPr>
      <t xml:space="preserve">
zusätzlich zur Excel-Version Übergabe als Datentyp ".csv" erforderlich</t>
    </r>
  </si>
  <si>
    <t>Unterdeckung Fixkosten</t>
  </si>
  <si>
    <t>[A]</t>
  </si>
  <si>
    <t>[E]</t>
  </si>
  <si>
    <t>[F]=[A]*[E]</t>
  </si>
  <si>
    <t>Unterdeckung SEV-Kosten</t>
  </si>
  <si>
    <t>[G]</t>
  </si>
  <si>
    <t>Summe Ausgleichsbetrag</t>
  </si>
  <si>
    <t>offener Ausgleichsbetrag</t>
  </si>
  <si>
    <t>Überprüfung Überkompensation</t>
  </si>
  <si>
    <t>Eingespartes Bestellerentgelt SPNV</t>
  </si>
  <si>
    <t xml:space="preserve">Durchschnittsatz Infrastrukturkosten </t>
  </si>
  <si>
    <t>Bestellerentgelt SPNV für ausgefallene Leistungen</t>
  </si>
  <si>
    <t>Infrastrukturkosten für ausgefallene Leistungen</t>
  </si>
  <si>
    <t>Gesamtentgelt bestellte Leistungen SPNV</t>
  </si>
  <si>
    <t>SEV-Vergütung und Ausgleich Bau</t>
  </si>
  <si>
    <t>vertragliche Vergütung SEV</t>
  </si>
  <si>
    <t>Ausgleich Fixkosten und erhöhte SEV-Kosten</t>
  </si>
  <si>
    <t>Summe Gesamtvergütung Bau</t>
  </si>
  <si>
    <t>Annahme:</t>
  </si>
  <si>
    <t>Begründung:</t>
  </si>
  <si>
    <t>branchenübliche Durchschnittsquote für Kalkulationen bei "normaler" Bautätigkeit,die zum Zeitpunkt der Angebotskalkulation nach allgemeinen Erfahrungen und vorliegenden Informationen anzunehmen war</t>
  </si>
  <si>
    <t>nachrichtlich</t>
  </si>
  <si>
    <t>im Jfpl. enthaltene Ausfälle Bau</t>
  </si>
  <si>
    <t>unterjährige Ausfälle Bau</t>
  </si>
  <si>
    <t>baubedingte Zusatz-leistungen Zug</t>
  </si>
  <si>
    <t>Summe Ausfälle Bau (Ist-Ausfälle)</t>
  </si>
  <si>
    <t>Ausfall-quote Ist</t>
  </si>
  <si>
    <t>Voraus-setzung für Ausgleich gegeben?</t>
  </si>
  <si>
    <t>erhöhte/ nicht kalkulierbare Ausfälle</t>
  </si>
  <si>
    <t>erhöhte/ nicht kalkulierbare Ausfälle, gewichtet</t>
  </si>
  <si>
    <t>[1]</t>
  </si>
  <si>
    <t>[2]</t>
  </si>
  <si>
    <t>[4]</t>
  </si>
  <si>
    <t>[5]</t>
  </si>
  <si>
    <t>[6]</t>
  </si>
  <si>
    <t>[7]=[4]+[5]-[6]</t>
  </si>
  <si>
    <t>[9]=[8]/∑[8]*[8a]</t>
  </si>
  <si>
    <t>1.c) Schwellwert-Prüfung:</t>
  </si>
  <si>
    <t>Überschreitung Gesamtnetz:</t>
  </si>
  <si>
    <t>entspricht auszugleichenden Ausfall-km (Gesamtnetz) i.H.v.:</t>
  </si>
  <si>
    <t>=[8a]</t>
  </si>
  <si>
    <t xml:space="preserve"> --&gt; Voraussetzung für Ausgleich liegt vor</t>
  </si>
  <si>
    <t>Bemerkungen ABRM</t>
  </si>
  <si>
    <t>Findet in Tabelle Gesamt keine Berücksichtigung ?</t>
  </si>
  <si>
    <t>Spalte von ABRM eingefügt</t>
  </si>
  <si>
    <t>Baumaßnahme</t>
  </si>
  <si>
    <t>Ausfall Abschnitt von
Haltestelle</t>
  </si>
  <si>
    <t>Ausfall Abschnitt nach
Haltestelle</t>
  </si>
  <si>
    <t>Baubedingte Zusatzleistungen Zug</t>
  </si>
  <si>
    <t>SEV-Leistung</t>
  </si>
  <si>
    <t>Zusätzl. SEV Leistungen</t>
  </si>
  <si>
    <t>SEV-Leistung Express-Busse</t>
  </si>
  <si>
    <t>Kosten SEV brutto</t>
  </si>
  <si>
    <t>Kosten SEV netto</t>
  </si>
  <si>
    <t>Anmerkung / Besonderheit</t>
  </si>
  <si>
    <t>SEV-Kosten je ersetztem Zkm</t>
  </si>
  <si>
    <t>Nachweis SEV-Kosten</t>
  </si>
  <si>
    <t>Fplo</t>
  </si>
  <si>
    <t>[ja/nein]</t>
  </si>
  <si>
    <t>[€]</t>
  </si>
  <si>
    <t>2029</t>
  </si>
  <si>
    <t xml:space="preserve">bereits an EVU ausgezahlt (Abschläge in 05/2029 u. 07/2029) </t>
  </si>
  <si>
    <t>Anmerkung EVU</t>
  </si>
  <si>
    <t>2)</t>
  </si>
  <si>
    <t xml:space="preserve">Bestellvolumen Vertrag </t>
  </si>
  <si>
    <t>sofern der Schwellwert im Kalenderjahr überschritten wird, erfolgt ein Ausgleich der Fixkosten für die über dem Schwellwert liegenden Ausfall-km</t>
  </si>
  <si>
    <t>xxx</t>
  </si>
  <si>
    <r>
      <t>[A</t>
    </r>
    <r>
      <rPr>
        <vertAlign val="subscript"/>
        <sz val="8"/>
        <color theme="1"/>
        <rFont val="Arial"/>
        <family val="2"/>
      </rPr>
      <t>1</t>
    </r>
    <r>
      <rPr>
        <sz val="8"/>
        <color theme="1"/>
        <rFont val="Arial"/>
        <family val="2"/>
      </rPr>
      <t>]</t>
    </r>
  </si>
  <si>
    <r>
      <t>[B</t>
    </r>
    <r>
      <rPr>
        <vertAlign val="subscript"/>
        <sz val="8"/>
        <color theme="1"/>
        <rFont val="Arial"/>
        <family val="2"/>
      </rPr>
      <t>1</t>
    </r>
    <r>
      <rPr>
        <sz val="8"/>
        <color theme="1"/>
        <rFont val="Arial"/>
        <family val="2"/>
      </rPr>
      <t>]</t>
    </r>
  </si>
  <si>
    <r>
      <t>[C</t>
    </r>
    <r>
      <rPr>
        <vertAlign val="subscript"/>
        <sz val="8"/>
        <color theme="1"/>
        <rFont val="Arial"/>
        <family val="2"/>
      </rPr>
      <t>1</t>
    </r>
    <r>
      <rPr>
        <sz val="8"/>
        <color theme="1"/>
        <rFont val="Arial"/>
        <family val="2"/>
      </rPr>
      <t>]=[A</t>
    </r>
    <r>
      <rPr>
        <vertAlign val="subscript"/>
        <sz val="8"/>
        <color theme="1"/>
        <rFont val="Arial"/>
        <family val="2"/>
      </rPr>
      <t>1</t>
    </r>
    <r>
      <rPr>
        <sz val="8"/>
        <color theme="1"/>
        <rFont val="Arial"/>
        <family val="2"/>
      </rPr>
      <t>]*[B</t>
    </r>
    <r>
      <rPr>
        <vertAlign val="subscript"/>
        <sz val="8"/>
        <color theme="1"/>
        <rFont val="Arial"/>
        <family val="2"/>
      </rPr>
      <t>1</t>
    </r>
    <r>
      <rPr>
        <sz val="8"/>
        <color theme="1"/>
        <rFont val="Arial"/>
        <family val="2"/>
      </rPr>
      <t>]</t>
    </r>
  </si>
  <si>
    <r>
      <t>[D</t>
    </r>
    <r>
      <rPr>
        <vertAlign val="subscript"/>
        <sz val="8"/>
        <color theme="1"/>
        <rFont val="Arial"/>
        <family val="2"/>
      </rPr>
      <t>1</t>
    </r>
    <r>
      <rPr>
        <sz val="8"/>
        <color theme="1"/>
        <rFont val="Arial"/>
        <family val="2"/>
      </rPr>
      <t>]</t>
    </r>
  </si>
  <si>
    <r>
      <t xml:space="preserve">Ausgleich SEV-Kosten </t>
    </r>
    <r>
      <rPr>
        <sz val="11"/>
        <color theme="1"/>
        <rFont val="Arial"/>
        <family val="2"/>
      </rPr>
      <t>(80 % des Fehlbetrags)</t>
    </r>
  </si>
  <si>
    <r>
      <t xml:space="preserve">1.a) Baustellenbedingte Referenz-Ausfallquote, </t>
    </r>
    <r>
      <rPr>
        <b/>
        <sz val="10"/>
        <color theme="1"/>
        <rFont val="Arial"/>
        <family val="2"/>
      </rPr>
      <t>die zum Zeitpunkt der Angebotskalkulation nach allgemeinen Erfahrungen und vorliegenden Informationen anzunehmen war</t>
    </r>
  </si>
  <si>
    <r>
      <t>[8]=([7]-[3])</t>
    </r>
    <r>
      <rPr>
        <vertAlign val="subscript"/>
        <sz val="9"/>
        <color theme="1"/>
        <rFont val="Arial"/>
        <family val="2"/>
      </rPr>
      <t>pos</t>
    </r>
  </si>
  <si>
    <t xml:space="preserve">Bestellvolumen "Betriebskonzept"
</t>
  </si>
  <si>
    <t>Jfpl</t>
  </si>
  <si>
    <t>12 = SEV/BNV mit 2 Bussen</t>
  </si>
  <si>
    <t>11 = SEV/ BNV mit 1 Bus</t>
  </si>
  <si>
    <t>SEV/BNV Ersatz mit 2 Bussen</t>
  </si>
  <si>
    <t>SEV/BNV Ersatzverkehr - abgestimmte Nichtbesetzung Kundenbetreuer</t>
  </si>
  <si>
    <t>SEV/BNV Ersatzverkehr mit 2 Bussen - abgestimmte Nichtbesetzung Kundenbetreuer</t>
  </si>
  <si>
    <t>SEV/BNV Ersatz mit mehr als 2 Bussen</t>
  </si>
  <si>
    <t>SEV/BNV Ersatz mit 1 Bus</t>
  </si>
  <si>
    <t>4 = SEV/BNV Ersatzverkehr - abgestimmte Nichtbesetzung Kundenbetreuer</t>
  </si>
  <si>
    <t>14 = SEV/BNV Ersatzverkehr mit 2 Bussen - abgestimmte Nichtbesetzung Kundenbetreuer</t>
  </si>
  <si>
    <t>15 = SEV/BNV Ersatz mit mehr als 2 Bussen</t>
  </si>
  <si>
    <t>Betrag BNV</t>
  </si>
  <si>
    <t>Betrag SEV</t>
  </si>
  <si>
    <t>km SEV 1 Bus</t>
  </si>
  <si>
    <t>km SEV 2 Bussen</t>
  </si>
  <si>
    <t>km SEV mehr als 2 Bussen</t>
  </si>
  <si>
    <t>km ohne SEV/EV</t>
  </si>
  <si>
    <t>km BNV 2 Bussen</t>
  </si>
  <si>
    <t>km BNV mehr als 2 Bussen</t>
  </si>
  <si>
    <t>SEV-Kosten</t>
  </si>
  <si>
    <t xml:space="preserve">SEV-Vergütung
</t>
  </si>
  <si>
    <t>vertragliche SEV-Vergütung</t>
  </si>
  <si>
    <t>Sonstige (Direkt-) Erstattungen</t>
  </si>
  <si>
    <t>Vergütung ingesamt</t>
  </si>
  <si>
    <t>1)</t>
  </si>
  <si>
    <t>[€] netto</t>
  </si>
  <si>
    <t>[1a]</t>
  </si>
  <si>
    <t>[1b]</t>
  </si>
  <si>
    <t>[2a]</t>
  </si>
  <si>
    <t>[2b]</t>
  </si>
  <si>
    <t>[2c]</t>
  </si>
  <si>
    <t>[3a]=Tab.Ausfälle[7]</t>
  </si>
  <si>
    <t>[3b]/[1a]+[2a]</t>
  </si>
  <si>
    <t>[6a]=[5]/[3a]</t>
  </si>
  <si>
    <t>[6b]=[5]/[3b]</t>
  </si>
  <si>
    <t>[7]</t>
  </si>
  <si>
    <t>[8]</t>
  </si>
  <si>
    <t>[9]=[1a+2a+2c]*[7]+[1b+2b]*[8]</t>
  </si>
  <si>
    <t>[10]</t>
  </si>
  <si>
    <t>[11]=[9]+[10]</t>
  </si>
  <si>
    <t>[12a]=[11]/[3a]</t>
  </si>
  <si>
    <t>[12b]=[11]/[3b]</t>
  </si>
  <si>
    <t>[13]=[6a]-[12a]</t>
  </si>
  <si>
    <t>korrigiert</t>
  </si>
  <si>
    <t>ok</t>
  </si>
  <si>
    <r>
      <t xml:space="preserve">Ausfall-km
</t>
    </r>
    <r>
      <rPr>
        <sz val="9"/>
        <color rgb="FF0000FF"/>
        <rFont val="Arial"/>
        <family val="2"/>
      </rPr>
      <t>= Basis für SEV-Kostensatz</t>
    </r>
    <r>
      <rPr>
        <b/>
        <sz val="10"/>
        <rFont val="Arial"/>
        <family val="2"/>
      </rPr>
      <t xml:space="preserve">
</t>
    </r>
  </si>
  <si>
    <r>
      <t xml:space="preserve">mit SEV ersetzte Ausfall-km
</t>
    </r>
    <r>
      <rPr>
        <i/>
        <sz val="9"/>
        <color theme="1" tint="0.499984740745262"/>
        <rFont val="Arial"/>
        <family val="2"/>
      </rPr>
      <t>nachrichtlich</t>
    </r>
  </si>
  <si>
    <r>
      <t xml:space="preserve">SEV-
Gesamtkosten
</t>
    </r>
    <r>
      <rPr>
        <b/>
        <sz val="9"/>
        <color theme="1"/>
        <rFont val="Arial"/>
        <family val="2"/>
      </rPr>
      <t>(Aufstellung EVU)</t>
    </r>
  </si>
  <si>
    <r>
      <t xml:space="preserve">SEV-Kosten 
</t>
    </r>
    <r>
      <rPr>
        <b/>
        <sz val="9"/>
        <color theme="1"/>
        <rFont val="Arial"/>
        <family val="2"/>
      </rPr>
      <t>je Ausfall-km</t>
    </r>
    <r>
      <rPr>
        <b/>
        <sz val="10"/>
        <color theme="1"/>
        <rFont val="Arial"/>
        <family val="2"/>
      </rPr>
      <t xml:space="preserve">
</t>
    </r>
    <r>
      <rPr>
        <sz val="9"/>
        <color rgb="FF0000FF"/>
        <rFont val="Arial"/>
        <family val="2"/>
      </rPr>
      <t>= Basis für Ausgleich</t>
    </r>
  </si>
  <si>
    <r>
      <rPr>
        <b/>
        <sz val="10"/>
        <color theme="1" tint="0.499984740745262"/>
        <rFont val="Arial"/>
        <family val="2"/>
      </rPr>
      <t xml:space="preserve">SEV-Kosten </t>
    </r>
    <r>
      <rPr>
        <b/>
        <sz val="9"/>
        <color theme="1" tint="0.499984740745262"/>
        <rFont val="Arial"/>
        <family val="2"/>
      </rPr>
      <t xml:space="preserve">
je ersetztem Ausfall-km
</t>
    </r>
    <r>
      <rPr>
        <i/>
        <sz val="9"/>
        <color theme="1" tint="0.499984740745262"/>
        <rFont val="Arial"/>
        <family val="2"/>
      </rPr>
      <t xml:space="preserve">
nachrichtlich</t>
    </r>
  </si>
  <si>
    <r>
      <t xml:space="preserve">SEV-Gesamt-vergütung 
</t>
    </r>
    <r>
      <rPr>
        <b/>
        <sz val="9"/>
        <rFont val="Arial"/>
        <family val="2"/>
      </rPr>
      <t xml:space="preserve">je Ausfall-km
</t>
    </r>
    <r>
      <rPr>
        <sz val="9"/>
        <color rgb="FF0000FF"/>
        <rFont val="Arial"/>
        <family val="2"/>
      </rPr>
      <t>= Basis für Ausgleich</t>
    </r>
  </si>
  <si>
    <r>
      <rPr>
        <b/>
        <sz val="9"/>
        <color theme="1" tint="0.499984740745262"/>
        <rFont val="Arial"/>
        <family val="2"/>
      </rPr>
      <t xml:space="preserve">SEV-Gesamt-vergütung </t>
    </r>
    <r>
      <rPr>
        <b/>
        <sz val="10"/>
        <color theme="1" tint="0.499984740745262"/>
        <rFont val="Arial"/>
        <family val="2"/>
      </rPr>
      <t xml:space="preserve">
</t>
    </r>
    <r>
      <rPr>
        <b/>
        <sz val="9"/>
        <color theme="1" tint="0.499984740745262"/>
        <rFont val="Arial"/>
        <family val="2"/>
      </rPr>
      <t xml:space="preserve">je </t>
    </r>
    <r>
      <rPr>
        <b/>
        <u/>
        <sz val="9"/>
        <color theme="1" tint="0.499984740745262"/>
        <rFont val="Arial"/>
        <family val="2"/>
      </rPr>
      <t>ersetztem</t>
    </r>
    <r>
      <rPr>
        <b/>
        <sz val="9"/>
        <color theme="1" tint="0.499984740745262"/>
        <rFont val="Arial"/>
        <family val="2"/>
      </rPr>
      <t xml:space="preserve"> Ausfall-km</t>
    </r>
    <r>
      <rPr>
        <b/>
        <sz val="10"/>
        <color theme="1" tint="0.499984740745262"/>
        <rFont val="Arial"/>
        <family val="2"/>
      </rPr>
      <t xml:space="preserve">
</t>
    </r>
    <r>
      <rPr>
        <i/>
        <sz val="9"/>
        <color theme="1" tint="0.499984740745262"/>
        <rFont val="Arial"/>
        <family val="2"/>
      </rPr>
      <t>nachrichtlich</t>
    </r>
  </si>
  <si>
    <r>
      <t xml:space="preserve">Unterdeckung SEV-Kosten
je Ausfall-km
</t>
    </r>
    <r>
      <rPr>
        <sz val="9"/>
        <color rgb="FF0000FF"/>
        <rFont val="Arial"/>
        <family val="2"/>
      </rPr>
      <t>= Basis für Ausgleich</t>
    </r>
  </si>
  <si>
    <t>Zusatzleistungen SEV ergänzt</t>
  </si>
  <si>
    <t xml:space="preserve">SEV unterjährig
Bus
</t>
  </si>
  <si>
    <r>
      <t xml:space="preserve">SEV unterjährig
Bus
</t>
    </r>
    <r>
      <rPr>
        <b/>
        <sz val="9"/>
        <rFont val="Arial"/>
        <family val="2"/>
      </rPr>
      <t>(zusätzlich)</t>
    </r>
  </si>
  <si>
    <r>
      <t xml:space="preserve">SEV unterjährig
ExpressBus
</t>
    </r>
    <r>
      <rPr>
        <b/>
        <sz val="9"/>
        <rFont val="Arial"/>
        <family val="2"/>
      </rPr>
      <t>(zusätzlich)</t>
    </r>
  </si>
  <si>
    <t xml:space="preserve">SEV-Entgelt
lt. Vertrag
Bus
</t>
  </si>
  <si>
    <t xml:space="preserve">SEV-Entgelt
lt. Vertrag
ExpressBus
</t>
  </si>
  <si>
    <t xml:space="preserve">Ausgleich Fixkosten </t>
  </si>
  <si>
    <t>Augleich Fixkosten:</t>
  </si>
  <si>
    <r>
      <t xml:space="preserve">Bestellerentgelt </t>
    </r>
    <r>
      <rPr>
        <u/>
        <sz val="10"/>
        <color theme="1"/>
        <rFont val="Arial"/>
        <family val="2"/>
      </rPr>
      <t>(ohne</t>
    </r>
    <r>
      <rPr>
        <sz val="10"/>
        <color theme="1"/>
        <rFont val="Arial"/>
        <family val="2"/>
      </rPr>
      <t xml:space="preserve"> Infrastrukturkosten)</t>
    </r>
  </si>
  <si>
    <t>des Bestellvolumens Jahresfahrplan zuzügl. der bereits im Jfpl. enthaltenen baubedingten Ausfälle bzw. des "Betriebskonzepts" [Basiswert]</t>
  </si>
  <si>
    <r>
      <t>[D</t>
    </r>
    <r>
      <rPr>
        <vertAlign val="subscript"/>
        <sz val="8"/>
        <color theme="1"/>
        <rFont val="Arial"/>
        <family val="2"/>
      </rPr>
      <t>1</t>
    </r>
    <r>
      <rPr>
        <sz val="8"/>
        <color theme="1"/>
        <rFont val="Arial"/>
        <family val="2"/>
      </rPr>
      <t>] + [G]</t>
    </r>
  </si>
  <si>
    <t>3. Abschlag in 11/2029</t>
  </si>
  <si>
    <t>Verbleib Risiko EVU (20% des Fehlbetrags)</t>
  </si>
  <si>
    <t>3. Ausgleich Baumaßnahmen</t>
  </si>
  <si>
    <t>2. SEV Baumaßnahmen</t>
  </si>
  <si>
    <t>1. Ausfälle Baumaßnahmen</t>
  </si>
  <si>
    <t>Die endgültige Infrastrukturkostenabrechnung der Sonderleistungen und zusätzlichen Züge erfolgt im Rahmen der jeweiligen Jahresschlussrechnung.</t>
  </si>
  <si>
    <t>Summe:</t>
  </si>
  <si>
    <t>Anzahl Tage fehlende Reinigung:</t>
  </si>
  <si>
    <t>Tag fehlende Reinigung</t>
  </si>
  <si>
    <t xml:space="preserve">Minderung pro Tag fehlende Reinigung: </t>
  </si>
  <si>
    <t>Minderung je Tag fehlende Reinigung</t>
  </si>
  <si>
    <t>Mo oF</t>
  </si>
  <si>
    <t>Mo-Do oF</t>
  </si>
  <si>
    <t>Fr oF</t>
  </si>
  <si>
    <t>Sa oF</t>
  </si>
  <si>
    <t>So mF</t>
  </si>
  <si>
    <t>Verkehrstage</t>
  </si>
  <si>
    <t>Haltestelle von</t>
  </si>
  <si>
    <t>Haltestelle nach</t>
  </si>
  <si>
    <t>Fahrzeugverband soll</t>
  </si>
  <si>
    <t>Montag nicht an Feiertagen</t>
  </si>
  <si>
    <t>Freitag nicht an Feiertagen</t>
  </si>
  <si>
    <t>Sonntag und an Feiertagen</t>
  </si>
  <si>
    <t>Bemerkung/Störungsursache</t>
  </si>
  <si>
    <t>xxxx</t>
  </si>
  <si>
    <t>DS 100 Kürzel des Einsatzortes (Dienstort) - optional</t>
  </si>
  <si>
    <t>SOLL-Quote laut VDV</t>
  </si>
  <si>
    <t>Minderung je Linie</t>
  </si>
  <si>
    <t>Fristüberschrei-tung in Tagen</t>
  </si>
  <si>
    <t>Frist in Tagen Antwort</t>
  </si>
  <si>
    <t>Minderung je groben Verstoß</t>
  </si>
  <si>
    <t>Minderung je leichten Verstoß</t>
  </si>
  <si>
    <t>Minderung je AT</t>
  </si>
  <si>
    <t>Datum
von</t>
  </si>
  <si>
    <t>Uhrzeit
von</t>
  </si>
  <si>
    <t>Datum
bis</t>
  </si>
  <si>
    <t>Uhrzeit
bis</t>
  </si>
  <si>
    <t>Beschreibung der Abweichung</t>
  </si>
  <si>
    <t>Einordnung der Abweichungen</t>
  </si>
  <si>
    <t>Zuordnung zu AT</t>
  </si>
  <si>
    <r>
      <t xml:space="preserve">Anlage zum monatlichen Qualitätsbericht;
</t>
    </r>
    <r>
      <rPr>
        <sz val="10"/>
        <rFont val="Arial"/>
        <family val="2"/>
      </rPr>
      <t>Daten aus betrieblichem QMS;</t>
    </r>
  </si>
  <si>
    <t xml:space="preserve">Anteil je AT </t>
  </si>
  <si>
    <t xml:space="preserve">Anzahl grober Verstöße 1. Fahrgastraum </t>
  </si>
  <si>
    <t>Anzahl leichter Verstöße 1. Fahrgastraum</t>
  </si>
  <si>
    <t>Anzahl grober Verstöße 2. Fahrzeug (außen)</t>
  </si>
  <si>
    <t>Anzahl leichter Verstöße 2. Fahrzeug (außen)</t>
  </si>
  <si>
    <t>Anzahl grober Verstöße 3. Stationen</t>
  </si>
  <si>
    <t>Anzahl leichter Verstöße 3. Stationen</t>
  </si>
  <si>
    <t>Einordnung der Verstöße anhand Anlage LB-5.2_Einordnung von Verstößen im Bereich der Fahrgastinformation</t>
  </si>
  <si>
    <r>
      <t xml:space="preserve">Anzahl </t>
    </r>
    <r>
      <rPr>
        <b/>
        <sz val="8"/>
        <rFont val="Arial"/>
        <family val="2"/>
      </rPr>
      <t xml:space="preserve">grober </t>
    </r>
    <r>
      <rPr>
        <sz val="8"/>
        <rFont val="Arial"/>
        <family val="2"/>
      </rPr>
      <t xml:space="preserve">Verstöße 1. Fahrgastraum (LB-5.2_Einordnung von Verstößen im Bereich der Fahrgastinformation) </t>
    </r>
  </si>
  <si>
    <r>
      <t xml:space="preserve">Anzahl </t>
    </r>
    <r>
      <rPr>
        <b/>
        <sz val="8"/>
        <rFont val="Arial"/>
        <family val="2"/>
      </rPr>
      <t xml:space="preserve">leichter </t>
    </r>
    <r>
      <rPr>
        <sz val="8"/>
        <rFont val="Arial"/>
        <family val="2"/>
      </rPr>
      <t>Verstöße 1. Fahrgastraum (LB-5.2_Einordnung von Verstößen im Bereich der Fahrgastinformation)</t>
    </r>
  </si>
  <si>
    <r>
      <t xml:space="preserve">Anzahl </t>
    </r>
    <r>
      <rPr>
        <b/>
        <sz val="8"/>
        <rFont val="Arial"/>
        <family val="2"/>
      </rPr>
      <t>grober</t>
    </r>
    <r>
      <rPr>
        <sz val="8"/>
        <rFont val="Arial"/>
        <family val="2"/>
      </rPr>
      <t xml:space="preserve"> Verstöße 2. Fahrzeug (außen)
(LB-5.2_Einordnung von Verstößen im Bereich der Fahrgastinformation)</t>
    </r>
  </si>
  <si>
    <r>
      <t xml:space="preserve">Anzahl </t>
    </r>
    <r>
      <rPr>
        <b/>
        <sz val="8"/>
        <rFont val="Arial"/>
        <family val="2"/>
      </rPr>
      <t>leichter</t>
    </r>
    <r>
      <rPr>
        <sz val="8"/>
        <rFont val="Arial"/>
        <family val="2"/>
      </rPr>
      <t xml:space="preserve"> Verstöße 2. Fahrzeug (außen) (LB-5.2_Einordnung von Verstößen im Bereich der Fahrgastinformation)</t>
    </r>
  </si>
  <si>
    <r>
      <t xml:space="preserve">Anzahl </t>
    </r>
    <r>
      <rPr>
        <b/>
        <sz val="8"/>
        <rFont val="Arial"/>
        <family val="2"/>
      </rPr>
      <t>grober</t>
    </r>
    <r>
      <rPr>
        <sz val="8"/>
        <rFont val="Arial"/>
        <family val="2"/>
      </rPr>
      <t xml:space="preserve"> Verstöße 3. Stationen (LB-5.2_Einordnung von Verstößen im Bereich der Fahrgastinformation)</t>
    </r>
  </si>
  <si>
    <r>
      <t xml:space="preserve">Anzahl </t>
    </r>
    <r>
      <rPr>
        <b/>
        <sz val="8"/>
        <rFont val="Arial"/>
        <family val="2"/>
      </rPr>
      <t>leichter</t>
    </r>
    <r>
      <rPr>
        <sz val="8"/>
        <rFont val="Arial"/>
        <family val="2"/>
      </rPr>
      <t xml:space="preserve"> Verstöße 3. Stationen (LB-5.2_Einordnung von Verstößen im Bereich der Fahrgastinformation)</t>
    </r>
  </si>
  <si>
    <t>Fehlende Ansage von Anschlüssen im Fahrzeug</t>
  </si>
  <si>
    <t xml:space="preserve">falsche Anzeige Linienweg </t>
  </si>
  <si>
    <t xml:space="preserve">Anzeige flackert </t>
  </si>
  <si>
    <t>keine Ansage über das Erreichen von Anschlüssen bei Verspätungen</t>
  </si>
  <si>
    <t xml:space="preserve">Ereignisort </t>
  </si>
  <si>
    <t>Minderung je Linie in €</t>
  </si>
  <si>
    <t>Fälle fehlender Information AT</t>
  </si>
  <si>
    <r>
      <t xml:space="preserve">Anlage zum monatlichen Qualitätsbericht;
Bei Nutzung ivu.control:
</t>
    </r>
    <r>
      <rPr>
        <sz val="10"/>
        <rFont val="Arial"/>
        <family val="2"/>
      </rPr>
      <t>Analyseergebnis aus Pünktlichkeitsdaten</t>
    </r>
    <r>
      <rPr>
        <b/>
        <sz val="10"/>
        <rFont val="Arial"/>
        <family val="2"/>
      </rPr>
      <t xml:space="preserve">  </t>
    </r>
    <r>
      <rPr>
        <sz val="10"/>
        <rFont val="Arial"/>
        <family val="2"/>
      </rPr>
      <t>Definition als Ansicht</t>
    </r>
  </si>
  <si>
    <t>Zugfolge</t>
  </si>
  <si>
    <t>VU xxx</t>
  </si>
  <si>
    <t>EVU xxx</t>
  </si>
  <si>
    <t>SEV/Bus aus xxxx</t>
  </si>
  <si>
    <t>Ursachen</t>
  </si>
  <si>
    <t>Der nachfolgende Katalog spezifiziert die Regelungen in Punkt 4.2.4. der Leistungsbeschreibung (Vertragsanhang I des VDV MAN), wonach ein Zug als nicht verspätet gilt, wenn die Abweichungen in begründeten Fällen mit den Auftraggebern abgestimmt wurden.</t>
  </si>
  <si>
    <t>Liste der Codierungen ist bei Betriebsbeginn abzustimmen.</t>
  </si>
  <si>
    <t>Minderung gesamt in €</t>
  </si>
  <si>
    <t>28.12.20xx</t>
  </si>
  <si>
    <t>Typ pbV</t>
  </si>
  <si>
    <t>kumulierter Jahreswert JJJJ</t>
  </si>
  <si>
    <t>kumulierter Monatswert Monat JJJJ</t>
  </si>
  <si>
    <t>vertraglich vereinbarte Jahresöffnungszeit in h</t>
  </si>
  <si>
    <t>Soll-Öffnungszeit (ÖZ) pro Woche</t>
  </si>
  <si>
    <t>Abrechnung im nächsten Jahr</t>
  </si>
  <si>
    <t>Typ vbV</t>
  </si>
  <si>
    <t>Jahressumme</t>
  </si>
  <si>
    <t>Vertriebsstelle</t>
  </si>
  <si>
    <t>zu wenig geöffnete Stunden an FT</t>
  </si>
  <si>
    <t>neue ÖZ ab 09.11.2025</t>
  </si>
  <si>
    <t>Außenreinigung je Tag</t>
  </si>
  <si>
    <t>Innenreinigung je Tag</t>
  </si>
  <si>
    <t>Samstag nicht an Feiertagen</t>
  </si>
  <si>
    <t>Mo-Do mF</t>
  </si>
  <si>
    <t>Di oF</t>
  </si>
  <si>
    <t>Dienstag nicht an Feiertagen</t>
  </si>
  <si>
    <t>Di-Do oF</t>
  </si>
  <si>
    <t>Montag bis Donnerstag nicht an Feiertagen</t>
  </si>
  <si>
    <t>Dienstag bis Donnerstag nicht an Feiertagen</t>
  </si>
  <si>
    <t>Vollsperrung ULS auf Forderung der BPol wegen Täterverfolgung</t>
  </si>
  <si>
    <t>Bei Nutzung ivu.control:
Basisdaten für Abrechnung Fahrgastinformation</t>
  </si>
  <si>
    <t>Bei Nutzung ivu.control:
Basisdaten für Abrechnung Schäden an Fahrzeugen</t>
  </si>
  <si>
    <t>Präsenz für den Fahrgast</t>
  </si>
  <si>
    <t>Bereitstellung Startbahnhof</t>
  </si>
  <si>
    <t>Fahrausweisprüfung</t>
  </si>
  <si>
    <t>Störungs- und Notfallmanagement</t>
  </si>
  <si>
    <t>Anmeldung von Übergangsreisenden</t>
  </si>
  <si>
    <t>Information über Tarife und aktuelle Angebote</t>
  </si>
  <si>
    <t>Fahrgastbetreuung</t>
  </si>
  <si>
    <t>Entgegennahme und Verwahrung von Fundsachen</t>
  </si>
  <si>
    <t>Minderung pro Tag - gravierende Verstöße</t>
  </si>
  <si>
    <t>Minderung pro Tag - leichte Verstöße</t>
  </si>
  <si>
    <t>Einordnung der Schäden anhand LB 4.9.4.Aufgaben des Zugpersonals, Tabelle 12: Aufgaben des Zugpersonals und deren Bewertung</t>
  </si>
  <si>
    <t>Pünktlichkeitsdaten</t>
  </si>
  <si>
    <t>2e</t>
  </si>
  <si>
    <t>ausgefallener planmäßiger Stationshalt</t>
  </si>
  <si>
    <t>Anzahl Abfahrten je AT</t>
  </si>
  <si>
    <t xml:space="preserve">Datum </t>
  </si>
  <si>
    <t>Abweichung vom
Fahrplan</t>
  </si>
  <si>
    <t>Gebiet / AT</t>
  </si>
  <si>
    <r>
      <t xml:space="preserve">Anlage zum monatlichen Qualitätsbericht;
Bei Nutzung ivu.control:
</t>
    </r>
    <r>
      <rPr>
        <sz val="10"/>
        <rFont val="Arial"/>
        <family val="2"/>
      </rPr>
      <t>Analyseergebnis aus Pünktlichkeitsdaten;
Ursache ist manuell nachzupflegen</t>
    </r>
  </si>
  <si>
    <r>
      <rPr>
        <b/>
        <sz val="10"/>
        <rFont val="Arial"/>
        <family val="2"/>
      </rPr>
      <t>Hinweis:</t>
    </r>
    <r>
      <rPr>
        <sz val="10"/>
        <rFont val="Arial"/>
        <family val="2"/>
      </rPr>
      <t xml:space="preserve"> Die Meldung erfolgt für die Messtellen ab einer Abweichung von &lt;=-2 min.</t>
    </r>
  </si>
  <si>
    <t>Ausfall bis Haltestelle</t>
  </si>
  <si>
    <t>Abfahrt vor 
Plan ab
Haltestelle</t>
  </si>
  <si>
    <t>ausgefallene Fplkm</t>
  </si>
  <si>
    <t>aus-
gefallene 
Fplkm</t>
  </si>
  <si>
    <t>Fplkm je AT</t>
  </si>
  <si>
    <t xml:space="preserve">einschließlich Verspätungsausfällen &gt; Takt, Abfahrten vor Plan, Nichtbedienung von Halten </t>
  </si>
  <si>
    <t>ausgefallene Fplkm Fahrt</t>
  </si>
  <si>
    <t>Gebiet/ AT</t>
  </si>
  <si>
    <r>
      <t xml:space="preserve">Ausfallart
</t>
    </r>
    <r>
      <rPr>
        <sz val="8"/>
        <rFont val="Arial"/>
        <family val="2"/>
      </rPr>
      <t>(operativ/
planmäßig)</t>
    </r>
  </si>
  <si>
    <r>
      <t xml:space="preserve">Bemerkung
</t>
    </r>
    <r>
      <rPr>
        <sz val="8"/>
        <rFont val="Arial"/>
        <family val="2"/>
      </rPr>
      <t>(Ursache
in Textform)</t>
    </r>
  </si>
  <si>
    <t>Gebiet/AT</t>
  </si>
  <si>
    <t>nicht-bedienter Halt</t>
  </si>
  <si>
    <t>operativ / 
planmäßig</t>
  </si>
  <si>
    <t>Kodierung der Ursache</t>
  </si>
  <si>
    <t>Ursache
in Textform</t>
  </si>
  <si>
    <t xml:space="preserve">Bemerkung </t>
  </si>
  <si>
    <t>Fplo xxxxx</t>
  </si>
  <si>
    <t>siehe 4_Operative Zugausfälle</t>
  </si>
  <si>
    <t>Betriebl. erforderl. Umleitung wg. Unregelmäßigkeiten im Bauablauf</t>
  </si>
  <si>
    <t>Sitzplätze Soll</t>
  </si>
  <si>
    <t>Vertragliche Soll-Kapazität</t>
  </si>
  <si>
    <t>Sitzplätze IST</t>
  </si>
  <si>
    <t>Erfassung wenn abweichender Einsatz Vertragsfahrzeug</t>
  </si>
  <si>
    <t>Vereinbarter Fahrzeugeinsatz</t>
  </si>
  <si>
    <t>Vereinbarte Mindestsitzplatzkapazität (Sitzplätze)</t>
  </si>
  <si>
    <t>Beispiele</t>
  </si>
  <si>
    <t>Die konkrete Darstellung der Fahrzeuge bzw. des Fahrzeugverbands wird bei Betriebsaufnahme abgestimmt. Möglich ist auch die Abbildung über die Mindestsitzplatzkapazität in Soll- bzw. Ist-Sitzplätzen.</t>
  </si>
  <si>
    <t>Zug xxxxx</t>
  </si>
  <si>
    <t>Fplkm besetzte Strecke</t>
  </si>
  <si>
    <t xml:space="preserve">anzurechnende Fplkm Besetzung/Nichtbesetzung </t>
  </si>
  <si>
    <t>KiN</t>
  </si>
  <si>
    <t>SiP</t>
  </si>
  <si>
    <t>Minderung pro Tag - leichte Schäden (Kategorie 2)</t>
  </si>
  <si>
    <t>Minderung pro Tag - gravierende Schäden (Kategorie 1)</t>
  </si>
  <si>
    <t>Reinigungsintervall maximal 8 Tage</t>
  </si>
  <si>
    <r>
      <rPr>
        <b/>
        <sz val="10"/>
        <rFont val="Arial"/>
        <family val="2"/>
      </rPr>
      <t>SEV</t>
    </r>
    <r>
      <rPr>
        <sz val="10"/>
        <rFont val="Arial"/>
        <family val="2"/>
      </rPr>
      <t xml:space="preserve"> - Busersatzverkehr mit 1 oder mehreren Bussen</t>
    </r>
  </si>
  <si>
    <t>Anzahl Ausfälle aufgrund Abfahrt vor Plan</t>
  </si>
  <si>
    <t>Anzahl Ausfälle aufgrund Ausfall von Halten</t>
  </si>
  <si>
    <t>Fplkm Ausfälle aufgrund Abfahrt vor Plan</t>
  </si>
  <si>
    <t>Fplkm Ausfälle aufgrund Ausfall von Halten</t>
  </si>
  <si>
    <t>Minderung pro betroffener Zugfahrt</t>
  </si>
  <si>
    <t>Anzahl Minderungen in Tagen</t>
  </si>
  <si>
    <t xml:space="preserve">Minderung pro Tag </t>
  </si>
  <si>
    <t>Ist in h</t>
  </si>
  <si>
    <t>zu wenig geöffnete Stunden in h</t>
  </si>
  <si>
    <t>Tage mit Minderung</t>
  </si>
  <si>
    <t xml:space="preserve"> Plan
 in h</t>
  </si>
  <si>
    <t>zu wenig geöffnete h</t>
  </si>
  <si>
    <t>Minderung für h
in €</t>
  </si>
  <si>
    <t>Anzahl Feiertage im Kalenderjahr</t>
  </si>
  <si>
    <t>Tage Nichtbesetzung</t>
  </si>
  <si>
    <t>Unterschreitung Öffnungszeiten in Stunden</t>
  </si>
  <si>
    <t>Unterschreitung Mindestöffnungszeiten pbV, vbV Monat JJJJ</t>
  </si>
  <si>
    <t>Minderung h
in €</t>
  </si>
  <si>
    <t>Soll laut VDV in h</t>
  </si>
  <si>
    <t>Codierung des Personaltyp (z. B. Kundenbetreuer = KiN, Sicherheitspersonal = SiP)</t>
  </si>
  <si>
    <t>Minderung pro Fplkm</t>
  </si>
  <si>
    <t>Verspätungsausfälle &gt; Takt</t>
  </si>
  <si>
    <t>6a</t>
  </si>
  <si>
    <t>6b</t>
  </si>
  <si>
    <t>6c</t>
  </si>
  <si>
    <t>Sitzplatzanzahl</t>
  </si>
  <si>
    <t>Nichtbedienung Halte</t>
  </si>
  <si>
    <t>Unterschreitung Soll-Quote</t>
  </si>
  <si>
    <t>14a</t>
  </si>
  <si>
    <t>14b</t>
  </si>
  <si>
    <t>14c</t>
  </si>
  <si>
    <t>14d</t>
  </si>
  <si>
    <t>14e</t>
  </si>
  <si>
    <t>Abweichungen pbV, vbV</t>
  </si>
  <si>
    <t>Störungen staionäre FAA</t>
  </si>
  <si>
    <t>Störungen Entwerter</t>
  </si>
  <si>
    <t>Störung mobile Terminals</t>
  </si>
  <si>
    <t>Besetzung KiN_SiP</t>
  </si>
  <si>
    <t>19a</t>
  </si>
  <si>
    <t>19b</t>
  </si>
  <si>
    <t>Aufgaben Zugpersonal</t>
  </si>
  <si>
    <t>Statistik SiP</t>
  </si>
  <si>
    <t>27a</t>
  </si>
  <si>
    <t>27b</t>
  </si>
  <si>
    <t>Erfüllungsquote AFZS</t>
  </si>
  <si>
    <t>Kassentechn. Einnahmen</t>
  </si>
  <si>
    <t>Beträge Minderung_Vergütung</t>
  </si>
  <si>
    <t xml:space="preserve">Hinweis: Die vorliegende Tabelle zur Codierung von Zugausfällen ist nicht abschließend. Eine Anpassungen bzw. Ergänzung erfolgt in Abstimmung und Vorbereitung der Betriebsaufnahme.   </t>
  </si>
  <si>
    <t>Frost Tagesdurchschnittstemperatur unter -5°C (maximal 15 Tage)</t>
  </si>
  <si>
    <t>Störungen und Ausfälle der stationären Entwerter</t>
  </si>
  <si>
    <t>Ausfall mobile Terminals</t>
  </si>
  <si>
    <t>Analyse für Jahresschlussrechnung JJJJ</t>
  </si>
  <si>
    <t>nicht erhoben weil ausgefallen bzw. teilausgefallen</t>
  </si>
  <si>
    <t xml:space="preserve">SOLL Zählfahrten </t>
  </si>
  <si>
    <t>Reservefahrzeug</t>
  </si>
  <si>
    <t>0 = Werkstatt</t>
  </si>
  <si>
    <t>1 = Im Einsatz</t>
  </si>
  <si>
    <t>3 = Abgestellt</t>
  </si>
  <si>
    <t>0 = nein</t>
  </si>
  <si>
    <t>1 = ja</t>
  </si>
  <si>
    <t>Fahrzeugnummer</t>
  </si>
  <si>
    <t>Status</t>
  </si>
  <si>
    <t>Einsatzbereitschaft</t>
  </si>
  <si>
    <t>erforderliche weitere Statusarten werden bei Betriebsaufnahme abgestimmt</t>
  </si>
  <si>
    <t>ein defektes WC</t>
  </si>
  <si>
    <t>Werkstatt (Außenreinigung, Frost)</t>
  </si>
  <si>
    <t>Einstiegshilfe defekt</t>
  </si>
  <si>
    <t>nicht erhoben wegen abweichendem Fahrzeugeinsatz (ohne AFZS)</t>
  </si>
  <si>
    <t>Anzahl Fahrten nach VDV</t>
  </si>
  <si>
    <t>5) Zugbegleitquote / Sicherheitspersonal / zusätzl. Personale</t>
  </si>
  <si>
    <t>zu wenige besetzte Fplkm KiN im Monat</t>
  </si>
  <si>
    <t>zu wenige besetzte Fplkm SiP im Monat</t>
  </si>
  <si>
    <t>fahrgastrelevante Mängel Zugpersonal</t>
  </si>
  <si>
    <t xml:space="preserve">Art </t>
  </si>
  <si>
    <t>Krämerbrückenfest</t>
  </si>
  <si>
    <t>Fzg xxxxx</t>
  </si>
  <si>
    <t>2 = Im Einsatz (vorrübergehend vertragsfremd)</t>
  </si>
  <si>
    <t>Strecke UE  P - UGW</t>
  </si>
  <si>
    <t>23a</t>
  </si>
  <si>
    <t>23b</t>
  </si>
  <si>
    <t>Fahrzeugstatus</t>
  </si>
  <si>
    <t xml:space="preserve">Bemerkung zur Dauer (Wiedereinsatzbereitschaft, Fortdauer…) </t>
  </si>
  <si>
    <t>bis 24.04.2025</t>
  </si>
  <si>
    <t>Tage Minderung</t>
  </si>
  <si>
    <t>Anzahl Tage Minderung - gravierende Schäden (Kategorie 1)</t>
  </si>
  <si>
    <t>Anzahl Tage Minderung - leichte Schäden (Kategorie 2)</t>
  </si>
  <si>
    <t>Werkstatt/ Fahrzeug nicht im Einsatz</t>
  </si>
  <si>
    <t>Reinigungsintervall maximal 1 Tag</t>
  </si>
  <si>
    <t>Anzahl Tage Minderung - gravierende Verstöße</t>
  </si>
  <si>
    <t>Anzahl Tage Minderung - leichte Verstöße</t>
  </si>
  <si>
    <t>Werkstatt, Fahrzeug nicht im Einsatz</t>
  </si>
  <si>
    <t>Zugnummer</t>
  </si>
  <si>
    <t>Grund</t>
  </si>
  <si>
    <t>angrenzender LB fehlt</t>
  </si>
  <si>
    <t>LB nicht geladen</t>
  </si>
  <si>
    <t>planm. TA wegen Bauarbeiten</t>
  </si>
  <si>
    <t>kein Afz-Fahrzeug im Einsatz</t>
  </si>
  <si>
    <t>Sensorfehler</t>
  </si>
  <si>
    <t>ZFA abgebrochen</t>
  </si>
  <si>
    <t>Fzgnummer</t>
  </si>
  <si>
    <t>Fzg XXXXX</t>
  </si>
  <si>
    <t>Netz/ Linie</t>
  </si>
  <si>
    <t>Liste der Gründe für Ausfall der Zählungen</t>
  </si>
  <si>
    <t>operativer TA</t>
  </si>
  <si>
    <t>Zählausfall (abzugsfähige Position)</t>
  </si>
  <si>
    <t>Die Gründe für den Zählausfall können im Rahmen der Betriebsaufnahme mit Codierungen versehen werden.</t>
  </si>
  <si>
    <t>Zählausfall (keine abzugsfähige Position)</t>
  </si>
  <si>
    <t>28a</t>
  </si>
  <si>
    <t>28b</t>
  </si>
  <si>
    <t>Details Ausfall AFZS</t>
  </si>
  <si>
    <t>Details abzugsfähige Positionen/ Zählausfall AFZS</t>
  </si>
  <si>
    <t xml:space="preserve">Beispiel: </t>
  </si>
  <si>
    <t>außerplanmäßiger Halt</t>
  </si>
  <si>
    <t>Wertung Zählausfall</t>
  </si>
  <si>
    <t>nicht erhoben weil durch SEV ersetzt</t>
  </si>
  <si>
    <t xml:space="preserve">kein BNV bzw. sonst. Ersatzbeförderung binnen 60 min </t>
  </si>
  <si>
    <t>operative Ausfälle mit festgelegten Kodierungen (11**; 1440; 1500;1501)</t>
  </si>
  <si>
    <t>EUR/Fplkm</t>
  </si>
  <si>
    <t>Zellen füllen</t>
  </si>
  <si>
    <t>Fahrtnummer (Zugnummer)</t>
  </si>
  <si>
    <t>Anzahl Busse</t>
  </si>
  <si>
    <t>Verstoß gegen Vereinbarung</t>
  </si>
  <si>
    <t>Expressbus</t>
  </si>
  <si>
    <t xml:space="preserve">SEV-Entgelt </t>
  </si>
  <si>
    <t xml:space="preserve">BNV-Entgelt </t>
  </si>
  <si>
    <t>Bei verspäteter Erbringung des SEV (zeitliche Verzögerung gegenüber dem SEV-Fahrplan von mehr als 60 Minuten bzw. größer/gleich Taktfolge) wird unbeschadet der Verpflichtung des Auftragnehmers zur Durchführung kein Zuschuss für den SEV gezahlt.</t>
  </si>
  <si>
    <t>Bei verspäteter Erbringunq des BNV (zeitliche Verzögerung gegenüber dem Regelfahrplan von mehr als 60 Minuten) wird unbeschadet der Verpflichtung des Auftragnehmers zur Durchführung kein Zuschuss für den BNV gezahlt.</t>
  </si>
  <si>
    <t>SEV / BNV</t>
  </si>
  <si>
    <t>SEV-Entgelt bzw. BNV-Entgelt</t>
  </si>
  <si>
    <t>Abzug in %</t>
  </si>
  <si>
    <t>BNV</t>
  </si>
  <si>
    <t>SEV</t>
  </si>
  <si>
    <t>Festgestellte Leistungen</t>
  </si>
  <si>
    <t>Leistungsentgelt Zug</t>
  </si>
  <si>
    <t>Beispiel</t>
  </si>
  <si>
    <t>33a</t>
  </si>
  <si>
    <t>33b</t>
  </si>
  <si>
    <t>Qualität SEV BNV</t>
  </si>
  <si>
    <t>Abzug in % gesamt</t>
  </si>
  <si>
    <t>50% erreicht ja /nein</t>
  </si>
  <si>
    <t>in Nachmonat</t>
  </si>
  <si>
    <t>Automat aufgeflext</t>
  </si>
  <si>
    <t>überwiegender Staus des Fahrzeugs (z.B. Instandhaltung, Werkstatt, Verzögerung Außenreinigung wegen Frost, zusätzliche Fristarbeiten...  )</t>
  </si>
  <si>
    <t>bis 10.04.2025</t>
  </si>
  <si>
    <t>zusätzliche Fristarbeiten (…)</t>
  </si>
  <si>
    <t>Minderung für fehlende Information AT</t>
  </si>
  <si>
    <t>Zusatzleistungen</t>
  </si>
  <si>
    <t>Mehr_Zusatzleistungen</t>
  </si>
  <si>
    <t>zusätzlich Verkehrshalt xxx,xxx und xxx</t>
  </si>
  <si>
    <t>Leistungsentgelt/ SEV-Kosten je Fplkm in €</t>
  </si>
  <si>
    <t>Trassen-preis pro Fplkm in €</t>
  </si>
  <si>
    <t xml:space="preserve">Trassen-kosten in € </t>
  </si>
  <si>
    <t>Stationskosten gem. Abrechnung in €</t>
  </si>
  <si>
    <t>Leistungsentgelt gesamt in €</t>
  </si>
  <si>
    <t>3) Mehr- und Zusatzleistungenleistungen</t>
  </si>
  <si>
    <t xml:space="preserve">im Jfpl. berücksichtigt 
</t>
  </si>
  <si>
    <t>nicht baubedingte unterjährige Mehrleistungen (zugbezogen)</t>
  </si>
  <si>
    <t>[2b]=[2]+[2a]+[4]</t>
  </si>
  <si>
    <t>[7a]=[7]/[2b]</t>
  </si>
  <si>
    <t>Voraussetzung für Ausgleich SEV gegeben?</t>
  </si>
  <si>
    <r>
      <rPr>
        <vertAlign val="superscript"/>
        <sz val="10"/>
        <color theme="3" tint="0.39997558519241921"/>
        <rFont val="Arial"/>
        <family val="2"/>
      </rPr>
      <t>2)</t>
    </r>
    <r>
      <rPr>
        <sz val="10"/>
        <color theme="3" tint="0.39997558519241921"/>
        <rFont val="Arial"/>
        <family val="2"/>
      </rPr>
      <t xml:space="preserve"> negative Werte werden auf Null gesetzt</t>
    </r>
  </si>
  <si>
    <r>
      <t xml:space="preserve"> </t>
    </r>
    <r>
      <rPr>
        <i/>
        <vertAlign val="superscript"/>
        <sz val="9"/>
        <color theme="3" tint="0.39997558519241921"/>
        <rFont val="Arial"/>
        <family val="2"/>
      </rPr>
      <t>1)</t>
    </r>
  </si>
  <si>
    <r>
      <t xml:space="preserve"> </t>
    </r>
    <r>
      <rPr>
        <i/>
        <vertAlign val="superscript"/>
        <sz val="10"/>
        <color theme="3" tint="0.39997558519241921"/>
        <rFont val="Arial"/>
        <family val="2"/>
      </rPr>
      <t>1)</t>
    </r>
  </si>
  <si>
    <r>
      <t>kalkulierbare Ausfälle Bau (Referenz-Ausfälle=</t>
    </r>
    <r>
      <rPr>
        <b/>
        <sz val="10"/>
        <color rgb="FF00B0F0"/>
        <rFont val="Arial"/>
        <family val="2"/>
      </rPr>
      <t>2</t>
    </r>
    <r>
      <rPr>
        <b/>
        <sz val="10"/>
        <color theme="3" tint="0.39997558519241921"/>
        <rFont val="Arial"/>
        <family val="2"/>
      </rPr>
      <t>%</t>
    </r>
    <r>
      <rPr>
        <b/>
        <sz val="10"/>
        <color theme="1"/>
        <rFont val="Arial"/>
        <family val="2"/>
      </rPr>
      <t>)</t>
    </r>
  </si>
  <si>
    <t>* gem. VDV MAN_Anhang I_LB 4.2. Pünktlichkeit</t>
  </si>
  <si>
    <t>Anschluss RE xxxxx</t>
  </si>
  <si>
    <t>Einordnung der Schäden anhand Anlage LB-4.4 Schadensfreiheit der Fahrzeuge</t>
  </si>
  <si>
    <t>[3]= 2%*[2b]</t>
  </si>
  <si>
    <t>Fplkm pönalisiert</t>
  </si>
  <si>
    <t>Anzahl
Fplkm</t>
  </si>
  <si>
    <t>Anzahl
Fplkm
abweichend</t>
  </si>
  <si>
    <t>Prozent
Fplkm
vertragsgerecht</t>
  </si>
  <si>
    <t>Anschlussknoten</t>
  </si>
  <si>
    <t>Vergütung SEV je Fplkm</t>
  </si>
  <si>
    <t>Zugbildungsabweichung mit Kapazitätsminderung je Fplkm</t>
  </si>
  <si>
    <t>Vergütung BNV je Fplkm</t>
  </si>
  <si>
    <t>Vergütung Expressbus je Fplkm</t>
  </si>
  <si>
    <t>fehlender Zugbegleiter je Fplkm</t>
  </si>
  <si>
    <t>fehlendes Sicherheitspersonal je Fplkm</t>
  </si>
  <si>
    <t>Ist-Ausfälle Bau [Fplkm]</t>
  </si>
  <si>
    <t>erhöhte = auszugleichende Ausfälle [Fplkm]</t>
  </si>
  <si>
    <t>ausfallunabhängige Produktionskosten (Fixkosten) [€/Fplkm]</t>
  </si>
  <si>
    <t>erhöhte SEV-Kosten je Ausfall-km [€/Fplkm]</t>
  </si>
  <si>
    <t>[Fplkm]</t>
  </si>
  <si>
    <t>[€/Fplkm]</t>
  </si>
  <si>
    <t xml:space="preserve">1.b) Gegenüberstellung der baubedingten Ist-Ausfälle mit den Referenz-Ausfällen [Fplkm] </t>
  </si>
  <si>
    <r>
      <rPr>
        <vertAlign val="superscript"/>
        <sz val="10"/>
        <color theme="3" tint="0.39997558519241921"/>
        <rFont val="Arial"/>
        <family val="2"/>
      </rPr>
      <t>1)</t>
    </r>
    <r>
      <rPr>
        <sz val="10"/>
        <color theme="3" tint="0.39997558519241921"/>
        <rFont val="Arial"/>
        <family val="2"/>
      </rPr>
      <t xml:space="preserve"> als Bezugsbasis wird das Bestellvolumen Betriebskonzept (Fplkm Jfpl. + im Jfpl. enthaltene Ausfälle + unterjährig nicht baubedingte zugbezogene Mehrleistungen) verwendet </t>
    </r>
  </si>
  <si>
    <t>Minderung/Mehrungen gesamt</t>
  </si>
  <si>
    <t>Fahrplanleistungen (Soll) in €/Fplkm</t>
  </si>
  <si>
    <t>Kalenderjahr JJJJ (DD.MM.JJJJ - DD.MM-JJJJ)</t>
  </si>
  <si>
    <t>Netzverteilschlüssel (Normjahr)</t>
  </si>
  <si>
    <t>Kalenderjahr Fahrplankilometer (Soll) in Fplkm</t>
  </si>
  <si>
    <t>Normjahr Fahrplankilometer (Soll) in Fplkm</t>
  </si>
  <si>
    <t>Monatliche Abschlagszahlung in €</t>
  </si>
  <si>
    <t>Leistungsumfang Normjahr in Fplkm (laut Anlage ….)</t>
  </si>
  <si>
    <t>UEI</t>
  </si>
  <si>
    <t>Fplo 41202</t>
  </si>
  <si>
    <t>Anzahl Abfahrten je Gebiet/AT</t>
  </si>
  <si>
    <t>Fplkm je Gebiet/AT</t>
  </si>
  <si>
    <t>UND</t>
  </si>
  <si>
    <t>Abw pbV, vbV_UAP</t>
  </si>
  <si>
    <t>14f</t>
  </si>
  <si>
    <t>14g</t>
  </si>
  <si>
    <t>nicht besetzte Leistungen</t>
  </si>
  <si>
    <t>Eisenach</t>
  </si>
  <si>
    <t>Minderung gesamt - gravierende Schäden</t>
  </si>
  <si>
    <t>Minderung gesamt - leichte Schäden</t>
  </si>
  <si>
    <t>Person mit gefälschtem Fahrausweis von Glauchau bis Chemnitz, Zugbegleiter
stellte Fälschung fest, Person stieg ohne
Personenfeststellung aus,</t>
  </si>
  <si>
    <t>Minderung gesamt - gravierende Verstöße</t>
  </si>
  <si>
    <t>Minderungen gesamt - leichte Verstöße</t>
  </si>
  <si>
    <t>Anzahl betroffener Zugfahrten</t>
  </si>
  <si>
    <t>keine Tarifinformationen in Glauchau</t>
  </si>
  <si>
    <t>alle</t>
  </si>
  <si>
    <t>kein Aushang zum SEV</t>
  </si>
  <si>
    <t>Anzahl /Minderung Verstöße (wenn direkte Zuordnung AT)</t>
  </si>
  <si>
    <t>Nichtverfügbarkeit WC pro Zugeinheit mehr als 6 Stunden</t>
  </si>
  <si>
    <t xml:space="preserve">Nichtvorhandenseins eines Fahrausweisautomaten bzw. Nichtfunktionieren nach Ablauf von einem Tag ab dem zweiten Tag nach Beginn der Pflicht zur Aufstellung bzw. nach einer festgestellten Störung </t>
  </si>
  <si>
    <t>nicht funktionierendes WC (Kategorie 3)</t>
  </si>
  <si>
    <t xml:space="preserve">Minderung gesamt - nicht funktionierendes WC </t>
  </si>
  <si>
    <t>XXX2, XXX6, XXX8, XXX5, XXX7</t>
  </si>
  <si>
    <t>XXX1, XXX5, XXX7, XX11, XX15, XXX6, XX12</t>
  </si>
  <si>
    <t>WC defekt (WC nicht benutzbar)</t>
  </si>
  <si>
    <t xml:space="preserve">Fahrt </t>
  </si>
  <si>
    <t>Anzahl Fahrten Minderung - nicht funktionierendes WC (Kategorie 3)</t>
  </si>
  <si>
    <r>
      <t xml:space="preserve">Wenn und soweit das EVU nachweist, dass die Beschädigung eines Fahrausweisautomaten durch </t>
    </r>
    <r>
      <rPr>
        <b/>
        <sz val="10"/>
        <rFont val="Arial"/>
        <family val="2"/>
      </rPr>
      <t>groben Vandalismus</t>
    </r>
    <r>
      <rPr>
        <sz val="10"/>
        <rFont val="Arial"/>
        <family val="2"/>
      </rPr>
      <t xml:space="preserve"> bedingt ist (z. B. wenn ein Komplettaustausch erforderlich wird), fällt abweichend die </t>
    </r>
    <r>
      <rPr>
        <b/>
        <sz val="10"/>
        <rFont val="Arial"/>
        <family val="2"/>
      </rPr>
      <t>Minderung erst nach Ablauf von drei Tagen</t>
    </r>
    <r>
      <rPr>
        <sz val="10"/>
        <rFont val="Arial"/>
        <family val="2"/>
      </rPr>
      <t xml:space="preserve"> an. Bei einem nachgewiesenen notwendigen Komplettaustausch eines Fahrausweisautomaten muss auf einen Reserveautomaten zurückgegriffen werden. Sollte dieser für den Austausch benötigt werden und/oder eine erhebliche Beschädigung des Sockels aufgrund von Vandalismus vorliegen,</t>
    </r>
    <r>
      <rPr>
        <b/>
        <sz val="10"/>
        <rFont val="Arial"/>
        <family val="2"/>
      </rPr>
      <t xml:space="preserve"> kann im Einzelfall nach Abstimmung mit dem betroffenen Auftraggeber die Minderung</t>
    </r>
    <r>
      <rPr>
        <sz val="10"/>
        <rFont val="Arial"/>
        <family val="2"/>
      </rPr>
      <t xml:space="preserve"> für den Automatenausfall </t>
    </r>
    <r>
      <rPr>
        <b/>
        <sz val="10"/>
        <rFont val="Arial"/>
        <family val="2"/>
      </rPr>
      <t>um 50 % reduziert werden</t>
    </r>
    <r>
      <rPr>
        <sz val="10"/>
        <rFont val="Arial"/>
        <family val="2"/>
      </rPr>
      <t>. Wird der Reserveautomat für einen Austausch benötigt, ist die Ersatzbeschaffung eines funktionsfähigen Reserveautomaten unverzüglich zu veranlassen.</t>
    </r>
  </si>
  <si>
    <t>Minderung pro Fahrt - nicht funktionierendes WC (Kategorie 3)</t>
  </si>
  <si>
    <t>XXX2, XXX6, XXX8, XX12, XXX5, XXX7; XX11, XX15, XX19</t>
  </si>
  <si>
    <r>
      <t xml:space="preserve">Bei einem nachgewiesenen notwendigen Komplettaustausch eines Entwerters an einer Station </t>
    </r>
    <r>
      <rPr>
        <b/>
        <sz val="10"/>
        <rFont val="Arial"/>
        <family val="2"/>
      </rPr>
      <t>kann im Einzelfall nach Abstimmung mit dem betroffenen Auftraggeber</t>
    </r>
    <r>
      <rPr>
        <sz val="10"/>
        <rFont val="Arial"/>
        <family val="2"/>
      </rPr>
      <t xml:space="preserve"> die Minderung für den Entwerterausfall </t>
    </r>
    <r>
      <rPr>
        <b/>
        <sz val="10"/>
        <rFont val="Arial"/>
        <family val="2"/>
      </rPr>
      <t>um 50 % reduziert werden</t>
    </r>
    <r>
      <rPr>
        <sz val="10"/>
        <rFont val="Arial"/>
        <family val="2"/>
      </rPr>
      <t xml:space="preserve">, sofern es sich um </t>
    </r>
    <r>
      <rPr>
        <b/>
        <sz val="10"/>
        <rFont val="Arial"/>
        <family val="2"/>
      </rPr>
      <t>Vandalismusschäden</t>
    </r>
    <r>
      <rPr>
        <sz val="10"/>
        <rFont val="Arial"/>
        <family val="2"/>
      </rPr>
      <t xml:space="preserve"> handelt. </t>
    </r>
  </si>
  <si>
    <t>davon:</t>
  </si>
  <si>
    <r>
      <t xml:space="preserve">Anzahl Ausfälle
aufgrund Verspätung </t>
    </r>
    <r>
      <rPr>
        <b/>
        <sz val="10"/>
        <color rgb="FF00B050"/>
        <rFont val="Arial"/>
        <family val="2"/>
      </rPr>
      <t>&gt;= 60 Min und &gt;=  Taktnachfolger</t>
    </r>
  </si>
  <si>
    <r>
      <t xml:space="preserve">Fplkm Ausfälle
aufgrund Verspätung </t>
    </r>
    <r>
      <rPr>
        <b/>
        <sz val="10"/>
        <color rgb="FF00B050"/>
        <rFont val="Arial"/>
        <family val="2"/>
      </rPr>
      <t>&gt;= 60 Min und &gt;= Taktnachfolger</t>
    </r>
  </si>
  <si>
    <t>Fplkm Ausfälle</t>
  </si>
  <si>
    <t>Abzug operative Ausfälle (Basis bewertete operative Ausfälle IVU)</t>
  </si>
  <si>
    <t>Abzug planmäßige und operative Ausfälle (Basis bewertete Ausfälle IVU)</t>
  </si>
  <si>
    <t>Vergütung Trassenkosten Verspätungen &gt;= 60 Min und &gt;= Taktnachfolger</t>
  </si>
  <si>
    <t>Vergütung Stationskostenkosten Verspätungen &gt;= 60 Min und &gt;= Taktnachfolger</t>
  </si>
  <si>
    <t>Vergütung Trassenkosten Mehr-und Zusatzleistungen</t>
  </si>
  <si>
    <t>Vergütung Stationskosten Mehr- und Zusatzleistungen</t>
  </si>
  <si>
    <t>Bedienung Halte aus Umleitung über xxxxx gemäß Fplo xxxxx</t>
  </si>
  <si>
    <t>SEV zur Bedienung ausgefallener Halte</t>
  </si>
  <si>
    <t>alle Linien Grundangebot</t>
  </si>
  <si>
    <t>GA</t>
  </si>
  <si>
    <t>Grundangebot</t>
  </si>
  <si>
    <t>LS</t>
  </si>
  <si>
    <t>Leistungsstufe</t>
  </si>
  <si>
    <t>Thüringen GA</t>
  </si>
  <si>
    <t>Gesamt GA</t>
  </si>
  <si>
    <t>Minderung GA gesamt</t>
  </si>
  <si>
    <t>Anz. Pönaletage GA</t>
  </si>
  <si>
    <t>separate Meldung, falls erforderlich</t>
  </si>
  <si>
    <t>Einsatzzeit
SEV in min</t>
  </si>
  <si>
    <t>alle Linien GA</t>
  </si>
  <si>
    <t xml:space="preserve">geprüft Thüringen </t>
  </si>
  <si>
    <t>Mehrleistungen ergeben sich aus baubedingten Maßnahmen und können sowohl positive als auch negative Werte enthalten (bspw. kürzere Strecke bei Umleitung von Zügen, zusätzlich notwendiger SEV, zusätzliche baubedingte Leistung usw.)</t>
  </si>
  <si>
    <t>Zusatzleistungen ergeben sich durch nicht baubedingte gesondert vereinbarte zusätzliche Verkehre (LB_1.8.5. Zusatzleistungen)</t>
  </si>
  <si>
    <r>
      <t xml:space="preserve">Nachfolgend aufgeführte Verspätungsursachen sind gesamtheitlich auf direkt und indirekt betroffene Züge anzuwenden (d.h. keine Unterscheidung in Primär- und Sekundärkodierungen wie bei DB Netz, z. Bsp. auf das Ereignis zurückzuführende Verspätungen in der Zugfolge oder nach Zugwende gehören ebenfalls zum Ereignis). Dabei werden Folgeverspätungen nur innerhalb einer Linie anerkannt. Ausnahme von dieser Regel sind Folgeverspätungen, die aus der Eingleisigkeit im Abschnitt Bad Langensalza - Leinefelde resultieren bzw. sich auf durch Systemkreuzungen entstehende gegenseitige Verspätungsübertragungen der </t>
    </r>
    <r>
      <rPr>
        <b/>
        <sz val="10"/>
        <rFont val="Arial"/>
        <family val="2"/>
      </rPr>
      <t xml:space="preserve">Linien RE 1, RE 11 und RB 52 </t>
    </r>
    <r>
      <rPr>
        <sz val="10"/>
        <rFont val="Arial"/>
        <family val="2"/>
      </rPr>
      <t>beziehen. Werden Primärkodierungen genannt, erfolgt das nur zur Klarstellung und ist nicht als Einschränkung gemeint.</t>
    </r>
  </si>
  <si>
    <t>Tage Minderung/zu wenig geöffnete Stunden</t>
  </si>
  <si>
    <t>Bemerkung/Störungs-ursache</t>
  </si>
  <si>
    <r>
      <t xml:space="preserve">*Gemäß VDV § 5 ( E ) und </t>
    </r>
    <r>
      <rPr>
        <i/>
        <sz val="10"/>
        <color theme="1"/>
        <rFont val="Arial"/>
        <family val="2"/>
      </rPr>
      <t xml:space="preserve"> </t>
    </r>
    <r>
      <rPr>
        <sz val="10"/>
        <color theme="1"/>
        <rFont val="Arial"/>
        <family val="2"/>
      </rPr>
      <t>LB 4. Qualität, 4.1.2. Folgen von Nicht- und Schlechtleistungen erfolgt eine Dynamisierung der Minderungen/ Vergütungen ab dem Kalenderjahr 2025 um 2% gegenüber dem Vorjahr. Basisjahr ist 2024.</t>
    </r>
  </si>
  <si>
    <t>EBE</t>
  </si>
  <si>
    <t>DTV</t>
  </si>
  <si>
    <t>VMT</t>
  </si>
  <si>
    <t>Einfache Fahrt</t>
  </si>
  <si>
    <t>VMT Hopperticket</t>
  </si>
  <si>
    <t>Monatlicher Qualitätsbericht VDV SUN</t>
  </si>
  <si>
    <t>Monatsabrechnung VDV SUN</t>
  </si>
  <si>
    <t>Fahrplanleistungen VDV SUN</t>
  </si>
  <si>
    <t>Mehr- und Zusatzleistungen VDV SUN</t>
  </si>
  <si>
    <t xml:space="preserve">BEG </t>
  </si>
  <si>
    <t>Verspätungsursachen VDV SUN</t>
  </si>
  <si>
    <t>Nachweis der aufgrund Anschlussgewährung pünktlich zu bewertenden Züge VDV SUN</t>
  </si>
  <si>
    <t>Operative Zugausfälle VDV SUN</t>
  </si>
  <si>
    <t>Planmäßige Zugausfälle VDV SUN</t>
  </si>
  <si>
    <t>Thüringen</t>
  </si>
  <si>
    <t xml:space="preserve">Gesamt </t>
  </si>
  <si>
    <t>Thüringen 2</t>
  </si>
  <si>
    <t>BEG 2</t>
  </si>
  <si>
    <t>BEG 3</t>
  </si>
  <si>
    <t>Abfahrten vor Plan VDV SUN</t>
  </si>
  <si>
    <t>Nichtbedienung / Ausfall von Halten VDV SUN</t>
  </si>
  <si>
    <t>Statistik - Zugausfälle nach Linien VDV SUN</t>
  </si>
  <si>
    <t xml:space="preserve">alle Linien </t>
  </si>
  <si>
    <t>alle Linien</t>
  </si>
  <si>
    <t>Abweichungen von der Zugbildung VDV SUN</t>
  </si>
  <si>
    <t>Statistische Auswertung zur Zugbildung VDV SUN</t>
  </si>
  <si>
    <t>Vereinbarung Bespannung VDV SUN</t>
  </si>
  <si>
    <t>Angaben zu den personenbedienten Vertriebsstellen VDV SUN</t>
  </si>
  <si>
    <t>Standorte stationäre Fahrausweisautomaten VDV SUN</t>
  </si>
  <si>
    <t>Standorte Entwerter VDV SUN</t>
  </si>
  <si>
    <t>Nichtbesetzung pbV / Ausfall vbV / Unterschreitung der Mindestöffnungszeiten VDV SUN</t>
  </si>
  <si>
    <t>Störungen an stationären Fahrausweisautomaten VDV SUN</t>
  </si>
  <si>
    <t>Störungen an stationären Entwertern VDV SUN</t>
  </si>
  <si>
    <t>Störungen von mobilen Terminals VDV SUN</t>
  </si>
  <si>
    <t>Besetzung der Züge mit Kundenbetreuern und Sicherheitspersonal VDV SUN</t>
  </si>
  <si>
    <t>Summe KiN</t>
  </si>
  <si>
    <t>Summe SiP</t>
  </si>
  <si>
    <t xml:space="preserve">Summe KiN </t>
  </si>
  <si>
    <t>Besetzung der Linien mit Kundenbetreuern VDV SUN</t>
  </si>
  <si>
    <t>Fahrgastrelevante Servicemängel Zugpersonal VDV SUN</t>
  </si>
  <si>
    <t>Besetzung der Linien mit Sicherheitspersonale VDV SUN</t>
  </si>
  <si>
    <t>Minderungen gesamt</t>
  </si>
  <si>
    <t>Sicherheitslage im Zug VDV SUN</t>
  </si>
  <si>
    <t xml:space="preserve"> Zusätzliche Gestellung von Reisendenlenkern / Servicekräften und Sicherheitspersonal VDV SUN</t>
  </si>
  <si>
    <t>Fahrgastrelevante Schäden an Fahrzeugen VDV SUN</t>
  </si>
  <si>
    <t>Gesamt in €</t>
  </si>
  <si>
    <t>Fahrzeugstatus/ Sillstandszeiten Vertragsfahrzeuge VDV SUN</t>
  </si>
  <si>
    <t>Außenreinigung VDV SUN</t>
  </si>
  <si>
    <t>Innenreinigung VDV SUN</t>
  </si>
  <si>
    <t>Abweichungen von den Anforderungen an die Fahrgastinformation VDV SUN</t>
  </si>
  <si>
    <t>Qualitätsanalyse (verbale Erläuterungen) VDV SUN</t>
  </si>
  <si>
    <t>B) Monatsrate</t>
  </si>
  <si>
    <t>Format für Pünktlichkeitsdaten (Erhebung durch Fahrzeuge) VDV SUN</t>
  </si>
  <si>
    <t>Ankunfts- / Abfahrtspünktlichkeit der Linien an allen Messstellen VDV SUN</t>
  </si>
  <si>
    <t>Anwendung Pünktlichwertung VDV SUN</t>
  </si>
  <si>
    <t>Züge mit einer Ankunftspünktlichkeit unter 85 % VDV SUN</t>
  </si>
  <si>
    <t>Beschwerdestatistik VDV SUN</t>
  </si>
  <si>
    <t>Statistik Kundengarantien VDV SUN</t>
  </si>
  <si>
    <t>Erfüllungssquote AFZS-Daten VDV SUN</t>
  </si>
  <si>
    <t>Infrastrukturkosten VDV SUN</t>
  </si>
  <si>
    <t>Trassenkosten</t>
  </si>
  <si>
    <t>Stationskossten</t>
  </si>
  <si>
    <t>Infrastrukturkosten gesamt</t>
  </si>
  <si>
    <t>Kassentechnische Einnahmen VDV SUN</t>
  </si>
  <si>
    <t>Gesicherte und nicht gesicherte Anschlüsse VDV SUN</t>
  </si>
  <si>
    <t>EVU SUN</t>
  </si>
  <si>
    <t>Minderungs- und Vergütungsbeträge VDV SUN</t>
  </si>
  <si>
    <t>Bewertung Qualität SEV/ BNV-Leistungen VDV SUN</t>
  </si>
  <si>
    <t>2. Ermittlung der durchschnittlichen SEV-Kosten und SEV-Vergütung Grundangebot VDV SUN</t>
  </si>
  <si>
    <t>3. Ermittlung des Ausgleichsbetrages - VDV SUN</t>
  </si>
  <si>
    <t>1. Ermittlung der auszugleichenden, über dem Kalkulierbaren liegenden baubedingten Ausfälle Grundangebot VDV SUN</t>
  </si>
  <si>
    <t>Erläuterung der zu berücksichtigenden Baumaßnahmen Grundangebot VDV SUN:</t>
  </si>
  <si>
    <t>Gebiet Thüringen</t>
  </si>
  <si>
    <t>Gebiet BEG</t>
  </si>
  <si>
    <t>Thüringen GA Los A</t>
  </si>
  <si>
    <t>BEG GA Los A</t>
  </si>
  <si>
    <t>BEG GA Los B</t>
  </si>
  <si>
    <t>RE 7</t>
  </si>
  <si>
    <t>RE 57</t>
  </si>
  <si>
    <t>RE 70</t>
  </si>
  <si>
    <t>RS 5</t>
  </si>
  <si>
    <t>RB 40</t>
  </si>
  <si>
    <t>RB 44</t>
  </si>
  <si>
    <t>RB 41</t>
  </si>
  <si>
    <t>RB 43</t>
  </si>
  <si>
    <t>RB 49</t>
  </si>
  <si>
    <t>RB 50</t>
  </si>
  <si>
    <t>RB 59</t>
  </si>
  <si>
    <t>Erfurt - Suhl - Grimmenthal - Ebenhausen - Schweinfurt - Würzburg</t>
  </si>
  <si>
    <t>Bad Kissingen - Ebenhausen - Schweinfurt - Würzburg</t>
  </si>
  <si>
    <t>Erfurt - Suhl - Grimmenthal - Meiningen</t>
  </si>
  <si>
    <t>Würzburg - Seligenstadt - Volkach-Astheim</t>
  </si>
  <si>
    <t>Erfurt - Suhl - Grimmenthal - Ebenhausen - Schweinfurt</t>
  </si>
  <si>
    <t>Eisenach - Meiningen - Eisfeld - Sonneberg - Neuhaus am Rennweg</t>
  </si>
  <si>
    <t>Wernshausen - Zella-Mehlis</t>
  </si>
  <si>
    <t>Ilmenau - Rennsteig</t>
  </si>
  <si>
    <t>Gemünden - Hammelburg - Bad Kissingen - Ebenhausen - Schweinfurt</t>
  </si>
  <si>
    <t>Meiningen - Bad Neustadt - Ebenhausen - Schweinfurt</t>
  </si>
  <si>
    <t>Option</t>
  </si>
  <si>
    <t xml:space="preserve">Thüringen GA Los B </t>
  </si>
  <si>
    <t>BEG O Los A</t>
  </si>
  <si>
    <t>Thüringen O Los B</t>
  </si>
  <si>
    <t>O</t>
  </si>
  <si>
    <t>UA</t>
  </si>
  <si>
    <t>NWH</t>
  </si>
  <si>
    <t>NS</t>
  </si>
  <si>
    <t>NHG</t>
  </si>
  <si>
    <t>USZ</t>
  </si>
  <si>
    <t>39.04.2025</t>
  </si>
  <si>
    <t>13</t>
  </si>
  <si>
    <t>Leistungsentgelt Thüringen GA JJJJ gem. Anlage I zum VDV:</t>
  </si>
  <si>
    <t>Leistungsentgelt Bayern GA JJJJ gem Anlage I zum VDV:</t>
  </si>
  <si>
    <t>Netzverteilschlüssel (Kalenderjahr)</t>
  </si>
  <si>
    <t>Beispiel:</t>
  </si>
  <si>
    <t>Thüringen GA Los B</t>
  </si>
  <si>
    <t>Thüringen GA Los A gesamt</t>
  </si>
  <si>
    <t>Thüringen GA Los B  gesamt</t>
  </si>
  <si>
    <t>Thüringen O Los B gesamt</t>
  </si>
  <si>
    <t>BEG GA Los B gesamt</t>
  </si>
  <si>
    <t>BEG GA Los A gesamt</t>
  </si>
  <si>
    <t>BEG O Los A gesamt</t>
  </si>
  <si>
    <t>UGM</t>
  </si>
  <si>
    <t>NBNE</t>
  </si>
  <si>
    <t>NEBH</t>
  </si>
  <si>
    <t>NSLI</t>
  </si>
  <si>
    <t>NGM</t>
  </si>
  <si>
    <t>USMS</t>
  </si>
  <si>
    <t>UZL</t>
  </si>
  <si>
    <t>NSST</t>
  </si>
  <si>
    <t>USL</t>
  </si>
  <si>
    <t>NMUE</t>
  </si>
  <si>
    <t>UI</t>
  </si>
  <si>
    <t>UREN</t>
  </si>
  <si>
    <t>NOBW</t>
  </si>
  <si>
    <t>Arnstadt Hbf</t>
  </si>
  <si>
    <t>Bad Salzungen</t>
  </si>
  <si>
    <t>Abw pbV, vbV_USZ</t>
  </si>
  <si>
    <t>Vertriebstandort Arnstadt</t>
  </si>
  <si>
    <t>Vertriebstandort Bad Salzungen</t>
  </si>
  <si>
    <t>Abw pbV, vbV_USO</t>
  </si>
  <si>
    <t>Vertriebstandort Sonneberg</t>
  </si>
  <si>
    <t>Abw pbV, vbV_UM</t>
  </si>
  <si>
    <t>Vertriebstandort Meiningen</t>
  </si>
  <si>
    <t>Abw pbV, vbV_USL</t>
  </si>
  <si>
    <t>Vertriebstandort Suhl</t>
  </si>
  <si>
    <t>Abw pbV, vbV_</t>
  </si>
  <si>
    <t xml:space="preserve">Vertriebstandort </t>
  </si>
  <si>
    <t>UM</t>
  </si>
  <si>
    <t>URR</t>
  </si>
  <si>
    <t>UHN</t>
  </si>
  <si>
    <t>UED</t>
  </si>
  <si>
    <t>Arnstadt</t>
  </si>
  <si>
    <t>Würzburg</t>
  </si>
  <si>
    <t>Sonneberg (Thür) Hbf</t>
  </si>
  <si>
    <t>Suhl</t>
  </si>
  <si>
    <t>Schweinfurt</t>
  </si>
  <si>
    <t>NKS</t>
  </si>
  <si>
    <t>NBST</t>
  </si>
  <si>
    <t>NMEL</t>
  </si>
  <si>
    <t>USO</t>
  </si>
  <si>
    <t>UWH</t>
  </si>
  <si>
    <t xml:space="preserve">BEG GA Los B </t>
  </si>
  <si>
    <t>UNHR</t>
  </si>
  <si>
    <t>Summe Erlöse</t>
  </si>
  <si>
    <t>Linie (RE 7, RE 57, ...)</t>
  </si>
  <si>
    <t>Fplkm der mit BNV/ SEV ersetzten Fahrt Thüringen GA Los A</t>
  </si>
  <si>
    <t>Fplkm der mit BNV/ SEV ersetzten Fahrt Thüringen GA Los B</t>
  </si>
  <si>
    <t>Fplkm der mit BNV/ SEV ersetzten Fahrt Thüringen O Los B</t>
  </si>
  <si>
    <t>Fplkm der mit BNV/ SEV ersetzten Fahrt BEG GA Los A</t>
  </si>
  <si>
    <t>Fplkm der mit BNV/ SEV ersetzten Fahrt BEG GA Los B</t>
  </si>
  <si>
    <t>Fplkm der mit BNV/ SEV ersetzten Fahrt BEG O Los A</t>
  </si>
  <si>
    <t>Leistungsentgelt der mit BNV/ SEV ersetzten Fahrt in € Thüringen GA Los A</t>
  </si>
  <si>
    <t>Leistungsentgelt der mit BNV/ SEV ersetzten Fahrt in € Thüringen GA Los B</t>
  </si>
  <si>
    <t>Leistungsentgelt der mit BNV/ SEV ersetzten Fahrt in € Thüringen O Los B</t>
  </si>
  <si>
    <t>Leistungsentgelt der mit BNV/ SEV ersetzten Fahrt in € BEG GA Los A</t>
  </si>
  <si>
    <t>Leistungsentgelt der mit BNV/ SEV ersetzten Fahrt in € BEG GA Los B</t>
  </si>
  <si>
    <t>Leistungsentgelt der mit BNV/ SEV ersetzten Fahrt in € BEG O Los A</t>
  </si>
  <si>
    <t>Zuschusskürzung (% Abzug * Leistungsentgelt Fahrt) in € Thüringen GA Los A</t>
  </si>
  <si>
    <t>Zuschusskürzung (% Abzug * Leistungsentgelt Fahrt) in € Thüringen GA Los B</t>
  </si>
  <si>
    <t>Zuschusskürzung (% Abzug * Leistungsentgelt Fahrt) in € Thüringen O Los B</t>
  </si>
  <si>
    <t>Zuschusskürzung (% Abzug * Leistungsentgelt Fahrt) in € BEG GA Los A</t>
  </si>
  <si>
    <t>Zuschusskürzung (% Abzug * Leistungsentgelt Fahrt) in € BEG GA Los B</t>
  </si>
  <si>
    <t>Zuschusskürzung (% Abzug * Leistungsentgelt Fahrt) in € BEG O Los A</t>
  </si>
  <si>
    <t xml:space="preserve">Fortsetzung </t>
  </si>
  <si>
    <r>
      <t xml:space="preserve">Bei jeder Dynamisierungsanpassung ab dem Kalenderjahr </t>
    </r>
    <r>
      <rPr>
        <b/>
        <sz val="11"/>
        <color rgb="FFFF0000"/>
        <rFont val="Arial"/>
        <family val="2"/>
      </rPr>
      <t>2025</t>
    </r>
    <r>
      <rPr>
        <sz val="11"/>
        <color rgb="FFFF0000"/>
        <rFont val="Arial"/>
        <family val="2"/>
      </rPr>
      <t xml:space="preserve"> erfolgt eine kaufmännische Rundung auf volle Centbeträge. Der so entstandene Minderungsbetrag stellt die Basis für die Dynamisierung des Folgejahres dar.</t>
    </r>
  </si>
  <si>
    <t>Thüringen GA Los B gesamt</t>
  </si>
  <si>
    <t>Die Bestreifung fand vorwiegend auf folgenden Strecken statt:
- Erfurt - Meiningen
- Eisenach - Bad Salzungen</t>
  </si>
  <si>
    <t>Tfzg+Tfzg</t>
  </si>
  <si>
    <t>Tfzg+Tfzg+Tfzg</t>
  </si>
  <si>
    <t>Tfzg</t>
  </si>
  <si>
    <t>Die eingesetzten Triebfahrzeuge können im Rahmen der Betriebsaufnahme mit Codierungen versehen werden.</t>
  </si>
  <si>
    <t>Eisfeld</t>
  </si>
  <si>
    <t>Erlösprognose VDV SUN</t>
  </si>
  <si>
    <t>Vervollständigung in Abstimmung AT/EVU vor Betriebsaufnahme</t>
  </si>
  <si>
    <t>%tuale Aufteilung AT</t>
  </si>
  <si>
    <t>ok, Kostenanteil angepasst</t>
  </si>
  <si>
    <t xml:space="preserve">Bestellvolumen Jahresfahrplan JJJJ
</t>
  </si>
  <si>
    <r>
      <t xml:space="preserve">SEV Jfpl
ExpressBus
</t>
    </r>
    <r>
      <rPr>
        <b/>
        <sz val="9"/>
        <rFont val="Arial"/>
        <family val="2"/>
      </rPr>
      <t>(zusätzlich)</t>
    </r>
    <r>
      <rPr>
        <b/>
        <sz val="10"/>
        <rFont val="Arial"/>
        <family val="2"/>
      </rPr>
      <t xml:space="preserve">
</t>
    </r>
    <r>
      <rPr>
        <sz val="8"/>
        <rFont val="Arial"/>
        <family val="2"/>
      </rPr>
      <t>2)</t>
    </r>
  </si>
  <si>
    <t xml:space="preserve">[Fplkm] 
</t>
  </si>
  <si>
    <r>
      <t xml:space="preserve">SEV Jfpl
Bus
</t>
    </r>
    <r>
      <rPr>
        <sz val="8"/>
        <rFont val="Arial"/>
        <family val="2"/>
      </rPr>
      <t>2)</t>
    </r>
  </si>
  <si>
    <t>gesamt:</t>
  </si>
  <si>
    <t>davon nur unterjähige Bamaßnahmen:</t>
  </si>
  <si>
    <t>davon Baumaßnahmen im Jfpl:</t>
  </si>
  <si>
    <r>
      <t>Ausgleich SEV-Kosten</t>
    </r>
    <r>
      <rPr>
        <b/>
        <strike/>
        <u/>
        <sz val="10"/>
        <color rgb="FF00B0F0"/>
        <rFont val="Arial"/>
        <family val="2"/>
      </rPr>
      <t xml:space="preserve"> &gt; 14 Tage</t>
    </r>
  </si>
  <si>
    <t>bleibt frei</t>
  </si>
  <si>
    <t>Prüf</t>
  </si>
  <si>
    <t>Bayern GA Los A</t>
  </si>
  <si>
    <t>Bayern O Los A</t>
  </si>
  <si>
    <t>Bayern GA Los B</t>
  </si>
  <si>
    <t>Bayern O Los B</t>
  </si>
  <si>
    <t>Zugausfälle aufgrund Verspätungen &gt;= 60 Min und &gt;=  Taktnachfolger VDV SUN</t>
  </si>
  <si>
    <t>34.3</t>
  </si>
  <si>
    <t>34.2</t>
  </si>
  <si>
    <t>34.1</t>
  </si>
  <si>
    <t>BEG O Los B</t>
  </si>
  <si>
    <t>BEG 4</t>
  </si>
  <si>
    <t>BEG O Los B gesamt</t>
  </si>
  <si>
    <t>Fplkm der mit BNV/ SEV ersetzten Fahrt BEG O Los B</t>
  </si>
  <si>
    <t>Leistungsentgelt der mit BNV/ SEV ersetzten Fahrt in € BEG O Los B</t>
  </si>
  <si>
    <t>Zuschusskürzung (% Abzug * Leistungsentgelt Fahrt) in € BEG O Los B</t>
  </si>
  <si>
    <r>
      <rPr>
        <vertAlign val="superscript"/>
        <sz val="10"/>
        <rFont val="Arial"/>
        <family val="2"/>
      </rPr>
      <t>1)</t>
    </r>
    <r>
      <rPr>
        <sz val="10"/>
        <rFont val="Arial"/>
        <family val="2"/>
      </rPr>
      <t xml:space="preserve"> Voraussetzung gegeben, (siehe Tabellenblatt "Ausfälle Baumaßnahmen")</t>
    </r>
  </si>
  <si>
    <r>
      <t>Bei planmäßigem,</t>
    </r>
    <r>
      <rPr>
        <sz val="10"/>
        <rFont val="Arial"/>
        <family val="2"/>
      </rPr>
      <t xml:space="preserve"> der die kalkulierbaren Ausfälle Bau (Referenz Ausfälle  = 2 %) übersteigend erfolgt,</t>
    </r>
    <r>
      <rPr>
        <sz val="10"/>
        <color theme="1"/>
        <rFont val="Arial"/>
        <family val="2"/>
      </rPr>
      <t xml:space="preserve"> erhält das EVU auf Nachweis (z. B. Vorlage der Rechnungen) 80 % der tatsächlich angefallenen SEV-Kosten erstattet (Erstattungen der EIU sind gegenzurechnen). Voraussetzung für die Erstattung ist, dass die Ersatzverkehre im Wettbewerb vergeben worden sind. </t>
    </r>
  </si>
  <si>
    <t>Thüringen 3</t>
  </si>
  <si>
    <t>Abrechnung erfolgt jährlich, Ermittlung der monatlichen Werte nur nachrichtlich</t>
  </si>
  <si>
    <t>Leistungsentgelt O Los A JJJJ gem. Anlage I zum VDV:</t>
  </si>
  <si>
    <t>Fplkm mit zu geringen Platzkapazitäten O Los A</t>
  </si>
  <si>
    <t>Leistungsentgelt O Los B JJJJ gem. Anlage I zum VDV:</t>
  </si>
  <si>
    <t xml:space="preserve">operative Ausfälle mit festgelegten Kodierungen (11**; 1440; 1500;1501) </t>
  </si>
  <si>
    <t>kein BNV bzw. sonst. Ersatzbeförderung binnen 60 min</t>
  </si>
  <si>
    <t>Leistungsentgelt GA Los A JJJJ gem. Anlage I zum VDV:</t>
  </si>
  <si>
    <t>Leistungsentgelt Ga Los A JJJJ gem. Anlage I zum VDV:</t>
  </si>
  <si>
    <t>Leistungsentgelt GA Los B JJJJ gem. Anlage I zum VDV:</t>
  </si>
  <si>
    <t>nicht funktionierendes WC</t>
  </si>
  <si>
    <t>Tag(e) Fristüberschreitung</t>
  </si>
  <si>
    <t>BI_024</t>
  </si>
  <si>
    <r>
      <t xml:space="preserve">Werden durch die Auftraggeber Verstöße gegen die bei der Erbringung von SEV/BNV-Leistungen geschuldete Qualität festgestellt, sind die Auftraggeber berechtigt, den dem EVU nach </t>
    </r>
    <r>
      <rPr>
        <i/>
        <sz val="11"/>
        <color theme="1"/>
        <rFont val="Arial"/>
        <family val="2"/>
      </rPr>
      <t xml:space="preserve">Kapitel 2.4. </t>
    </r>
    <r>
      <rPr>
        <i/>
        <sz val="11"/>
        <color rgb="FF0070C0"/>
        <rFont val="Arial"/>
        <family val="2"/>
      </rPr>
      <t xml:space="preserve">Anforderungen </t>
    </r>
    <r>
      <rPr>
        <i/>
        <sz val="11"/>
        <color theme="1"/>
        <rFont val="Arial"/>
        <family val="2"/>
      </rPr>
      <t>Ersatzbeförderung</t>
    </r>
    <r>
      <rPr>
        <sz val="11"/>
        <color theme="1"/>
        <rFont val="Arial"/>
        <family val="2"/>
      </rPr>
      <t xml:space="preserve"> für die Erbringung von SEV bzw. BNV zustehenden Zuschuss je Fplkm für die von den Verstößen betroffenen SEV/ BNV-Leistungen um bis zu 50 % zu reduzieren. Die Reduzierung des Zuschusses je Fplkm richtet sich nach der nachfolgenden Auflistung.</t>
    </r>
  </si>
  <si>
    <r>
      <t xml:space="preserve">Bei Vorliegen mehrerer Vertragsverstöße werden die Abzugsbeträge kumuliert. Der maximale Abzug beträgt 50 % des Zuschusses je Fahrplankilometer nach </t>
    </r>
    <r>
      <rPr>
        <i/>
        <sz val="11"/>
        <color theme="1"/>
        <rFont val="Arial"/>
        <family val="2"/>
      </rPr>
      <t xml:space="preserve">Kapitel 2.4.1. Schienenersatzverkehr </t>
    </r>
    <r>
      <rPr>
        <i/>
        <sz val="11"/>
        <color rgb="FF0070C0"/>
        <rFont val="Arial"/>
        <family val="2"/>
      </rPr>
      <t xml:space="preserve">(SEV) </t>
    </r>
    <r>
      <rPr>
        <i/>
        <sz val="11"/>
        <color theme="1"/>
        <rFont val="Arial"/>
        <family val="2"/>
      </rPr>
      <t xml:space="preserve">und Kapitel 2.4.2. Busnotverkehr </t>
    </r>
    <r>
      <rPr>
        <i/>
        <sz val="11"/>
        <color rgb="FF0070C0"/>
        <rFont val="Arial"/>
        <family val="2"/>
      </rPr>
      <t>(BNV)</t>
    </r>
  </si>
  <si>
    <r>
      <t xml:space="preserve">Unzureichende Abstimmung / Information der Auftraggeber entsprechend Kapitel 2.4.1. Schienenersatzverkehr </t>
    </r>
    <r>
      <rPr>
        <sz val="11"/>
        <color rgb="FF0070C0"/>
        <rFont val="Arial"/>
        <family val="2"/>
      </rPr>
      <t xml:space="preserve">(SEV) </t>
    </r>
    <r>
      <rPr>
        <sz val="11"/>
        <color theme="1"/>
        <rFont val="Arial"/>
        <family val="2"/>
      </rPr>
      <t xml:space="preserve">und Kapitel 2.4.2. Busnotverkehr </t>
    </r>
    <r>
      <rPr>
        <sz val="11"/>
        <color rgb="FF0070C0"/>
        <rFont val="Arial"/>
        <family val="2"/>
      </rPr>
      <t>(BNV)</t>
    </r>
  </si>
  <si>
    <r>
      <t xml:space="preserve">Nichtbedienung einer Haltestelle des Regelverkehrs im SEV/ BNV entsprechend Kapitel 2.4.1. Schienenersatzverkehr </t>
    </r>
    <r>
      <rPr>
        <sz val="11"/>
        <color rgb="FF0070C0"/>
        <rFont val="Arial"/>
        <family val="2"/>
      </rPr>
      <t xml:space="preserve">(SEV) </t>
    </r>
    <r>
      <rPr>
        <sz val="11"/>
        <color theme="1"/>
        <rFont val="Arial"/>
        <family val="2"/>
      </rPr>
      <t xml:space="preserve">und Kapitel 2.4.2. Busnotverkehr </t>
    </r>
    <r>
      <rPr>
        <sz val="11"/>
        <color rgb="FF0070C0"/>
        <rFont val="Arial"/>
        <family val="2"/>
      </rPr>
      <t xml:space="preserve">(BNV) </t>
    </r>
    <r>
      <rPr>
        <sz val="11"/>
        <color theme="1"/>
        <rFont val="Arial"/>
        <family val="2"/>
      </rPr>
      <t>ohne vorherige Abstimmung mit den Auftraggebern</t>
    </r>
  </si>
  <si>
    <r>
      <t xml:space="preserve">Keine Kennzeichnung der SEV-Haltestelle entsprechend Kapitel 2.4.1. Schienenersatzverkehr </t>
    </r>
    <r>
      <rPr>
        <sz val="11"/>
        <color rgb="FF0070C0"/>
        <rFont val="Arial"/>
        <family val="2"/>
      </rPr>
      <t xml:space="preserve">(SEV) </t>
    </r>
    <r>
      <rPr>
        <sz val="11"/>
        <color theme="1"/>
        <rFont val="Arial"/>
        <family val="2"/>
      </rPr>
      <t>und Kapitel 2.4.2. Busnotverkehr</t>
    </r>
    <r>
      <rPr>
        <sz val="11"/>
        <color rgb="FF0070C0"/>
        <rFont val="Arial"/>
        <family val="2"/>
      </rPr>
      <t xml:space="preserve"> (BNV)</t>
    </r>
    <r>
      <rPr>
        <sz val="11"/>
        <color theme="1"/>
        <rFont val="Arial"/>
        <family val="2"/>
      </rPr>
      <t>, wenn BNV länger als 72 h andauert</t>
    </r>
  </si>
  <si>
    <r>
      <t>Keine hinreichende Information der Fahrgäste zum SEV bzw. kein Fahrplan des SEV an allen Bahnhöfen, Haltepunkten und SEV-Haltestellen entlang der vom SEV betroffenen Linien sowie in den betroffenen Zügen entsprechend Kapitel 2.4.1. Schienenersatzverkehr</t>
    </r>
    <r>
      <rPr>
        <sz val="11"/>
        <color rgb="FF0070C0"/>
        <rFont val="Arial"/>
        <family val="2"/>
      </rPr>
      <t xml:space="preserve"> (SEV)</t>
    </r>
  </si>
  <si>
    <r>
      <t xml:space="preserve">Abweichen von den SEV-Fahrplänen mit der Folge nicht erreichter Anschlüsse entsprechend Kapitel 2.4.1. Schienenersatzverkehr </t>
    </r>
    <r>
      <rPr>
        <sz val="11"/>
        <color rgb="FF0070C0"/>
        <rFont val="Arial"/>
        <family val="2"/>
      </rPr>
      <t>(SEV)</t>
    </r>
  </si>
  <si>
    <r>
      <t>Einsatz eines stark verunreinigten Fahrzeuges entsprechend Kapitel 2.4.1. Schienenersatzverkehr (</t>
    </r>
    <r>
      <rPr>
        <sz val="11"/>
        <color rgb="FF0070C0"/>
        <rFont val="Arial"/>
        <family val="2"/>
      </rPr>
      <t xml:space="preserve">SEV) </t>
    </r>
    <r>
      <rPr>
        <sz val="11"/>
        <color theme="1"/>
        <rFont val="Arial"/>
        <family val="2"/>
      </rPr>
      <t xml:space="preserve">und Kapitel 2.4.2. Busnotverkehr </t>
    </r>
    <r>
      <rPr>
        <sz val="11"/>
        <color rgb="FF0070C0"/>
        <rFont val="Arial"/>
        <family val="2"/>
      </rPr>
      <t>(BNV)</t>
    </r>
  </si>
  <si>
    <r>
      <t xml:space="preserve">Zurückbleiben von Fahrgästen im SEV aufgrund unzureichender Platzkapazitäten entsprechend Kapitel 2.4.1. Schienenersatzverkehr </t>
    </r>
    <r>
      <rPr>
        <sz val="11"/>
        <color rgb="FF0070C0"/>
        <rFont val="Arial"/>
        <family val="2"/>
      </rPr>
      <t>(SEV)</t>
    </r>
  </si>
  <si>
    <r>
      <t>Zurückbleiben von Fahrgästen im BNV aufgrund unzureichender Platzkapazitäten entsprechend Kapitel 2.4.2. Busnotverkehr</t>
    </r>
    <r>
      <rPr>
        <sz val="11"/>
        <color rgb="FF0070C0"/>
        <rFont val="Arial"/>
        <family val="2"/>
      </rPr>
      <t xml:space="preserve"> (BNV)</t>
    </r>
  </si>
  <si>
    <r>
      <t xml:space="preserve">Nichtgewährleistung geeigneter Mitnahmemöglichkeiten von Fahrrädern, Kinderwagen, Rollstühlen und sonstigem Reisegepäck entsprechend Kapitel 2.4.1. Schienenersatzverkehr </t>
    </r>
    <r>
      <rPr>
        <sz val="11"/>
        <color rgb="FF0070C0"/>
        <rFont val="Arial"/>
        <family val="2"/>
      </rPr>
      <t>(SEV)</t>
    </r>
  </si>
  <si>
    <r>
      <t xml:space="preserve">Nichtgewährleistung geeigneter Mitnahmemöglichkeiten von Kinderwagen, Rollstühlen und sonstigem Reisegepäck entsprechend Kapitel 2.4.2. Busnotverkehr </t>
    </r>
    <r>
      <rPr>
        <sz val="11"/>
        <color rgb="FF0070C0"/>
        <rFont val="Arial"/>
        <family val="2"/>
      </rPr>
      <t>(BNV)</t>
    </r>
  </si>
  <si>
    <r>
      <t xml:space="preserve">Nicht eindeutige und dadurch für den Kunden nicht nachvollziehbare bzw. nicht einheitliche Wegeleitung des SEV entsprechend Kapitel 2.4.1. Schienenersatzverkehr </t>
    </r>
    <r>
      <rPr>
        <sz val="11"/>
        <color rgb="FF0070C0"/>
        <rFont val="Arial"/>
        <family val="2"/>
      </rPr>
      <t>(SEV)</t>
    </r>
  </si>
  <si>
    <r>
      <t xml:space="preserve">Keine Informationen zur Fahrtroute des SEV im Fahrzeug entsprechend Kapitel 2.4.1. Schienenersatzverkehr </t>
    </r>
    <r>
      <rPr>
        <sz val="11"/>
        <color rgb="FF0070C0"/>
        <rFont val="Arial"/>
        <family val="2"/>
      </rPr>
      <t xml:space="preserve">(SEV) </t>
    </r>
    <r>
      <rPr>
        <sz val="11"/>
        <color theme="1"/>
        <rFont val="Arial"/>
        <family val="2"/>
      </rPr>
      <t xml:space="preserve">und Kapitel 2.4.2. Busnotverkehr </t>
    </r>
    <r>
      <rPr>
        <sz val="11"/>
        <color rgb="FF0070C0"/>
        <rFont val="Arial"/>
        <family val="2"/>
      </rPr>
      <t>(BNV)</t>
    </r>
  </si>
  <si>
    <r>
      <t xml:space="preserve">Keine Ansage der Haltestellen im Fahrzeug entsprechend Kapitel 2.4.1. Schienenersatzverkehr </t>
    </r>
    <r>
      <rPr>
        <sz val="11"/>
        <color rgb="FF0070C0"/>
        <rFont val="Arial"/>
        <family val="2"/>
      </rPr>
      <t xml:space="preserve">(SEV) </t>
    </r>
    <r>
      <rPr>
        <sz val="11"/>
        <color theme="1"/>
        <rFont val="Arial"/>
        <family val="2"/>
      </rPr>
      <t>und Kapitel 2.4.2. Busnotverkehr</t>
    </r>
    <r>
      <rPr>
        <sz val="11"/>
        <color rgb="FF0070C0"/>
        <rFont val="Arial"/>
        <family val="2"/>
      </rPr>
      <t xml:space="preserve"> (BNV)</t>
    </r>
  </si>
  <si>
    <r>
      <t xml:space="preserve">Keine Zielbeschilderung und keine ordnungsgemäße Kennzeichnung der Fahrzeuge als SEV entsprechend Kapitel 2.4.1. Schienenersatzverkehr </t>
    </r>
    <r>
      <rPr>
        <sz val="11"/>
        <color rgb="FF0070C0"/>
        <rFont val="Arial"/>
        <family val="2"/>
      </rPr>
      <t xml:space="preserve">(SEV) </t>
    </r>
    <r>
      <rPr>
        <sz val="11"/>
        <color theme="1"/>
        <rFont val="Arial"/>
        <family val="2"/>
      </rPr>
      <t>und Kapitel 2.4.2. Busnotverkehr</t>
    </r>
    <r>
      <rPr>
        <sz val="11"/>
        <color rgb="FF0070C0"/>
        <rFont val="Arial"/>
        <family val="2"/>
      </rPr>
      <t xml:space="preserve"> (BNV)</t>
    </r>
  </si>
  <si>
    <r>
      <t xml:space="preserve">Bewertung der Qualität der SEV/ BNV-Leistungen nach </t>
    </r>
    <r>
      <rPr>
        <i/>
        <sz val="11"/>
        <color theme="1"/>
        <rFont val="Arial"/>
        <family val="2"/>
      </rPr>
      <t xml:space="preserve">LB 2.4. </t>
    </r>
    <r>
      <rPr>
        <i/>
        <sz val="11"/>
        <color rgb="FF0070C0"/>
        <rFont val="Arial"/>
        <family val="2"/>
      </rPr>
      <t xml:space="preserve">Anforderungen </t>
    </r>
    <r>
      <rPr>
        <i/>
        <sz val="11"/>
        <color theme="1"/>
        <rFont val="Arial"/>
        <family val="2"/>
      </rPr>
      <t>Ersatzbeförderung und 4.5.2. Zuschuss für SEV und BNV</t>
    </r>
    <r>
      <rPr>
        <sz val="11"/>
        <color theme="1"/>
        <rFont val="Arial"/>
        <family val="2"/>
      </rPr>
      <t xml:space="preserve"> und </t>
    </r>
    <r>
      <rPr>
        <i/>
        <sz val="11"/>
        <color theme="1"/>
        <rFont val="Arial"/>
        <family val="2"/>
      </rPr>
      <t>Anlage LB–4.3</t>
    </r>
    <r>
      <rPr>
        <i/>
        <sz val="11"/>
        <color rgb="FF0070C0"/>
        <rFont val="Arial"/>
        <family val="2"/>
      </rPr>
      <t xml:space="preserve">a </t>
    </r>
    <r>
      <rPr>
        <i/>
        <sz val="11"/>
        <color theme="1"/>
        <rFont val="Arial"/>
        <family val="2"/>
      </rPr>
      <t>Bewertungskatalog SEV</t>
    </r>
    <r>
      <rPr>
        <i/>
        <sz val="11"/>
        <color rgb="FF0070C0"/>
        <rFont val="Arial"/>
        <family val="2"/>
      </rPr>
      <t>_</t>
    </r>
    <r>
      <rPr>
        <i/>
        <sz val="11"/>
        <color theme="1"/>
        <rFont val="Arial"/>
        <family val="2"/>
      </rPr>
      <t>BNV-Leistungen</t>
    </r>
    <r>
      <rPr>
        <i/>
        <sz val="11"/>
        <color rgb="FF0070C0"/>
        <rFont val="Arial"/>
        <family val="2"/>
      </rPr>
      <t>_Thüringen</t>
    </r>
  </si>
  <si>
    <r>
      <t xml:space="preserve">Katalog Pünktlichwertung bei bestimmten Ereignissen - VDV </t>
    </r>
    <r>
      <rPr>
        <b/>
        <strike/>
        <u/>
        <sz val="11"/>
        <color rgb="FF0070C0"/>
        <rFont val="Arial"/>
        <family val="2"/>
      </rPr>
      <t>TEN</t>
    </r>
    <r>
      <rPr>
        <b/>
        <u/>
        <sz val="11"/>
        <color theme="1"/>
        <rFont val="Arial"/>
        <family val="2"/>
      </rPr>
      <t xml:space="preserve"> </t>
    </r>
    <r>
      <rPr>
        <b/>
        <u/>
        <sz val="11"/>
        <color rgb="FF0070C0"/>
        <rFont val="Arial"/>
        <family val="2"/>
      </rPr>
      <t>SUN</t>
    </r>
    <r>
      <rPr>
        <b/>
        <u/>
        <sz val="8"/>
        <color rgb="FF0070C0"/>
        <rFont val="Arial"/>
        <family val="2"/>
      </rPr>
      <t>BI_24</t>
    </r>
  </si>
  <si>
    <r>
      <rPr>
        <vertAlign val="superscript"/>
        <sz val="10"/>
        <rFont val="Arial"/>
        <family val="2"/>
      </rPr>
      <t>2)</t>
    </r>
    <r>
      <rPr>
        <sz val="10"/>
        <rFont val="Arial"/>
        <family val="2"/>
      </rPr>
      <t xml:space="preserve"> dies kann meherere Maßnahmen betreffen, die in </t>
    </r>
    <r>
      <rPr>
        <strike/>
        <sz val="10"/>
        <rFont val="Arial"/>
        <family val="2"/>
      </rPr>
      <t>37</t>
    </r>
    <r>
      <rPr>
        <sz val="10"/>
        <rFont val="Arial"/>
        <family val="2"/>
      </rPr>
      <t xml:space="preserve"> </t>
    </r>
    <r>
      <rPr>
        <sz val="10"/>
        <color rgb="FF0070C0"/>
        <rFont val="Arial"/>
        <family val="2"/>
      </rPr>
      <t>34</t>
    </r>
    <r>
      <rPr>
        <sz val="10"/>
        <rFont val="Arial"/>
        <family val="2"/>
      </rPr>
      <t xml:space="preserve">_Baumaßnahmen einzeln aufgeführt und summiert werden </t>
    </r>
  </si>
  <si>
    <t>BI_27</t>
  </si>
  <si>
    <r>
      <t xml:space="preserve">operative Ausfälle (einschließlich </t>
    </r>
    <r>
      <rPr>
        <strike/>
        <sz val="10"/>
        <color rgb="FF0070C0"/>
        <rFont val="Arial"/>
        <family val="2"/>
      </rPr>
      <t>Verspätung &gt; = 60 Min und &gt;=Taktnachfolger,</t>
    </r>
    <r>
      <rPr>
        <sz val="10"/>
        <rFont val="Arial"/>
        <family val="2"/>
      </rPr>
      <t xml:space="preserve"> Abfahrten vor Plan, Ausfall von Halten):</t>
    </r>
  </si>
  <si>
    <t>BI_50</t>
  </si>
  <si>
    <r>
      <t xml:space="preserve">Anlage zum monatlichen Qualitätsbericht;
Bei Nutzung ivu.control:
</t>
    </r>
    <r>
      <rPr>
        <strike/>
        <sz val="10"/>
        <color rgb="FF0070C0"/>
        <rFont val="Arial"/>
        <family val="2"/>
      </rPr>
      <t>Analyseergebnis aus Pünktlichkeitsdaten</t>
    </r>
    <r>
      <rPr>
        <b/>
        <strike/>
        <sz val="10"/>
        <color rgb="FF0070C0"/>
        <rFont val="Arial"/>
        <family val="2"/>
      </rPr>
      <t>;</t>
    </r>
    <r>
      <rPr>
        <strike/>
        <sz val="10"/>
        <color rgb="FF0070C0"/>
        <rFont val="Arial"/>
        <family val="2"/>
      </rPr>
      <t xml:space="preserve"> nach Abgleich mit Ausfallmeldungen</t>
    </r>
  </si>
  <si>
    <r>
      <rPr>
        <b/>
        <strike/>
        <sz val="10"/>
        <color rgb="FF0070C0"/>
        <rFont val="Arial"/>
        <family val="2"/>
      </rPr>
      <t>2024</t>
    </r>
    <r>
      <rPr>
        <b/>
        <sz val="10"/>
        <color rgb="FF0070C0"/>
        <rFont val="Arial"/>
        <family val="2"/>
      </rPr>
      <t xml:space="preserve"> 2025 </t>
    </r>
    <r>
      <rPr>
        <b/>
        <vertAlign val="subscript"/>
        <sz val="10"/>
        <color rgb="FF0070C0"/>
        <rFont val="Arial"/>
        <family val="2"/>
      </rPr>
      <t>BI_27</t>
    </r>
  </si>
  <si>
    <r>
      <rPr>
        <b/>
        <strike/>
        <sz val="10"/>
        <color rgb="FF0070C0"/>
        <rFont val="Arial"/>
        <family val="2"/>
      </rPr>
      <t>2025</t>
    </r>
    <r>
      <rPr>
        <b/>
        <sz val="10"/>
        <color rgb="FF0070C0"/>
        <rFont val="Arial"/>
        <family val="2"/>
      </rPr>
      <t xml:space="preserve"> 2026 </t>
    </r>
    <r>
      <rPr>
        <b/>
        <vertAlign val="subscript"/>
        <sz val="10"/>
        <color rgb="FF0070C0"/>
        <rFont val="Arial"/>
        <family val="2"/>
      </rPr>
      <t>BI_27</t>
    </r>
  </si>
  <si>
    <r>
      <rPr>
        <b/>
        <strike/>
        <sz val="10"/>
        <color rgb="FF0070C0"/>
        <rFont val="Arial"/>
        <family val="2"/>
      </rPr>
      <t>2026</t>
    </r>
    <r>
      <rPr>
        <b/>
        <sz val="10"/>
        <color rgb="FF0070C0"/>
        <rFont val="Arial"/>
        <family val="2"/>
      </rPr>
      <t xml:space="preserve"> 2027 </t>
    </r>
    <r>
      <rPr>
        <b/>
        <vertAlign val="subscript"/>
        <sz val="10"/>
        <color rgb="FF0070C0"/>
        <rFont val="Arial"/>
        <family val="2"/>
      </rPr>
      <t>BI_27</t>
    </r>
  </si>
  <si>
    <r>
      <rPr>
        <b/>
        <strike/>
        <sz val="10"/>
        <color rgb="FF0070C0"/>
        <rFont val="Arial"/>
        <family val="2"/>
      </rPr>
      <t>2027</t>
    </r>
    <r>
      <rPr>
        <b/>
        <sz val="10"/>
        <color rgb="FF0070C0"/>
        <rFont val="Arial"/>
        <family val="2"/>
      </rPr>
      <t xml:space="preserve"> 2028 </t>
    </r>
    <r>
      <rPr>
        <b/>
        <vertAlign val="subscript"/>
        <sz val="10"/>
        <color rgb="FF0070C0"/>
        <rFont val="Arial"/>
        <family val="2"/>
      </rPr>
      <t>BI_27</t>
    </r>
  </si>
  <si>
    <r>
      <rPr>
        <b/>
        <strike/>
        <sz val="10"/>
        <color rgb="FF0070C0"/>
        <rFont val="Arial"/>
        <family val="2"/>
      </rPr>
      <t>2028</t>
    </r>
    <r>
      <rPr>
        <b/>
        <sz val="10"/>
        <color rgb="FF0070C0"/>
        <rFont val="Arial"/>
        <family val="2"/>
      </rPr>
      <t xml:space="preserve"> 2029 </t>
    </r>
    <r>
      <rPr>
        <b/>
        <vertAlign val="subscript"/>
        <sz val="10"/>
        <color rgb="FF0070C0"/>
        <rFont val="Arial"/>
        <family val="2"/>
      </rPr>
      <t>BI_27</t>
    </r>
  </si>
  <si>
    <r>
      <rPr>
        <b/>
        <strike/>
        <sz val="10"/>
        <color rgb="FF0070C0"/>
        <rFont val="Arial"/>
        <family val="2"/>
      </rPr>
      <t>2029</t>
    </r>
    <r>
      <rPr>
        <b/>
        <sz val="10"/>
        <color rgb="FF0070C0"/>
        <rFont val="Arial"/>
        <family val="2"/>
      </rPr>
      <t xml:space="preserve"> 2030 </t>
    </r>
    <r>
      <rPr>
        <b/>
        <vertAlign val="subscript"/>
        <sz val="10"/>
        <color rgb="FF0070C0"/>
        <rFont val="Arial"/>
        <family val="2"/>
      </rPr>
      <t>BI_27</t>
    </r>
  </si>
  <si>
    <r>
      <rPr>
        <b/>
        <strike/>
        <sz val="10"/>
        <color rgb="FF0070C0"/>
        <rFont val="Arial"/>
        <family val="2"/>
      </rPr>
      <t>2030</t>
    </r>
    <r>
      <rPr>
        <b/>
        <sz val="10"/>
        <color rgb="FF0070C0"/>
        <rFont val="Arial"/>
        <family val="2"/>
      </rPr>
      <t xml:space="preserve"> 2031 </t>
    </r>
    <r>
      <rPr>
        <b/>
        <vertAlign val="subscript"/>
        <sz val="10"/>
        <color rgb="FF0070C0"/>
        <rFont val="Arial"/>
        <family val="2"/>
      </rPr>
      <t>BI_27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</si>
</sst>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8">
    <numFmt numFmtId="6" formatCode="#,##0\ &quot;€&quot;;[Red]\-#,##0\ &quot;€&quot;"/>
    <numFmt numFmtId="7" formatCode="#,##0.00\ &quot;€&quot;;\-#,##0.00\ &quot;€&quot;"/>
    <numFmt numFmtId="8" formatCode="#,##0.00\ &quot;€&quot;;[Red]\-#,##0.00\ &quot;€&quot;"/>
    <numFmt numFmtId="44" formatCode="_-* #,##0.00\ &quot;€&quot;_-;\-* #,##0.00\ &quot;€&quot;_-;_-* &quot;-&quot;??\ &quot;€&quot;_-;_-@_-"/>
    <numFmt numFmtId="164" formatCode="_-* #,##0.00\ _€_-;\-* #,##0.00\ _€_-;_-* &quot;-&quot;??\ _€_-;_-@_-"/>
    <numFmt numFmtId="165" formatCode="_-* #,##0.00\ &quot;DM&quot;_-;\-* #,##0.00\ &quot;DM&quot;_-;_-* &quot;-&quot;??\ &quot;DM&quot;_-;_-@_-"/>
    <numFmt numFmtId="166" formatCode="0.000"/>
    <numFmt numFmtId="167" formatCode="dd/mm/yy"/>
    <numFmt numFmtId="168" formatCode="h:mm"/>
    <numFmt numFmtId="169" formatCode="#,##0.00\ &quot;€&quot;"/>
    <numFmt numFmtId="170" formatCode="#,##0.000"/>
    <numFmt numFmtId="171" formatCode="h:mm:ss"/>
    <numFmt numFmtId="172" formatCode="#,##0_ ;[Red]\-#,##0\ "/>
    <numFmt numFmtId="173" formatCode="_-* #,##0.000\ _€_-;\-* #,##0.000\ _€_-;_-* &quot;-&quot;??\ _€_-;_-@_-"/>
    <numFmt numFmtId="174" formatCode="_-* #,##0.00\ [$€-407]_-;\-* #,##0.00\ [$€-407]_-;_-* &quot;-&quot;??\ [$€-407]_-;_-@_-"/>
    <numFmt numFmtId="175" formatCode="#,##0.000_ ;[Red]\-#,##0.000\ "/>
    <numFmt numFmtId="176" formatCode="#,##0.00\ &quot;€/Fplkm&quot;;[Red]\-#,###.00\ &quot;€/Fplkm&quot;"/>
    <numFmt numFmtId="177" formatCode="#,##0.00_ ;[Red]\-#,##0.00\ "/>
    <numFmt numFmtId="178" formatCode="#,##0.00\ &quot;€/Fplfahrt&quot;;[Red]\-#,###.00\ &quot;€/Fplfahrt&quot;"/>
    <numFmt numFmtId="179" formatCode="#,##0.00\ &quot;€/Tag&quot;;[Red]\-#,###.00\ &quot;€/Tag&quot;"/>
    <numFmt numFmtId="180" formatCode="#,##0.00\ &quot;€/Stunde&quot;;[Red]\-#,###.00\ &quot;€/Stunde&quot;"/>
    <numFmt numFmtId="181" formatCode="#,##0.00\ &quot;€/%&quot;;[Red]\-#,###.00\ &quot;€/%&quot;"/>
    <numFmt numFmtId="182" formatCode="#,##0\ &quot;€/Fahrzeug&quot;;[Red]\-#,###\ &quot;€/Fahrzeug&quot;"/>
    <numFmt numFmtId="183" formatCode="#,##0.000\ &quot;€&quot;;[Red]\-#,##0.000\ &quot;€&quot;"/>
    <numFmt numFmtId="184" formatCode="#,##0.00\ &quot;€/Vorfall&quot;;[Red]\-#,###.00\ &quot;€/%Punkt&quot;"/>
    <numFmt numFmtId="185" formatCode="0.0%"/>
    <numFmt numFmtId="186" formatCode="_-* #,##0\ _€_-;\-* #,##0\ _€_-;_-* &quot;-&quot;??\ _€_-;_-@_-"/>
    <numFmt numFmtId="187" formatCode="#,##0.000\ &quot;€/Trkm&quot;"/>
    <numFmt numFmtId="188" formatCode="#,##0.00\ &quot;€/Std&quot;"/>
    <numFmt numFmtId="189" formatCode="#,##0.00\ &quot;€/Fzg/Tag&quot;;[Red]\-#,###.00\ &quot;€/Fzg/Tag&quot;"/>
    <numFmt numFmtId="190" formatCode="0.0"/>
    <numFmt numFmtId="191" formatCode="h:mm;@"/>
    <numFmt numFmtId="192" formatCode="mmmm\ yyyy"/>
    <numFmt numFmtId="193" formatCode="d/m/yy;@"/>
    <numFmt numFmtId="194" formatCode="#,##0\ &quot;€&quot;"/>
    <numFmt numFmtId="195" formatCode="#,##0_ ;\-#,##0\ "/>
    <numFmt numFmtId="196" formatCode="mmmm"/>
    <numFmt numFmtId="197" formatCode="dd/mm/yy;@"/>
    <numFmt numFmtId="198" formatCode="_-* #,##0.00&quot; €&quot;_-;\-* #,##0.00&quot; €&quot;_-;_-* \-??&quot; €&quot;_-;_-@_-"/>
    <numFmt numFmtId="199" formatCode="#,##0.00&quot; &quot;[$€-407];[Red]&quot;-&quot;#,##0.00&quot; &quot;[$€-407]"/>
    <numFmt numFmtId="200" formatCode="_-* #,##0.00\ [$€]_-;\-* #,##0.00\ [$€]_-;_-* &quot;-&quot;??\ [$€]_-;_-@_-"/>
    <numFmt numFmtId="201" formatCode="_(&quot;€&quot;* #,##0.00_);_(&quot;€&quot;* \(#,##0.00\);_(&quot;€&quot;* &quot;-&quot;??_);_(@_)"/>
    <numFmt numFmtId="202" formatCode="#,##0.0"/>
    <numFmt numFmtId="203" formatCode="[h]:mm"/>
    <numFmt numFmtId="204" formatCode="#,##0.000_ ;\-#,##0.000\ "/>
    <numFmt numFmtId="205" formatCode="[$-F400]h:mm:ss\ AM/PM"/>
    <numFmt numFmtId="206" formatCode="#,##0.0_ ;[Red]\-#,##0.0\ "/>
    <numFmt numFmtId="207" formatCode="#,##0.00\ &quot;€/Trkm&quot;"/>
  </numFmts>
  <fonts count="16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4"/>
      <name val="Arial"/>
      <family val="2"/>
    </font>
    <font>
      <sz val="14"/>
      <name val="Arial"/>
      <family val="2"/>
    </font>
    <font>
      <b/>
      <sz val="10"/>
      <name val="Arial"/>
      <family val="2"/>
    </font>
    <font>
      <sz val="10"/>
      <name val="Arial"/>
      <family val="2"/>
    </font>
    <font>
      <sz val="8"/>
      <name val="Arial"/>
      <family val="2"/>
    </font>
    <font>
      <i/>
      <sz val="10"/>
      <name val="Arial"/>
      <family val="2"/>
    </font>
    <font>
      <u/>
      <sz val="10"/>
      <name val="Arial"/>
      <family val="2"/>
    </font>
    <font>
      <sz val="10"/>
      <name val="MS Sans Serif"/>
      <family val="2"/>
    </font>
    <font>
      <sz val="12"/>
      <name val="Arial"/>
      <family val="2"/>
    </font>
    <font>
      <b/>
      <sz val="16"/>
      <name val="Arial"/>
      <family val="2"/>
    </font>
    <font>
      <vertAlign val="superscript"/>
      <sz val="10"/>
      <name val="Arial"/>
      <family val="2"/>
    </font>
    <font>
      <sz val="10"/>
      <color indexed="12"/>
      <name val="Arial"/>
      <family val="2"/>
    </font>
    <font>
      <b/>
      <sz val="14"/>
      <color indexed="10"/>
      <name val="Arial"/>
      <family val="2"/>
    </font>
    <font>
      <sz val="9"/>
      <name val="Arial"/>
      <family val="2"/>
    </font>
    <font>
      <sz val="10"/>
      <color rgb="FFFF0000"/>
      <name val="Arial"/>
      <family val="2"/>
    </font>
    <font>
      <b/>
      <sz val="10"/>
      <name val="Arial Narrow"/>
      <family val="2"/>
    </font>
    <font>
      <sz val="10"/>
      <name val="Arial"/>
      <family val="2"/>
    </font>
    <font>
      <b/>
      <u/>
      <sz val="10"/>
      <name val="Arial"/>
      <family val="2"/>
    </font>
    <font>
      <u/>
      <sz val="10"/>
      <color theme="10"/>
      <name val="Arial"/>
      <family val="2"/>
    </font>
    <font>
      <b/>
      <sz val="9"/>
      <color indexed="81"/>
      <name val="Segoe UI"/>
      <family val="2"/>
    </font>
    <font>
      <sz val="9"/>
      <color indexed="81"/>
      <name val="Segoe UI"/>
      <family val="2"/>
    </font>
    <font>
      <b/>
      <sz val="12"/>
      <name val="Arial"/>
      <family val="2"/>
    </font>
    <font>
      <sz val="6"/>
      <name val="Arial"/>
      <family val="2"/>
    </font>
    <font>
      <i/>
      <sz val="12"/>
      <name val="Arial"/>
      <family val="2"/>
    </font>
    <font>
      <sz val="11"/>
      <color theme="1"/>
      <name val="Calibri"/>
      <family val="2"/>
      <scheme val="minor"/>
    </font>
    <font>
      <b/>
      <sz val="9"/>
      <name val="Arial"/>
      <family val="2"/>
    </font>
    <font>
      <b/>
      <sz val="11"/>
      <color theme="1"/>
      <name val="Arial"/>
      <family val="2"/>
    </font>
    <font>
      <b/>
      <u/>
      <sz val="11"/>
      <color theme="1"/>
      <name val="Arial"/>
      <family val="2"/>
    </font>
    <font>
      <b/>
      <sz val="12"/>
      <color theme="1"/>
      <name val="Arial"/>
      <family val="2"/>
    </font>
    <font>
      <b/>
      <sz val="10"/>
      <name val="Arial"/>
      <family val="2"/>
    </font>
    <font>
      <b/>
      <sz val="10"/>
      <color indexed="10"/>
      <name val="Arial"/>
      <family val="2"/>
    </font>
    <font>
      <sz val="11"/>
      <name val="Arial"/>
      <family val="2"/>
    </font>
    <font>
      <b/>
      <sz val="18"/>
      <color theme="3"/>
      <name val="Cambria"/>
      <family val="2"/>
      <scheme val="major"/>
    </font>
    <font>
      <b/>
      <sz val="11"/>
      <color rgb="FFFA7D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color theme="0" tint="-0.14999847407452621"/>
      <name val="Arial"/>
      <family val="2"/>
    </font>
    <font>
      <sz val="10"/>
      <name val="Arial"/>
      <family val="2"/>
    </font>
    <font>
      <b/>
      <sz val="10"/>
      <name val="Arial"/>
      <family val="2"/>
    </font>
    <font>
      <sz val="10"/>
      <color rgb="FF0070C0"/>
      <name val="Arial"/>
      <family val="2"/>
    </font>
    <font>
      <b/>
      <sz val="8"/>
      <name val="Arial"/>
      <family val="2"/>
    </font>
    <font>
      <b/>
      <sz val="6"/>
      <name val="Arial"/>
      <family val="2"/>
    </font>
    <font>
      <b/>
      <sz val="11"/>
      <name val="Arial"/>
      <family val="2"/>
    </font>
    <font>
      <sz val="10"/>
      <name val="Arial"/>
      <family val="2"/>
      <charset val="1"/>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b/>
      <i/>
      <sz val="16"/>
      <color theme="1"/>
      <name val="Liberation Sans"/>
    </font>
    <font>
      <sz val="11"/>
      <color indexed="60"/>
      <name val="Calibri"/>
      <family val="2"/>
    </font>
    <font>
      <b/>
      <i/>
      <u/>
      <sz val="11"/>
      <color theme="1"/>
      <name val="Liberation Sans"/>
    </font>
    <font>
      <sz val="11"/>
      <color indexed="20"/>
      <name val="Calibri"/>
      <family val="2"/>
    </font>
    <font>
      <sz val="11"/>
      <color rgb="FF000000"/>
      <name val="Calibri"/>
      <family val="2"/>
      <charset val="1"/>
    </font>
    <font>
      <sz val="11"/>
      <color theme="1"/>
      <name val="Arial"/>
      <family val="2"/>
    </font>
    <font>
      <sz val="11"/>
      <color rgb="FF000000"/>
      <name val="Calibri"/>
      <family val="2"/>
    </font>
    <font>
      <sz val="11"/>
      <color theme="1"/>
      <name val="Liberation Sans"/>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52"/>
      <name val="Calibri"/>
      <family val="2"/>
    </font>
    <font>
      <sz val="11"/>
      <color indexed="10"/>
      <name val="Calibri"/>
      <family val="2"/>
    </font>
    <font>
      <b/>
      <sz val="11"/>
      <color indexed="9"/>
      <name val="Calibri"/>
      <family val="2"/>
    </font>
    <font>
      <sz val="10"/>
      <color rgb="FF7030A0"/>
      <name val="Arial"/>
      <family val="2"/>
    </font>
    <font>
      <b/>
      <sz val="10"/>
      <color theme="1"/>
      <name val="Arial"/>
      <family val="2"/>
    </font>
    <font>
      <b/>
      <sz val="14"/>
      <color theme="1"/>
      <name val="Arial"/>
      <family val="2"/>
    </font>
    <font>
      <b/>
      <sz val="16"/>
      <color theme="1"/>
      <name val="Arial"/>
      <family val="2"/>
    </font>
    <font>
      <sz val="9"/>
      <color rgb="FF0000FF"/>
      <name val="Arial"/>
      <family val="2"/>
    </font>
    <font>
      <b/>
      <sz val="10"/>
      <color theme="2" tint="-0.499984740745262"/>
      <name val="Arial"/>
      <family val="2"/>
    </font>
    <font>
      <sz val="10"/>
      <color theme="2" tint="-0.499984740745262"/>
      <name val="Arial"/>
      <family val="2"/>
    </font>
    <font>
      <i/>
      <sz val="10"/>
      <color theme="1"/>
      <name val="Arial"/>
      <family val="2"/>
    </font>
    <font>
      <u/>
      <sz val="8"/>
      <name val="Arial"/>
      <family val="2"/>
    </font>
    <font>
      <b/>
      <sz val="10"/>
      <color rgb="FFFF0000"/>
      <name val="Arial"/>
      <family val="2"/>
    </font>
    <font>
      <sz val="14"/>
      <color rgb="FFFF0000"/>
      <name val="Arial"/>
      <family val="2"/>
    </font>
    <font>
      <u/>
      <sz val="10"/>
      <color rgb="FFFF0000"/>
      <name val="Arial"/>
      <family val="2"/>
    </font>
    <font>
      <b/>
      <sz val="12"/>
      <color rgb="FF0000FF"/>
      <name val="Arial"/>
      <family val="2"/>
    </font>
    <font>
      <b/>
      <u/>
      <sz val="10"/>
      <color theme="1"/>
      <name val="Arial"/>
      <family val="2"/>
    </font>
    <font>
      <sz val="8"/>
      <color theme="1"/>
      <name val="Arial"/>
      <family val="2"/>
    </font>
    <font>
      <vertAlign val="subscript"/>
      <sz val="8"/>
      <color theme="1"/>
      <name val="Arial"/>
      <family val="2"/>
    </font>
    <font>
      <u/>
      <sz val="10"/>
      <color theme="1"/>
      <name val="Arial"/>
      <family val="2"/>
    </font>
    <font>
      <sz val="9"/>
      <color theme="1"/>
      <name val="Arial"/>
      <family val="2"/>
    </font>
    <font>
      <sz val="9"/>
      <color rgb="FFFF0000"/>
      <name val="Arial"/>
      <family val="2"/>
    </font>
    <font>
      <vertAlign val="subscript"/>
      <sz val="9"/>
      <color theme="1"/>
      <name val="Arial"/>
      <family val="2"/>
    </font>
    <font>
      <b/>
      <u/>
      <sz val="12"/>
      <color theme="1"/>
      <name val="Arial"/>
      <family val="2"/>
    </font>
    <font>
      <b/>
      <sz val="12"/>
      <color theme="4" tint="-0.249977111117893"/>
      <name val="Arial"/>
      <family val="2"/>
    </font>
    <font>
      <i/>
      <sz val="10"/>
      <color rgb="FF7030A0"/>
      <name val="Arial"/>
      <family val="2"/>
    </font>
    <font>
      <b/>
      <sz val="10"/>
      <color theme="1" tint="0.499984740745262"/>
      <name val="Arial"/>
      <family val="2"/>
    </font>
    <font>
      <i/>
      <sz val="9"/>
      <color theme="1" tint="0.499984740745262"/>
      <name val="Arial"/>
      <family val="2"/>
    </font>
    <font>
      <b/>
      <sz val="9"/>
      <color theme="1"/>
      <name val="Arial"/>
      <family val="2"/>
    </font>
    <font>
      <b/>
      <sz val="9"/>
      <color theme="1" tint="0.499984740745262"/>
      <name val="Arial"/>
      <family val="2"/>
    </font>
    <font>
      <b/>
      <u/>
      <sz val="9"/>
      <color theme="1" tint="0.499984740745262"/>
      <name val="Arial"/>
      <family val="2"/>
    </font>
    <font>
      <b/>
      <vertAlign val="superscript"/>
      <sz val="10"/>
      <color theme="1"/>
      <name val="Arial"/>
      <family val="2"/>
    </font>
    <font>
      <sz val="9"/>
      <color theme="1" tint="0.499984740745262"/>
      <name val="Arial"/>
      <family val="2"/>
    </font>
    <font>
      <sz val="10"/>
      <color theme="1" tint="0.499984740745262"/>
      <name val="Arial"/>
      <family val="2"/>
    </font>
    <font>
      <sz val="10"/>
      <color theme="3" tint="0.39997558519241921"/>
      <name val="Arial"/>
      <family val="2"/>
    </font>
    <font>
      <b/>
      <sz val="10"/>
      <color theme="3" tint="0.39997558519241921"/>
      <name val="Arial"/>
      <family val="2"/>
    </font>
    <font>
      <b/>
      <i/>
      <sz val="14"/>
      <name val="Arial"/>
      <family val="2"/>
    </font>
    <font>
      <sz val="10"/>
      <color indexed="8"/>
      <name val="Arial"/>
      <family val="2"/>
    </font>
    <font>
      <i/>
      <sz val="11"/>
      <color theme="1"/>
      <name val="Arial"/>
      <family val="2"/>
    </font>
    <font>
      <vertAlign val="superscript"/>
      <sz val="10"/>
      <color theme="3" tint="0.39997558519241921"/>
      <name val="Arial"/>
      <family val="2"/>
    </font>
    <font>
      <i/>
      <sz val="9"/>
      <color theme="3" tint="0.39997558519241921"/>
      <name val="Arial"/>
      <family val="2"/>
    </font>
    <font>
      <i/>
      <vertAlign val="superscript"/>
      <sz val="9"/>
      <color theme="3" tint="0.39997558519241921"/>
      <name val="Arial"/>
      <family val="2"/>
    </font>
    <font>
      <i/>
      <vertAlign val="superscript"/>
      <sz val="10"/>
      <color theme="3" tint="0.39997558519241921"/>
      <name val="Arial"/>
      <family val="2"/>
    </font>
    <font>
      <b/>
      <sz val="10"/>
      <color rgb="FF00B0F0"/>
      <name val="Arial"/>
      <family val="2"/>
    </font>
    <font>
      <b/>
      <sz val="10"/>
      <color theme="0" tint="-0.34998626667073579"/>
      <name val="Arial"/>
      <family val="2"/>
    </font>
    <font>
      <sz val="10"/>
      <color rgb="FF00B050"/>
      <name val="Arial"/>
      <family val="2"/>
    </font>
    <font>
      <b/>
      <sz val="10"/>
      <color rgb="FF00B050"/>
      <name val="Arial"/>
      <family val="2"/>
    </font>
    <font>
      <sz val="10"/>
      <color rgb="FF00B0F0"/>
      <name val="Arial"/>
      <family val="2"/>
    </font>
    <font>
      <sz val="9"/>
      <color theme="3" tint="0.39997558519241921"/>
      <name val="Arial"/>
      <family val="2"/>
    </font>
    <font>
      <b/>
      <sz val="14"/>
      <color rgb="FFFF0000"/>
      <name val="Arial"/>
      <family val="2"/>
    </font>
    <font>
      <sz val="11"/>
      <color rgb="FFFF0000"/>
      <name val="Arial"/>
      <family val="2"/>
    </font>
    <font>
      <b/>
      <sz val="11"/>
      <color rgb="FFFF0000"/>
      <name val="Arial"/>
      <family val="2"/>
    </font>
    <font>
      <b/>
      <strike/>
      <sz val="10"/>
      <color theme="1"/>
      <name val="Arial"/>
      <family val="2"/>
    </font>
    <font>
      <strike/>
      <sz val="10"/>
      <color theme="1"/>
      <name val="Arial"/>
      <family val="2"/>
    </font>
    <font>
      <strike/>
      <sz val="8"/>
      <color theme="1"/>
      <name val="Arial"/>
      <family val="2"/>
    </font>
    <font>
      <b/>
      <strike/>
      <u/>
      <sz val="10"/>
      <color rgb="FF00B0F0"/>
      <name val="Arial"/>
      <family val="2"/>
    </font>
    <font>
      <sz val="11"/>
      <color rgb="FF00B0F0"/>
      <name val="Arial"/>
      <family val="2"/>
    </font>
    <font>
      <b/>
      <sz val="12"/>
      <color rgb="FFFF0000"/>
      <name val="Aptos"/>
    </font>
    <font>
      <b/>
      <u/>
      <sz val="11"/>
      <color rgb="FF0070C0"/>
      <name val="Arial"/>
      <family val="2"/>
    </font>
    <font>
      <i/>
      <sz val="11"/>
      <color rgb="FF0070C0"/>
      <name val="Arial"/>
      <family val="2"/>
    </font>
    <font>
      <sz val="11"/>
      <color rgb="FF0070C0"/>
      <name val="Arial"/>
      <family val="2"/>
    </font>
    <font>
      <b/>
      <strike/>
      <sz val="11"/>
      <color rgb="FF0070C0"/>
      <name val="Arial"/>
      <family val="2"/>
    </font>
    <font>
      <b/>
      <u/>
      <sz val="8"/>
      <color rgb="FF0070C0"/>
      <name val="Arial"/>
      <family val="2"/>
    </font>
    <font>
      <b/>
      <strike/>
      <u/>
      <sz val="11"/>
      <color rgb="FF0070C0"/>
      <name val="Arial"/>
      <family val="2"/>
    </font>
    <font>
      <strike/>
      <sz val="10"/>
      <name val="Arial"/>
      <family val="2"/>
    </font>
    <font>
      <sz val="8"/>
      <color rgb="FF0070C0"/>
      <name val="Arial"/>
      <family val="2"/>
    </font>
    <font>
      <strike/>
      <sz val="10"/>
      <color rgb="FF0070C0"/>
      <name val="Arial"/>
      <family val="2"/>
    </font>
    <font>
      <b/>
      <sz val="10"/>
      <color rgb="FF0070C0"/>
      <name val="Arial"/>
      <family val="2"/>
    </font>
    <font>
      <b/>
      <strike/>
      <sz val="10"/>
      <color rgb="FF0070C0"/>
      <name val="Arial"/>
      <family val="2"/>
    </font>
    <font>
      <b/>
      <strike/>
      <sz val="14"/>
      <color rgb="FF0070C0"/>
      <name val="Arial"/>
      <family val="2"/>
    </font>
    <font>
      <strike/>
      <sz val="8"/>
      <color rgb="FF0070C0"/>
      <name val="Arial"/>
      <family val="2"/>
    </font>
    <font>
      <b/>
      <vertAlign val="subscript"/>
      <sz val="10"/>
      <color rgb="FF0070C0"/>
      <name val="Arial"/>
      <family val="2"/>
    </font>
  </fonts>
  <fills count="81">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DE9D9"/>
        <bgColor rgb="FF000000"/>
      </patternFill>
    </fill>
    <fill>
      <patternFill patternType="solid">
        <fgColor rgb="FFFFFF99"/>
        <bgColor rgb="FF000000"/>
      </patternFill>
    </fill>
    <fill>
      <patternFill patternType="solid">
        <fgColor theme="0"/>
        <bgColor rgb="FF000000"/>
      </patternFill>
    </fill>
    <fill>
      <patternFill patternType="solid">
        <fgColor rgb="FFFFFF99"/>
        <bgColor indexed="64"/>
      </patternFill>
    </fill>
    <fill>
      <patternFill patternType="solid">
        <fgColor theme="0" tint="-0.14999847407452621"/>
        <bgColor indexed="64"/>
      </patternFill>
    </fill>
    <fill>
      <patternFill patternType="solid">
        <fgColor indexed="26"/>
        <bgColor indexed="64"/>
      </patternFill>
    </fill>
    <fill>
      <patternFill patternType="solid">
        <fgColor theme="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FFFFCC"/>
        <bgColor indexed="64"/>
      </patternFill>
    </fill>
    <fill>
      <patternFill patternType="solid">
        <fgColor theme="3"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rgb="FFFF0000"/>
        <bgColor indexed="64"/>
      </patternFill>
    </fill>
    <fill>
      <patternFill patternType="solid">
        <fgColor rgb="FF00B050"/>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7"/>
      </patternFill>
    </fill>
    <fill>
      <patternFill patternType="solid">
        <fgColor indexed="42"/>
      </patternFill>
    </fill>
    <fill>
      <patternFill patternType="solid">
        <fgColor indexed="43"/>
      </patternFill>
    </fill>
    <fill>
      <patternFill patternType="solid">
        <fgColor indexed="26"/>
      </patternFill>
    </fill>
    <fill>
      <patternFill patternType="solid">
        <fgColor indexed="45"/>
      </patternFill>
    </fill>
    <fill>
      <patternFill patternType="solid">
        <fgColor indexed="55"/>
      </patternFill>
    </fill>
    <fill>
      <patternFill patternType="solid">
        <fgColor theme="0" tint="-4.9989318521683403E-2"/>
        <bgColor indexed="64"/>
      </patternFill>
    </fill>
    <fill>
      <patternFill patternType="solid">
        <fgColor rgb="FFFFFF99"/>
        <bgColor theme="0"/>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599963377788628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59999389629810485"/>
        <bgColor theme="0"/>
      </patternFill>
    </fill>
    <fill>
      <patternFill patternType="solid">
        <fgColor theme="0" tint="-4.9989318521683403E-2"/>
        <bgColor theme="0"/>
      </patternFill>
    </fill>
    <fill>
      <patternFill patternType="solid">
        <fgColor rgb="FFCCFFCC"/>
        <bgColor indexed="64"/>
      </patternFill>
    </fill>
    <fill>
      <patternFill patternType="solid">
        <fgColor theme="3" tint="0.59999389629810485"/>
        <bgColor indexed="64"/>
      </patternFill>
    </fill>
    <fill>
      <patternFill patternType="solid">
        <fgColor theme="8" tint="0.79998168889431442"/>
        <bgColor theme="3" tint="0.59996337778862885"/>
      </patternFill>
    </fill>
    <fill>
      <patternFill patternType="solid">
        <fgColor rgb="FFFFFF00"/>
        <bgColor indexed="64"/>
      </patternFill>
    </fill>
    <fill>
      <patternFill patternType="solid">
        <fgColor rgb="FF92D050"/>
        <bgColor indexed="64"/>
      </patternFill>
    </fill>
  </fills>
  <borders count="30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9"/>
      </right>
      <top style="medium">
        <color indexed="64"/>
      </top>
      <bottom style="medium">
        <color indexed="9"/>
      </bottom>
      <diagonal/>
    </border>
    <border>
      <left style="medium">
        <color indexed="9"/>
      </left>
      <right style="medium">
        <color indexed="9"/>
      </right>
      <top style="medium">
        <color indexed="64"/>
      </top>
      <bottom style="medium">
        <color indexed="9"/>
      </bottom>
      <diagonal/>
    </border>
    <border>
      <left style="medium">
        <color indexed="9"/>
      </left>
      <right/>
      <top style="medium">
        <color indexed="64"/>
      </top>
      <bottom style="medium">
        <color indexed="9"/>
      </bottom>
      <diagonal/>
    </border>
    <border>
      <left style="medium">
        <color indexed="9"/>
      </left>
      <right style="medium">
        <color indexed="64"/>
      </right>
      <top style="medium">
        <color indexed="64"/>
      </top>
      <bottom style="medium">
        <color indexed="9"/>
      </bottom>
      <diagonal/>
    </border>
    <border>
      <left style="medium">
        <color indexed="64"/>
      </left>
      <right/>
      <top/>
      <bottom/>
      <diagonal/>
    </border>
    <border>
      <left/>
      <right style="medium">
        <color indexed="64"/>
      </right>
      <top/>
      <bottom/>
      <diagonal/>
    </border>
    <border>
      <left style="medium">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style="medium">
        <color indexed="9"/>
      </left>
      <right style="medium">
        <color indexed="64"/>
      </right>
      <top style="medium">
        <color indexed="9"/>
      </top>
      <bottom style="medium">
        <color indexed="9"/>
      </bottom>
      <diagonal/>
    </border>
    <border>
      <left style="medium">
        <color indexed="64"/>
      </left>
      <right style="medium">
        <color indexed="9"/>
      </right>
      <top style="medium">
        <color indexed="9"/>
      </top>
      <bottom style="medium">
        <color indexed="64"/>
      </bottom>
      <diagonal/>
    </border>
    <border>
      <left style="medium">
        <color indexed="9"/>
      </left>
      <right style="medium">
        <color indexed="9"/>
      </right>
      <top style="medium">
        <color indexed="9"/>
      </top>
      <bottom style="medium">
        <color indexed="64"/>
      </bottom>
      <diagonal/>
    </border>
    <border>
      <left style="medium">
        <color indexed="9"/>
      </left>
      <right/>
      <top style="medium">
        <color indexed="9"/>
      </top>
      <bottom style="medium">
        <color indexed="64"/>
      </bottom>
      <diagonal/>
    </border>
    <border>
      <left style="medium">
        <color indexed="9"/>
      </left>
      <right style="medium">
        <color indexed="64"/>
      </right>
      <top style="medium">
        <color indexed="9"/>
      </top>
      <bottom style="medium">
        <color indexed="64"/>
      </bottom>
      <diagonal/>
    </border>
    <border>
      <left style="medium">
        <color indexed="9"/>
      </left>
      <right style="medium">
        <color indexed="9"/>
      </right>
      <top/>
      <bottom style="medium">
        <color indexed="9"/>
      </bottom>
      <diagonal/>
    </border>
    <border>
      <left style="medium">
        <color indexed="9"/>
      </left>
      <right/>
      <top style="medium">
        <color indexed="9"/>
      </top>
      <bottom/>
      <diagonal/>
    </border>
    <border>
      <left style="medium">
        <color indexed="9"/>
      </left>
      <right style="medium">
        <color indexed="9"/>
      </right>
      <top style="medium">
        <color indexed="9"/>
      </top>
      <bottom/>
      <diagonal/>
    </border>
    <border>
      <left style="medium">
        <color indexed="64"/>
      </left>
      <right style="medium">
        <color indexed="9"/>
      </right>
      <top style="medium">
        <color indexed="9"/>
      </top>
      <bottom/>
      <diagonal/>
    </border>
    <border>
      <left style="medium">
        <color indexed="64"/>
      </left>
      <right style="medium">
        <color indexed="9"/>
      </right>
      <top/>
      <bottom style="medium">
        <color indexed="9"/>
      </bottom>
      <diagonal/>
    </border>
    <border>
      <left style="medium">
        <color indexed="9"/>
      </left>
      <right/>
      <top/>
      <bottom style="medium">
        <color indexed="9"/>
      </bottom>
      <diagonal/>
    </border>
    <border>
      <left style="medium">
        <color indexed="9"/>
      </left>
      <right style="medium">
        <color indexed="64"/>
      </right>
      <top/>
      <bottom style="medium">
        <color indexed="9"/>
      </bottom>
      <diagonal/>
    </border>
    <border>
      <left style="medium">
        <color indexed="64"/>
      </left>
      <right style="medium">
        <color indexed="9"/>
      </right>
      <top/>
      <bottom/>
      <diagonal/>
    </border>
    <border>
      <left/>
      <right style="medium">
        <color indexed="64"/>
      </right>
      <top/>
      <bottom style="medium">
        <color indexed="64"/>
      </bottom>
      <diagonal/>
    </border>
    <border>
      <left style="medium">
        <color indexed="64"/>
      </left>
      <right style="medium">
        <color indexed="9"/>
      </right>
      <top style="medium">
        <color indexed="64"/>
      </top>
      <bottom/>
      <diagonal/>
    </border>
    <border>
      <left style="medium">
        <color indexed="9"/>
      </left>
      <right style="medium">
        <color indexed="9"/>
      </right>
      <top style="medium">
        <color indexed="64"/>
      </top>
      <bottom/>
      <diagonal/>
    </border>
    <border>
      <left style="medium">
        <color indexed="9"/>
      </left>
      <right/>
      <top style="medium">
        <color indexed="64"/>
      </top>
      <bottom/>
      <diagonal/>
    </border>
    <border>
      <left style="medium">
        <color indexed="9"/>
      </left>
      <right style="medium">
        <color indexed="64"/>
      </right>
      <top style="medium">
        <color indexed="64"/>
      </top>
      <bottom/>
      <diagonal/>
    </border>
    <border>
      <left style="medium">
        <color indexed="9"/>
      </left>
      <right style="medium">
        <color indexed="9"/>
      </right>
      <top style="medium">
        <color indexed="9"/>
      </top>
      <bottom style="thin">
        <color indexed="9"/>
      </bottom>
      <diagonal/>
    </border>
    <border>
      <left/>
      <right style="thin">
        <color indexed="9"/>
      </right>
      <top style="thin">
        <color indexed="9"/>
      </top>
      <bottom style="medium">
        <color indexed="64"/>
      </bottom>
      <diagonal/>
    </border>
    <border>
      <left/>
      <right/>
      <top style="thin">
        <color indexed="64"/>
      </top>
      <bottom style="double">
        <color indexed="64"/>
      </bottom>
      <diagonal/>
    </border>
    <border>
      <left style="medium">
        <color indexed="64"/>
      </left>
      <right style="medium">
        <color indexed="9"/>
      </right>
      <top/>
      <bottom style="medium">
        <color indexed="64"/>
      </bottom>
      <diagonal/>
    </border>
    <border>
      <left style="medium">
        <color indexed="9"/>
      </left>
      <right style="medium">
        <color indexed="9"/>
      </right>
      <top/>
      <bottom style="medium">
        <color indexed="64"/>
      </bottom>
      <diagonal/>
    </border>
    <border>
      <left style="medium">
        <color indexed="9"/>
      </left>
      <right/>
      <top/>
      <bottom style="medium">
        <color indexed="64"/>
      </bottom>
      <diagonal/>
    </border>
    <border>
      <left style="medium">
        <color indexed="9"/>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9"/>
      </left>
      <right style="medium">
        <color indexed="9"/>
      </right>
      <top/>
      <bottom/>
      <diagonal/>
    </border>
    <border>
      <left style="medium">
        <color indexed="9"/>
      </left>
      <right/>
      <top/>
      <bottom/>
      <diagonal/>
    </border>
    <border>
      <left/>
      <right style="medium">
        <color indexed="64"/>
      </right>
      <top style="medium">
        <color indexed="9"/>
      </top>
      <bottom style="medium">
        <color indexed="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medium">
        <color indexed="64"/>
      </left>
      <right/>
      <top style="thin">
        <color indexed="64"/>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medium">
        <color indexed="8"/>
      </top>
      <bottom/>
      <diagonal/>
    </border>
    <border>
      <left style="thin">
        <color indexed="8"/>
      </left>
      <right style="thin">
        <color indexed="8"/>
      </right>
      <top/>
      <bottom style="medium">
        <color indexed="8"/>
      </bottom>
      <diagonal/>
    </border>
    <border>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bottom style="medium">
        <color indexed="64"/>
      </bottom>
      <diagonal/>
    </border>
    <border>
      <left style="thin">
        <color indexed="64"/>
      </left>
      <right style="thin">
        <color indexed="64"/>
      </right>
      <top style="hair">
        <color indexed="64"/>
      </top>
      <bottom style="hair">
        <color indexed="64"/>
      </bottom>
      <diagonal/>
    </border>
    <border>
      <left style="medium">
        <color indexed="64"/>
      </left>
      <right/>
      <top/>
      <bottom style="hair">
        <color indexed="64"/>
      </bottom>
      <diagonal/>
    </border>
    <border>
      <left/>
      <right style="thin">
        <color indexed="64"/>
      </right>
      <top style="medium">
        <color indexed="64"/>
      </top>
      <bottom/>
      <diagonal/>
    </border>
    <border>
      <left style="medium">
        <color indexed="64"/>
      </left>
      <right/>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rgb="FFFF0000"/>
      </top>
      <bottom style="hair">
        <color indexed="64"/>
      </bottom>
      <diagonal/>
    </border>
    <border>
      <left style="thin">
        <color indexed="64"/>
      </left>
      <right/>
      <top style="thin">
        <color rgb="FFFF0000"/>
      </top>
      <bottom style="hair">
        <color indexed="64"/>
      </bottom>
      <diagonal/>
    </border>
    <border>
      <left style="medium">
        <color indexed="64"/>
      </left>
      <right style="thin">
        <color indexed="64"/>
      </right>
      <top style="thin">
        <color rgb="FFFF0000"/>
      </top>
      <bottom style="hair">
        <color indexed="64"/>
      </bottom>
      <diagonal/>
    </border>
    <border>
      <left style="thin">
        <color indexed="64"/>
      </left>
      <right style="medium">
        <color indexed="64"/>
      </right>
      <top style="thin">
        <color rgb="FFFF0000"/>
      </top>
      <bottom style="hair">
        <color indexed="64"/>
      </bottom>
      <diagonal/>
    </border>
    <border>
      <left/>
      <right style="thin">
        <color indexed="64"/>
      </right>
      <top style="thin">
        <color rgb="FFFF0000"/>
      </top>
      <bottom style="hair">
        <color indexed="64"/>
      </bottom>
      <diagonal/>
    </border>
    <border>
      <left style="thin">
        <color indexed="64"/>
      </left>
      <right style="thin">
        <color indexed="64"/>
      </right>
      <top style="thin">
        <color auto="1"/>
      </top>
      <bottom style="thin">
        <color rgb="FFFF0000"/>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diagonal/>
    </border>
    <border>
      <left/>
      <right/>
      <top style="thin">
        <color rgb="FFFF0000"/>
      </top>
      <bottom/>
      <diagonal/>
    </border>
    <border>
      <left style="thin">
        <color indexed="64"/>
      </left>
      <right style="thin">
        <color indexed="64"/>
      </right>
      <top style="hair">
        <color indexed="64"/>
      </top>
      <bottom style="thin">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thin">
        <color indexed="64"/>
      </right>
      <top style="medium">
        <color indexed="64"/>
      </top>
      <bottom/>
      <diagonal/>
    </border>
    <border>
      <left style="thin">
        <color indexed="64"/>
      </left>
      <right style="thin">
        <color indexed="64"/>
      </right>
      <top style="thin">
        <color rgb="FFFF0000"/>
      </top>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indexed="64"/>
      </right>
      <top style="medium">
        <color auto="1"/>
      </top>
      <bottom style="thin">
        <color auto="1"/>
      </bottom>
      <diagonal/>
    </border>
    <border>
      <left style="medium">
        <color auto="1"/>
      </left>
      <right style="medium">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auto="1"/>
      </left>
      <right/>
      <top/>
      <bottom style="medium">
        <color auto="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auto="1"/>
      </right>
      <top/>
      <bottom style="medium">
        <color auto="1"/>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hair">
        <color indexed="64"/>
      </top>
      <bottom/>
      <diagonal/>
    </border>
    <border>
      <left/>
      <right style="medium">
        <color indexed="64"/>
      </right>
      <top/>
      <bottom style="medium">
        <color indexed="64"/>
      </bottom>
      <diagonal/>
    </border>
    <border>
      <left style="medium">
        <color indexed="9"/>
      </left>
      <right style="medium">
        <color indexed="9"/>
      </right>
      <top/>
      <bottom style="medium">
        <color indexed="9"/>
      </bottom>
      <diagonal/>
    </border>
    <border>
      <left/>
      <right style="medium">
        <color indexed="64"/>
      </right>
      <top/>
      <bottom style="medium">
        <color indexed="9"/>
      </bottom>
      <diagonal/>
    </border>
    <border>
      <left/>
      <right style="medium">
        <color indexed="64"/>
      </right>
      <top/>
      <bottom style="medium">
        <color indexed="9"/>
      </bottom>
      <diagonal/>
    </border>
    <border>
      <left style="medium">
        <color indexed="64"/>
      </left>
      <right style="medium">
        <color indexed="9"/>
      </right>
      <top style="medium">
        <color indexed="9"/>
      </top>
      <bottom/>
      <diagonal/>
    </border>
    <border>
      <left style="medium">
        <color indexed="9"/>
      </left>
      <right style="medium">
        <color indexed="9"/>
      </right>
      <top style="medium">
        <color indexed="9"/>
      </top>
      <bottom/>
      <diagonal/>
    </border>
    <border>
      <left style="mediumDashDotDot">
        <color indexed="9"/>
      </left>
      <right style="medium">
        <color auto="1"/>
      </right>
      <top style="mediumDashDotDot">
        <color indexed="9"/>
      </top>
      <bottom style="medium">
        <color indexed="9"/>
      </bottom>
      <diagonal/>
    </border>
    <border>
      <left style="mediumDashDotDot">
        <color indexed="9"/>
      </left>
      <right style="medium">
        <color auto="1"/>
      </right>
      <top style="medium">
        <color indexed="9"/>
      </top>
      <bottom style="medium">
        <color indexed="9"/>
      </bottom>
      <diagonal/>
    </border>
    <border>
      <left style="mediumDashDotDot">
        <color indexed="9"/>
      </left>
      <right style="medium">
        <color auto="1"/>
      </right>
      <top/>
      <bottom style="mediumDashDotDot">
        <color indexed="9"/>
      </bottom>
      <diagonal/>
    </border>
    <border>
      <left/>
      <right/>
      <top/>
      <bottom style="medium">
        <color indexed="64"/>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9"/>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thin">
        <color auto="1"/>
      </left>
      <right/>
      <top style="medium">
        <color auto="1"/>
      </top>
      <bottom style="medium">
        <color auto="1"/>
      </bottom>
      <diagonal/>
    </border>
    <border>
      <left style="thin">
        <color indexed="64"/>
      </left>
      <right/>
      <top style="medium">
        <color indexed="64"/>
      </top>
      <bottom style="thin">
        <color indexed="64"/>
      </bottom>
      <diagonal/>
    </border>
    <border>
      <left style="thin">
        <color indexed="64"/>
      </left>
      <right style="thin">
        <color indexed="64"/>
      </right>
      <top style="medium">
        <color auto="1"/>
      </top>
      <bottom style="medium">
        <color auto="1"/>
      </bottom>
      <diagonal/>
    </border>
    <border>
      <left style="medium">
        <color auto="1"/>
      </left>
      <right/>
      <top style="medium">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auto="1"/>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auto="1"/>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auto="1"/>
      </left>
      <right style="medium">
        <color auto="1"/>
      </right>
      <top style="medium">
        <color auto="1"/>
      </top>
      <bottom style="thin">
        <color auto="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medium">
        <color indexed="64"/>
      </top>
      <bottom/>
      <diagonal/>
    </border>
    <border>
      <left/>
      <right style="medium">
        <color auto="1"/>
      </right>
      <top style="medium">
        <color auto="1"/>
      </top>
      <bottom style="thin">
        <color auto="1"/>
      </bottom>
      <diagonal/>
    </border>
    <border>
      <left/>
      <right style="medium">
        <color indexed="64"/>
      </right>
      <top style="medium">
        <color indexed="64"/>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style="medium">
        <color indexed="9"/>
      </left>
      <right style="medium">
        <color indexed="64"/>
      </right>
      <top style="medium">
        <color indexed="9"/>
      </top>
      <bottom style="medium">
        <color indexed="9"/>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9"/>
      </left>
      <right/>
      <top style="medium">
        <color indexed="9"/>
      </top>
      <bottom/>
      <diagonal/>
    </border>
    <border>
      <left style="medium">
        <color indexed="9"/>
      </left>
      <right style="medium">
        <color indexed="64"/>
      </right>
      <top style="medium">
        <color indexed="9"/>
      </top>
      <bottom style="medium">
        <color indexed="9"/>
      </bottom>
      <diagonal/>
    </border>
    <border>
      <left/>
      <right style="thin">
        <color indexed="64"/>
      </right>
      <top style="thin">
        <color indexed="64"/>
      </top>
      <bottom/>
      <diagonal/>
    </border>
    <border>
      <left style="medium">
        <color auto="1"/>
      </left>
      <right style="medium">
        <color auto="1"/>
      </right>
      <top style="medium">
        <color auto="1"/>
      </top>
      <bottom style="thin">
        <color auto="1"/>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theme="0"/>
      </right>
      <top/>
      <bottom style="medium">
        <color indexed="64"/>
      </bottom>
      <diagonal/>
    </border>
    <border>
      <left style="medium">
        <color theme="0"/>
      </left>
      <right style="medium">
        <color indexed="64"/>
      </right>
      <top/>
      <bottom style="medium">
        <color indexed="64"/>
      </bottom>
      <diagonal/>
    </border>
    <border>
      <left/>
      <right style="thin">
        <color theme="0"/>
      </right>
      <top/>
      <bottom style="medium">
        <color indexed="64"/>
      </bottom>
      <diagonal/>
    </border>
    <border>
      <left style="thin">
        <color theme="0"/>
      </left>
      <right style="medium">
        <color indexed="64"/>
      </right>
      <top/>
      <bottom style="medium">
        <color indexed="64"/>
      </bottom>
      <diagonal/>
    </border>
    <border>
      <left/>
      <right/>
      <top style="medium">
        <color indexed="64"/>
      </top>
      <bottom/>
      <diagonal/>
    </border>
    <border>
      <left style="medium">
        <color indexed="64"/>
      </left>
      <right style="medium">
        <color theme="0"/>
      </right>
      <top style="medium">
        <color indexed="64"/>
      </top>
      <bottom style="medium">
        <color indexed="64"/>
      </bottom>
      <diagonal/>
    </border>
    <border>
      <left style="medium">
        <color theme="0"/>
      </left>
      <right style="medium">
        <color indexed="64"/>
      </right>
      <top style="medium">
        <color indexed="64"/>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right/>
      <top/>
      <bottom style="medium">
        <color auto="1"/>
      </bottom>
      <diagonal/>
    </border>
    <border>
      <left style="thin">
        <color indexed="64"/>
      </left>
      <right style="medium">
        <color auto="1"/>
      </right>
      <top style="medium">
        <color indexed="64"/>
      </top>
      <bottom/>
      <diagonal/>
    </border>
    <border>
      <left style="medium">
        <color auto="1"/>
      </left>
      <right style="medium">
        <color auto="1"/>
      </right>
      <top style="medium">
        <color auto="1"/>
      </top>
      <bottom/>
      <diagonal/>
    </border>
    <border>
      <left style="medium">
        <color indexed="64"/>
      </left>
      <right style="thin">
        <color indexed="64"/>
      </right>
      <top/>
      <bottom style="thin">
        <color auto="1"/>
      </bottom>
      <diagonal/>
    </border>
    <border>
      <left/>
      <right/>
      <top/>
      <bottom style="thin">
        <color indexed="64"/>
      </bottom>
      <diagonal/>
    </border>
    <border>
      <left style="medium">
        <color indexed="64"/>
      </left>
      <right style="thin">
        <color indexed="64"/>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auto="1"/>
      </left>
      <right style="medium">
        <color auto="1"/>
      </right>
      <top style="medium">
        <color auto="1"/>
      </top>
      <bottom style="medium">
        <color indexed="64"/>
      </bottom>
      <diagonal/>
    </border>
    <border>
      <left style="thin">
        <color auto="1"/>
      </left>
      <right style="medium">
        <color auto="1"/>
      </right>
      <top style="medium">
        <color auto="1"/>
      </top>
      <bottom style="thin">
        <color auto="1"/>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indexed="64"/>
      </top>
      <bottom style="medium">
        <color auto="1"/>
      </bottom>
      <diagonal/>
    </border>
    <border>
      <left/>
      <right/>
      <top style="medium">
        <color indexed="64"/>
      </top>
      <bottom/>
      <diagonal/>
    </border>
    <border>
      <left/>
      <right style="thin">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medium">
        <color indexed="9"/>
      </right>
      <top/>
      <bottom style="medium">
        <color indexed="9"/>
      </bottom>
      <diagonal/>
    </border>
    <border>
      <left style="medium">
        <color indexed="64"/>
      </left>
      <right style="medium">
        <color indexed="9"/>
      </right>
      <top style="medium">
        <color indexed="9"/>
      </top>
      <bottom/>
      <diagonal/>
    </border>
    <border>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s>
  <cellStyleXfs count="196">
    <xf numFmtId="0" fontId="0" fillId="0" borderId="0"/>
    <xf numFmtId="44" fontId="11" fillId="0" borderId="0" applyFont="0" applyFill="0" applyBorder="0" applyAlignment="0" applyProtection="0"/>
    <xf numFmtId="0" fontId="19" fillId="0" borderId="0"/>
    <xf numFmtId="165"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4" fontId="28" fillId="0" borderId="0" applyFont="0" applyFill="0" applyBorder="0" applyAlignment="0" applyProtection="0"/>
    <xf numFmtId="9" fontId="28" fillId="0" borderId="0" applyFont="0" applyFill="0" applyBorder="0" applyAlignment="0" applyProtection="0"/>
    <xf numFmtId="0" fontId="30" fillId="0" borderId="0" applyNumberFormat="0" applyFill="0" applyBorder="0" applyAlignment="0" applyProtection="0"/>
    <xf numFmtId="0" fontId="11" fillId="0" borderId="0"/>
    <xf numFmtId="0" fontId="11" fillId="0" borderId="0" applyNumberFormat="0" applyFont="0" applyFill="0" applyBorder="0" applyAlignment="0" applyProtection="0"/>
    <xf numFmtId="0" fontId="36" fillId="0" borderId="0"/>
    <xf numFmtId="164" fontId="36" fillId="0" borderId="0" applyFont="0" applyFill="0" applyBorder="0" applyAlignment="0" applyProtection="0"/>
    <xf numFmtId="9" fontId="36" fillId="0" borderId="0" applyFont="0" applyFill="0" applyBorder="0" applyAlignment="0" applyProtection="0"/>
    <xf numFmtId="0" fontId="36" fillId="0" borderId="0"/>
    <xf numFmtId="0" fontId="44" fillId="0" borderId="0" applyNumberFormat="0" applyFill="0" applyBorder="0" applyAlignment="0" applyProtection="0"/>
    <xf numFmtId="44" fontId="36" fillId="0" borderId="0" applyFont="0" applyFill="0" applyBorder="0" applyAlignment="0" applyProtection="0"/>
    <xf numFmtId="0" fontId="45" fillId="21" borderId="109" applyNumberFormat="0" applyAlignment="0" applyProtection="0"/>
    <xf numFmtId="0" fontId="46" fillId="0" borderId="106" applyNumberFormat="0" applyFill="0" applyAlignment="0" applyProtection="0"/>
    <xf numFmtId="0" fontId="47" fillId="0" borderId="107" applyNumberFormat="0" applyFill="0" applyAlignment="0" applyProtection="0"/>
    <xf numFmtId="0" fontId="48" fillId="0" borderId="108" applyNumberFormat="0" applyFill="0" applyAlignment="0" applyProtection="0"/>
    <xf numFmtId="0" fontId="48" fillId="0" borderId="0" applyNumberFormat="0" applyFill="0" applyBorder="0" applyAlignment="0" applyProtection="0"/>
    <xf numFmtId="0" fontId="49" fillId="17" borderId="0" applyNumberFormat="0" applyBorder="0" applyAlignment="0" applyProtection="0"/>
    <xf numFmtId="0" fontId="50" fillId="18" borderId="0" applyNumberFormat="0" applyBorder="0" applyAlignment="0" applyProtection="0"/>
    <xf numFmtId="0" fontId="51" fillId="19" borderId="0" applyNumberFormat="0" applyBorder="0" applyAlignment="0" applyProtection="0"/>
    <xf numFmtId="0" fontId="52" fillId="20" borderId="109" applyNumberFormat="0" applyAlignment="0" applyProtection="0"/>
    <xf numFmtId="0" fontId="53" fillId="21" borderId="110" applyNumberFormat="0" applyAlignment="0" applyProtection="0"/>
    <xf numFmtId="0" fontId="54" fillId="0" borderId="111" applyNumberFormat="0" applyFill="0" applyAlignment="0" applyProtection="0"/>
    <xf numFmtId="0" fontId="55" fillId="22" borderId="112" applyNumberFormat="0" applyAlignment="0" applyProtection="0"/>
    <xf numFmtId="0" fontId="56" fillId="0" borderId="0" applyNumberFormat="0" applyFill="0" applyBorder="0" applyAlignment="0" applyProtection="0"/>
    <xf numFmtId="0" fontId="36" fillId="23" borderId="113" applyNumberFormat="0" applyFont="0" applyAlignment="0" applyProtection="0"/>
    <xf numFmtId="0" fontId="57" fillId="0" borderId="0" applyNumberFormat="0" applyFill="0" applyBorder="0" applyAlignment="0" applyProtection="0"/>
    <xf numFmtId="0" fontId="58" fillId="0" borderId="114" applyNumberFormat="0" applyFill="0" applyAlignment="0" applyProtection="0"/>
    <xf numFmtId="0" fontId="59"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59" fillId="27" borderId="0" applyNumberFormat="0" applyBorder="0" applyAlignment="0" applyProtection="0"/>
    <xf numFmtId="0" fontId="59"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59" fillId="31" borderId="0" applyNumberFormat="0" applyBorder="0" applyAlignment="0" applyProtection="0"/>
    <xf numFmtId="0" fontId="59" fillId="32" borderId="0" applyNumberFormat="0" applyBorder="0" applyAlignment="0" applyProtection="0"/>
    <xf numFmtId="0" fontId="36" fillId="33" borderId="0" applyNumberFormat="0" applyBorder="0" applyAlignment="0" applyProtection="0"/>
    <xf numFmtId="0" fontId="36" fillId="34" borderId="0" applyNumberFormat="0" applyBorder="0" applyAlignment="0" applyProtection="0"/>
    <xf numFmtId="0" fontId="59" fillId="35" borderId="0" applyNumberFormat="0" applyBorder="0" applyAlignment="0" applyProtection="0"/>
    <xf numFmtId="0" fontId="59" fillId="36" borderId="0" applyNumberFormat="0" applyBorder="0" applyAlignment="0" applyProtection="0"/>
    <xf numFmtId="0" fontId="36" fillId="37" borderId="0" applyNumberFormat="0" applyBorder="0" applyAlignment="0" applyProtection="0"/>
    <xf numFmtId="0" fontId="36" fillId="38" borderId="0" applyNumberFormat="0" applyBorder="0" applyAlignment="0" applyProtection="0"/>
    <xf numFmtId="0" fontId="59" fillId="39" borderId="0" applyNumberFormat="0" applyBorder="0" applyAlignment="0" applyProtection="0"/>
    <xf numFmtId="0" fontId="59" fillId="40" borderId="0" applyNumberFormat="0" applyBorder="0" applyAlignment="0" applyProtection="0"/>
    <xf numFmtId="0" fontId="36" fillId="41" borderId="0" applyNumberFormat="0" applyBorder="0" applyAlignment="0" applyProtection="0"/>
    <xf numFmtId="0" fontId="36" fillId="42" borderId="0" applyNumberFormat="0" applyBorder="0" applyAlignment="0" applyProtection="0"/>
    <xf numFmtId="0" fontId="59" fillId="43" borderId="0" applyNumberFormat="0" applyBorder="0" applyAlignment="0" applyProtection="0"/>
    <xf numFmtId="0" fontId="59"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59" fillId="47" borderId="0" applyNumberFormat="0" applyBorder="0" applyAlignment="0" applyProtection="0"/>
    <xf numFmtId="0" fontId="9" fillId="0" borderId="0"/>
    <xf numFmtId="44" fontId="11" fillId="0" borderId="0" applyFont="0" applyFill="0" applyBorder="0" applyAlignment="0" applyProtection="0"/>
    <xf numFmtId="44" fontId="9" fillId="0" borderId="0" applyFont="0" applyFill="0" applyBorder="0" applyAlignment="0" applyProtection="0"/>
    <xf numFmtId="0" fontId="7" fillId="0" borderId="0"/>
    <xf numFmtId="0" fontId="68" fillId="0" borderId="0"/>
    <xf numFmtId="44" fontId="11" fillId="0" borderId="0" applyFont="0" applyFill="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69" fillId="54" borderId="0" applyNumberFormat="0" applyBorder="0" applyAlignment="0" applyProtection="0"/>
    <xf numFmtId="0" fontId="69" fillId="55" borderId="0" applyNumberFormat="0" applyBorder="0" applyAlignment="0" applyProtection="0"/>
    <xf numFmtId="0" fontId="69" fillId="56" borderId="0" applyNumberFormat="0" applyBorder="0" applyAlignment="0" applyProtection="0"/>
    <xf numFmtId="0" fontId="70" fillId="57" borderId="140" applyNumberFormat="0" applyAlignment="0" applyProtection="0"/>
    <xf numFmtId="0" fontId="71" fillId="57" borderId="141" applyNumberFormat="0" applyAlignment="0" applyProtection="0"/>
    <xf numFmtId="0" fontId="72" fillId="58" borderId="141" applyNumberFormat="0" applyAlignment="0" applyProtection="0"/>
    <xf numFmtId="0" fontId="73" fillId="0" borderId="142" applyNumberFormat="0" applyFill="0" applyAlignment="0" applyProtection="0"/>
    <xf numFmtId="0" fontId="74" fillId="0" borderId="0" applyNumberForma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98" fontId="68" fillId="0" borderId="0" applyBorder="0" applyProtection="0"/>
    <xf numFmtId="198" fontId="68" fillId="0" borderId="0" applyBorder="0" applyProtection="0"/>
    <xf numFmtId="0" fontId="75" fillId="59" borderId="0" applyNumberFormat="0" applyBorder="0" applyAlignment="0" applyProtection="0"/>
    <xf numFmtId="0" fontId="49" fillId="17" borderId="0" applyNumberFormat="0" applyBorder="0" applyAlignment="0" applyProtection="0"/>
    <xf numFmtId="0" fontId="76" fillId="0" borderId="0">
      <alignment horizontal="center"/>
    </xf>
    <xf numFmtId="0" fontId="76" fillId="0" borderId="0">
      <alignment horizontal="center" textRotation="90"/>
    </xf>
    <xf numFmtId="164" fontId="11" fillId="0" borderId="0" applyFont="0" applyFill="0" applyBorder="0" applyAlignment="0" applyProtection="0"/>
    <xf numFmtId="0" fontId="77" fillId="60" borderId="0" applyNumberFormat="0" applyBorder="0" applyAlignment="0" applyProtection="0"/>
    <xf numFmtId="0" fontId="11" fillId="61" borderId="143" applyNumberFormat="0" applyFont="0" applyAlignment="0" applyProtection="0"/>
    <xf numFmtId="0" fontId="7" fillId="23" borderId="113" applyNumberFormat="0" applyFont="0" applyAlignment="0" applyProtection="0"/>
    <xf numFmtId="0" fontId="7" fillId="23" borderId="113" applyNumberFormat="0" applyFont="0" applyAlignment="0" applyProtection="0"/>
    <xf numFmtId="0" fontId="7" fillId="23" borderId="113" applyNumberFormat="0" applyFont="0" applyAlignment="0" applyProtection="0"/>
    <xf numFmtId="0" fontId="7" fillId="23" borderId="113" applyNumberFormat="0" applyFont="0" applyAlignment="0" applyProtection="0"/>
    <xf numFmtId="9" fontId="11" fillId="0" borderId="0" applyFont="0" applyFill="0" applyBorder="0" applyAlignment="0" applyProtection="0"/>
    <xf numFmtId="0" fontId="78" fillId="0" borderId="0"/>
    <xf numFmtId="199" fontId="78" fillId="0" borderId="0"/>
    <xf numFmtId="0" fontId="79" fillId="62" borderId="0" applyNumberFormat="0" applyBorder="0" applyAlignment="0" applyProtection="0"/>
    <xf numFmtId="0" fontId="80" fillId="0" borderId="0"/>
    <xf numFmtId="0" fontId="7" fillId="0" borderId="0"/>
    <xf numFmtId="0" fontId="8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1" fillId="0" borderId="0"/>
    <xf numFmtId="0" fontId="7" fillId="0" borderId="0"/>
    <xf numFmtId="0" fontId="11" fillId="0" borderId="0"/>
    <xf numFmtId="0" fontId="82" fillId="0" borderId="0" applyBorder="0"/>
    <xf numFmtId="0" fontId="82" fillId="0" borderId="0" applyBorder="0"/>
    <xf numFmtId="0" fontId="7" fillId="0" borderId="0"/>
    <xf numFmtId="0" fontId="7" fillId="0" borderId="0"/>
    <xf numFmtId="0" fontId="7" fillId="0" borderId="0"/>
    <xf numFmtId="0" fontId="7" fillId="0" borderId="0"/>
    <xf numFmtId="0" fontId="7" fillId="0" borderId="0"/>
    <xf numFmtId="0" fontId="83" fillId="0" borderId="0"/>
    <xf numFmtId="0" fontId="7" fillId="0" borderId="0"/>
    <xf numFmtId="0" fontId="68" fillId="0" borderId="0"/>
    <xf numFmtId="0" fontId="7" fillId="0" borderId="0"/>
    <xf numFmtId="0" fontId="84" fillId="0" borderId="144" applyNumberFormat="0" applyFill="0" applyAlignment="0" applyProtection="0"/>
    <xf numFmtId="0" fontId="85" fillId="0" borderId="145" applyNumberFormat="0" applyFill="0" applyAlignment="0" applyProtection="0"/>
    <xf numFmtId="0" fontId="86" fillId="0" borderId="146" applyNumberFormat="0" applyFill="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8" fillId="0" borderId="147" applyNumberFormat="0" applyFill="0" applyAlignment="0" applyProtection="0"/>
    <xf numFmtId="0" fontId="89" fillId="0" borderId="0" applyNumberFormat="0" applyFill="0" applyBorder="0" applyAlignment="0" applyProtection="0"/>
    <xf numFmtId="0" fontId="90" fillId="63" borderId="148" applyNumberFormat="0" applyAlignment="0" applyProtection="0"/>
    <xf numFmtId="0" fontId="71" fillId="57" borderId="141" applyNumberFormat="0" applyAlignment="0" applyProtection="0"/>
    <xf numFmtId="0" fontId="72" fillId="58" borderId="141" applyNumberFormat="0" applyAlignment="0" applyProtection="0"/>
    <xf numFmtId="0" fontId="73" fillId="0" borderId="142" applyNumberFormat="0" applyFill="0" applyAlignment="0" applyProtection="0"/>
    <xf numFmtId="200" fontId="11" fillId="0" borderId="0" applyFont="0" applyFill="0" applyBorder="0" applyAlignment="0" applyProtection="0"/>
    <xf numFmtId="44" fontId="11" fillId="0" borderId="0" applyFont="0" applyFill="0" applyBorder="0" applyAlignment="0" applyProtection="0"/>
    <xf numFmtId="0" fontId="11" fillId="61" borderId="143" applyNumberFormat="0" applyFont="0" applyAlignment="0" applyProtection="0"/>
    <xf numFmtId="0" fontId="81" fillId="0" borderId="0"/>
    <xf numFmtId="0" fontId="11" fillId="0" borderId="0"/>
    <xf numFmtId="0" fontId="11" fillId="0" borderId="0"/>
    <xf numFmtId="0" fontId="81" fillId="0" borderId="0"/>
    <xf numFmtId="0" fontId="11" fillId="0" borderId="0"/>
    <xf numFmtId="0" fontId="6" fillId="0" borderId="0"/>
    <xf numFmtId="201" fontId="5" fillId="0" borderId="0" applyFont="0" applyFill="0" applyBorder="0" applyAlignment="0" applyProtection="0"/>
    <xf numFmtId="0" fontId="5" fillId="0" borderId="0"/>
    <xf numFmtId="0" fontId="4" fillId="0" borderId="0"/>
    <xf numFmtId="0" fontId="11" fillId="0" borderId="0" applyNumberFormat="0" applyFont="0" applyFill="0" applyBorder="0" applyAlignment="0" applyProtection="0"/>
    <xf numFmtId="0" fontId="4" fillId="0" borderId="0"/>
    <xf numFmtId="0" fontId="11" fillId="0" borderId="0" applyNumberFormat="0" applyFont="0" applyFill="0" applyBorder="0" applyAlignment="0" applyProtection="0"/>
    <xf numFmtId="44" fontId="11" fillId="0" borderId="0" applyFont="0" applyFill="0" applyBorder="0" applyAlignment="0" applyProtection="0"/>
    <xf numFmtId="0" fontId="60" fillId="0" borderId="0"/>
    <xf numFmtId="44" fontId="60" fillId="0" borderId="0" applyFont="0" applyFill="0" applyBorder="0" applyAlignment="0" applyProtection="0"/>
    <xf numFmtId="9" fontId="60" fillId="0" borderId="0" applyFont="0" applyFill="0" applyBorder="0" applyAlignment="0" applyProtection="0"/>
    <xf numFmtId="0" fontId="3" fillId="0" borderId="0"/>
    <xf numFmtId="44" fontId="60" fillId="0" borderId="0" applyFont="0" applyFill="0" applyBorder="0" applyAlignment="0" applyProtection="0"/>
    <xf numFmtId="0" fontId="2" fillId="0" borderId="0"/>
    <xf numFmtId="164" fontId="2" fillId="0" borderId="0" applyFont="0" applyFill="0" applyBorder="0" applyAlignment="0" applyProtection="0"/>
    <xf numFmtId="0" fontId="11" fillId="0" borderId="0" applyNumberFormat="0" applyFont="0" applyFill="0" applyBorder="0" applyAlignment="0" applyProtection="0"/>
    <xf numFmtId="0" fontId="11" fillId="0" borderId="0"/>
    <xf numFmtId="0" fontId="11" fillId="0" borderId="0"/>
    <xf numFmtId="0" fontId="11" fillId="0" borderId="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2" fillId="0" borderId="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xf numFmtId="0" fontId="2" fillId="0" borderId="0"/>
    <xf numFmtId="0" fontId="11" fillId="0" borderId="0" applyNumberFormat="0" applyFont="0" applyFill="0" applyBorder="0" applyAlignment="0" applyProtection="0"/>
    <xf numFmtId="0" fontId="11" fillId="0" borderId="0" applyNumberFormat="0" applyFont="0" applyFill="0" applyBorder="0" applyAlignment="0" applyProtection="0"/>
    <xf numFmtId="0" fontId="2" fillId="0" borderId="0"/>
    <xf numFmtId="0" fontId="11" fillId="0" borderId="0"/>
    <xf numFmtId="0" fontId="1" fillId="0" borderId="0"/>
  </cellStyleXfs>
  <cellXfs count="3505">
    <xf numFmtId="0" fontId="0" fillId="0" borderId="0" xfId="0"/>
    <xf numFmtId="0" fontId="13" fillId="0" borderId="0" xfId="0" applyFont="1" applyFill="1"/>
    <xf numFmtId="2" fontId="0" fillId="0" borderId="0" xfId="0" applyNumberFormat="1"/>
    <xf numFmtId="0" fontId="14" fillId="2" borderId="2" xfId="0" applyFont="1" applyFill="1" applyBorder="1" applyAlignment="1">
      <alignment horizontal="center" vertical="center"/>
    </xf>
    <xf numFmtId="0" fontId="14" fillId="2" borderId="2" xfId="0" applyFont="1" applyFill="1" applyBorder="1" applyAlignment="1">
      <alignment horizontal="center" vertical="center" wrapText="1"/>
    </xf>
    <xf numFmtId="2" fontId="14" fillId="2" borderId="3" xfId="0" applyNumberFormat="1" applyFont="1" applyFill="1" applyBorder="1" applyAlignment="1">
      <alignment horizontal="center" vertical="center" wrapText="1"/>
    </xf>
    <xf numFmtId="0" fontId="14" fillId="0" borderId="0" xfId="0" applyFont="1" applyAlignment="1">
      <alignment horizontal="center" vertical="center"/>
    </xf>
    <xf numFmtId="0" fontId="0" fillId="0" borderId="0" xfId="0" applyAlignment="1">
      <alignment vertical="center"/>
    </xf>
    <xf numFmtId="0" fontId="14" fillId="2" borderId="2" xfId="0" applyFont="1" applyFill="1" applyBorder="1" applyAlignment="1">
      <alignment vertical="center"/>
    </xf>
    <xf numFmtId="3" fontId="14" fillId="2" borderId="2" xfId="0" applyNumberFormat="1" applyFont="1" applyFill="1" applyBorder="1" applyAlignment="1">
      <alignment vertical="center"/>
    </xf>
    <xf numFmtId="2" fontId="14" fillId="2" borderId="3" xfId="0" applyNumberFormat="1" applyFont="1" applyFill="1" applyBorder="1" applyAlignment="1">
      <alignment vertical="center"/>
    </xf>
    <xf numFmtId="2" fontId="0" fillId="0" borderId="0" xfId="0" applyNumberFormat="1" applyAlignment="1">
      <alignment vertical="center"/>
    </xf>
    <xf numFmtId="0" fontId="15" fillId="0" borderId="0" xfId="0" applyFont="1" applyAlignment="1">
      <alignment vertical="center"/>
    </xf>
    <xf numFmtId="0" fontId="0" fillId="0" borderId="0" xfId="0" applyAlignment="1">
      <alignment horizontal="center"/>
    </xf>
    <xf numFmtId="49" fontId="0" fillId="0" borderId="0" xfId="0" applyNumberFormat="1" applyAlignment="1">
      <alignment horizontal="right"/>
    </xf>
    <xf numFmtId="0" fontId="14" fillId="2" borderId="1" xfId="0" applyFont="1" applyFill="1" applyBorder="1" applyAlignment="1">
      <alignment horizontal="center" vertical="center" wrapText="1"/>
    </xf>
    <xf numFmtId="0" fontId="14" fillId="0" borderId="0" xfId="0" applyFont="1" applyAlignment="1">
      <alignment vertical="center" wrapText="1"/>
    </xf>
    <xf numFmtId="0" fontId="0" fillId="0" borderId="4" xfId="0" applyBorder="1" applyAlignment="1">
      <alignment horizontal="center" vertical="center"/>
    </xf>
    <xf numFmtId="0" fontId="0" fillId="0" borderId="5" xfId="0" applyBorder="1" applyAlignment="1">
      <alignment horizontal="center" vertical="center"/>
    </xf>
    <xf numFmtId="14" fontId="0" fillId="0" borderId="5" xfId="0" applyNumberFormat="1" applyBorder="1" applyAlignment="1">
      <alignment horizontal="center" vertical="center"/>
    </xf>
    <xf numFmtId="168" fontId="0" fillId="0" borderId="5" xfId="0" applyNumberFormat="1" applyBorder="1" applyAlignment="1">
      <alignment horizontal="center" vertical="center"/>
    </xf>
    <xf numFmtId="49" fontId="0" fillId="0" borderId="5" xfId="0" applyNumberFormat="1" applyBorder="1" applyAlignment="1">
      <alignment horizontal="center" vertical="center"/>
    </xf>
    <xf numFmtId="20" fontId="0" fillId="0" borderId="6" xfId="0" applyNumberFormat="1" applyBorder="1" applyAlignment="1">
      <alignment vertical="center"/>
    </xf>
    <xf numFmtId="0" fontId="15" fillId="0" borderId="8" xfId="0" applyFont="1" applyBorder="1" applyAlignment="1">
      <alignment horizontal="center" vertical="center"/>
    </xf>
    <xf numFmtId="14" fontId="15" fillId="0" borderId="8" xfId="0" applyNumberFormat="1" applyFont="1" applyBorder="1" applyAlignment="1">
      <alignment horizontal="center" vertical="center"/>
    </xf>
    <xf numFmtId="168" fontId="15" fillId="0" borderId="8" xfId="0" applyNumberFormat="1" applyFont="1" applyBorder="1" applyAlignment="1">
      <alignment horizontal="center" vertical="center"/>
    </xf>
    <xf numFmtId="49" fontId="15" fillId="0" borderId="8" xfId="0" applyNumberFormat="1" applyFont="1" applyBorder="1" applyAlignment="1">
      <alignment horizontal="center" vertical="center"/>
    </xf>
    <xf numFmtId="0" fontId="0" fillId="0" borderId="0" xfId="0" applyAlignment="1">
      <alignment horizontal="center" vertical="center"/>
    </xf>
    <xf numFmtId="0" fontId="0" fillId="0" borderId="0" xfId="0" applyAlignment="1">
      <alignment horizontal="left" indent="1"/>
    </xf>
    <xf numFmtId="0" fontId="14" fillId="2" borderId="2" xfId="0" applyFont="1" applyFill="1" applyBorder="1" applyAlignment="1">
      <alignment horizontal="left" vertical="center" indent="1"/>
    </xf>
    <xf numFmtId="3" fontId="0" fillId="0" borderId="11" xfId="0" applyNumberFormat="1" applyFill="1" applyBorder="1" applyAlignment="1">
      <alignment vertical="center"/>
    </xf>
    <xf numFmtId="0" fontId="0" fillId="0" borderId="11" xfId="0" applyFill="1" applyBorder="1" applyAlignment="1">
      <alignment vertical="center"/>
    </xf>
    <xf numFmtId="3" fontId="0" fillId="0" borderId="5" xfId="0" applyNumberFormat="1" applyFill="1" applyBorder="1" applyAlignment="1">
      <alignment vertical="center"/>
    </xf>
    <xf numFmtId="0" fontId="0" fillId="0" borderId="5" xfId="0" applyFill="1" applyBorder="1" applyAlignment="1">
      <alignment vertical="center"/>
    </xf>
    <xf numFmtId="3" fontId="0" fillId="0" borderId="12" xfId="0" applyNumberFormat="1" applyFill="1" applyBorder="1" applyAlignment="1">
      <alignment vertical="center"/>
    </xf>
    <xf numFmtId="0" fontId="0" fillId="0" borderId="12" xfId="0" applyFill="1" applyBorder="1" applyAlignment="1">
      <alignment vertical="center"/>
    </xf>
    <xf numFmtId="0" fontId="0" fillId="0" borderId="13" xfId="0" applyFill="1" applyBorder="1" applyAlignment="1">
      <alignment vertical="center"/>
    </xf>
    <xf numFmtId="0" fontId="0" fillId="0" borderId="4" xfId="0" applyFill="1" applyBorder="1" applyAlignment="1">
      <alignment vertical="center"/>
    </xf>
    <xf numFmtId="2" fontId="0" fillId="0" borderId="6" xfId="0" applyNumberFormat="1" applyFill="1" applyBorder="1" applyAlignment="1">
      <alignment vertical="center"/>
    </xf>
    <xf numFmtId="0" fontId="0" fillId="0" borderId="15" xfId="0" applyFill="1" applyBorder="1" applyAlignment="1">
      <alignment vertical="center"/>
    </xf>
    <xf numFmtId="0" fontId="14" fillId="2" borderId="1" xfId="0" applyFont="1" applyFill="1" applyBorder="1" applyAlignment="1">
      <alignment horizontal="left" vertical="center" indent="1"/>
    </xf>
    <xf numFmtId="0" fontId="0" fillId="0" borderId="13" xfId="0" applyFill="1" applyBorder="1" applyAlignment="1">
      <alignment horizontal="left" vertical="center" indent="1"/>
    </xf>
    <xf numFmtId="0" fontId="0" fillId="0" borderId="0" xfId="0" applyAlignment="1">
      <alignment horizontal="left" vertical="center" indent="1"/>
    </xf>
    <xf numFmtId="0" fontId="0" fillId="0" borderId="11" xfId="0" applyBorder="1" applyAlignment="1">
      <alignment horizontal="center" vertical="center"/>
    </xf>
    <xf numFmtId="0" fontId="0" fillId="0" borderId="5" xfId="0" applyBorder="1" applyAlignment="1">
      <alignment horizontal="left" vertical="center" indent="1"/>
    </xf>
    <xf numFmtId="1" fontId="0" fillId="0" borderId="5" xfId="0" applyNumberFormat="1" applyBorder="1" applyAlignment="1">
      <alignment horizontal="right" vertical="center"/>
    </xf>
    <xf numFmtId="0" fontId="0" fillId="0" borderId="0" xfId="0" applyAlignment="1">
      <alignment horizontal="left" vertical="center"/>
    </xf>
    <xf numFmtId="0" fontId="0" fillId="0" borderId="0" xfId="0" applyAlignment="1">
      <alignment horizontal="left"/>
    </xf>
    <xf numFmtId="0" fontId="0" fillId="0" borderId="0" xfId="0" applyAlignment="1"/>
    <xf numFmtId="0" fontId="0" fillId="0" borderId="0"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indent="1"/>
    </xf>
    <xf numFmtId="0" fontId="10" fillId="2" borderId="2" xfId="0" applyFont="1" applyFill="1" applyBorder="1" applyAlignment="1">
      <alignment horizontal="center" vertical="center" wrapText="1"/>
    </xf>
    <xf numFmtId="0" fontId="10" fillId="0" borderId="0" xfId="0" applyFont="1" applyAlignment="1">
      <alignment vertical="center" wrapText="1"/>
    </xf>
    <xf numFmtId="0" fontId="0" fillId="0" borderId="6" xfId="0" applyBorder="1" applyAlignment="1">
      <alignment horizontal="center" vertical="center"/>
    </xf>
    <xf numFmtId="0" fontId="10" fillId="0" borderId="0" xfId="0" applyFont="1" applyAlignment="1">
      <alignment vertical="center"/>
    </xf>
    <xf numFmtId="0" fontId="14" fillId="2" borderId="2" xfId="0" applyFont="1" applyFill="1" applyBorder="1" applyAlignment="1">
      <alignment horizontal="left" vertical="center" wrapText="1" indent="1"/>
    </xf>
    <xf numFmtId="14" fontId="0" fillId="0" borderId="0" xfId="0" applyNumberFormat="1" applyBorder="1" applyAlignment="1">
      <alignment horizontal="center" vertical="center"/>
    </xf>
    <xf numFmtId="49" fontId="0" fillId="0" borderId="0" xfId="0" applyNumberFormat="1" applyBorder="1" applyAlignment="1">
      <alignment horizontal="center" vertical="center"/>
    </xf>
    <xf numFmtId="0" fontId="0" fillId="0" borderId="0" xfId="0" applyBorder="1" applyAlignment="1">
      <alignment horizontal="left" vertical="center" indent="1"/>
    </xf>
    <xf numFmtId="20" fontId="0" fillId="0" borderId="0" xfId="0" applyNumberFormat="1" applyBorder="1" applyAlignment="1">
      <alignment vertical="center"/>
    </xf>
    <xf numFmtId="0" fontId="10" fillId="2" borderId="3" xfId="0" applyFont="1" applyFill="1" applyBorder="1" applyAlignment="1">
      <alignment horizontal="center" vertical="center" wrapText="1"/>
    </xf>
    <xf numFmtId="0" fontId="10" fillId="0" borderId="0" xfId="0" applyFont="1" applyAlignment="1">
      <alignment horizontal="center" vertical="center" wrapText="1"/>
    </xf>
    <xf numFmtId="49" fontId="0" fillId="0" borderId="8" xfId="0" applyNumberFormat="1" applyBorder="1" applyAlignment="1">
      <alignment horizontal="center" vertical="center"/>
    </xf>
    <xf numFmtId="0" fontId="0" fillId="0" borderId="0" xfId="0" applyBorder="1" applyAlignment="1">
      <alignmen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9" xfId="0" applyBorder="1" applyAlignment="1">
      <alignment horizontal="center" vertical="center"/>
    </xf>
    <xf numFmtId="49" fontId="0" fillId="0" borderId="0" xfId="0" applyNumberFormat="1" applyAlignment="1">
      <alignment horizontal="center"/>
    </xf>
    <xf numFmtId="0" fontId="15" fillId="0" borderId="0" xfId="2" applyFont="1" applyBorder="1" applyAlignment="1">
      <alignment vertical="center" wrapText="1"/>
    </xf>
    <xf numFmtId="0" fontId="13" fillId="0" borderId="0" xfId="2" applyFont="1" applyBorder="1" applyAlignment="1">
      <alignment vertical="center" wrapText="1"/>
    </xf>
    <xf numFmtId="0" fontId="15" fillId="0" borderId="0" xfId="2" applyFont="1" applyBorder="1" applyAlignment="1">
      <alignment horizontal="left" vertical="center" wrapText="1" indent="1"/>
    </xf>
    <xf numFmtId="167" fontId="15" fillId="0" borderId="0" xfId="2" applyNumberFormat="1" applyFont="1" applyBorder="1" applyAlignment="1">
      <alignment horizontal="left" vertical="center" wrapText="1" indent="1"/>
    </xf>
    <xf numFmtId="0" fontId="15" fillId="0" borderId="0" xfId="2" applyFont="1" applyBorder="1" applyAlignment="1">
      <alignment horizontal="center" vertical="center" wrapText="1"/>
    </xf>
    <xf numFmtId="0" fontId="15" fillId="0" borderId="0" xfId="2" applyFont="1" applyFill="1" applyBorder="1" applyAlignment="1">
      <alignment vertical="center" wrapText="1"/>
    </xf>
    <xf numFmtId="0" fontId="15" fillId="0" borderId="5" xfId="0" applyFont="1" applyFill="1" applyBorder="1" applyAlignment="1">
      <alignment horizontal="center" vertical="center"/>
    </xf>
    <xf numFmtId="0" fontId="14" fillId="0" borderId="0" xfId="0" applyFont="1" applyAlignment="1">
      <alignment vertical="center"/>
    </xf>
    <xf numFmtId="44" fontId="15" fillId="0" borderId="0" xfId="4" applyFont="1" applyBorder="1" applyAlignment="1">
      <alignment horizontal="right" vertical="center" wrapText="1"/>
    </xf>
    <xf numFmtId="0" fontId="14" fillId="2" borderId="1" xfId="2" applyFont="1" applyFill="1" applyBorder="1" applyAlignment="1">
      <alignment horizontal="left" vertical="center" wrapText="1" indent="1"/>
    </xf>
    <xf numFmtId="0" fontId="14" fillId="2" borderId="2" xfId="2" applyFont="1" applyFill="1" applyBorder="1" applyAlignment="1">
      <alignment horizontal="left" vertical="center" wrapText="1" indent="1"/>
    </xf>
    <xf numFmtId="167" fontId="14" fillId="2" borderId="2" xfId="2" applyNumberFormat="1" applyFont="1" applyFill="1" applyBorder="1" applyAlignment="1">
      <alignment horizontal="left" vertical="center" wrapText="1" indent="1"/>
    </xf>
    <xf numFmtId="0" fontId="14" fillId="2" borderId="2" xfId="2" applyFont="1" applyFill="1" applyBorder="1" applyAlignment="1">
      <alignment horizontal="center" vertical="center" wrapText="1"/>
    </xf>
    <xf numFmtId="0" fontId="14" fillId="0" borderId="0" xfId="2" applyFont="1" applyBorder="1" applyAlignment="1">
      <alignment vertical="center" wrapText="1"/>
    </xf>
    <xf numFmtId="0" fontId="15" fillId="0" borderId="13" xfId="2" applyFont="1" applyBorder="1" applyAlignment="1">
      <alignment horizontal="left" vertical="center" wrapText="1" indent="1"/>
    </xf>
    <xf numFmtId="167" fontId="14" fillId="2" borderId="2" xfId="2" applyNumberFormat="1" applyFont="1" applyFill="1" applyBorder="1" applyAlignment="1">
      <alignment horizontal="center" vertical="center" wrapText="1"/>
    </xf>
    <xf numFmtId="14" fontId="15" fillId="0" borderId="11" xfId="2" applyNumberFormat="1" applyFont="1" applyBorder="1" applyAlignment="1">
      <alignment horizontal="left" vertical="center" wrapText="1" indent="1"/>
    </xf>
    <xf numFmtId="14" fontId="15" fillId="0" borderId="5" xfId="2" applyNumberFormat="1" applyFont="1" applyBorder="1" applyAlignment="1">
      <alignment horizontal="left" vertical="center" wrapText="1" indent="1"/>
    </xf>
    <xf numFmtId="170" fontId="0" fillId="0" borderId="6" xfId="0" applyNumberFormat="1" applyFill="1" applyBorder="1" applyAlignment="1">
      <alignment horizontal="center" vertical="center"/>
    </xf>
    <xf numFmtId="170" fontId="0" fillId="0" borderId="9" xfId="0" applyNumberFormat="1" applyFill="1" applyBorder="1" applyAlignment="1">
      <alignment horizontal="center" vertical="center"/>
    </xf>
    <xf numFmtId="0" fontId="15" fillId="0" borderId="0" xfId="0" applyFont="1" applyBorder="1" applyAlignment="1">
      <alignment vertical="center"/>
    </xf>
    <xf numFmtId="0" fontId="15" fillId="0" borderId="0" xfId="0" applyFont="1" applyFill="1" applyBorder="1" applyAlignment="1">
      <alignment vertical="center"/>
    </xf>
    <xf numFmtId="0" fontId="15" fillId="0" borderId="8" xfId="0" applyFont="1" applyFill="1" applyBorder="1" applyAlignment="1">
      <alignment horizontal="center" vertical="center"/>
    </xf>
    <xf numFmtId="169" fontId="14" fillId="0" borderId="0" xfId="5" applyNumberFormat="1" applyFont="1" applyBorder="1" applyAlignment="1">
      <alignment horizontal="right" vertical="center" wrapText="1"/>
    </xf>
    <xf numFmtId="170" fontId="0" fillId="0" borderId="0" xfId="0" applyNumberFormat="1" applyAlignment="1">
      <alignment horizontal="right" vertical="center"/>
    </xf>
    <xf numFmtId="0" fontId="0" fillId="0" borderId="0" xfId="0" applyAlignment="1">
      <alignment horizontal="right" vertical="center"/>
    </xf>
    <xf numFmtId="1" fontId="14" fillId="2" borderId="2" xfId="2" applyNumberFormat="1" applyFont="1" applyFill="1" applyBorder="1" applyAlignment="1">
      <alignment horizontal="center" vertical="center" wrapText="1"/>
    </xf>
    <xf numFmtId="0" fontId="14" fillId="2" borderId="2" xfId="0" applyFont="1" applyFill="1" applyBorder="1" applyAlignment="1">
      <alignment horizontal="center" vertical="center" textRotation="90" wrapText="1"/>
    </xf>
    <xf numFmtId="0" fontId="14" fillId="2" borderId="10" xfId="0" applyFont="1" applyFill="1" applyBorder="1" applyAlignment="1">
      <alignment horizontal="left" vertical="center" indent="1"/>
    </xf>
    <xf numFmtId="4" fontId="0" fillId="0" borderId="4" xfId="0" applyNumberFormat="1" applyFill="1" applyBorder="1" applyAlignment="1">
      <alignment vertical="center"/>
    </xf>
    <xf numFmtId="4" fontId="0" fillId="0" borderId="5" xfId="0" applyNumberFormat="1" applyFill="1" applyBorder="1" applyAlignment="1">
      <alignment vertical="center"/>
    </xf>
    <xf numFmtId="4" fontId="14" fillId="2" borderId="1" xfId="0" applyNumberFormat="1" applyFont="1" applyFill="1" applyBorder="1" applyAlignment="1">
      <alignment vertical="center"/>
    </xf>
    <xf numFmtId="4" fontId="14" fillId="2" borderId="2" xfId="0" applyNumberFormat="1" applyFont="1" applyFill="1" applyBorder="1" applyAlignment="1">
      <alignment vertical="center"/>
    </xf>
    <xf numFmtId="3" fontId="0" fillId="0" borderId="4" xfId="0" applyNumberFormat="1" applyFill="1" applyBorder="1" applyAlignment="1">
      <alignment vertical="center"/>
    </xf>
    <xf numFmtId="3" fontId="14" fillId="2" borderId="1" xfId="0" applyNumberFormat="1" applyFont="1" applyFill="1" applyBorder="1" applyAlignment="1">
      <alignment vertical="center"/>
    </xf>
    <xf numFmtId="0" fontId="0" fillId="0" borderId="35" xfId="0" applyFill="1" applyBorder="1" applyAlignment="1">
      <alignment vertical="center"/>
    </xf>
    <xf numFmtId="3" fontId="0" fillId="0" borderId="36" xfId="0" applyNumberFormat="1" applyFill="1" applyBorder="1" applyAlignment="1">
      <alignment vertical="center"/>
    </xf>
    <xf numFmtId="3" fontId="0" fillId="0" borderId="37" xfId="0" applyNumberFormat="1" applyFill="1" applyBorder="1" applyAlignment="1">
      <alignment vertical="center"/>
    </xf>
    <xf numFmtId="3" fontId="14" fillId="0" borderId="39" xfId="0" applyNumberFormat="1" applyFont="1" applyFill="1" applyBorder="1" applyAlignment="1">
      <alignment vertical="center"/>
    </xf>
    <xf numFmtId="3" fontId="15" fillId="0" borderId="0" xfId="5" applyNumberFormat="1" applyFont="1" applyFill="1" applyBorder="1" applyAlignment="1">
      <alignment horizontal="right" vertical="center" wrapText="1"/>
    </xf>
    <xf numFmtId="0" fontId="15" fillId="0" borderId="5" xfId="0" applyFont="1" applyBorder="1" applyAlignment="1">
      <alignment horizontal="center" vertical="center"/>
    </xf>
    <xf numFmtId="20" fontId="15" fillId="0" borderId="11" xfId="2" applyNumberFormat="1" applyFont="1" applyBorder="1" applyAlignment="1">
      <alignment horizontal="left" vertical="center" wrapText="1" indent="1"/>
    </xf>
    <xf numFmtId="0" fontId="15" fillId="0" borderId="42" xfId="2" applyFont="1" applyBorder="1" applyAlignment="1">
      <alignment horizontal="left" vertical="center" wrapText="1" indent="1"/>
    </xf>
    <xf numFmtId="20" fontId="15" fillId="0" borderId="5" xfId="2" applyNumberFormat="1" applyFont="1" applyBorder="1" applyAlignment="1">
      <alignment horizontal="left" vertical="center" wrapText="1" indent="1"/>
    </xf>
    <xf numFmtId="0" fontId="10" fillId="2" borderId="1" xfId="0" applyFont="1" applyFill="1" applyBorder="1" applyAlignment="1">
      <alignment horizontal="left" vertical="center" wrapText="1" indent="1"/>
    </xf>
    <xf numFmtId="0" fontId="10" fillId="2" borderId="32" xfId="0" applyFont="1" applyFill="1" applyBorder="1" applyAlignment="1">
      <alignment horizontal="left" vertical="center" wrapText="1" indent="1"/>
    </xf>
    <xf numFmtId="0" fontId="10" fillId="2" borderId="3" xfId="0" applyFont="1" applyFill="1" applyBorder="1" applyAlignment="1">
      <alignment horizontal="left" vertical="center" wrapText="1" indent="1"/>
    </xf>
    <xf numFmtId="0" fontId="12" fillId="0" borderId="0" xfId="0" applyFont="1" applyAlignment="1">
      <alignment horizontal="center" vertical="center" wrapText="1"/>
    </xf>
    <xf numFmtId="0" fontId="12" fillId="0" borderId="0" xfId="0" applyFont="1" applyAlignment="1">
      <alignment vertical="center" wrapText="1"/>
    </xf>
    <xf numFmtId="0" fontId="12" fillId="0" borderId="0" xfId="0" applyFont="1" applyAlignment="1">
      <alignment horizontal="left" vertical="center" wrapText="1" indent="1"/>
    </xf>
    <xf numFmtId="0" fontId="14" fillId="2" borderId="3" xfId="0" applyFont="1" applyFill="1" applyBorder="1" applyAlignment="1">
      <alignment horizontal="left" vertical="center" wrapText="1" indent="1"/>
    </xf>
    <xf numFmtId="0" fontId="15" fillId="0" borderId="11" xfId="0" applyFont="1" applyBorder="1" applyAlignment="1">
      <alignment horizontal="left" vertical="center" wrapText="1" indent="1"/>
    </xf>
    <xf numFmtId="0" fontId="15" fillId="0" borderId="11" xfId="0" applyFont="1" applyBorder="1" applyAlignment="1">
      <alignment horizontal="center" vertical="center" wrapText="1"/>
    </xf>
    <xf numFmtId="0" fontId="15" fillId="0" borderId="0" xfId="0" applyFont="1" applyAlignment="1">
      <alignment vertical="center" wrapText="1"/>
    </xf>
    <xf numFmtId="0" fontId="15" fillId="0" borderId="4" xfId="0" applyFont="1" applyBorder="1" applyAlignment="1">
      <alignment horizontal="left" vertical="center" wrapText="1" indent="1"/>
    </xf>
    <xf numFmtId="0" fontId="15" fillId="0" borderId="5" xfId="0" applyFont="1" applyBorder="1" applyAlignment="1">
      <alignment horizontal="left" vertical="center" wrapText="1" indent="1"/>
    </xf>
    <xf numFmtId="0" fontId="15" fillId="0" borderId="6" xfId="0" applyFont="1" applyBorder="1" applyAlignment="1">
      <alignment horizontal="left" vertical="center" wrapText="1" indent="1"/>
    </xf>
    <xf numFmtId="0" fontId="15" fillId="0" borderId="8" xfId="0" applyFont="1" applyBorder="1" applyAlignment="1">
      <alignment horizontal="left" vertical="center" wrapText="1" indent="1"/>
    </xf>
    <xf numFmtId="0" fontId="15" fillId="0" borderId="44" xfId="0" applyFont="1" applyBorder="1" applyAlignment="1">
      <alignment horizontal="left" vertical="center" wrapText="1" indent="1"/>
    </xf>
    <xf numFmtId="0" fontId="15" fillId="0" borderId="0" xfId="0" applyFont="1" applyAlignment="1">
      <alignment horizontal="left" vertical="center" wrapText="1" indent="1"/>
    </xf>
    <xf numFmtId="0" fontId="15" fillId="0" borderId="0" xfId="0" applyFont="1" applyAlignment="1">
      <alignment horizontal="center" vertical="center" wrapText="1"/>
    </xf>
    <xf numFmtId="0" fontId="14" fillId="0" borderId="0" xfId="0" applyFont="1" applyAlignment="1">
      <alignment horizontal="left" vertical="center" wrapText="1" indent="1"/>
    </xf>
    <xf numFmtId="0" fontId="15" fillId="0" borderId="7" xfId="0" applyFont="1" applyBorder="1" applyAlignment="1">
      <alignment horizontal="left" vertical="center" wrapText="1" indent="1"/>
    </xf>
    <xf numFmtId="0" fontId="15" fillId="0" borderId="44" xfId="0" applyFont="1" applyBorder="1" applyAlignment="1">
      <alignment horizontal="center" vertical="center" wrapText="1"/>
    </xf>
    <xf numFmtId="0" fontId="15" fillId="0" borderId="9" xfId="0" applyFont="1" applyBorder="1" applyAlignment="1">
      <alignment horizontal="left" vertical="center" wrapText="1" indent="1"/>
    </xf>
    <xf numFmtId="49" fontId="15" fillId="0" borderId="0" xfId="0" applyNumberFormat="1" applyFont="1" applyAlignment="1">
      <alignment vertical="center"/>
    </xf>
    <xf numFmtId="167" fontId="15" fillId="0" borderId="0" xfId="0" applyNumberFormat="1" applyFont="1" applyAlignment="1">
      <alignment vertical="center"/>
    </xf>
    <xf numFmtId="0" fontId="15" fillId="0" borderId="0" xfId="0" applyFont="1" applyAlignment="1">
      <alignment horizontal="left" vertical="center" indent="1"/>
    </xf>
    <xf numFmtId="167" fontId="14" fillId="2" borderId="1" xfId="0" applyNumberFormat="1" applyFont="1" applyFill="1" applyBorder="1" applyAlignment="1">
      <alignment horizontal="center" vertical="center"/>
    </xf>
    <xf numFmtId="49" fontId="14" fillId="2" borderId="2" xfId="0" applyNumberFormat="1" applyFont="1" applyFill="1" applyBorder="1" applyAlignment="1">
      <alignment horizontal="center" vertical="center"/>
    </xf>
    <xf numFmtId="0" fontId="14" fillId="2" borderId="2" xfId="0" applyFont="1" applyFill="1" applyBorder="1" applyAlignment="1">
      <alignment horizontal="center" vertical="center" textRotation="90"/>
    </xf>
    <xf numFmtId="14" fontId="15" fillId="0" borderId="11" xfId="0" applyNumberFormat="1" applyFont="1" applyBorder="1" applyAlignment="1">
      <alignment horizontal="center" vertical="center"/>
    </xf>
    <xf numFmtId="0" fontId="15" fillId="0" borderId="11" xfId="0" applyFont="1" applyBorder="1" applyAlignment="1">
      <alignment horizontal="center" vertical="center"/>
    </xf>
    <xf numFmtId="0" fontId="15" fillId="0" borderId="5" xfId="0" applyFont="1" applyBorder="1" applyAlignment="1">
      <alignment horizontal="left" vertical="center" indent="1"/>
    </xf>
    <xf numFmtId="49" fontId="15" fillId="0" borderId="5" xfId="0" applyNumberFormat="1" applyFont="1" applyBorder="1" applyAlignment="1">
      <alignment horizontal="center" vertical="center"/>
    </xf>
    <xf numFmtId="14" fontId="15" fillId="0" borderId="5" xfId="0" applyNumberFormat="1" applyFont="1" applyBorder="1" applyAlignment="1">
      <alignment horizontal="center" vertical="center"/>
    </xf>
    <xf numFmtId="167" fontId="14" fillId="0" borderId="0" xfId="0" applyNumberFormat="1" applyFont="1" applyAlignment="1">
      <alignment vertical="center"/>
    </xf>
    <xf numFmtId="14" fontId="15" fillId="0" borderId="13" xfId="0" applyNumberFormat="1" applyFont="1" applyBorder="1" applyAlignment="1">
      <alignment horizontal="center" vertical="center"/>
    </xf>
    <xf numFmtId="14" fontId="15" fillId="0" borderId="4" xfId="0" applyNumberFormat="1" applyFont="1" applyBorder="1" applyAlignment="1">
      <alignment horizontal="center" vertical="center"/>
    </xf>
    <xf numFmtId="14" fontId="15" fillId="0" borderId="7" xfId="0" applyNumberFormat="1" applyFont="1" applyBorder="1" applyAlignment="1">
      <alignment horizontal="center" vertical="center"/>
    </xf>
    <xf numFmtId="0" fontId="15" fillId="0" borderId="8" xfId="0" applyFont="1" applyBorder="1" applyAlignment="1">
      <alignment horizontal="left" vertical="center" indent="1"/>
    </xf>
    <xf numFmtId="167" fontId="14" fillId="2" borderId="25" xfId="0" applyNumberFormat="1" applyFont="1" applyFill="1" applyBorder="1" applyAlignment="1">
      <alignment horizontal="center" vertical="center" wrapText="1"/>
    </xf>
    <xf numFmtId="1" fontId="15" fillId="0" borderId="26" xfId="0" applyNumberFormat="1" applyFont="1" applyBorder="1" applyAlignment="1">
      <alignment horizontal="center" vertical="center"/>
    </xf>
    <xf numFmtId="1" fontId="15" fillId="0" borderId="27" xfId="0" applyNumberFormat="1" applyFont="1" applyBorder="1" applyAlignment="1">
      <alignment horizontal="center" vertical="center"/>
    </xf>
    <xf numFmtId="1" fontId="15" fillId="0" borderId="17" xfId="0" applyNumberFormat="1" applyFont="1" applyBorder="1" applyAlignment="1">
      <alignment horizontal="center" vertical="center"/>
    </xf>
    <xf numFmtId="49" fontId="0" fillId="0" borderId="0" xfId="0" applyNumberFormat="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49" fontId="12" fillId="0" borderId="0" xfId="0" applyNumberFormat="1" applyFont="1" applyAlignment="1">
      <alignment horizontal="center" vertical="center"/>
    </xf>
    <xf numFmtId="0" fontId="0" fillId="0" borderId="0" xfId="0" applyFill="1" applyBorder="1" applyAlignment="1">
      <alignment horizontal="left" vertical="center" indent="1"/>
    </xf>
    <xf numFmtId="0" fontId="11" fillId="0" borderId="11" xfId="0" applyNumberFormat="1" applyFont="1" applyFill="1" applyBorder="1" applyAlignment="1">
      <alignment horizontal="left" vertical="center"/>
    </xf>
    <xf numFmtId="14" fontId="25" fillId="0" borderId="11" xfId="0" applyNumberFormat="1" applyFont="1" applyFill="1" applyBorder="1" applyAlignment="1">
      <alignment horizontal="center" vertical="center"/>
    </xf>
    <xf numFmtId="20" fontId="25" fillId="0" borderId="11" xfId="0" applyNumberFormat="1" applyFont="1" applyFill="1" applyBorder="1" applyAlignment="1">
      <alignment horizontal="center" vertical="center"/>
    </xf>
    <xf numFmtId="167" fontId="15" fillId="0" borderId="0" xfId="2" applyNumberFormat="1" applyFont="1" applyFill="1" applyBorder="1" applyAlignment="1">
      <alignment horizontal="left" vertical="center" wrapText="1" indent="1"/>
    </xf>
    <xf numFmtId="1" fontId="15" fillId="0" borderId="8" xfId="0" applyNumberFormat="1" applyFont="1" applyBorder="1" applyAlignment="1">
      <alignment horizontal="right" vertical="center"/>
    </xf>
    <xf numFmtId="14" fontId="15" fillId="0" borderId="12" xfId="2" applyNumberFormat="1" applyFont="1" applyBorder="1" applyAlignment="1">
      <alignment horizontal="left" vertical="center" wrapText="1" indent="1"/>
    </xf>
    <xf numFmtId="0" fontId="24" fillId="0" borderId="0" xfId="2" applyFont="1" applyBorder="1" applyAlignment="1">
      <alignment horizontal="center" vertical="center" wrapText="1"/>
    </xf>
    <xf numFmtId="1" fontId="15" fillId="0" borderId="11" xfId="2" applyNumberFormat="1" applyFont="1" applyFill="1" applyBorder="1" applyAlignment="1">
      <alignment horizontal="center" vertical="center" wrapText="1"/>
    </xf>
    <xf numFmtId="1" fontId="14" fillId="2" borderId="2" xfId="2" applyNumberFormat="1" applyFont="1" applyFill="1" applyBorder="1" applyAlignment="1">
      <alignment horizontal="left" vertical="center" wrapText="1"/>
    </xf>
    <xf numFmtId="168" fontId="15" fillId="0" borderId="0" xfId="2" applyNumberFormat="1" applyFont="1" applyBorder="1" applyAlignment="1">
      <alignment horizontal="center" vertical="center" wrapText="1"/>
    </xf>
    <xf numFmtId="171" fontId="15" fillId="0" borderId="0" xfId="2" applyNumberFormat="1" applyFont="1" applyBorder="1" applyAlignment="1">
      <alignment horizontal="left" vertical="center" wrapText="1" indent="1"/>
    </xf>
    <xf numFmtId="1" fontId="15" fillId="0" borderId="0" xfId="2" applyNumberFormat="1" applyFont="1" applyFill="1" applyBorder="1" applyAlignment="1">
      <alignment horizontal="center" vertical="center" wrapText="1"/>
    </xf>
    <xf numFmtId="167" fontId="14" fillId="2" borderId="2" xfId="0" applyNumberFormat="1" applyFont="1" applyFill="1" applyBorder="1" applyAlignment="1">
      <alignment horizontal="center" vertical="center" wrapText="1"/>
    </xf>
    <xf numFmtId="14" fontId="25" fillId="0" borderId="12" xfId="0" applyNumberFormat="1" applyFont="1" applyFill="1" applyBorder="1" applyAlignment="1">
      <alignment horizontal="center" vertical="center"/>
    </xf>
    <xf numFmtId="0" fontId="11" fillId="0" borderId="13" xfId="0" applyNumberFormat="1" applyFont="1" applyFill="1" applyBorder="1" applyAlignment="1">
      <alignment horizontal="left" vertical="center" indent="1"/>
    </xf>
    <xf numFmtId="0" fontId="11" fillId="0" borderId="11" xfId="0" applyNumberFormat="1" applyFont="1" applyFill="1" applyBorder="1" applyAlignment="1">
      <alignment horizontal="left" vertical="center" indent="1"/>
    </xf>
    <xf numFmtId="0" fontId="11" fillId="0" borderId="12" xfId="0" applyNumberFormat="1" applyFont="1" applyFill="1" applyBorder="1" applyAlignment="1">
      <alignment horizontal="left" vertical="center" indent="1"/>
    </xf>
    <xf numFmtId="0" fontId="14" fillId="2" borderId="50" xfId="0" applyFont="1" applyFill="1" applyBorder="1" applyAlignment="1">
      <alignment horizontal="center" vertical="center"/>
    </xf>
    <xf numFmtId="0" fontId="14" fillId="2" borderId="48" xfId="0" applyFont="1" applyFill="1" applyBorder="1" applyAlignment="1">
      <alignment horizontal="center" vertical="center"/>
    </xf>
    <xf numFmtId="0" fontId="14" fillId="3" borderId="3" xfId="0" applyFont="1" applyFill="1" applyBorder="1" applyAlignment="1">
      <alignment horizontal="center" vertical="center"/>
    </xf>
    <xf numFmtId="2" fontId="14" fillId="0" borderId="47" xfId="0" applyNumberFormat="1" applyFont="1" applyFill="1" applyBorder="1" applyAlignment="1">
      <alignment vertical="center"/>
    </xf>
    <xf numFmtId="2" fontId="14" fillId="0" borderId="14" xfId="0" applyNumberFormat="1" applyFont="1" applyFill="1" applyBorder="1" applyAlignment="1">
      <alignment vertical="center"/>
    </xf>
    <xf numFmtId="14" fontId="11" fillId="0" borderId="0" xfId="0" applyNumberFormat="1" applyFont="1" applyFill="1" applyAlignment="1">
      <alignment horizontal="center"/>
    </xf>
    <xf numFmtId="0" fontId="11" fillId="0" borderId="13" xfId="0" applyFont="1" applyFill="1" applyBorder="1" applyAlignment="1">
      <alignment horizontal="left" vertical="center" indent="1"/>
    </xf>
    <xf numFmtId="0" fontId="11" fillId="0" borderId="11" xfId="0" applyFont="1" applyFill="1" applyBorder="1" applyAlignment="1">
      <alignment horizontal="left" vertical="center" indent="1"/>
    </xf>
    <xf numFmtId="0" fontId="11" fillId="0" borderId="5" xfId="0" applyFont="1" applyFill="1" applyBorder="1" applyAlignment="1">
      <alignment horizontal="left" vertical="center" indent="1"/>
    </xf>
    <xf numFmtId="0" fontId="11" fillId="0" borderId="12" xfId="0" applyFont="1" applyFill="1" applyBorder="1" applyAlignment="1">
      <alignment horizontal="left" vertical="center" wrapText="1" indent="1"/>
    </xf>
    <xf numFmtId="49" fontId="11" fillId="0" borderId="5" xfId="0" applyNumberFormat="1" applyFont="1" applyBorder="1" applyAlignment="1">
      <alignment horizontal="center" vertical="center"/>
    </xf>
    <xf numFmtId="0" fontId="11" fillId="0" borderId="13" xfId="0" applyFont="1" applyBorder="1" applyAlignment="1">
      <alignment horizontal="left" vertical="center" wrapText="1" indent="1"/>
    </xf>
    <xf numFmtId="0" fontId="11" fillId="0" borderId="4" xfId="0" applyFont="1" applyBorder="1" applyAlignment="1">
      <alignment horizontal="left" vertical="center" wrapText="1" indent="1"/>
    </xf>
    <xf numFmtId="0" fontId="14" fillId="0" borderId="0" xfId="0" applyFont="1"/>
    <xf numFmtId="0" fontId="11" fillId="0" borderId="0" xfId="0" applyFont="1"/>
    <xf numFmtId="0" fontId="11" fillId="0" borderId="0" xfId="0" applyFont="1" applyFill="1" applyBorder="1"/>
    <xf numFmtId="0" fontId="11" fillId="0" borderId="0" xfId="0" applyFont="1" applyAlignment="1">
      <alignment vertical="center"/>
    </xf>
    <xf numFmtId="0" fontId="11" fillId="0" borderId="0" xfId="0" applyFont="1" applyFill="1" applyBorder="1" applyAlignment="1">
      <alignment horizontal="left"/>
    </xf>
    <xf numFmtId="0" fontId="11" fillId="0" borderId="0" xfId="0" applyFont="1" applyFill="1" applyBorder="1" applyAlignment="1">
      <alignment horizontal="center"/>
    </xf>
    <xf numFmtId="2" fontId="11" fillId="0" borderId="0" xfId="0" applyNumberFormat="1" applyFont="1" applyFill="1" applyBorder="1"/>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14" fontId="11" fillId="0" borderId="5" xfId="0" applyNumberFormat="1" applyFont="1" applyFill="1" applyBorder="1" applyAlignment="1">
      <alignment horizontal="center" vertical="center"/>
    </xf>
    <xf numFmtId="166" fontId="11" fillId="0" borderId="5" xfId="0" applyNumberFormat="1" applyFont="1" applyFill="1" applyBorder="1" applyAlignment="1">
      <alignment vertical="center"/>
    </xf>
    <xf numFmtId="0" fontId="11" fillId="0" borderId="6"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11" fillId="0" borderId="0" xfId="0" applyFont="1" applyFill="1" applyBorder="1" applyAlignment="1">
      <alignment vertical="center"/>
    </xf>
    <xf numFmtId="2" fontId="11" fillId="0" borderId="0" xfId="0" applyNumberFormat="1" applyFont="1" applyFill="1" applyBorder="1" applyAlignment="1">
      <alignment vertical="center"/>
    </xf>
    <xf numFmtId="0" fontId="14" fillId="0" borderId="0" xfId="0" applyFont="1" applyFill="1" applyBorder="1" applyAlignment="1">
      <alignment horizontal="left" vertical="center"/>
    </xf>
    <xf numFmtId="0" fontId="11" fillId="0" borderId="0" xfId="0" applyFont="1" applyFill="1" applyBorder="1" applyAlignment="1"/>
    <xf numFmtId="0" fontId="16" fillId="0" borderId="0" xfId="0" applyFont="1" applyAlignment="1">
      <alignment horizontal="center"/>
    </xf>
    <xf numFmtId="0" fontId="26" fillId="0" borderId="0" xfId="0" applyFont="1" applyAlignment="1">
      <alignment horizontal="center"/>
    </xf>
    <xf numFmtId="0" fontId="11" fillId="8" borderId="0" xfId="0" applyFont="1" applyFill="1" applyBorder="1" applyAlignment="1">
      <alignment horizontal="left"/>
    </xf>
    <xf numFmtId="0" fontId="11" fillId="8" borderId="0" xfId="0" applyFont="1" applyFill="1" applyBorder="1" applyAlignment="1">
      <alignment horizontal="center"/>
    </xf>
    <xf numFmtId="0" fontId="11" fillId="8" borderId="0" xfId="0" applyFont="1" applyFill="1" applyBorder="1" applyAlignment="1"/>
    <xf numFmtId="0" fontId="11" fillId="8" borderId="0" xfId="0" applyFont="1" applyFill="1" applyBorder="1"/>
    <xf numFmtId="2" fontId="11" fillId="8" borderId="0" xfId="0" applyNumberFormat="1" applyFont="1" applyFill="1" applyBorder="1"/>
    <xf numFmtId="0" fontId="27" fillId="2" borderId="32"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0" fillId="0" borderId="0" xfId="0" applyAlignment="1">
      <alignment wrapText="1"/>
    </xf>
    <xf numFmtId="0" fontId="16" fillId="0" borderId="0" xfId="0" applyFont="1" applyAlignment="1">
      <alignment horizontal="center" vertical="center"/>
    </xf>
    <xf numFmtId="14" fontId="0" fillId="0" borderId="41" xfId="0" applyNumberFormat="1" applyBorder="1" applyAlignment="1">
      <alignment horizontal="center" vertical="center"/>
    </xf>
    <xf numFmtId="14" fontId="0" fillId="0" borderId="18" xfId="0" applyNumberFormat="1" applyBorder="1" applyAlignment="1">
      <alignment horizontal="center" vertical="center"/>
    </xf>
    <xf numFmtId="20" fontId="0" fillId="0" borderId="5" xfId="0" applyNumberFormat="1" applyBorder="1" applyAlignment="1">
      <alignment horizontal="center" vertical="center"/>
    </xf>
    <xf numFmtId="20" fontId="0" fillId="0" borderId="8" xfId="0" applyNumberFormat="1" applyBorder="1" applyAlignment="1">
      <alignment horizontal="center" vertical="center"/>
    </xf>
    <xf numFmtId="0" fontId="27" fillId="4" borderId="1" xfId="0" applyFont="1" applyFill="1" applyBorder="1" applyAlignment="1">
      <alignment horizontal="center" vertical="center" wrapText="1"/>
    </xf>
    <xf numFmtId="2" fontId="27" fillId="4" borderId="2" xfId="0" applyNumberFormat="1" applyFont="1" applyFill="1" applyBorder="1" applyAlignment="1">
      <alignment horizontal="center" vertical="center" wrapText="1"/>
    </xf>
    <xf numFmtId="2" fontId="27" fillId="2" borderId="2" xfId="0" applyNumberFormat="1" applyFont="1" applyFill="1" applyBorder="1" applyAlignment="1">
      <alignment horizontal="center" vertical="center" wrapText="1"/>
    </xf>
    <xf numFmtId="0" fontId="27" fillId="2" borderId="3" xfId="0" applyFont="1" applyFill="1" applyBorder="1" applyAlignment="1">
      <alignment horizontal="center" vertical="center" wrapText="1"/>
    </xf>
    <xf numFmtId="0" fontId="11" fillId="0" borderId="0" xfId="0" applyFont="1" applyAlignment="1">
      <alignment horizontal="left" vertical="center" indent="1"/>
    </xf>
    <xf numFmtId="166" fontId="11" fillId="0" borderId="5" xfId="0" applyNumberFormat="1" applyFont="1" applyFill="1" applyBorder="1" applyAlignment="1">
      <alignment horizontal="center" vertical="center"/>
    </xf>
    <xf numFmtId="166" fontId="14" fillId="2" borderId="2" xfId="0" applyNumberFormat="1" applyFont="1" applyFill="1" applyBorder="1" applyAlignment="1">
      <alignment horizontal="center" vertical="center"/>
    </xf>
    <xf numFmtId="166" fontId="0" fillId="0" borderId="6" xfId="0" applyNumberFormat="1" applyBorder="1" applyAlignment="1">
      <alignment horizontal="center" vertical="center"/>
    </xf>
    <xf numFmtId="2" fontId="11" fillId="0" borderId="30" xfId="2" applyNumberFormat="1" applyFont="1" applyBorder="1" applyAlignment="1">
      <alignment horizontal="left" vertical="center" indent="1"/>
    </xf>
    <xf numFmtId="1" fontId="11" fillId="0" borderId="11" xfId="2" applyNumberFormat="1" applyFont="1" applyBorder="1" applyAlignment="1">
      <alignment horizontal="left" vertical="center" indent="1"/>
    </xf>
    <xf numFmtId="2" fontId="11" fillId="0" borderId="23" xfId="2" applyNumberFormat="1" applyFont="1" applyBorder="1" applyAlignment="1">
      <alignment horizontal="left" vertical="center" indent="1"/>
    </xf>
    <xf numFmtId="1" fontId="11" fillId="0" borderId="5" xfId="2" applyNumberFormat="1" applyFont="1" applyBorder="1" applyAlignment="1">
      <alignment horizontal="left" vertical="center" indent="1"/>
    </xf>
    <xf numFmtId="0" fontId="11" fillId="0" borderId="5" xfId="0" applyFont="1" applyBorder="1" applyAlignment="1">
      <alignment horizontal="left" vertical="center" wrapText="1" indent="1"/>
    </xf>
    <xf numFmtId="49" fontId="12" fillId="0" borderId="0" xfId="2" applyNumberFormat="1" applyFont="1" applyBorder="1" applyAlignment="1">
      <alignment horizontal="center" vertical="center" wrapText="1"/>
    </xf>
    <xf numFmtId="0" fontId="15" fillId="0" borderId="0" xfId="2" applyFont="1" applyBorder="1" applyAlignment="1">
      <alignment horizontal="center" vertical="center" wrapText="1"/>
    </xf>
    <xf numFmtId="49" fontId="12" fillId="0" borderId="0" xfId="0" applyNumberFormat="1" applyFont="1" applyFill="1" applyBorder="1" applyAlignment="1">
      <alignment horizontal="center"/>
    </xf>
    <xf numFmtId="0" fontId="11" fillId="0" borderId="0" xfId="0" applyFont="1" applyFill="1" applyAlignment="1">
      <alignment horizontal="left" vertical="center"/>
    </xf>
    <xf numFmtId="0" fontId="11" fillId="0" borderId="0" xfId="0" applyFont="1" applyAlignment="1">
      <alignment horizontal="center" vertical="center"/>
    </xf>
    <xf numFmtId="0" fontId="11" fillId="0" borderId="0" xfId="2" applyFont="1" applyBorder="1" applyAlignment="1">
      <alignment vertical="center"/>
    </xf>
    <xf numFmtId="0" fontId="29" fillId="0" borderId="0" xfId="0" applyFont="1"/>
    <xf numFmtId="0" fontId="18" fillId="0" borderId="0" xfId="0" applyFont="1"/>
    <xf numFmtId="0" fontId="10" fillId="9" borderId="5" xfId="0" applyFont="1" applyFill="1" applyBorder="1" applyAlignment="1">
      <alignment horizontal="center" vertical="center"/>
    </xf>
    <xf numFmtId="0" fontId="0" fillId="0" borderId="5" xfId="0" applyBorder="1"/>
    <xf numFmtId="0" fontId="0" fillId="9" borderId="5" xfId="0" applyFill="1" applyBorder="1"/>
    <xf numFmtId="0" fontId="30" fillId="0" borderId="0" xfId="8" quotePrefix="1"/>
    <xf numFmtId="0" fontId="11" fillId="9" borderId="0" xfId="0" applyFont="1" applyFill="1"/>
    <xf numFmtId="0" fontId="30" fillId="0" borderId="0" xfId="8"/>
    <xf numFmtId="0" fontId="20" fillId="0" borderId="0" xfId="0" applyFont="1" applyFill="1" applyBorder="1" applyAlignment="1">
      <alignment vertical="center"/>
    </xf>
    <xf numFmtId="8" fontId="20" fillId="0" borderId="0" xfId="0" applyNumberFormat="1" applyFont="1" applyFill="1" applyBorder="1" applyAlignment="1">
      <alignment horizontal="right" vertical="center"/>
    </xf>
    <xf numFmtId="0" fontId="20" fillId="0" borderId="0" xfId="0" applyFont="1" applyFill="1" applyBorder="1" applyAlignment="1">
      <alignment horizontal="center" vertical="center"/>
    </xf>
    <xf numFmtId="2" fontId="20" fillId="0" borderId="0" xfId="0" applyNumberFormat="1" applyFont="1" applyFill="1" applyBorder="1" applyAlignment="1">
      <alignment vertical="center"/>
    </xf>
    <xf numFmtId="2" fontId="13" fillId="0" borderId="0" xfId="0" applyNumberFormat="1" applyFont="1" applyFill="1" applyBorder="1" applyAlignment="1">
      <alignment vertical="center"/>
    </xf>
    <xf numFmtId="49" fontId="13" fillId="0" borderId="0" xfId="0" applyNumberFormat="1" applyFont="1" applyFill="1" applyBorder="1" applyAlignment="1">
      <alignment horizontal="right" vertical="center"/>
    </xf>
    <xf numFmtId="2" fontId="20" fillId="0" borderId="60" xfId="0" applyNumberFormat="1" applyFont="1" applyFill="1" applyBorder="1" applyAlignment="1">
      <alignment vertical="center"/>
    </xf>
    <xf numFmtId="0" fontId="20" fillId="11" borderId="25" xfId="0" applyFont="1" applyFill="1" applyBorder="1" applyAlignment="1">
      <alignment vertical="center" wrapText="1"/>
    </xf>
    <xf numFmtId="0" fontId="20" fillId="11" borderId="21" xfId="0" applyFont="1" applyFill="1" applyBorder="1" applyAlignment="1">
      <alignment horizontal="left" vertical="center"/>
    </xf>
    <xf numFmtId="0" fontId="20" fillId="11" borderId="21" xfId="0" applyFont="1" applyFill="1" applyBorder="1" applyAlignment="1">
      <alignment horizontal="right" vertical="center"/>
    </xf>
    <xf numFmtId="8" fontId="20" fillId="11" borderId="49" xfId="0" applyNumberFormat="1" applyFont="1" applyFill="1" applyBorder="1" applyAlignment="1">
      <alignment horizontal="right" vertical="center" indent="1"/>
    </xf>
    <xf numFmtId="8" fontId="33" fillId="11" borderId="49" xfId="0" applyNumberFormat="1" applyFont="1" applyFill="1" applyBorder="1" applyAlignment="1">
      <alignment horizontal="right" vertical="center" indent="1"/>
    </xf>
    <xf numFmtId="0" fontId="11" fillId="0" borderId="61" xfId="0" applyFont="1" applyBorder="1" applyAlignment="1">
      <alignment vertical="center" wrapText="1"/>
    </xf>
    <xf numFmtId="0" fontId="11" fillId="0" borderId="62" xfId="0" applyFont="1" applyFill="1" applyBorder="1" applyAlignment="1">
      <alignment vertical="center"/>
    </xf>
    <xf numFmtId="0" fontId="11" fillId="0" borderId="62" xfId="0" applyFont="1" applyBorder="1" applyAlignment="1">
      <alignment horizontal="left" vertical="center"/>
    </xf>
    <xf numFmtId="0" fontId="11" fillId="0" borderId="63" xfId="0" applyFont="1" applyBorder="1" applyAlignment="1">
      <alignment horizontal="right" vertical="center"/>
    </xf>
    <xf numFmtId="8" fontId="11" fillId="0" borderId="64" xfId="0" applyNumberFormat="1" applyFont="1" applyBorder="1" applyAlignment="1">
      <alignment horizontal="right" vertical="center" indent="1"/>
    </xf>
    <xf numFmtId="8" fontId="11" fillId="12" borderId="66" xfId="0" applyNumberFormat="1" applyFont="1" applyFill="1" applyBorder="1" applyAlignment="1">
      <alignment horizontal="right" vertical="center" indent="1"/>
    </xf>
    <xf numFmtId="0" fontId="11" fillId="12" borderId="67" xfId="0" applyFont="1" applyFill="1" applyBorder="1" applyAlignment="1">
      <alignment vertical="center" wrapText="1"/>
    </xf>
    <xf numFmtId="175" fontId="11" fillId="10" borderId="68" xfId="0" applyNumberFormat="1" applyFont="1" applyFill="1" applyBorder="1" applyAlignment="1">
      <alignment vertical="center"/>
    </xf>
    <xf numFmtId="0" fontId="11" fillId="0" borderId="68" xfId="0" applyFont="1" applyBorder="1" applyAlignment="1">
      <alignment horizontal="left" vertical="center"/>
    </xf>
    <xf numFmtId="176" fontId="11" fillId="0" borderId="69" xfId="0" applyNumberFormat="1" applyFont="1" applyBorder="1" applyAlignment="1">
      <alignment horizontal="right" vertical="center"/>
    </xf>
    <xf numFmtId="8" fontId="11" fillId="0" borderId="70" xfId="0" applyNumberFormat="1" applyFont="1" applyBorder="1" applyAlignment="1">
      <alignment horizontal="right" vertical="center" indent="1"/>
    </xf>
    <xf numFmtId="175" fontId="11" fillId="0" borderId="69" xfId="0" applyNumberFormat="1" applyFont="1" applyBorder="1" applyAlignment="1">
      <alignment vertical="center"/>
    </xf>
    <xf numFmtId="175" fontId="11" fillId="0" borderId="68" xfId="0" applyNumberFormat="1" applyFont="1" applyFill="1" applyBorder="1" applyAlignment="1">
      <alignment vertical="center"/>
    </xf>
    <xf numFmtId="0" fontId="11" fillId="12" borderId="67" xfId="0" applyFont="1" applyFill="1" applyBorder="1" applyAlignment="1">
      <alignment vertical="center"/>
    </xf>
    <xf numFmtId="0" fontId="11" fillId="0" borderId="71" xfId="0" applyFont="1" applyBorder="1" applyAlignment="1">
      <alignment vertical="center" wrapText="1"/>
    </xf>
    <xf numFmtId="177" fontId="11" fillId="0" borderId="72" xfId="0" applyNumberFormat="1" applyFont="1" applyFill="1" applyBorder="1" applyAlignment="1">
      <alignment vertical="center"/>
    </xf>
    <xf numFmtId="0" fontId="11" fillId="0" borderId="72" xfId="0" applyFont="1" applyBorder="1" applyAlignment="1">
      <alignment horizontal="left" vertical="center"/>
    </xf>
    <xf numFmtId="0" fontId="11" fillId="0" borderId="73" xfId="0" applyFont="1" applyBorder="1" applyAlignment="1">
      <alignment horizontal="right" vertical="center"/>
    </xf>
    <xf numFmtId="8" fontId="11" fillId="0" borderId="74" xfId="0" applyNumberFormat="1" applyFont="1" applyBorder="1" applyAlignment="1">
      <alignment horizontal="right" vertical="center" indent="1"/>
    </xf>
    <xf numFmtId="0" fontId="34" fillId="0" borderId="63" xfId="0" applyFont="1" applyFill="1" applyBorder="1" applyAlignment="1">
      <alignment horizontal="right" vertical="center"/>
    </xf>
    <xf numFmtId="8" fontId="11" fillId="0" borderId="69" xfId="0" applyNumberFormat="1" applyFont="1" applyFill="1" applyBorder="1" applyAlignment="1">
      <alignment horizontal="right" vertical="center"/>
    </xf>
    <xf numFmtId="0" fontId="11" fillId="12" borderId="65" xfId="0" applyFont="1" applyFill="1" applyBorder="1" applyAlignment="1">
      <alignment vertical="center" wrapText="1"/>
    </xf>
    <xf numFmtId="177" fontId="11" fillId="12" borderId="0" xfId="0" applyNumberFormat="1" applyFont="1" applyFill="1" applyBorder="1" applyAlignment="1">
      <alignment vertical="center"/>
    </xf>
    <xf numFmtId="0" fontId="11" fillId="12" borderId="0" xfId="0" applyFont="1" applyFill="1" applyBorder="1" applyAlignment="1">
      <alignment horizontal="left" vertical="center"/>
    </xf>
    <xf numFmtId="0" fontId="11" fillId="12" borderId="0" xfId="0" applyFont="1" applyFill="1" applyBorder="1" applyAlignment="1">
      <alignment horizontal="right" vertical="center"/>
    </xf>
    <xf numFmtId="8" fontId="10" fillId="12" borderId="66" xfId="0" applyNumberFormat="1" applyFont="1" applyFill="1" applyBorder="1" applyAlignment="1">
      <alignment horizontal="right" vertical="center" indent="1"/>
    </xf>
    <xf numFmtId="177" fontId="11" fillId="0" borderId="62" xfId="0" applyNumberFormat="1" applyFont="1" applyFill="1" applyBorder="1" applyAlignment="1">
      <alignment vertical="center"/>
    </xf>
    <xf numFmtId="178" fontId="11" fillId="0" borderId="77" xfId="9" applyNumberFormat="1" applyFont="1" applyBorder="1" applyAlignment="1">
      <alignment horizontal="left" vertical="center"/>
    </xf>
    <xf numFmtId="0" fontId="11" fillId="0" borderId="79" xfId="0" applyFont="1" applyBorder="1" applyAlignment="1">
      <alignment vertical="center" wrapText="1"/>
    </xf>
    <xf numFmtId="0" fontId="11" fillId="0" borderId="75" xfId="0" applyFont="1" applyFill="1" applyBorder="1" applyAlignment="1">
      <alignment vertical="center"/>
    </xf>
    <xf numFmtId="0" fontId="11" fillId="0" borderId="75" xfId="0" applyFont="1" applyBorder="1" applyAlignment="1">
      <alignment horizontal="left" vertical="center"/>
    </xf>
    <xf numFmtId="8" fontId="11" fillId="0" borderId="81" xfId="0" applyNumberFormat="1" applyFont="1" applyBorder="1" applyAlignment="1">
      <alignment horizontal="right" vertical="center" indent="1"/>
    </xf>
    <xf numFmtId="0" fontId="11" fillId="12" borderId="78" xfId="0" applyFont="1" applyFill="1" applyBorder="1" applyAlignment="1">
      <alignment vertical="center" wrapText="1"/>
    </xf>
    <xf numFmtId="0" fontId="11" fillId="12" borderId="79" xfId="0" applyFont="1" applyFill="1" applyBorder="1" applyAlignment="1">
      <alignment vertical="center" wrapText="1"/>
    </xf>
    <xf numFmtId="1" fontId="11" fillId="12" borderId="75" xfId="0" applyNumberFormat="1" applyFont="1" applyFill="1" applyBorder="1" applyAlignment="1">
      <alignment vertical="center"/>
    </xf>
    <xf numFmtId="0" fontId="11" fillId="12" borderId="75" xfId="0" applyFont="1" applyFill="1" applyBorder="1" applyAlignment="1">
      <alignment horizontal="left" vertical="center"/>
    </xf>
    <xf numFmtId="0" fontId="11" fillId="12" borderId="80" xfId="0" applyFont="1" applyFill="1" applyBorder="1" applyAlignment="1">
      <alignment horizontal="left" vertical="center"/>
    </xf>
    <xf numFmtId="8" fontId="11" fillId="12" borderId="81" xfId="0" applyNumberFormat="1" applyFont="1" applyFill="1" applyBorder="1" applyAlignment="1">
      <alignment horizontal="right" vertical="center" indent="1"/>
    </xf>
    <xf numFmtId="1" fontId="11" fillId="0" borderId="62" xfId="0" applyNumberFormat="1" applyFont="1" applyFill="1" applyBorder="1" applyAlignment="1">
      <alignment vertical="center"/>
    </xf>
    <xf numFmtId="0" fontId="11" fillId="0" borderId="63" xfId="0" applyFont="1" applyBorder="1" applyAlignment="1">
      <alignment horizontal="left" vertical="center"/>
    </xf>
    <xf numFmtId="172" fontId="11" fillId="10" borderId="68" xfId="0" applyNumberFormat="1" applyFont="1" applyFill="1" applyBorder="1" applyAlignment="1">
      <alignment vertical="center"/>
    </xf>
    <xf numFmtId="0" fontId="11" fillId="12" borderId="79" xfId="9" applyFont="1" applyFill="1" applyBorder="1" applyAlignment="1">
      <alignment vertical="center" wrapText="1"/>
    </xf>
    <xf numFmtId="0" fontId="11" fillId="12" borderId="67" xfId="9" applyFont="1" applyFill="1" applyBorder="1" applyAlignment="1">
      <alignment vertical="center" wrapText="1"/>
    </xf>
    <xf numFmtId="0" fontId="11" fillId="0" borderId="68" xfId="9" applyFont="1" applyBorder="1" applyAlignment="1">
      <alignment horizontal="left" vertical="center"/>
    </xf>
    <xf numFmtId="179" fontId="11" fillId="0" borderId="76" xfId="10" applyNumberFormat="1" applyFont="1" applyBorder="1" applyAlignment="1">
      <alignment horizontal="right" vertical="center"/>
    </xf>
    <xf numFmtId="0" fontId="20" fillId="11" borderId="21" xfId="0" applyFont="1" applyFill="1" applyBorder="1" applyAlignment="1">
      <alignment vertical="center" wrapText="1"/>
    </xf>
    <xf numFmtId="177" fontId="11" fillId="12" borderId="85" xfId="0" applyNumberFormat="1" applyFont="1" applyFill="1" applyBorder="1" applyAlignment="1">
      <alignment vertical="center"/>
    </xf>
    <xf numFmtId="0" fontId="11" fillId="12" borderId="85" xfId="0" applyFont="1" applyFill="1" applyBorder="1" applyAlignment="1">
      <alignment horizontal="left" vertical="center"/>
    </xf>
    <xf numFmtId="0" fontId="11" fillId="12" borderId="86" xfId="0" applyFont="1" applyFill="1" applyBorder="1" applyAlignment="1">
      <alignment horizontal="right" vertical="center"/>
    </xf>
    <xf numFmtId="8" fontId="11" fillId="12" borderId="87" xfId="0" applyNumberFormat="1" applyFont="1" applyFill="1" applyBorder="1" applyAlignment="1">
      <alignment horizontal="right" vertical="center" indent="1"/>
    </xf>
    <xf numFmtId="0" fontId="18" fillId="12" borderId="78" xfId="0" applyFont="1" applyFill="1" applyBorder="1" applyAlignment="1">
      <alignment vertical="center" wrapText="1"/>
    </xf>
    <xf numFmtId="172" fontId="26" fillId="0" borderId="0" xfId="0" applyNumberFormat="1" applyFont="1" applyFill="1" applyBorder="1" applyAlignment="1">
      <alignment vertical="center"/>
    </xf>
    <xf numFmtId="181" fontId="11" fillId="0" borderId="69" xfId="0" applyNumberFormat="1" applyFont="1" applyBorder="1" applyAlignment="1">
      <alignment horizontal="right" vertical="center"/>
    </xf>
    <xf numFmtId="172" fontId="11" fillId="12" borderId="0" xfId="0" applyNumberFormat="1" applyFont="1" applyFill="1" applyBorder="1" applyAlignment="1">
      <alignment vertical="center"/>
    </xf>
    <xf numFmtId="181" fontId="11" fillId="0" borderId="80" xfId="0" applyNumberFormat="1" applyFont="1" applyBorder="1" applyAlignment="1">
      <alignment horizontal="right" vertical="center"/>
    </xf>
    <xf numFmtId="0" fontId="18" fillId="12" borderId="79" xfId="0" applyFont="1" applyFill="1" applyBorder="1" applyAlignment="1">
      <alignment vertical="center" wrapText="1"/>
    </xf>
    <xf numFmtId="0" fontId="11" fillId="12" borderId="80" xfId="0" applyFont="1" applyFill="1" applyBorder="1" applyAlignment="1">
      <alignment horizontal="right" vertical="center"/>
    </xf>
    <xf numFmtId="172" fontId="11" fillId="10" borderId="79" xfId="0" applyNumberFormat="1" applyFont="1" applyFill="1" applyBorder="1" applyAlignment="1">
      <alignment vertical="center"/>
    </xf>
    <xf numFmtId="0" fontId="11" fillId="0" borderId="88" xfId="9" applyFont="1" applyFill="1" applyBorder="1" applyAlignment="1">
      <alignment horizontal="left" vertical="center"/>
    </xf>
    <xf numFmtId="172" fontId="11" fillId="10" borderId="67" xfId="0" applyNumberFormat="1" applyFont="1" applyFill="1" applyBorder="1" applyAlignment="1">
      <alignment vertical="center"/>
    </xf>
    <xf numFmtId="0" fontId="11" fillId="12" borderId="71" xfId="0" applyFont="1" applyFill="1" applyBorder="1" applyAlignment="1">
      <alignment vertical="center" wrapText="1"/>
    </xf>
    <xf numFmtId="172" fontId="11" fillId="12" borderId="72" xfId="0" applyNumberFormat="1" applyFont="1" applyFill="1" applyBorder="1" applyAlignment="1">
      <alignment vertical="center"/>
    </xf>
    <xf numFmtId="0" fontId="11" fillId="12" borderId="89" xfId="0" applyFont="1" applyFill="1" applyBorder="1" applyAlignment="1">
      <alignment horizontal="left" vertical="center"/>
    </xf>
    <xf numFmtId="182" fontId="11" fillId="12" borderId="73" xfId="0" applyNumberFormat="1" applyFont="1" applyFill="1" applyBorder="1" applyAlignment="1">
      <alignment horizontal="right" vertical="center"/>
    </xf>
    <xf numFmtId="0" fontId="20" fillId="13" borderId="25" xfId="0" applyFont="1" applyFill="1" applyBorder="1" applyAlignment="1">
      <alignment vertical="center" wrapText="1"/>
    </xf>
    <xf numFmtId="0" fontId="20" fillId="13" borderId="21" xfId="0" applyFont="1" applyFill="1" applyBorder="1" applyAlignment="1">
      <alignment horizontal="right" vertical="center"/>
    </xf>
    <xf numFmtId="0" fontId="20" fillId="13" borderId="21" xfId="0" applyFont="1" applyFill="1" applyBorder="1" applyAlignment="1">
      <alignment horizontal="left" vertical="center"/>
    </xf>
    <xf numFmtId="8" fontId="11" fillId="0" borderId="0" xfId="0" applyNumberFormat="1" applyFont="1" applyFill="1" applyAlignment="1">
      <alignment horizontal="center" vertical="center"/>
    </xf>
    <xf numFmtId="2" fontId="13" fillId="0" borderId="0" xfId="0" applyNumberFormat="1" applyFont="1" applyFill="1" applyBorder="1" applyAlignment="1">
      <alignment horizontal="left" vertical="center"/>
    </xf>
    <xf numFmtId="0" fontId="11" fillId="0" borderId="0" xfId="0" applyFont="1" applyFill="1" applyAlignment="1">
      <alignment vertical="center"/>
    </xf>
    <xf numFmtId="0" fontId="35" fillId="0" borderId="0" xfId="0" applyFont="1" applyFill="1" applyBorder="1" applyAlignment="1">
      <alignment vertical="center"/>
    </xf>
    <xf numFmtId="2" fontId="35" fillId="0" borderId="0" xfId="0" applyNumberFormat="1" applyFont="1" applyFill="1" applyBorder="1" applyAlignment="1">
      <alignment horizontal="right" vertical="center"/>
    </xf>
    <xf numFmtId="7" fontId="35" fillId="0" borderId="0" xfId="0" applyNumberFormat="1" applyFont="1" applyFill="1" applyBorder="1" applyAlignment="1">
      <alignment horizontal="right" vertical="center"/>
    </xf>
    <xf numFmtId="8" fontId="17" fillId="0" borderId="0" xfId="0" applyNumberFormat="1" applyFont="1" applyFill="1" applyAlignment="1">
      <alignment horizontal="center" vertical="center"/>
    </xf>
    <xf numFmtId="0" fontId="0" fillId="0" borderId="5" xfId="0" applyBorder="1" applyAlignment="1">
      <alignment wrapText="1"/>
    </xf>
    <xf numFmtId="176" fontId="11" fillId="0" borderId="69" xfId="0" applyNumberFormat="1" applyFont="1" applyFill="1" applyBorder="1" applyAlignment="1">
      <alignment horizontal="right" vertical="center"/>
    </xf>
    <xf numFmtId="8" fontId="13" fillId="0" borderId="0" xfId="0" applyNumberFormat="1" applyFont="1" applyFill="1" applyBorder="1" applyAlignment="1">
      <alignment horizontal="right" vertical="center"/>
    </xf>
    <xf numFmtId="178" fontId="11" fillId="12" borderId="77" xfId="9" applyNumberFormat="1" applyFont="1" applyFill="1" applyBorder="1" applyAlignment="1">
      <alignment horizontal="left" vertical="center"/>
    </xf>
    <xf numFmtId="2" fontId="11" fillId="0" borderId="0" xfId="0" applyNumberFormat="1" applyFont="1" applyFill="1" applyBorder="1" applyAlignment="1">
      <alignment horizontal="right" vertical="center"/>
    </xf>
    <xf numFmtId="176" fontId="11" fillId="0" borderId="0" xfId="0" applyNumberFormat="1" applyFont="1" applyFill="1" applyBorder="1" applyAlignment="1">
      <alignment horizontal="right" vertical="center"/>
    </xf>
    <xf numFmtId="8" fontId="33" fillId="13" borderId="49" xfId="0" applyNumberFormat="1" applyFont="1" applyFill="1" applyBorder="1" applyAlignment="1">
      <alignment horizontal="right" vertical="center" indent="1"/>
    </xf>
    <xf numFmtId="0" fontId="11" fillId="0" borderId="5" xfId="0" applyFont="1" applyBorder="1"/>
    <xf numFmtId="0" fontId="10" fillId="9" borderId="5" xfId="0" applyFont="1" applyFill="1" applyBorder="1" applyAlignment="1">
      <alignment vertical="center"/>
    </xf>
    <xf numFmtId="179" fontId="11" fillId="0" borderId="69" xfId="10" applyNumberFormat="1" applyFont="1" applyFill="1" applyBorder="1" applyAlignment="1">
      <alignment horizontal="right" vertical="center"/>
    </xf>
    <xf numFmtId="180" fontId="11" fillId="0" borderId="76" xfId="10" applyNumberFormat="1" applyFont="1" applyFill="1" applyBorder="1" applyAlignment="1">
      <alignment horizontal="right" vertical="center"/>
    </xf>
    <xf numFmtId="179" fontId="11" fillId="0" borderId="76" xfId="10" applyNumberFormat="1" applyFont="1" applyFill="1" applyBorder="1" applyAlignment="1">
      <alignment horizontal="right" vertical="center"/>
    </xf>
    <xf numFmtId="49" fontId="12" fillId="0" borderId="0" xfId="0" applyNumberFormat="1" applyFont="1" applyFill="1" applyAlignment="1">
      <alignment horizontal="center" vertical="center"/>
    </xf>
    <xf numFmtId="0" fontId="11" fillId="0" borderId="0" xfId="2" applyFont="1" applyFill="1" applyBorder="1" applyAlignment="1">
      <alignment horizontal="left" vertical="center" wrapText="1" indent="1"/>
    </xf>
    <xf numFmtId="184" fontId="11" fillId="12" borderId="76" xfId="10" applyNumberFormat="1" applyFont="1" applyFill="1" applyBorder="1" applyAlignment="1">
      <alignment horizontal="right" vertical="center"/>
    </xf>
    <xf numFmtId="0" fontId="11" fillId="12" borderId="91" xfId="0" applyFont="1" applyFill="1" applyBorder="1" applyAlignment="1">
      <alignment vertical="center" wrapText="1"/>
    </xf>
    <xf numFmtId="1" fontId="11" fillId="12" borderId="92" xfId="0" applyNumberFormat="1" applyFont="1" applyFill="1" applyBorder="1" applyAlignment="1">
      <alignment vertical="center"/>
    </xf>
    <xf numFmtId="0" fontId="11" fillId="12" borderId="92" xfId="0" applyFont="1" applyFill="1" applyBorder="1" applyAlignment="1">
      <alignment horizontal="left" vertical="center"/>
    </xf>
    <xf numFmtId="0" fontId="11" fillId="12" borderId="93" xfId="0" applyFont="1" applyFill="1" applyBorder="1" applyAlignment="1">
      <alignment horizontal="left" vertical="center"/>
    </xf>
    <xf numFmtId="8" fontId="11" fillId="12" borderId="94" xfId="0" applyNumberFormat="1" applyFont="1" applyFill="1" applyBorder="1" applyAlignment="1">
      <alignment horizontal="right" vertical="center" indent="1"/>
    </xf>
    <xf numFmtId="0" fontId="10" fillId="12" borderId="83" xfId="0" applyFont="1" applyFill="1" applyBorder="1"/>
    <xf numFmtId="0" fontId="11" fillId="0" borderId="91" xfId="0" applyFont="1" applyBorder="1" applyAlignment="1">
      <alignment vertical="center" wrapText="1"/>
    </xf>
    <xf numFmtId="1" fontId="11" fillId="0" borderId="92" xfId="0" applyNumberFormat="1" applyFont="1" applyFill="1" applyBorder="1" applyAlignment="1">
      <alignment vertical="center"/>
    </xf>
    <xf numFmtId="0" fontId="11" fillId="0" borderId="92" xfId="0" applyFont="1" applyBorder="1" applyAlignment="1">
      <alignment horizontal="left" vertical="center"/>
    </xf>
    <xf numFmtId="0" fontId="11" fillId="0" borderId="93" xfId="0" applyFont="1" applyBorder="1" applyAlignment="1">
      <alignment horizontal="left" vertical="center"/>
    </xf>
    <xf numFmtId="8" fontId="11" fillId="0" borderId="94" xfId="0" applyNumberFormat="1" applyFont="1" applyBorder="1" applyAlignment="1">
      <alignment horizontal="right" vertical="center" indent="1"/>
    </xf>
    <xf numFmtId="0" fontId="16" fillId="0" borderId="0" xfId="0" applyFont="1" applyAlignment="1">
      <alignment horizontal="center"/>
    </xf>
    <xf numFmtId="49" fontId="12" fillId="0" borderId="0" xfId="0" applyNumberFormat="1" applyFont="1" applyFill="1" applyAlignment="1">
      <alignment horizontal="center" vertical="center"/>
    </xf>
    <xf numFmtId="49" fontId="12" fillId="0" borderId="0" xfId="0" applyNumberFormat="1" applyFont="1" applyFill="1" applyBorder="1" applyAlignment="1">
      <alignment horizontal="center"/>
    </xf>
    <xf numFmtId="0" fontId="11" fillId="0" borderId="0" xfId="0" applyFont="1" applyFill="1"/>
    <xf numFmtId="0" fontId="20" fillId="0" borderId="0" xfId="0" applyFont="1" applyFill="1" applyAlignment="1">
      <alignment vertical="center"/>
    </xf>
    <xf numFmtId="14" fontId="13" fillId="0" borderId="0" xfId="0" applyNumberFormat="1" applyFont="1" applyFill="1" applyBorder="1" applyAlignment="1">
      <alignment horizontal="right" vertical="center"/>
    </xf>
    <xf numFmtId="49" fontId="11" fillId="0" borderId="0" xfId="0" applyNumberFormat="1" applyFont="1" applyFill="1"/>
    <xf numFmtId="0" fontId="16" fillId="0" borderId="0" xfId="0" applyFont="1" applyFill="1"/>
    <xf numFmtId="0" fontId="16" fillId="0" borderId="0" xfId="0" applyFont="1" applyFill="1" applyAlignment="1">
      <alignment horizontal="right" indent="1"/>
    </xf>
    <xf numFmtId="0" fontId="11" fillId="0" borderId="0" xfId="0" applyFont="1" applyFill="1" applyAlignment="1">
      <alignment horizontal="right" vertical="center"/>
    </xf>
    <xf numFmtId="0" fontId="11" fillId="0" borderId="0" xfId="0" applyFont="1" applyFill="1" applyBorder="1" applyAlignment="1">
      <alignment vertical="center" wrapText="1"/>
    </xf>
    <xf numFmtId="2" fontId="20" fillId="0" borderId="0" xfId="0" applyNumberFormat="1" applyFont="1" applyFill="1" applyBorder="1" applyAlignment="1">
      <alignment horizontal="left" vertical="center"/>
    </xf>
    <xf numFmtId="165" fontId="20" fillId="0" borderId="0" xfId="3" applyFont="1" applyFill="1" applyAlignment="1">
      <alignment vertical="center"/>
    </xf>
    <xf numFmtId="174" fontId="20" fillId="0" borderId="0" xfId="3" applyNumberFormat="1" applyFont="1" applyFill="1" applyBorder="1" applyAlignment="1">
      <alignment horizontal="right" vertical="center"/>
    </xf>
    <xf numFmtId="6" fontId="11" fillId="0" borderId="0" xfId="0" applyNumberFormat="1" applyFont="1" applyFill="1" applyAlignment="1">
      <alignment horizontal="center" vertical="center"/>
    </xf>
    <xf numFmtId="165" fontId="20" fillId="0" borderId="0" xfId="3" applyFont="1" applyFill="1" applyBorder="1" applyAlignment="1">
      <alignment vertical="center"/>
    </xf>
    <xf numFmtId="183" fontId="11" fillId="0" borderId="0" xfId="0" applyNumberFormat="1" applyFont="1" applyFill="1" applyAlignment="1">
      <alignment horizontal="center" vertical="center"/>
    </xf>
    <xf numFmtId="0" fontId="20" fillId="0" borderId="0" xfId="0" applyFont="1" applyFill="1" applyBorder="1" applyAlignment="1">
      <alignment horizontal="left" vertical="center" wrapText="1"/>
    </xf>
    <xf numFmtId="174" fontId="20" fillId="0" borderId="90" xfId="3" applyNumberFormat="1" applyFont="1" applyFill="1" applyBorder="1" applyAlignment="1">
      <alignment horizontal="right" vertical="center"/>
    </xf>
    <xf numFmtId="2" fontId="11" fillId="0" borderId="6" xfId="0" applyNumberFormat="1" applyFont="1" applyFill="1" applyBorder="1" applyAlignment="1">
      <alignment vertical="center"/>
    </xf>
    <xf numFmtId="2" fontId="11" fillId="0" borderId="47" xfId="0" applyNumberFormat="1" applyFont="1" applyFill="1" applyBorder="1" applyAlignment="1">
      <alignment vertical="center"/>
    </xf>
    <xf numFmtId="0" fontId="10" fillId="0" borderId="0" xfId="0" applyFont="1" applyAlignment="1">
      <alignment horizontal="left"/>
    </xf>
    <xf numFmtId="0" fontId="11" fillId="0" borderId="0" xfId="0" applyFont="1" applyAlignment="1">
      <alignment vertical="top" wrapText="1"/>
    </xf>
    <xf numFmtId="0" fontId="10" fillId="0" borderId="0" xfId="0" applyFont="1" applyAlignment="1">
      <alignment vertical="top"/>
    </xf>
    <xf numFmtId="14" fontId="11" fillId="0" borderId="0" xfId="0" applyNumberFormat="1" applyFont="1" applyAlignment="1">
      <alignment vertical="top" wrapText="1"/>
    </xf>
    <xf numFmtId="0" fontId="10" fillId="0" borderId="0" xfId="0" applyFont="1" applyAlignment="1">
      <alignment vertical="top" wrapText="1"/>
    </xf>
    <xf numFmtId="49" fontId="12" fillId="0" borderId="0" xfId="0" applyNumberFormat="1" applyFont="1" applyFill="1" applyBorder="1" applyAlignment="1">
      <alignment horizontal="center"/>
    </xf>
    <xf numFmtId="0" fontId="10" fillId="2" borderId="2" xfId="0" applyFont="1" applyFill="1" applyBorder="1" applyAlignment="1">
      <alignment horizontal="left" vertical="center" indent="1"/>
    </xf>
    <xf numFmtId="0" fontId="10" fillId="2" borderId="1" xfId="0" applyFont="1" applyFill="1" applyBorder="1" applyAlignment="1">
      <alignment horizontal="center" vertical="center" wrapText="1"/>
    </xf>
    <xf numFmtId="0" fontId="0" fillId="0" borderId="46" xfId="0" applyFill="1" applyBorder="1" applyAlignment="1">
      <alignment horizontal="left" vertical="center" indent="1"/>
    </xf>
    <xf numFmtId="0" fontId="0" fillId="0" borderId="8" xfId="0" applyFill="1" applyBorder="1" applyAlignment="1">
      <alignment horizontal="left" vertical="center" indent="1"/>
    </xf>
    <xf numFmtId="3" fontId="0" fillId="0" borderId="8" xfId="0" applyNumberFormat="1" applyFill="1" applyBorder="1" applyAlignment="1">
      <alignment vertical="center"/>
    </xf>
    <xf numFmtId="3" fontId="0" fillId="0" borderId="5" xfId="0" applyNumberFormat="1" applyFill="1" applyBorder="1" applyAlignment="1">
      <alignment horizontal="center" vertical="center"/>
    </xf>
    <xf numFmtId="3" fontId="0" fillId="0" borderId="8" xfId="0" applyNumberFormat="1" applyFill="1" applyBorder="1" applyAlignment="1">
      <alignment horizontal="center" vertical="center"/>
    </xf>
    <xf numFmtId="3" fontId="0" fillId="0" borderId="6" xfId="0" applyNumberFormat="1" applyFill="1" applyBorder="1" applyAlignment="1">
      <alignment vertical="center" wrapText="1"/>
    </xf>
    <xf numFmtId="3" fontId="0" fillId="0" borderId="9" xfId="0" applyNumberFormat="1" applyFill="1" applyBorder="1" applyAlignment="1">
      <alignment vertical="center" wrapText="1"/>
    </xf>
    <xf numFmtId="22" fontId="0" fillId="0" borderId="11" xfId="0" applyNumberFormat="1" applyFill="1" applyBorder="1" applyAlignment="1">
      <alignment vertical="center"/>
    </xf>
    <xf numFmtId="22" fontId="11" fillId="0" borderId="11" xfId="0" applyNumberFormat="1" applyFont="1" applyFill="1" applyBorder="1" applyAlignment="1">
      <alignment vertical="center"/>
    </xf>
    <xf numFmtId="0" fontId="11" fillId="0" borderId="35" xfId="0" applyFont="1" applyFill="1" applyBorder="1" applyAlignment="1">
      <alignment horizontal="left" vertical="center" indent="1"/>
    </xf>
    <xf numFmtId="0" fontId="11" fillId="0" borderId="36" xfId="0" applyFont="1" applyFill="1" applyBorder="1" applyAlignment="1">
      <alignment horizontal="left" vertical="center" indent="1"/>
    </xf>
    <xf numFmtId="22" fontId="0" fillId="0" borderId="36" xfId="0" applyNumberFormat="1" applyFill="1" applyBorder="1" applyAlignment="1">
      <alignment vertical="center"/>
    </xf>
    <xf numFmtId="3" fontId="11" fillId="0" borderId="36" xfId="0" applyNumberFormat="1" applyFont="1" applyFill="1" applyBorder="1" applyAlignment="1">
      <alignment horizontal="center" vertical="center"/>
    </xf>
    <xf numFmtId="3" fontId="11" fillId="0" borderId="47" xfId="0" applyNumberFormat="1" applyFont="1" applyFill="1" applyBorder="1" applyAlignment="1">
      <alignment vertical="center" wrapText="1"/>
    </xf>
    <xf numFmtId="22" fontId="0" fillId="0" borderId="44" xfId="0" applyNumberFormat="1" applyFill="1" applyBorder="1" applyAlignment="1">
      <alignment vertical="center"/>
    </xf>
    <xf numFmtId="0" fontId="11" fillId="0" borderId="5" xfId="0" applyFont="1" applyBorder="1" applyAlignment="1">
      <alignment horizontal="center" vertical="center"/>
    </xf>
    <xf numFmtId="0" fontId="11" fillId="0" borderId="12" xfId="0" applyFont="1" applyFill="1" applyBorder="1" applyAlignment="1">
      <alignment horizontal="center" vertical="center"/>
    </xf>
    <xf numFmtId="14" fontId="11" fillId="0" borderId="12" xfId="0" applyNumberFormat="1" applyFont="1" applyFill="1" applyBorder="1" applyAlignment="1">
      <alignment horizontal="center" vertical="center"/>
    </xf>
    <xf numFmtId="0" fontId="11" fillId="0" borderId="16" xfId="0" applyFont="1" applyFill="1" applyBorder="1" applyAlignment="1">
      <alignment horizontal="center" vertical="center"/>
    </xf>
    <xf numFmtId="0" fontId="11" fillId="0" borderId="40"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25" xfId="0" applyFont="1" applyBorder="1" applyAlignment="1">
      <alignment horizontal="center" vertical="center" wrapText="1"/>
    </xf>
    <xf numFmtId="0" fontId="11" fillId="0" borderId="0" xfId="0" applyFont="1" applyAlignment="1">
      <alignment horizontal="left" vertical="top"/>
    </xf>
    <xf numFmtId="0" fontId="12" fillId="0" borderId="0" xfId="0" applyFont="1" applyAlignment="1">
      <alignment horizontal="center" vertical="center" wrapText="1"/>
    </xf>
    <xf numFmtId="14" fontId="11" fillId="0" borderId="41" xfId="0" applyNumberFormat="1" applyFont="1" applyBorder="1" applyAlignment="1">
      <alignment horizontal="center" vertical="center"/>
    </xf>
    <xf numFmtId="0" fontId="0" fillId="0" borderId="8" xfId="0" applyNumberFormat="1" applyBorder="1" applyAlignment="1">
      <alignment horizontal="center" vertical="center"/>
    </xf>
    <xf numFmtId="0" fontId="11" fillId="0" borderId="0" xfId="9" applyBorder="1" applyAlignment="1">
      <alignment horizontal="center"/>
    </xf>
    <xf numFmtId="0" fontId="11" fillId="0" borderId="0" xfId="9" applyFont="1" applyFill="1" applyBorder="1" applyAlignment="1">
      <alignment horizontal="center"/>
    </xf>
    <xf numFmtId="0" fontId="11" fillId="0" borderId="0" xfId="0" applyFont="1" applyFill="1" applyBorder="1" applyAlignment="1">
      <alignment horizontal="center" vertical="center" wrapText="1"/>
    </xf>
    <xf numFmtId="0" fontId="0" fillId="0" borderId="0" xfId="0" applyFill="1" applyBorder="1" applyAlignment="1">
      <alignment vertical="center"/>
    </xf>
    <xf numFmtId="0" fontId="14" fillId="0" borderId="0"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6" xfId="0" applyFont="1" applyFill="1" applyBorder="1" applyAlignment="1">
      <alignment horizontal="center" vertical="center"/>
    </xf>
    <xf numFmtId="0" fontId="0" fillId="0" borderId="4" xfId="0" applyFill="1" applyBorder="1" applyAlignment="1">
      <alignment horizontal="center" vertical="center"/>
    </xf>
    <xf numFmtId="0" fontId="10" fillId="0" borderId="0" xfId="9" applyFont="1" applyBorder="1" applyAlignment="1">
      <alignment horizontal="center"/>
    </xf>
    <xf numFmtId="20" fontId="10" fillId="0" borderId="0" xfId="9" applyNumberFormat="1" applyFont="1" applyBorder="1" applyAlignment="1">
      <alignment horizontal="center"/>
    </xf>
    <xf numFmtId="0" fontId="11" fillId="0" borderId="0" xfId="9" applyBorder="1"/>
    <xf numFmtId="0" fontId="11" fillId="0" borderId="0" xfId="0" applyFont="1" applyAlignment="1">
      <alignment horizontal="left" vertical="center" wrapText="1" indent="1"/>
    </xf>
    <xf numFmtId="0" fontId="10" fillId="0" borderId="0" xfId="0" applyFont="1" applyAlignment="1">
      <alignment horizontal="left" vertical="center"/>
    </xf>
    <xf numFmtId="49" fontId="0" fillId="0" borderId="0" xfId="0" applyNumberFormat="1" applyAlignment="1">
      <alignment horizontal="right" vertical="center"/>
    </xf>
    <xf numFmtId="0" fontId="0" fillId="0" borderId="0" xfId="0" applyFill="1"/>
    <xf numFmtId="49" fontId="10" fillId="0" borderId="0" xfId="0" applyNumberFormat="1" applyFont="1" applyFill="1" applyAlignment="1">
      <alignment vertical="center" wrapText="1"/>
    </xf>
    <xf numFmtId="0" fontId="17" fillId="0" borderId="0" xfId="0" applyFont="1" applyAlignment="1">
      <alignment horizontal="left" vertical="center"/>
    </xf>
    <xf numFmtId="0" fontId="17" fillId="0" borderId="0" xfId="0" applyFont="1" applyAlignment="1">
      <alignment horizontal="center" vertical="center"/>
    </xf>
    <xf numFmtId="2" fontId="16" fillId="0" borderId="0" xfId="0" applyNumberFormat="1" applyFont="1" applyAlignment="1">
      <alignment vertical="center"/>
    </xf>
    <xf numFmtId="0" fontId="11" fillId="0" borderId="0" xfId="0" applyFont="1" applyAlignment="1">
      <alignment horizontal="left" vertical="center"/>
    </xf>
    <xf numFmtId="49" fontId="0" fillId="0" borderId="0" xfId="0" applyNumberFormat="1" applyAlignment="1">
      <alignment horizontal="left" vertical="center"/>
    </xf>
    <xf numFmtId="0" fontId="11" fillId="0" borderId="0" xfId="0" applyFont="1" applyAlignment="1">
      <alignment horizontal="center" vertical="top"/>
    </xf>
    <xf numFmtId="0" fontId="11" fillId="0" borderId="0" xfId="0" applyFont="1" applyAlignment="1">
      <alignment vertical="top"/>
    </xf>
    <xf numFmtId="0" fontId="20" fillId="0" borderId="0" xfId="0" applyFont="1" applyAlignment="1">
      <alignment horizontal="left"/>
    </xf>
    <xf numFmtId="0" fontId="37" fillId="14" borderId="1" xfId="0" applyFont="1" applyFill="1" applyBorder="1" applyAlignment="1">
      <alignment horizontal="center" vertical="center" wrapText="1"/>
    </xf>
    <xf numFmtId="0" fontId="37" fillId="14" borderId="32" xfId="0" applyFont="1" applyFill="1" applyBorder="1" applyAlignment="1">
      <alignment horizontal="center" vertical="center" wrapText="1"/>
    </xf>
    <xf numFmtId="0" fontId="37" fillId="15" borderId="35" xfId="0" applyFont="1" applyFill="1" applyBorder="1" applyAlignment="1">
      <alignment horizontal="center" vertical="center" wrapText="1"/>
    </xf>
    <xf numFmtId="0" fontId="37" fillId="15" borderId="13" xfId="0" applyFont="1" applyFill="1" applyBorder="1" applyAlignment="1">
      <alignment horizontal="center" vertical="center" wrapText="1"/>
    </xf>
    <xf numFmtId="0" fontId="37" fillId="15" borderId="42" xfId="0" applyFont="1" applyFill="1" applyBorder="1" applyAlignment="1">
      <alignment horizontal="center" vertical="center" wrapText="1"/>
    </xf>
    <xf numFmtId="0" fontId="37" fillId="15" borderId="7" xfId="0" applyFont="1" applyFill="1" applyBorder="1" applyAlignment="1">
      <alignment horizontal="center" vertical="center" wrapText="1"/>
    </xf>
    <xf numFmtId="0" fontId="37" fillId="4" borderId="35" xfId="0" applyFont="1" applyFill="1" applyBorder="1" applyAlignment="1">
      <alignment horizontal="center" vertical="center" wrapText="1"/>
    </xf>
    <xf numFmtId="0" fontId="37" fillId="4" borderId="4" xfId="0" applyFont="1" applyFill="1" applyBorder="1" applyAlignment="1">
      <alignment horizontal="center" vertical="center" wrapText="1"/>
    </xf>
    <xf numFmtId="0" fontId="37" fillId="4" borderId="15" xfId="0" applyFont="1" applyFill="1" applyBorder="1" applyAlignment="1">
      <alignment horizontal="center" vertical="center" wrapText="1"/>
    </xf>
    <xf numFmtId="0" fontId="37" fillId="4" borderId="7" xfId="0" applyFont="1" applyFill="1" applyBorder="1" applyAlignment="1">
      <alignment horizontal="center" vertical="center" wrapText="1"/>
    </xf>
    <xf numFmtId="0" fontId="37" fillId="4" borderId="13" xfId="0" applyFont="1" applyFill="1" applyBorder="1" applyAlignment="1">
      <alignment horizontal="center" vertical="center" wrapText="1"/>
    </xf>
    <xf numFmtId="0" fontId="37" fillId="4" borderId="46" xfId="0" applyFont="1" applyFill="1" applyBorder="1" applyAlignment="1">
      <alignment horizontal="center" vertical="center" wrapText="1"/>
    </xf>
    <xf numFmtId="0" fontId="37" fillId="15" borderId="46" xfId="0" applyFont="1" applyFill="1" applyBorder="1" applyAlignment="1">
      <alignment horizontal="center" vertical="center" wrapText="1"/>
    </xf>
    <xf numFmtId="0" fontId="37" fillId="15" borderId="4" xfId="0" applyFont="1" applyFill="1" applyBorder="1" applyAlignment="1">
      <alignment horizontal="center" vertical="center" wrapText="1"/>
    </xf>
    <xf numFmtId="0" fontId="15" fillId="0" borderId="41"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9" xfId="0" applyFont="1" applyFill="1" applyBorder="1" applyAlignment="1">
      <alignment horizontal="center" vertical="center"/>
    </xf>
    <xf numFmtId="2" fontId="0" fillId="0" borderId="0" xfId="0" applyNumberFormat="1" applyAlignment="1">
      <alignment horizontal="left" indent="1"/>
    </xf>
    <xf numFmtId="0" fontId="10" fillId="2" borderId="1" xfId="2" applyFont="1" applyFill="1" applyBorder="1" applyAlignment="1">
      <alignment horizontal="left" vertical="center" wrapText="1" indent="1"/>
    </xf>
    <xf numFmtId="49" fontId="14" fillId="0" borderId="0" xfId="0" applyNumberFormat="1" applyFont="1" applyFill="1" applyAlignment="1">
      <alignment vertical="center" wrapText="1"/>
    </xf>
    <xf numFmtId="49" fontId="12" fillId="0" borderId="0" xfId="0" applyNumberFormat="1" applyFont="1" applyFill="1" applyAlignment="1">
      <alignment horizontal="center" vertical="center"/>
    </xf>
    <xf numFmtId="49" fontId="12" fillId="0" borderId="0" xfId="0" applyNumberFormat="1" applyFont="1" applyAlignment="1">
      <alignment horizontal="center" vertical="center"/>
    </xf>
    <xf numFmtId="49" fontId="12" fillId="0" borderId="0" xfId="2" applyNumberFormat="1" applyFont="1" applyBorder="1" applyAlignment="1">
      <alignment horizontal="center" vertical="center" wrapText="1"/>
    </xf>
    <xf numFmtId="0" fontId="14" fillId="0" borderId="0" xfId="2" applyFont="1" applyBorder="1" applyAlignment="1">
      <alignment horizontal="left" vertical="center" wrapText="1"/>
    </xf>
    <xf numFmtId="0" fontId="15" fillId="0" borderId="0" xfId="2" applyFont="1" applyBorder="1" applyAlignment="1">
      <alignment horizontal="center" vertical="center" wrapText="1"/>
    </xf>
    <xf numFmtId="0" fontId="15" fillId="0" borderId="0" xfId="2" applyFont="1" applyBorder="1" applyAlignment="1">
      <alignment vertical="center"/>
    </xf>
    <xf numFmtId="0" fontId="14" fillId="0" borderId="0" xfId="2" applyFont="1" applyFill="1" applyBorder="1" applyAlignment="1">
      <alignment horizontal="center" vertical="center" wrapText="1"/>
    </xf>
    <xf numFmtId="0" fontId="11" fillId="0" borderId="42" xfId="0" applyNumberFormat="1" applyFont="1" applyFill="1" applyBorder="1" applyAlignment="1">
      <alignment horizontal="left" vertical="center" indent="1"/>
    </xf>
    <xf numFmtId="0" fontId="11" fillId="0" borderId="48" xfId="0" applyNumberFormat="1" applyFont="1" applyFill="1" applyBorder="1" applyAlignment="1">
      <alignment horizontal="left" vertical="center" indent="1"/>
    </xf>
    <xf numFmtId="14" fontId="25" fillId="0" borderId="48" xfId="0" applyNumberFormat="1" applyFont="1" applyFill="1" applyBorder="1" applyAlignment="1">
      <alignment horizontal="center" vertical="center"/>
    </xf>
    <xf numFmtId="0" fontId="11" fillId="0" borderId="5" xfId="0" applyNumberFormat="1" applyFont="1" applyFill="1" applyBorder="1" applyAlignment="1">
      <alignment horizontal="left" vertical="center" indent="1"/>
    </xf>
    <xf numFmtId="14" fontId="25" fillId="0" borderId="5" xfId="0" applyNumberFormat="1" applyFont="1" applyFill="1" applyBorder="1" applyAlignment="1">
      <alignment horizontal="center" vertical="center"/>
    </xf>
    <xf numFmtId="0" fontId="11" fillId="0" borderId="4" xfId="0" applyNumberFormat="1" applyFont="1" applyFill="1" applyBorder="1" applyAlignment="1">
      <alignment horizontal="left" vertical="center" indent="1"/>
    </xf>
    <xf numFmtId="174" fontId="15" fillId="0" borderId="0" xfId="2" applyNumberFormat="1" applyFont="1" applyBorder="1" applyAlignment="1">
      <alignment horizontal="left" vertical="center" wrapText="1" indent="1"/>
    </xf>
    <xf numFmtId="0" fontId="0" fillId="0" borderId="41" xfId="0" applyBorder="1" applyAlignment="1">
      <alignment horizontal="center" vertical="center"/>
    </xf>
    <xf numFmtId="0" fontId="11" fillId="0" borderId="31" xfId="0" applyFont="1" applyBorder="1" applyAlignment="1">
      <alignment horizontal="center" vertical="center"/>
    </xf>
    <xf numFmtId="0" fontId="14" fillId="0" borderId="0" xfId="2" applyFont="1" applyFill="1" applyBorder="1" applyAlignment="1">
      <alignment vertical="center" wrapText="1"/>
    </xf>
    <xf numFmtId="1" fontId="14" fillId="0" borderId="0" xfId="2" applyNumberFormat="1" applyFont="1" applyFill="1" applyBorder="1" applyAlignment="1">
      <alignment horizontal="center" vertical="center" wrapText="1"/>
    </xf>
    <xf numFmtId="1" fontId="15" fillId="0" borderId="14" xfId="2" applyNumberFormat="1" applyFont="1" applyFill="1" applyBorder="1" applyAlignment="1">
      <alignment horizontal="center" vertical="center" wrapText="1"/>
    </xf>
    <xf numFmtId="1" fontId="14" fillId="2" borderId="49" xfId="2" applyNumberFormat="1" applyFont="1" applyFill="1" applyBorder="1" applyAlignment="1">
      <alignment horizontal="center" vertical="center" wrapText="1"/>
    </xf>
    <xf numFmtId="0" fontId="14" fillId="0" borderId="0" xfId="0" applyFont="1" applyBorder="1" applyAlignment="1">
      <alignment horizontal="left" vertical="center" wrapText="1" indent="1"/>
    </xf>
    <xf numFmtId="0" fontId="14" fillId="0" borderId="0" xfId="0" applyFont="1" applyBorder="1" applyAlignment="1">
      <alignment vertical="center"/>
    </xf>
    <xf numFmtId="167" fontId="14" fillId="0" borderId="0" xfId="0" applyNumberFormat="1" applyFont="1" applyBorder="1" applyAlignment="1">
      <alignment vertical="center"/>
    </xf>
    <xf numFmtId="0" fontId="10" fillId="2" borderId="2" xfId="0" applyFont="1" applyFill="1" applyBorder="1" applyAlignment="1">
      <alignment horizontal="center" vertical="center" textRotation="90"/>
    </xf>
    <xf numFmtId="0" fontId="14" fillId="2" borderId="44" xfId="0" applyFont="1" applyFill="1" applyBorder="1" applyAlignment="1">
      <alignment horizontal="center" vertical="center"/>
    </xf>
    <xf numFmtId="167" fontId="14" fillId="2" borderId="1" xfId="0" applyNumberFormat="1" applyFont="1" applyFill="1" applyBorder="1" applyAlignment="1">
      <alignment horizontal="center" vertical="center" wrapText="1"/>
    </xf>
    <xf numFmtId="167" fontId="14" fillId="2" borderId="2" xfId="0" applyNumberFormat="1" applyFont="1" applyFill="1" applyBorder="1" applyAlignment="1">
      <alignment horizontal="center" vertical="center"/>
    </xf>
    <xf numFmtId="1" fontId="15" fillId="0" borderId="35" xfId="0" applyNumberFormat="1" applyFont="1" applyBorder="1" applyAlignment="1">
      <alignment horizontal="center" vertical="center"/>
    </xf>
    <xf numFmtId="14" fontId="15" fillId="0" borderId="36" xfId="0" applyNumberFormat="1" applyFont="1" applyBorder="1" applyAlignment="1">
      <alignment horizontal="center" vertical="center"/>
    </xf>
    <xf numFmtId="14" fontId="11" fillId="0" borderId="36" xfId="0" applyNumberFormat="1" applyFont="1" applyBorder="1" applyAlignment="1">
      <alignment horizontal="center" vertical="center"/>
    </xf>
    <xf numFmtId="0" fontId="15" fillId="0" borderId="36" xfId="0" applyFont="1" applyBorder="1" applyAlignment="1">
      <alignment horizontal="left" vertical="center" indent="1"/>
    </xf>
    <xf numFmtId="49" fontId="15" fillId="0" borderId="36" xfId="0" applyNumberFormat="1" applyFont="1" applyBorder="1" applyAlignment="1">
      <alignment horizontal="center" vertical="center"/>
    </xf>
    <xf numFmtId="0" fontId="15" fillId="0" borderId="36" xfId="0" applyFont="1" applyBorder="1" applyAlignment="1">
      <alignment horizontal="center" vertical="center"/>
    </xf>
    <xf numFmtId="0" fontId="11" fillId="0" borderId="36" xfId="0" applyFont="1" applyBorder="1" applyAlignment="1">
      <alignment horizontal="left" vertical="center" wrapText="1" indent="1"/>
    </xf>
    <xf numFmtId="0" fontId="11" fillId="0" borderId="47" xfId="0" applyFont="1" applyBorder="1" applyAlignment="1">
      <alignment horizontal="left" vertical="center" wrapText="1" indent="1"/>
    </xf>
    <xf numFmtId="1" fontId="15" fillId="0" borderId="4" xfId="0" applyNumberFormat="1" applyFont="1" applyBorder="1" applyAlignment="1">
      <alignment horizontal="center" vertical="center"/>
    </xf>
    <xf numFmtId="0" fontId="11" fillId="0" borderId="6" xfId="0" applyFont="1" applyBorder="1" applyAlignment="1">
      <alignment horizontal="left" vertical="center" wrapText="1" indent="1"/>
    </xf>
    <xf numFmtId="1" fontId="15" fillId="0" borderId="7" xfId="0" applyNumberFormat="1" applyFont="1" applyBorder="1" applyAlignment="1">
      <alignment horizontal="center" vertical="center"/>
    </xf>
    <xf numFmtId="2" fontId="10" fillId="2" borderId="2" xfId="0" applyNumberFormat="1" applyFont="1" applyFill="1" applyBorder="1" applyAlignment="1">
      <alignment horizontal="center" vertical="center" wrapText="1"/>
    </xf>
    <xf numFmtId="0" fontId="11" fillId="0" borderId="0" xfId="0" applyFont="1" applyFill="1" applyBorder="1" applyAlignment="1">
      <alignment horizontal="left" vertical="center" indent="1"/>
    </xf>
    <xf numFmtId="186" fontId="0" fillId="0" borderId="0" xfId="6" applyNumberFormat="1" applyFont="1" applyFill="1" applyBorder="1" applyAlignment="1">
      <alignment horizontal="center" vertical="center"/>
    </xf>
    <xf numFmtId="0" fontId="14" fillId="0" borderId="0" xfId="0" applyFont="1" applyFill="1" applyBorder="1" applyAlignment="1">
      <alignment horizontal="left" vertical="center" indent="1"/>
    </xf>
    <xf numFmtId="0" fontId="11" fillId="0" borderId="0" xfId="0" applyFont="1" applyFill="1" applyBorder="1" applyAlignment="1">
      <alignment horizontal="right" vertical="center" indent="1"/>
    </xf>
    <xf numFmtId="187" fontId="11" fillId="0" borderId="0" xfId="0" applyNumberFormat="1" applyFont="1" applyFill="1" applyBorder="1" applyAlignment="1">
      <alignment horizontal="right" vertical="center"/>
    </xf>
    <xf numFmtId="0" fontId="0" fillId="0" borderId="41" xfId="0" applyBorder="1" applyAlignment="1">
      <alignment horizontal="left" indent="1"/>
    </xf>
    <xf numFmtId="8" fontId="0" fillId="0" borderId="5" xfId="3" applyNumberFormat="1" applyFont="1" applyBorder="1"/>
    <xf numFmtId="0" fontId="0" fillId="0" borderId="27" xfId="0" applyBorder="1" applyAlignment="1">
      <alignment horizontal="left" indent="1"/>
    </xf>
    <xf numFmtId="0" fontId="0" fillId="0" borderId="65" xfId="0" applyBorder="1" applyAlignment="1">
      <alignment horizontal="left" indent="1"/>
    </xf>
    <xf numFmtId="0" fontId="0" fillId="0" borderId="51" xfId="0" applyBorder="1" applyAlignment="1">
      <alignment horizontal="left" indent="1"/>
    </xf>
    <xf numFmtId="0" fontId="11" fillId="0" borderId="41" xfId="0" applyFont="1" applyBorder="1" applyAlignment="1">
      <alignment vertical="top" wrapText="1"/>
    </xf>
    <xf numFmtId="0" fontId="0" fillId="0" borderId="39" xfId="0" applyBorder="1" applyAlignment="1">
      <alignment horizontal="left" indent="1"/>
    </xf>
    <xf numFmtId="0" fontId="11" fillId="0" borderId="54" xfId="0" applyFont="1" applyBorder="1" applyAlignment="1">
      <alignment vertical="top" wrapText="1"/>
    </xf>
    <xf numFmtId="0" fontId="10" fillId="0" borderId="17" xfId="0" applyFont="1" applyBorder="1" applyAlignment="1">
      <alignment horizontal="left" indent="1"/>
    </xf>
    <xf numFmtId="0" fontId="10" fillId="0" borderId="18" xfId="0" applyFont="1" applyBorder="1" applyAlignment="1">
      <alignment horizontal="left" indent="1"/>
    </xf>
    <xf numFmtId="8" fontId="10" fillId="0" borderId="8" xfId="3" applyNumberFormat="1" applyFont="1" applyBorder="1"/>
    <xf numFmtId="0" fontId="10" fillId="0" borderId="18" xfId="0" applyFont="1" applyBorder="1" applyAlignment="1">
      <alignment vertical="top" wrapText="1"/>
    </xf>
    <xf numFmtId="172" fontId="11" fillId="0" borderId="68" xfId="0" applyNumberFormat="1" applyFont="1" applyFill="1" applyBorder="1" applyAlignment="1">
      <alignment vertical="center"/>
    </xf>
    <xf numFmtId="177" fontId="11" fillId="0" borderId="68" xfId="0" applyNumberFormat="1" applyFont="1" applyFill="1" applyBorder="1" applyAlignment="1">
      <alignment vertical="center"/>
    </xf>
    <xf numFmtId="0" fontId="11" fillId="12" borderId="101" xfId="0" applyFont="1" applyFill="1" applyBorder="1" applyAlignment="1">
      <alignment horizontal="left" vertical="center"/>
    </xf>
    <xf numFmtId="0" fontId="11" fillId="12" borderId="76" xfId="0" applyFont="1" applyFill="1" applyBorder="1" applyAlignment="1">
      <alignment horizontal="left" vertical="center"/>
    </xf>
    <xf numFmtId="8" fontId="11" fillId="0" borderId="103" xfId="0" applyNumberFormat="1" applyFont="1" applyBorder="1" applyAlignment="1">
      <alignment horizontal="right" vertical="center" indent="1"/>
    </xf>
    <xf numFmtId="0" fontId="11" fillId="0" borderId="102" xfId="0" applyFont="1" applyBorder="1" applyAlignment="1">
      <alignment horizontal="right" vertical="center"/>
    </xf>
    <xf numFmtId="176" fontId="11" fillId="12" borderId="0" xfId="0" applyNumberFormat="1" applyFont="1" applyFill="1" applyBorder="1" applyAlignment="1">
      <alignment horizontal="right" vertical="center"/>
    </xf>
    <xf numFmtId="188" fontId="11" fillId="0" borderId="69" xfId="0" applyNumberFormat="1" applyFont="1" applyBorder="1" applyAlignment="1">
      <alignment horizontal="right" vertical="center"/>
    </xf>
    <xf numFmtId="0" fontId="11" fillId="12" borderId="82" xfId="0" applyFont="1" applyFill="1" applyBorder="1" applyAlignment="1">
      <alignment vertical="center"/>
    </xf>
    <xf numFmtId="0" fontId="11" fillId="0" borderId="101" xfId="0" applyFont="1" applyBorder="1" applyAlignment="1">
      <alignment horizontal="left" vertical="center"/>
    </xf>
    <xf numFmtId="1" fontId="11" fillId="0" borderId="0" xfId="0" applyNumberFormat="1" applyFont="1" applyFill="1" applyBorder="1" applyAlignment="1">
      <alignment vertical="center"/>
    </xf>
    <xf numFmtId="0" fontId="11" fillId="0" borderId="0" xfId="0" applyFont="1" applyBorder="1" applyAlignment="1">
      <alignment horizontal="left" vertical="center"/>
    </xf>
    <xf numFmtId="1" fontId="11" fillId="0" borderId="75" xfId="0" applyNumberFormat="1" applyFont="1" applyFill="1" applyBorder="1" applyAlignment="1">
      <alignment vertical="center"/>
    </xf>
    <xf numFmtId="0" fontId="11" fillId="0" borderId="80" xfId="0" applyFont="1" applyBorder="1" applyAlignment="1">
      <alignment horizontal="left" vertical="center"/>
    </xf>
    <xf numFmtId="189" fontId="11" fillId="0" borderId="69" xfId="10" applyNumberFormat="1" applyFont="1" applyFill="1" applyBorder="1" applyAlignment="1">
      <alignment horizontal="right" vertical="center"/>
    </xf>
    <xf numFmtId="0" fontId="18" fillId="0" borderId="79" xfId="0" applyFont="1" applyBorder="1" applyAlignment="1">
      <alignment vertical="center" wrapText="1"/>
    </xf>
    <xf numFmtId="0" fontId="18" fillId="0" borderId="0" xfId="0" applyFont="1" applyFill="1"/>
    <xf numFmtId="0" fontId="11" fillId="0" borderId="0" xfId="0" applyFont="1" applyFill="1" applyAlignment="1">
      <alignment horizontal="left"/>
    </xf>
    <xf numFmtId="0" fontId="0" fillId="0" borderId="0" xfId="0" applyFill="1" applyAlignment="1">
      <alignment horizontal="left"/>
    </xf>
    <xf numFmtId="0" fontId="0" fillId="0" borderId="0" xfId="0" applyAlignment="1">
      <alignment vertical="top"/>
    </xf>
    <xf numFmtId="49" fontId="10" fillId="0" borderId="0" xfId="0" applyNumberFormat="1" applyFont="1" applyFill="1" applyAlignment="1">
      <alignment vertical="center"/>
    </xf>
    <xf numFmtId="167" fontId="10" fillId="2" borderId="2" xfId="2" applyNumberFormat="1" applyFont="1" applyFill="1" applyBorder="1" applyAlignment="1">
      <alignment horizontal="left" vertical="center" wrapText="1" indent="1"/>
    </xf>
    <xf numFmtId="0" fontId="10" fillId="2" borderId="2" xfId="2" applyFont="1" applyFill="1" applyBorder="1" applyAlignment="1">
      <alignment horizontal="center" vertical="center" wrapText="1"/>
    </xf>
    <xf numFmtId="0" fontId="12" fillId="0" borderId="0" xfId="2" applyFont="1" applyBorder="1" applyAlignment="1">
      <alignment vertical="center" wrapText="1"/>
    </xf>
    <xf numFmtId="49" fontId="12" fillId="0" borderId="0" xfId="2" applyNumberFormat="1" applyFont="1" applyBorder="1" applyAlignment="1">
      <alignment vertical="center" wrapText="1"/>
    </xf>
    <xf numFmtId="191" fontId="25" fillId="0" borderId="11" xfId="0" applyNumberFormat="1" applyFont="1" applyFill="1" applyBorder="1" applyAlignment="1">
      <alignment horizontal="center" vertical="center"/>
    </xf>
    <xf numFmtId="191" fontId="25" fillId="0" borderId="12" xfId="0" applyNumberFormat="1" applyFont="1" applyFill="1" applyBorder="1" applyAlignment="1">
      <alignment horizontal="center" vertical="center"/>
    </xf>
    <xf numFmtId="191" fontId="25" fillId="0" borderId="5" xfId="0" applyNumberFormat="1" applyFont="1" applyFill="1" applyBorder="1" applyAlignment="1">
      <alignment horizontal="center" vertical="center"/>
    </xf>
    <xf numFmtId="191" fontId="25" fillId="0" borderId="48" xfId="0" applyNumberFormat="1" applyFont="1" applyFill="1" applyBorder="1" applyAlignment="1">
      <alignment horizontal="center" vertical="center"/>
    </xf>
    <xf numFmtId="49" fontId="12" fillId="0" borderId="0" xfId="0" applyNumberFormat="1" applyFont="1" applyFill="1" applyBorder="1" applyAlignment="1">
      <alignment horizontal="center"/>
    </xf>
    <xf numFmtId="167" fontId="26" fillId="0" borderId="0" xfId="2" applyNumberFormat="1" applyFont="1" applyBorder="1" applyAlignment="1">
      <alignment horizontal="left" vertical="center" indent="1"/>
    </xf>
    <xf numFmtId="44" fontId="11" fillId="0" borderId="0" xfId="4" applyFont="1" applyBorder="1" applyAlignment="1">
      <alignment horizontal="left" vertical="center"/>
    </xf>
    <xf numFmtId="0" fontId="12" fillId="0" borderId="0" xfId="0" applyFont="1" applyAlignment="1"/>
    <xf numFmtId="49" fontId="12" fillId="0" borderId="0" xfId="0" applyNumberFormat="1" applyFont="1" applyAlignment="1"/>
    <xf numFmtId="0" fontId="10" fillId="2" borderId="49" xfId="2" applyFont="1" applyFill="1" applyBorder="1" applyAlignment="1">
      <alignment horizontal="center" vertical="center" wrapText="1"/>
    </xf>
    <xf numFmtId="0" fontId="10" fillId="0" borderId="0" xfId="2" applyFont="1" applyBorder="1" applyAlignment="1">
      <alignment vertical="center" wrapText="1"/>
    </xf>
    <xf numFmtId="0" fontId="14" fillId="0" borderId="5" xfId="0" applyFont="1" applyFill="1" applyBorder="1" applyAlignment="1">
      <alignment horizontal="center" vertical="center"/>
    </xf>
    <xf numFmtId="0" fontId="14" fillId="0" borderId="41" xfId="0" applyFont="1" applyFill="1" applyBorder="1" applyAlignment="1">
      <alignment horizontal="center" vertical="center"/>
    </xf>
    <xf numFmtId="49" fontId="12" fillId="0" borderId="0" xfId="0" applyNumberFormat="1" applyFont="1" applyFill="1" applyAlignment="1">
      <alignment horizontal="center" vertical="center"/>
    </xf>
    <xf numFmtId="0" fontId="0" fillId="0" borderId="5" xfId="0" applyBorder="1" applyAlignment="1">
      <alignment horizontal="left" indent="1"/>
    </xf>
    <xf numFmtId="0" fontId="10" fillId="0" borderId="8" xfId="0" applyFont="1" applyBorder="1" applyAlignment="1">
      <alignment horizontal="left" indent="1"/>
    </xf>
    <xf numFmtId="0" fontId="0" fillId="0" borderId="12" xfId="0" applyBorder="1" applyAlignment="1">
      <alignment horizontal="left" indent="1"/>
    </xf>
    <xf numFmtId="8" fontId="0" fillId="0" borderId="12" xfId="3" applyNumberFormat="1" applyFont="1" applyBorder="1"/>
    <xf numFmtId="0" fontId="0" fillId="0" borderId="17" xfId="0" applyBorder="1" applyAlignment="1">
      <alignment horizontal="left" indent="1"/>
    </xf>
    <xf numFmtId="0" fontId="0" fillId="0" borderId="1" xfId="0" applyBorder="1" applyAlignment="1">
      <alignment horizontal="left" indent="1"/>
    </xf>
    <xf numFmtId="0" fontId="0" fillId="0" borderId="2" xfId="0" applyBorder="1" applyAlignment="1">
      <alignment horizontal="left" indent="1"/>
    </xf>
    <xf numFmtId="0" fontId="0" fillId="0" borderId="2" xfId="0" applyBorder="1"/>
    <xf numFmtId="49" fontId="12" fillId="0" borderId="0" xfId="0" applyNumberFormat="1" applyFont="1" applyFill="1" applyAlignment="1">
      <alignment horizontal="center" vertical="center"/>
    </xf>
    <xf numFmtId="0" fontId="10" fillId="2" borderId="2" xfId="0" applyFont="1" applyFill="1" applyBorder="1" applyAlignment="1">
      <alignment horizontal="center" vertical="center"/>
    </xf>
    <xf numFmtId="49" fontId="26" fillId="0" borderId="0" xfId="0" applyNumberFormat="1" applyFont="1" applyFill="1" applyAlignment="1">
      <alignment horizontal="center" vertical="center"/>
    </xf>
    <xf numFmtId="0" fontId="11" fillId="0" borderId="5" xfId="0" applyFont="1" applyBorder="1" applyAlignment="1">
      <alignment vertical="top"/>
    </xf>
    <xf numFmtId="0" fontId="39" fillId="0" borderId="0" xfId="0" applyFont="1"/>
    <xf numFmtId="0" fontId="38" fillId="16" borderId="5" xfId="0" applyFont="1" applyFill="1" applyBorder="1" applyAlignment="1">
      <alignment vertical="top"/>
    </xf>
    <xf numFmtId="0" fontId="40" fillId="10" borderId="5" xfId="0" applyFont="1" applyFill="1" applyBorder="1"/>
    <xf numFmtId="0" fontId="40" fillId="10" borderId="5" xfId="0" applyFont="1" applyFill="1" applyBorder="1" applyAlignment="1">
      <alignment vertical="top"/>
    </xf>
    <xf numFmtId="0" fontId="40" fillId="10" borderId="5" xfId="0" applyFont="1" applyFill="1" applyBorder="1" applyAlignment="1">
      <alignment wrapText="1"/>
    </xf>
    <xf numFmtId="0" fontId="40" fillId="16" borderId="5" xfId="0" applyFont="1" applyFill="1" applyBorder="1" applyAlignment="1">
      <alignment vertical="top"/>
    </xf>
    <xf numFmtId="0" fontId="11" fillId="0" borderId="5" xfId="0" applyFont="1" applyFill="1" applyBorder="1" applyAlignment="1">
      <alignment vertical="center" wrapText="1"/>
    </xf>
    <xf numFmtId="0" fontId="11" fillId="0" borderId="30" xfId="0" applyFont="1" applyFill="1" applyBorder="1" applyAlignment="1">
      <alignment horizontal="center" vertical="center"/>
    </xf>
    <xf numFmtId="0" fontId="14" fillId="2" borderId="25" xfId="0" applyFont="1" applyFill="1" applyBorder="1" applyAlignment="1">
      <alignment horizontal="left" vertical="center" indent="1"/>
    </xf>
    <xf numFmtId="49" fontId="12" fillId="0" borderId="0" xfId="2" applyNumberFormat="1" applyFont="1" applyBorder="1" applyAlignment="1">
      <alignment horizontal="center" vertical="center" wrapText="1"/>
    </xf>
    <xf numFmtId="0" fontId="10" fillId="2" borderId="1" xfId="0" applyFont="1" applyFill="1" applyBorder="1" applyAlignment="1">
      <alignment horizontal="center" vertical="center" textRotation="90" wrapText="1"/>
    </xf>
    <xf numFmtId="0" fontId="10" fillId="2" borderId="2" xfId="0" applyFont="1" applyFill="1" applyBorder="1" applyAlignment="1">
      <alignment horizontal="center" vertical="center" textRotation="90" wrapText="1"/>
    </xf>
    <xf numFmtId="0" fontId="10" fillId="2" borderId="3" xfId="0" applyFont="1" applyFill="1" applyBorder="1" applyAlignment="1">
      <alignment horizontal="center" vertical="center" textRotation="90" wrapText="1"/>
    </xf>
    <xf numFmtId="0" fontId="0" fillId="0" borderId="35" xfId="0" applyBorder="1" applyAlignment="1">
      <alignment horizontal="center" vertical="center"/>
    </xf>
    <xf numFmtId="0" fontId="0" fillId="0" borderId="36" xfId="0" applyBorder="1" applyAlignment="1">
      <alignment horizontal="center" vertical="center"/>
    </xf>
    <xf numFmtId="14" fontId="0" fillId="0" borderId="36" xfId="0" applyNumberFormat="1" applyBorder="1" applyAlignment="1">
      <alignment horizontal="center" vertical="center"/>
    </xf>
    <xf numFmtId="0" fontId="0" fillId="0" borderId="36" xfId="0" applyBorder="1" applyAlignment="1">
      <alignment horizontal="left" vertical="center" indent="1"/>
    </xf>
    <xf numFmtId="190" fontId="0" fillId="0" borderId="36" xfId="0" applyNumberFormat="1" applyBorder="1" applyAlignment="1">
      <alignment horizontal="right" vertical="center"/>
    </xf>
    <xf numFmtId="49" fontId="0" fillId="0" borderId="36" xfId="0" applyNumberFormat="1" applyBorder="1" applyAlignment="1">
      <alignment horizontal="right" vertical="center"/>
    </xf>
    <xf numFmtId="0" fontId="0" fillId="0" borderId="47" xfId="0" applyBorder="1" applyAlignment="1">
      <alignment vertical="center"/>
    </xf>
    <xf numFmtId="14" fontId="0" fillId="0" borderId="12" xfId="0" applyNumberFormat="1" applyBorder="1" applyAlignment="1">
      <alignment horizontal="center" vertical="center"/>
    </xf>
    <xf numFmtId="190" fontId="0" fillId="0" borderId="5" xfId="0" applyNumberFormat="1" applyBorder="1" applyAlignment="1">
      <alignment horizontal="right" vertical="center"/>
    </xf>
    <xf numFmtId="49" fontId="0" fillId="0" borderId="5" xfId="0" applyNumberFormat="1" applyBorder="1" applyAlignment="1">
      <alignment horizontal="right" vertical="center"/>
    </xf>
    <xf numFmtId="0" fontId="0" fillId="0" borderId="6" xfId="0" applyBorder="1" applyAlignment="1">
      <alignment vertical="center"/>
    </xf>
    <xf numFmtId="0" fontId="0" fillId="0" borderId="7" xfId="0" applyBorder="1" applyAlignment="1">
      <alignment horizontal="center" vertical="center"/>
    </xf>
    <xf numFmtId="14" fontId="0" fillId="0" borderId="8" xfId="0" applyNumberFormat="1" applyBorder="1" applyAlignment="1">
      <alignment horizontal="center" vertical="center"/>
    </xf>
    <xf numFmtId="190" fontId="0" fillId="0" borderId="8" xfId="0" applyNumberFormat="1" applyBorder="1" applyAlignment="1">
      <alignment horizontal="right" vertical="center"/>
    </xf>
    <xf numFmtId="49" fontId="0" fillId="0" borderId="8" xfId="0" applyNumberFormat="1" applyBorder="1" applyAlignment="1">
      <alignment horizontal="right" vertical="center"/>
    </xf>
    <xf numFmtId="0" fontId="0" fillId="0" borderId="9" xfId="0" applyBorder="1" applyAlignment="1">
      <alignment vertical="center"/>
    </xf>
    <xf numFmtId="0" fontId="41" fillId="0" borderId="0" xfId="0" applyFont="1" applyAlignment="1">
      <alignment horizontal="left" vertical="center"/>
    </xf>
    <xf numFmtId="0" fontId="11" fillId="2" borderId="0" xfId="0" applyFont="1" applyFill="1" applyBorder="1" applyAlignment="1">
      <alignment vertical="center"/>
    </xf>
    <xf numFmtId="0" fontId="0" fillId="2" borderId="0" xfId="0" applyFill="1" applyBorder="1" applyAlignment="1">
      <alignment vertical="center"/>
    </xf>
    <xf numFmtId="0" fontId="17" fillId="0" borderId="0" xfId="0" applyFont="1" applyAlignment="1">
      <alignment vertical="center"/>
    </xf>
    <xf numFmtId="173" fontId="0" fillId="0" borderId="0" xfId="6" applyNumberFormat="1" applyFont="1" applyFill="1" applyBorder="1" applyAlignment="1">
      <alignment horizontal="center" vertical="center"/>
    </xf>
    <xf numFmtId="3" fontId="14" fillId="0" borderId="40" xfId="0" applyNumberFormat="1" applyFont="1" applyFill="1" applyBorder="1" applyAlignment="1">
      <alignment vertical="center"/>
    </xf>
    <xf numFmtId="0" fontId="0" fillId="0" borderId="41" xfId="0" applyFill="1" applyBorder="1" applyAlignment="1">
      <alignment vertical="center"/>
    </xf>
    <xf numFmtId="3" fontId="0" fillId="0" borderId="23" xfId="0" applyNumberFormat="1" applyFill="1" applyBorder="1" applyAlignment="1">
      <alignment vertical="center"/>
    </xf>
    <xf numFmtId="3" fontId="14" fillId="0" borderId="31" xfId="0" applyNumberFormat="1" applyFont="1" applyFill="1" applyBorder="1" applyAlignment="1">
      <alignment vertical="center"/>
    </xf>
    <xf numFmtId="3" fontId="14" fillId="0" borderId="27" xfId="0" applyNumberFormat="1" applyFont="1" applyFill="1" applyBorder="1" applyAlignment="1">
      <alignment vertical="center"/>
    </xf>
    <xf numFmtId="49" fontId="12" fillId="0" borderId="0" xfId="0" applyNumberFormat="1" applyFont="1" applyAlignment="1">
      <alignment horizontal="center" vertical="center"/>
    </xf>
    <xf numFmtId="3" fontId="0" fillId="0" borderId="35" xfId="0" applyNumberFormat="1" applyFill="1" applyBorder="1" applyAlignment="1">
      <alignment vertical="center"/>
    </xf>
    <xf numFmtId="2" fontId="0" fillId="0" borderId="47" xfId="0" applyNumberFormat="1" applyFill="1" applyBorder="1" applyAlignment="1">
      <alignment vertical="center"/>
    </xf>
    <xf numFmtId="4" fontId="0" fillId="0" borderId="35" xfId="0" applyNumberFormat="1" applyFill="1" applyBorder="1" applyAlignment="1">
      <alignment vertical="center"/>
    </xf>
    <xf numFmtId="4" fontId="0" fillId="0" borderId="36" xfId="0" applyNumberFormat="1" applyFill="1" applyBorder="1" applyAlignment="1">
      <alignment vertical="center"/>
    </xf>
    <xf numFmtId="3" fontId="0" fillId="0" borderId="30" xfId="0" applyNumberFormat="1" applyFill="1" applyBorder="1" applyAlignment="1">
      <alignment vertical="center"/>
    </xf>
    <xf numFmtId="3" fontId="14" fillId="0" borderId="105" xfId="0" applyNumberFormat="1" applyFont="1" applyFill="1" applyBorder="1" applyAlignment="1">
      <alignment vertical="center"/>
    </xf>
    <xf numFmtId="3" fontId="14" fillId="0" borderId="26" xfId="0" applyNumberFormat="1" applyFont="1" applyFill="1" applyBorder="1" applyAlignment="1">
      <alignment vertical="center"/>
    </xf>
    <xf numFmtId="0" fontId="26" fillId="0" borderId="0" xfId="0" applyFont="1" applyFill="1" applyBorder="1" applyAlignment="1">
      <alignment horizontal="left" vertical="center" indent="1"/>
    </xf>
    <xf numFmtId="49" fontId="12" fillId="0" borderId="0" xfId="0" applyNumberFormat="1" applyFont="1" applyAlignment="1">
      <alignment horizontal="center" vertical="center"/>
    </xf>
    <xf numFmtId="0" fontId="10" fillId="2" borderId="1" xfId="0" applyFont="1" applyFill="1" applyBorder="1" applyAlignment="1">
      <alignment horizontal="center" vertical="center"/>
    </xf>
    <xf numFmtId="0" fontId="10" fillId="2" borderId="10" xfId="0" applyFont="1" applyFill="1" applyBorder="1" applyAlignment="1">
      <alignment horizontal="center" vertical="center"/>
    </xf>
    <xf numFmtId="0" fontId="11" fillId="0" borderId="36" xfId="0" applyFont="1" applyBorder="1" applyAlignment="1">
      <alignment horizontal="center" vertical="center"/>
    </xf>
    <xf numFmtId="2" fontId="0" fillId="0" borderId="36" xfId="0" applyNumberFormat="1" applyBorder="1" applyAlignment="1">
      <alignment horizontal="center" vertical="center"/>
    </xf>
    <xf numFmtId="0" fontId="0" fillId="0" borderId="11" xfId="0" applyBorder="1" applyAlignment="1">
      <alignment vertical="center"/>
    </xf>
    <xf numFmtId="2" fontId="11" fillId="0" borderId="5" xfId="0" applyNumberFormat="1" applyFont="1" applyFill="1" applyBorder="1" applyAlignment="1">
      <alignment vertical="center"/>
    </xf>
    <xf numFmtId="0" fontId="0" fillId="0" borderId="8" xfId="0" applyBorder="1" applyAlignment="1">
      <alignment vertical="center"/>
    </xf>
    <xf numFmtId="2" fontId="11" fillId="0" borderId="8" xfId="0" applyNumberFormat="1" applyFont="1" applyBorder="1" applyAlignment="1">
      <alignment vertical="center"/>
    </xf>
    <xf numFmtId="2" fontId="0" fillId="0" borderId="9" xfId="0" applyNumberFormat="1" applyBorder="1" applyAlignment="1">
      <alignment vertical="center"/>
    </xf>
    <xf numFmtId="0" fontId="42" fillId="0" borderId="0" xfId="0" applyFont="1" applyAlignment="1">
      <alignment horizontal="left" vertical="center"/>
    </xf>
    <xf numFmtId="0" fontId="10" fillId="2" borderId="10" xfId="0" applyFont="1" applyFill="1" applyBorder="1" applyAlignment="1">
      <alignment horizontal="center" vertical="center" wrapText="1"/>
    </xf>
    <xf numFmtId="0" fontId="0" fillId="0" borderId="37" xfId="0" applyBorder="1" applyAlignment="1">
      <alignment horizontal="center" vertical="center"/>
    </xf>
    <xf numFmtId="0" fontId="0" fillId="0" borderId="23" xfId="0" applyBorder="1" applyAlignment="1">
      <alignment horizontal="center" vertical="center"/>
    </xf>
    <xf numFmtId="190" fontId="0" fillId="0" borderId="30" xfId="0" applyNumberFormat="1" applyBorder="1" applyAlignment="1">
      <alignment horizontal="center" vertical="center"/>
    </xf>
    <xf numFmtId="2" fontId="0" fillId="0" borderId="23" xfId="0" applyNumberFormat="1" applyFill="1" applyBorder="1" applyAlignment="1">
      <alignment vertical="center"/>
    </xf>
    <xf numFmtId="2" fontId="0" fillId="0" borderId="19" xfId="0" applyNumberFormat="1" applyBorder="1" applyAlignment="1">
      <alignment vertical="center"/>
    </xf>
    <xf numFmtId="0" fontId="0" fillId="0" borderId="47" xfId="0" applyBorder="1" applyAlignment="1">
      <alignment horizontal="center" vertical="center" wrapText="1"/>
    </xf>
    <xf numFmtId="190" fontId="0" fillId="0" borderId="14" xfId="0" applyNumberFormat="1" applyBorder="1" applyAlignment="1">
      <alignment horizontal="center" vertical="center" wrapText="1"/>
    </xf>
    <xf numFmtId="20" fontId="11" fillId="0" borderId="36" xfId="0" applyNumberFormat="1" applyFont="1" applyBorder="1" applyAlignment="1">
      <alignment horizontal="center" vertical="center"/>
    </xf>
    <xf numFmtId="14" fontId="15" fillId="0" borderId="36" xfId="0" applyNumberFormat="1" applyFont="1" applyBorder="1" applyAlignment="1">
      <alignment horizontal="left" vertical="center" indent="1"/>
    </xf>
    <xf numFmtId="20" fontId="15" fillId="0" borderId="36" xfId="0" applyNumberFormat="1" applyFont="1" applyBorder="1" applyAlignment="1">
      <alignment horizontal="left" vertical="center" indent="1"/>
    </xf>
    <xf numFmtId="20" fontId="11" fillId="0" borderId="5" xfId="0" applyNumberFormat="1" applyFont="1" applyBorder="1" applyAlignment="1">
      <alignment horizontal="center" vertical="center"/>
    </xf>
    <xf numFmtId="14" fontId="15" fillId="0" borderId="5" xfId="0" applyNumberFormat="1" applyFont="1" applyBorder="1" applyAlignment="1">
      <alignment horizontal="left" vertical="center" indent="1"/>
    </xf>
    <xf numFmtId="20" fontId="15" fillId="0" borderId="5" xfId="0" applyNumberFormat="1" applyFont="1" applyBorder="1" applyAlignment="1">
      <alignment horizontal="left" vertical="center" indent="1"/>
    </xf>
    <xf numFmtId="167" fontId="10" fillId="2" borderId="2" xfId="0" applyNumberFormat="1" applyFont="1" applyFill="1" applyBorder="1" applyAlignment="1">
      <alignment horizontal="center" vertical="center" wrapText="1"/>
    </xf>
    <xf numFmtId="1" fontId="15" fillId="0" borderId="35" xfId="0" applyNumberFormat="1" applyFont="1" applyBorder="1" applyAlignment="1">
      <alignment horizontal="center" vertical="center" wrapText="1"/>
    </xf>
    <xf numFmtId="1" fontId="15" fillId="0" borderId="4" xfId="0" applyNumberFormat="1" applyFont="1" applyBorder="1" applyAlignment="1">
      <alignment horizontal="center" vertical="center" wrapText="1"/>
    </xf>
    <xf numFmtId="14" fontId="11" fillId="0" borderId="5" xfId="0" applyNumberFormat="1" applyFont="1" applyBorder="1" applyAlignment="1">
      <alignment horizontal="center" vertical="center"/>
    </xf>
    <xf numFmtId="49" fontId="43" fillId="0" borderId="0" xfId="0" applyNumberFormat="1" applyFont="1" applyAlignment="1">
      <alignment horizontal="left" vertical="center"/>
    </xf>
    <xf numFmtId="49" fontId="12" fillId="0" borderId="0" xfId="2" applyNumberFormat="1" applyFont="1" applyBorder="1" applyAlignment="1">
      <alignment horizontal="center" vertical="center" wrapText="1"/>
    </xf>
    <xf numFmtId="0" fontId="12" fillId="0" borderId="0" xfId="0" applyFont="1" applyAlignment="1">
      <alignment horizontal="center" vertical="center" wrapText="1"/>
    </xf>
    <xf numFmtId="0" fontId="10" fillId="2" borderId="2" xfId="0" applyFont="1" applyFill="1" applyBorder="1" applyAlignment="1">
      <alignment horizontal="left" vertical="center" wrapText="1" indent="1"/>
    </xf>
    <xf numFmtId="0" fontId="11" fillId="0" borderId="43" xfId="0" applyFont="1" applyBorder="1" applyAlignment="1">
      <alignment horizontal="left" vertical="center" wrapText="1" indent="1"/>
    </xf>
    <xf numFmtId="0" fontId="15" fillId="0" borderId="43" xfId="0" applyFont="1" applyBorder="1" applyAlignment="1">
      <alignment horizontal="left" vertical="center" wrapText="1" indent="1"/>
    </xf>
    <xf numFmtId="0" fontId="15" fillId="0" borderId="45" xfId="0" applyFont="1" applyBorder="1" applyAlignment="1">
      <alignment horizontal="left" vertical="center" wrapText="1" indent="1"/>
    </xf>
    <xf numFmtId="0" fontId="33" fillId="9" borderId="25" xfId="14" applyFont="1" applyFill="1" applyBorder="1" applyAlignment="1">
      <alignment vertical="center" wrapText="1"/>
    </xf>
    <xf numFmtId="167" fontId="10" fillId="2" borderId="2" xfId="2" applyNumberFormat="1" applyFont="1" applyFill="1" applyBorder="1" applyAlignment="1">
      <alignment horizontal="center" vertical="center" wrapText="1"/>
    </xf>
    <xf numFmtId="0" fontId="0" fillId="0" borderId="48" xfId="0" applyBorder="1" applyAlignment="1">
      <alignment horizontal="left" vertical="center" wrapText="1" indent="1"/>
    </xf>
    <xf numFmtId="49" fontId="0" fillId="0" borderId="33" xfId="0" applyNumberFormat="1" applyBorder="1" applyAlignment="1">
      <alignment horizontal="center" vertical="center" wrapText="1"/>
    </xf>
    <xf numFmtId="49" fontId="0" fillId="0" borderId="44" xfId="0" applyNumberFormat="1" applyBorder="1" applyAlignment="1">
      <alignment horizontal="center" vertical="center" wrapText="1"/>
    </xf>
    <xf numFmtId="49" fontId="0" fillId="0" borderId="59" xfId="0" applyNumberFormat="1" applyBorder="1" applyAlignment="1">
      <alignment horizontal="center" vertical="center" wrapText="1"/>
    </xf>
    <xf numFmtId="0" fontId="0" fillId="0" borderId="42" xfId="0" applyBorder="1" applyAlignment="1">
      <alignment horizontal="left" vertical="center" indent="1"/>
    </xf>
    <xf numFmtId="0" fontId="0" fillId="0" borderId="48" xfId="0" applyBorder="1" applyAlignment="1">
      <alignment horizontal="left" vertical="center" indent="1"/>
    </xf>
    <xf numFmtId="0" fontId="0" fillId="0" borderId="44" xfId="0" applyBorder="1" applyAlignment="1">
      <alignment horizontal="center" vertical="center" wrapText="1"/>
    </xf>
    <xf numFmtId="0" fontId="0" fillId="0" borderId="58" xfId="0" applyBorder="1" applyAlignment="1">
      <alignment vertical="center"/>
    </xf>
    <xf numFmtId="0" fontId="0" fillId="0" borderId="46" xfId="0" applyBorder="1" applyAlignment="1">
      <alignment vertical="center"/>
    </xf>
    <xf numFmtId="0" fontId="0" fillId="0" borderId="33" xfId="0" applyBorder="1" applyAlignment="1">
      <alignment vertical="center" wrapText="1"/>
    </xf>
    <xf numFmtId="0" fontId="0" fillId="0" borderId="44" xfId="0" applyBorder="1" applyAlignment="1">
      <alignment vertical="center"/>
    </xf>
    <xf numFmtId="0" fontId="0" fillId="0" borderId="44" xfId="0" applyBorder="1" applyAlignment="1">
      <alignment vertical="center" wrapText="1"/>
    </xf>
    <xf numFmtId="49" fontId="0" fillId="0" borderId="33" xfId="0" applyNumberFormat="1" applyBorder="1" applyAlignment="1">
      <alignment vertical="center" wrapText="1"/>
    </xf>
    <xf numFmtId="49" fontId="0" fillId="0" borderId="44" xfId="0" applyNumberFormat="1" applyBorder="1" applyAlignment="1">
      <alignment vertical="center" wrapText="1"/>
    </xf>
    <xf numFmtId="49" fontId="0" fillId="0" borderId="52" xfId="0" applyNumberFormat="1" applyBorder="1" applyAlignment="1">
      <alignment vertical="center" wrapText="1"/>
    </xf>
    <xf numFmtId="49" fontId="0" fillId="0" borderId="59" xfId="0" applyNumberFormat="1" applyBorder="1" applyAlignment="1">
      <alignment vertical="center" wrapText="1"/>
    </xf>
    <xf numFmtId="0" fontId="0" fillId="0" borderId="1" xfId="0" applyBorder="1" applyAlignment="1">
      <alignment vertical="center"/>
    </xf>
    <xf numFmtId="0" fontId="0" fillId="0" borderId="2" xfId="0" applyBorder="1" applyAlignment="1">
      <alignment vertical="center"/>
    </xf>
    <xf numFmtId="0" fontId="0" fillId="0" borderId="2" xfId="0" applyBorder="1" applyAlignment="1">
      <alignment vertical="center" wrapText="1"/>
    </xf>
    <xf numFmtId="49" fontId="0" fillId="0" borderId="2" xfId="0" applyNumberFormat="1" applyBorder="1" applyAlignment="1">
      <alignment vertical="center" wrapText="1"/>
    </xf>
    <xf numFmtId="49" fontId="0" fillId="0" borderId="3" xfId="0" applyNumberFormat="1" applyBorder="1" applyAlignment="1">
      <alignment vertical="center" wrapText="1"/>
    </xf>
    <xf numFmtId="49" fontId="0" fillId="0" borderId="2" xfId="0" applyNumberFormat="1" applyBorder="1" applyAlignment="1">
      <alignment horizontal="center" vertical="center" wrapText="1"/>
    </xf>
    <xf numFmtId="0" fontId="11" fillId="0" borderId="11" xfId="0" applyFont="1" applyBorder="1" applyAlignment="1">
      <alignment horizontal="left" vertical="center" wrapText="1" indent="1"/>
    </xf>
    <xf numFmtId="0" fontId="11" fillId="0" borderId="41" xfId="0" applyFont="1" applyFill="1" applyBorder="1" applyAlignment="1">
      <alignment vertical="center" wrapText="1"/>
    </xf>
    <xf numFmtId="0" fontId="11" fillId="0" borderId="96" xfId="0" applyFont="1" applyFill="1" applyBorder="1" applyAlignment="1">
      <alignment vertical="center" wrapText="1"/>
    </xf>
    <xf numFmtId="0" fontId="11" fillId="0" borderId="35" xfId="0" applyFont="1" applyFill="1" applyBorder="1" applyAlignment="1">
      <alignment horizontal="center" vertical="center"/>
    </xf>
    <xf numFmtId="0" fontId="10" fillId="2" borderId="3" xfId="2" applyFont="1" applyFill="1" applyBorder="1" applyAlignment="1">
      <alignment horizontal="center" vertical="center" wrapText="1"/>
    </xf>
    <xf numFmtId="0" fontId="11" fillId="0" borderId="0" xfId="0" applyFont="1" applyBorder="1" applyAlignment="1">
      <alignment horizontal="center" vertical="center" wrapText="1"/>
    </xf>
    <xf numFmtId="177" fontId="11" fillId="0" borderId="75" xfId="0" applyNumberFormat="1" applyFont="1" applyFill="1" applyBorder="1" applyAlignment="1">
      <alignment vertical="center"/>
    </xf>
    <xf numFmtId="172" fontId="11" fillId="0" borderId="75" xfId="0" applyNumberFormat="1" applyFont="1" applyFill="1" applyBorder="1" applyAlignment="1">
      <alignment vertical="center"/>
    </xf>
    <xf numFmtId="2" fontId="11" fillId="0" borderId="68" xfId="7" applyNumberFormat="1" applyFont="1" applyFill="1" applyBorder="1" applyAlignment="1">
      <alignment vertical="center"/>
    </xf>
    <xf numFmtId="0" fontId="12" fillId="0" borderId="0" xfId="0" applyNumberFormat="1" applyFont="1" applyFill="1" applyAlignment="1"/>
    <xf numFmtId="2" fontId="12" fillId="0" borderId="0" xfId="0" applyNumberFormat="1" applyFont="1" applyFill="1" applyBorder="1" applyAlignment="1"/>
    <xf numFmtId="0" fontId="63" fillId="48" borderId="117" xfId="11" applyNumberFormat="1" applyFont="1" applyFill="1" applyBorder="1" applyAlignment="1">
      <alignment horizontal="center" vertical="center" wrapText="1"/>
    </xf>
    <xf numFmtId="0" fontId="63" fillId="48" borderId="120" xfId="11" applyNumberFormat="1" applyFont="1" applyFill="1" applyBorder="1" applyAlignment="1">
      <alignment horizontal="center" vertical="center" wrapText="1"/>
    </xf>
    <xf numFmtId="0" fontId="62" fillId="0" borderId="122" xfId="11" applyNumberFormat="1" applyFont="1" applyFill="1" applyBorder="1" applyAlignment="1">
      <alignment horizontal="left"/>
    </xf>
    <xf numFmtId="3" fontId="62" fillId="0" borderId="122" xfId="11" applyNumberFormat="1" applyFont="1" applyFill="1" applyBorder="1" applyAlignment="1">
      <alignment horizontal="center" vertical="center"/>
    </xf>
    <xf numFmtId="0" fontId="63" fillId="48" borderId="117" xfId="11" applyNumberFormat="1" applyFont="1" applyFill="1" applyBorder="1" applyAlignment="1">
      <alignment horizontal="left"/>
    </xf>
    <xf numFmtId="3" fontId="63" fillId="48" borderId="117" xfId="11" applyNumberFormat="1" applyFont="1" applyFill="1" applyBorder="1" applyAlignment="1">
      <alignment horizontal="center" vertical="center"/>
    </xf>
    <xf numFmtId="0" fontId="0" fillId="0" borderId="49" xfId="0" applyBorder="1" applyAlignment="1">
      <alignment vertical="center"/>
    </xf>
    <xf numFmtId="8" fontId="0" fillId="0" borderId="99" xfId="3" applyNumberFormat="1" applyFont="1" applyBorder="1"/>
    <xf numFmtId="8" fontId="0" fillId="0" borderId="98" xfId="3" applyNumberFormat="1" applyFont="1" applyBorder="1"/>
    <xf numFmtId="8" fontId="0" fillId="0" borderId="129" xfId="3" applyNumberFormat="1" applyFont="1" applyBorder="1"/>
    <xf numFmtId="0" fontId="10" fillId="0" borderId="49" xfId="0" applyFont="1" applyBorder="1"/>
    <xf numFmtId="0" fontId="0" fillId="0" borderId="116" xfId="0" applyBorder="1" applyAlignment="1">
      <alignment horizontal="left" indent="1"/>
    </xf>
    <xf numFmtId="8" fontId="10" fillId="0" borderId="129" xfId="3" applyNumberFormat="1" applyFont="1" applyBorder="1"/>
    <xf numFmtId="0" fontId="10" fillId="0" borderId="25" xfId="0" applyFont="1" applyBorder="1" applyAlignment="1">
      <alignment horizontal="left" indent="1"/>
    </xf>
    <xf numFmtId="174" fontId="0" fillId="0" borderId="104" xfId="3" applyNumberFormat="1" applyFont="1" applyBorder="1" applyAlignment="1">
      <alignment horizontal="right" indent="1"/>
    </xf>
    <xf numFmtId="174" fontId="0" fillId="0" borderId="31" xfId="3" applyNumberFormat="1" applyFont="1" applyBorder="1" applyAlignment="1">
      <alignment horizontal="right" indent="1"/>
    </xf>
    <xf numFmtId="174" fontId="0" fillId="0" borderId="53" xfId="3" applyNumberFormat="1" applyFont="1" applyBorder="1" applyAlignment="1">
      <alignment horizontal="right" indent="1"/>
    </xf>
    <xf numFmtId="174" fontId="10" fillId="0" borderId="53" xfId="3" applyNumberFormat="1" applyFont="1" applyBorder="1" applyAlignment="1">
      <alignment horizontal="right" indent="1"/>
    </xf>
    <xf numFmtId="174" fontId="10" fillId="0" borderId="22" xfId="3" applyNumberFormat="1" applyFont="1" applyBorder="1" applyAlignment="1">
      <alignment horizontal="right" indent="1"/>
    </xf>
    <xf numFmtId="0" fontId="10" fillId="9" borderId="5" xfId="0" applyFont="1" applyFill="1" applyBorder="1" applyAlignment="1">
      <alignment horizontal="center" vertical="center" wrapText="1"/>
    </xf>
    <xf numFmtId="0" fontId="10" fillId="0" borderId="0" xfId="0" applyFont="1" applyFill="1" applyBorder="1" applyAlignment="1">
      <alignment horizontal="center" vertical="center" wrapText="1"/>
    </xf>
    <xf numFmtId="167" fontId="64" fillId="0" borderId="0" xfId="0" applyNumberFormat="1" applyFont="1" applyAlignment="1">
      <alignment vertical="center"/>
    </xf>
    <xf numFmtId="0" fontId="0" fillId="0" borderId="0" xfId="0" applyAlignment="1">
      <alignment horizontal="left" vertical="center" wrapText="1"/>
    </xf>
    <xf numFmtId="0" fontId="11" fillId="0" borderId="8" xfId="0" applyFont="1" applyBorder="1" applyAlignment="1">
      <alignment horizontal="center" vertical="center"/>
    </xf>
    <xf numFmtId="2" fontId="11" fillId="0" borderId="0" xfId="0" applyNumberFormat="1" applyFont="1"/>
    <xf numFmtId="0" fontId="10" fillId="2" borderId="104" xfId="0" applyFont="1" applyFill="1" applyBorder="1" applyAlignment="1">
      <alignment horizontal="center" vertical="center" wrapText="1"/>
    </xf>
    <xf numFmtId="0" fontId="0" fillId="0" borderId="0" xfId="0" applyFill="1" applyBorder="1" applyAlignment="1">
      <alignment horizontal="center"/>
    </xf>
    <xf numFmtId="173" fontId="0" fillId="0" borderId="22" xfId="6" applyNumberFormat="1" applyFont="1" applyBorder="1" applyAlignment="1">
      <alignment horizontal="center" vertical="center"/>
    </xf>
    <xf numFmtId="49" fontId="12" fillId="0" borderId="0" xfId="2" applyNumberFormat="1" applyFont="1" applyFill="1" applyBorder="1" applyAlignment="1">
      <alignment horizontal="center" vertical="center" wrapText="1"/>
    </xf>
    <xf numFmtId="174" fontId="11" fillId="0" borderId="40" xfId="3" applyNumberFormat="1" applyFont="1" applyFill="1" applyBorder="1" applyAlignment="1">
      <alignment horizontal="center" vertical="center" wrapText="1"/>
    </xf>
    <xf numFmtId="174" fontId="11" fillId="0" borderId="31" xfId="3" applyNumberFormat="1" applyFont="1" applyFill="1" applyBorder="1" applyAlignment="1">
      <alignment horizontal="center" vertical="center" wrapText="1"/>
    </xf>
    <xf numFmtId="174" fontId="11" fillId="0" borderId="53" xfId="3" applyNumberFormat="1" applyFont="1" applyFill="1" applyBorder="1" applyAlignment="1">
      <alignment horizontal="center" vertical="center" wrapText="1"/>
    </xf>
    <xf numFmtId="174" fontId="11" fillId="0" borderId="22" xfId="3" applyNumberFormat="1" applyFont="1" applyFill="1" applyBorder="1" applyAlignment="1">
      <alignment horizontal="center" vertical="center" wrapText="1"/>
    </xf>
    <xf numFmtId="185" fontId="11" fillId="0" borderId="0" xfId="7" applyNumberFormat="1" applyFont="1" applyFill="1" applyBorder="1" applyAlignment="1">
      <alignment horizontal="right" vertical="center" indent="1"/>
    </xf>
    <xf numFmtId="8" fontId="10" fillId="0" borderId="0" xfId="0" applyNumberFormat="1" applyFont="1" applyFill="1" applyBorder="1" applyAlignment="1">
      <alignment horizontal="right" vertical="center" indent="1"/>
    </xf>
    <xf numFmtId="9" fontId="11" fillId="0" borderId="0" xfId="7" applyFont="1" applyFill="1" applyBorder="1" applyAlignment="1">
      <alignment horizontal="right" vertical="center"/>
    </xf>
    <xf numFmtId="8" fontId="33" fillId="0" borderId="0" xfId="0" applyNumberFormat="1" applyFont="1" applyFill="1" applyBorder="1" applyAlignment="1">
      <alignment horizontal="right" vertical="center" indent="1"/>
    </xf>
    <xf numFmtId="9" fontId="11" fillId="0" borderId="0" xfId="7" applyFont="1" applyFill="1" applyBorder="1" applyAlignment="1">
      <alignment horizontal="right" vertical="center" indent="1"/>
    </xf>
    <xf numFmtId="8" fontId="11" fillId="0" borderId="0" xfId="0" applyNumberFormat="1" applyFont="1" applyFill="1" applyBorder="1" applyAlignment="1">
      <alignment horizontal="right" vertical="center" indent="1"/>
    </xf>
    <xf numFmtId="8" fontId="11" fillId="0" borderId="0" xfId="0" applyNumberFormat="1" applyFont="1" applyFill="1" applyBorder="1" applyAlignment="1">
      <alignment horizontal="right" vertical="center"/>
    </xf>
    <xf numFmtId="9" fontId="11" fillId="0" borderId="0" xfId="7" applyFont="1" applyFill="1" applyBorder="1" applyAlignment="1">
      <alignment vertical="top" wrapText="1"/>
    </xf>
    <xf numFmtId="9" fontId="13" fillId="0" borderId="0" xfId="7" applyFont="1" applyFill="1" applyBorder="1" applyAlignment="1">
      <alignment vertical="top" wrapText="1"/>
    </xf>
    <xf numFmtId="8" fontId="10" fillId="0" borderId="0" xfId="0" applyNumberFormat="1" applyFont="1" applyFill="1" applyBorder="1" applyAlignment="1">
      <alignment horizontal="right" vertical="center"/>
    </xf>
    <xf numFmtId="185" fontId="11" fillId="0" borderId="0" xfId="7" applyNumberFormat="1" applyFont="1" applyFill="1" applyBorder="1" applyAlignment="1">
      <alignment horizontal="right" vertical="center"/>
    </xf>
    <xf numFmtId="185" fontId="16" fillId="0" borderId="0" xfId="7" applyNumberFormat="1" applyFont="1" applyFill="1" applyBorder="1" applyAlignment="1">
      <alignment horizontal="right" vertical="center"/>
    </xf>
    <xf numFmtId="9" fontId="16" fillId="0" borderId="0" xfId="7" applyFont="1" applyFill="1" applyBorder="1"/>
    <xf numFmtId="0" fontId="10" fillId="0" borderId="0" xfId="0" applyFont="1" applyFill="1" applyBorder="1"/>
    <xf numFmtId="10" fontId="16" fillId="0" borderId="0" xfId="7" applyNumberFormat="1" applyFont="1" applyFill="1" applyBorder="1" applyAlignment="1">
      <alignment horizontal="right" vertical="center"/>
    </xf>
    <xf numFmtId="9" fontId="16" fillId="0" borderId="0" xfId="7" applyFont="1" applyFill="1" applyBorder="1" applyAlignment="1">
      <alignment horizontal="right" vertical="center" indent="1"/>
    </xf>
    <xf numFmtId="10" fontId="11" fillId="0" borderId="0" xfId="7" applyNumberFormat="1" applyFont="1" applyFill="1" applyBorder="1" applyAlignment="1">
      <alignment vertical="center"/>
    </xf>
    <xf numFmtId="8" fontId="11" fillId="0" borderId="0" xfId="0" applyNumberFormat="1" applyFont="1" applyFill="1" applyBorder="1" applyAlignment="1">
      <alignment horizontal="center" vertical="center"/>
    </xf>
    <xf numFmtId="9" fontId="11" fillId="0" borderId="0" xfId="7" applyFont="1" applyFill="1" applyBorder="1"/>
    <xf numFmtId="174" fontId="11" fillId="10" borderId="81" xfId="3" applyNumberFormat="1" applyFont="1" applyFill="1" applyBorder="1" applyAlignment="1">
      <alignment vertical="center"/>
    </xf>
    <xf numFmtId="0" fontId="11" fillId="0" borderId="65" xfId="0" applyFont="1" applyBorder="1" applyAlignment="1">
      <alignment vertical="center" wrapText="1"/>
    </xf>
    <xf numFmtId="8" fontId="11" fillId="0" borderId="66" xfId="0" applyNumberFormat="1" applyFont="1" applyBorder="1" applyAlignment="1">
      <alignment horizontal="right" vertical="center" indent="1"/>
    </xf>
    <xf numFmtId="0" fontId="12" fillId="0" borderId="0" xfId="2" applyFont="1" applyAlignment="1">
      <alignment horizontal="center" vertical="center" wrapText="1"/>
    </xf>
    <xf numFmtId="0" fontId="12" fillId="0" borderId="0" xfId="2" applyFont="1" applyAlignment="1">
      <alignment vertical="center" wrapText="1"/>
    </xf>
    <xf numFmtId="0" fontId="9" fillId="0" borderId="0" xfId="57"/>
    <xf numFmtId="192" fontId="12" fillId="0" borderId="0" xfId="2" applyNumberFormat="1" applyFont="1" applyAlignment="1">
      <alignment horizontal="center" vertical="center" wrapText="1"/>
    </xf>
    <xf numFmtId="49" fontId="12" fillId="0" borderId="0" xfId="2" applyNumberFormat="1" applyFont="1" applyAlignment="1">
      <alignment vertical="center" wrapText="1"/>
    </xf>
    <xf numFmtId="49" fontId="12" fillId="0" borderId="0" xfId="2" applyNumberFormat="1" applyFont="1" applyAlignment="1">
      <alignment horizontal="center" vertical="center" wrapText="1"/>
    </xf>
    <xf numFmtId="0" fontId="11" fillId="0" borderId="0" xfId="2" applyFont="1" applyAlignment="1">
      <alignment horizontal="left" vertical="center" wrapText="1" indent="1"/>
    </xf>
    <xf numFmtId="14" fontId="11" fillId="0" borderId="0" xfId="2" applyNumberFormat="1" applyFont="1" applyAlignment="1">
      <alignment horizontal="right" vertical="center" wrapText="1" indent="1"/>
    </xf>
    <xf numFmtId="167" fontId="11" fillId="0" borderId="0" xfId="2" applyNumberFormat="1" applyFont="1" applyAlignment="1">
      <alignment horizontal="left" vertical="center" wrapText="1" indent="1"/>
    </xf>
    <xf numFmtId="0" fontId="11" fillId="0" borderId="0" xfId="2" applyFont="1" applyAlignment="1">
      <alignment vertical="center" wrapText="1"/>
    </xf>
    <xf numFmtId="194" fontId="11" fillId="0" borderId="0" xfId="58" applyNumberFormat="1" applyFont="1" applyBorder="1" applyAlignment="1">
      <alignment vertical="center" wrapText="1"/>
    </xf>
    <xf numFmtId="194" fontId="11" fillId="0" borderId="66" xfId="58" applyNumberFormat="1" applyFont="1" applyBorder="1" applyAlignment="1">
      <alignment vertical="center" wrapText="1"/>
    </xf>
    <xf numFmtId="195" fontId="11" fillId="0" borderId="66" xfId="58" applyNumberFormat="1" applyFont="1" applyFill="1" applyBorder="1" applyAlignment="1">
      <alignment vertical="center" wrapText="1"/>
    </xf>
    <xf numFmtId="169" fontId="10" fillId="0" borderId="66" xfId="58" applyNumberFormat="1" applyFont="1" applyBorder="1" applyAlignment="1">
      <alignment vertical="center" wrapText="1"/>
    </xf>
    <xf numFmtId="0" fontId="65" fillId="2" borderId="22" xfId="57" applyFont="1" applyFill="1" applyBorder="1" applyAlignment="1">
      <alignment horizontal="center" vertical="center" wrapText="1"/>
    </xf>
    <xf numFmtId="197" fontId="66" fillId="2" borderId="58" xfId="57" applyNumberFormat="1" applyFont="1" applyFill="1" applyBorder="1" applyAlignment="1">
      <alignment horizontal="center" vertical="center" textRotation="90"/>
    </xf>
    <xf numFmtId="0" fontId="65" fillId="2" borderId="49" xfId="57" applyFont="1" applyFill="1" applyBorder="1" applyAlignment="1">
      <alignment horizontal="center" vertical="center" wrapText="1"/>
    </xf>
    <xf numFmtId="1" fontId="10" fillId="2" borderId="22" xfId="57" applyNumberFormat="1" applyFont="1" applyFill="1" applyBorder="1" applyAlignment="1">
      <alignment horizontal="center" vertical="center"/>
    </xf>
    <xf numFmtId="0" fontId="13" fillId="0" borderId="0" xfId="2" applyFont="1" applyAlignment="1">
      <alignment vertical="center" wrapText="1"/>
    </xf>
    <xf numFmtId="0" fontId="11" fillId="0" borderId="0" xfId="57" applyFont="1" applyAlignment="1">
      <alignment horizontal="center" vertical="center"/>
    </xf>
    <xf numFmtId="0" fontId="11" fillId="0" borderId="0" xfId="57" applyFont="1" applyAlignment="1">
      <alignment vertical="center"/>
    </xf>
    <xf numFmtId="193" fontId="65" fillId="2" borderId="22" xfId="57" applyNumberFormat="1" applyFont="1" applyFill="1" applyBorder="1" applyAlignment="1">
      <alignment horizontal="center" vertical="center" wrapText="1"/>
    </xf>
    <xf numFmtId="2" fontId="12" fillId="0" borderId="0" xfId="0" applyNumberFormat="1" applyFont="1" applyAlignment="1">
      <alignment horizontal="center" vertical="center"/>
    </xf>
    <xf numFmtId="0" fontId="0" fillId="0" borderId="8" xfId="0" applyBorder="1"/>
    <xf numFmtId="0" fontId="0" fillId="0" borderId="9" xfId="0" applyBorder="1"/>
    <xf numFmtId="0" fontId="11" fillId="0" borderId="5" xfId="0" applyFont="1" applyBorder="1" applyAlignment="1">
      <alignment horizontal="left" vertical="center" indent="1"/>
    </xf>
    <xf numFmtId="0" fontId="17" fillId="0" borderId="0" xfId="0" applyFont="1" applyFill="1" applyBorder="1" applyAlignment="1">
      <alignment horizontal="center" vertical="center"/>
    </xf>
    <xf numFmtId="0" fontId="11" fillId="9" borderId="21" xfId="0" applyFont="1" applyFill="1" applyBorder="1" applyAlignment="1">
      <alignment vertical="top" wrapText="1"/>
    </xf>
    <xf numFmtId="8" fontId="0" fillId="0" borderId="30" xfId="3" applyNumberFormat="1" applyFont="1" applyBorder="1"/>
    <xf numFmtId="8" fontId="0" fillId="0" borderId="23" xfId="3" applyNumberFormat="1" applyFont="1" applyBorder="1"/>
    <xf numFmtId="8" fontId="10" fillId="0" borderId="19" xfId="3" applyNumberFormat="1" applyFont="1" applyBorder="1"/>
    <xf numFmtId="8" fontId="0" fillId="0" borderId="37" xfId="3" applyNumberFormat="1" applyFont="1" applyBorder="1"/>
    <xf numFmtId="0" fontId="10" fillId="2" borderId="25" xfId="0" applyFont="1" applyFill="1" applyBorder="1" applyAlignment="1">
      <alignment horizontal="center" vertical="center" wrapText="1"/>
    </xf>
    <xf numFmtId="0" fontId="33" fillId="9" borderId="25" xfId="0" applyFont="1" applyFill="1" applyBorder="1" applyAlignment="1">
      <alignment vertical="top" wrapText="1"/>
    </xf>
    <xf numFmtId="0" fontId="10" fillId="2" borderId="22" xfId="0" applyFont="1" applyFill="1" applyBorder="1" applyAlignment="1">
      <alignment horizontal="center" vertical="center" wrapText="1"/>
    </xf>
    <xf numFmtId="0" fontId="33" fillId="9" borderId="49" xfId="14" applyFont="1" applyFill="1" applyBorder="1" applyAlignment="1">
      <alignment vertical="center" wrapText="1"/>
    </xf>
    <xf numFmtId="0" fontId="60" fillId="0" borderId="0" xfId="163" applyFont="1" applyAlignment="1">
      <alignment vertical="center"/>
    </xf>
    <xf numFmtId="8" fontId="60" fillId="0" borderId="0" xfId="163" applyNumberFormat="1" applyFont="1" applyAlignment="1">
      <alignment horizontal="right" vertical="center" indent="1"/>
    </xf>
    <xf numFmtId="0" fontId="60" fillId="0" borderId="0" xfId="163" applyFont="1" applyAlignment="1">
      <alignment horizontal="left" vertical="center" indent="1"/>
    </xf>
    <xf numFmtId="172" fontId="60" fillId="0" borderId="0" xfId="163" applyNumberFormat="1" applyFont="1" applyAlignment="1">
      <alignment horizontal="right" vertical="center" indent="1"/>
    </xf>
    <xf numFmtId="0" fontId="60" fillId="0" borderId="0" xfId="163" applyFont="1" applyAlignment="1">
      <alignment horizontal="center" vertical="center"/>
    </xf>
    <xf numFmtId="0" fontId="60" fillId="0" borderId="5" xfId="163" applyFont="1" applyBorder="1" applyAlignment="1">
      <alignment horizontal="left" vertical="center" indent="1"/>
    </xf>
    <xf numFmtId="172" fontId="91" fillId="64" borderId="5" xfId="163" applyNumberFormat="1" applyFont="1" applyFill="1" applyBorder="1" applyAlignment="1">
      <alignment horizontal="right" vertical="center" indent="1"/>
    </xf>
    <xf numFmtId="172" fontId="60" fillId="0" borderId="5" xfId="163" applyNumberFormat="1" applyFont="1" applyBorder="1" applyAlignment="1">
      <alignment horizontal="right" vertical="center" indent="1"/>
    </xf>
    <xf numFmtId="0" fontId="60" fillId="0" borderId="5" xfId="163" applyFont="1" applyBorder="1" applyAlignment="1">
      <alignment horizontal="center" vertical="center"/>
    </xf>
    <xf numFmtId="20" fontId="60" fillId="0" borderId="5" xfId="163" applyNumberFormat="1" applyFont="1" applyBorder="1" applyAlignment="1">
      <alignment horizontal="left" vertical="center" indent="1"/>
    </xf>
    <xf numFmtId="14" fontId="60" fillId="0" borderId="5" xfId="163" applyNumberFormat="1" applyFont="1" applyBorder="1" applyAlignment="1">
      <alignment horizontal="center" vertical="center"/>
    </xf>
    <xf numFmtId="0" fontId="92" fillId="0" borderId="0" xfId="163" applyFont="1" applyAlignment="1">
      <alignment horizontal="center" vertical="center" wrapText="1"/>
    </xf>
    <xf numFmtId="8" fontId="92" fillId="9" borderId="5" xfId="163" applyNumberFormat="1" applyFont="1" applyFill="1" applyBorder="1" applyAlignment="1">
      <alignment horizontal="center" vertical="center" wrapText="1"/>
    </xf>
    <xf numFmtId="0" fontId="92" fillId="9" borderId="5" xfId="163" applyFont="1" applyFill="1" applyBorder="1" applyAlignment="1">
      <alignment horizontal="center" vertical="center" wrapText="1"/>
    </xf>
    <xf numFmtId="172" fontId="92" fillId="9" borderId="5" xfId="163" applyNumberFormat="1" applyFont="1" applyFill="1" applyBorder="1" applyAlignment="1">
      <alignment horizontal="center" vertical="center" wrapText="1"/>
    </xf>
    <xf numFmtId="8" fontId="60" fillId="10" borderId="5" xfId="163" applyNumberFormat="1" applyFont="1" applyFill="1" applyBorder="1" applyAlignment="1">
      <alignment horizontal="center" vertical="center"/>
    </xf>
    <xf numFmtId="0" fontId="60" fillId="10" borderId="5" xfId="163" applyFont="1" applyFill="1" applyBorder="1" applyAlignment="1">
      <alignment horizontal="center" vertical="center"/>
    </xf>
    <xf numFmtId="0" fontId="60" fillId="64" borderId="0" xfId="163" applyFont="1" applyFill="1" applyAlignment="1">
      <alignment horizontal="center" vertical="center"/>
    </xf>
    <xf numFmtId="172" fontId="60" fillId="64" borderId="0" xfId="163" applyNumberFormat="1" applyFont="1" applyFill="1" applyAlignment="1">
      <alignment horizontal="center" vertical="center"/>
    </xf>
    <xf numFmtId="8" fontId="60" fillId="0" borderId="5" xfId="163" applyNumberFormat="1" applyFont="1" applyBorder="1" applyAlignment="1">
      <alignment horizontal="right" vertical="center" indent="1"/>
    </xf>
    <xf numFmtId="0" fontId="60" fillId="64" borderId="0" xfId="163" applyFont="1" applyFill="1" applyAlignment="1">
      <alignment horizontal="right" vertical="center"/>
    </xf>
    <xf numFmtId="0" fontId="60" fillId="64" borderId="0" xfId="163" applyFont="1" applyFill="1" applyAlignment="1">
      <alignment horizontal="left" vertical="center" indent="1"/>
    </xf>
    <xf numFmtId="172" fontId="60" fillId="64" borderId="0" xfId="163" applyNumberFormat="1" applyFont="1" applyFill="1" applyAlignment="1">
      <alignment horizontal="right" vertical="center"/>
    </xf>
    <xf numFmtId="172" fontId="60" fillId="64" borderId="0" xfId="163" applyNumberFormat="1" applyFont="1" applyFill="1" applyAlignment="1">
      <alignment horizontal="right" vertical="center" indent="1"/>
    </xf>
    <xf numFmtId="8" fontId="60" fillId="64" borderId="0" xfId="163" applyNumberFormat="1" applyFont="1" applyFill="1" applyAlignment="1">
      <alignment horizontal="right" vertical="center"/>
    </xf>
    <xf numFmtId="8" fontId="60" fillId="64" borderId="0" xfId="163" applyNumberFormat="1" applyFont="1" applyFill="1" applyAlignment="1">
      <alignment horizontal="right" vertical="center" indent="1"/>
    </xf>
    <xf numFmtId="0" fontId="93" fillId="0" borderId="0" xfId="163" applyFont="1" applyAlignment="1">
      <alignment vertical="center"/>
    </xf>
    <xf numFmtId="0" fontId="11" fillId="0" borderId="5" xfId="0" applyFont="1" applyBorder="1" applyAlignment="1">
      <alignment wrapText="1"/>
    </xf>
    <xf numFmtId="49" fontId="12" fillId="0" borderId="0" xfId="0" applyNumberFormat="1" applyFont="1" applyAlignment="1">
      <alignment horizontal="center" vertical="center"/>
    </xf>
    <xf numFmtId="2" fontId="12" fillId="0" borderId="0" xfId="0" applyNumberFormat="1" applyFont="1" applyAlignment="1">
      <alignment horizontal="center" vertical="center"/>
    </xf>
    <xf numFmtId="0" fontId="60" fillId="0" borderId="0" xfId="165" applyFont="1"/>
    <xf numFmtId="201" fontId="11" fillId="0" borderId="0" xfId="164" applyFont="1" applyBorder="1" applyAlignment="1">
      <alignment horizontal="center"/>
    </xf>
    <xf numFmtId="201" fontId="92" fillId="14" borderId="22" xfId="164" applyFont="1" applyFill="1" applyBorder="1" applyAlignment="1">
      <alignment horizontal="center" vertical="center"/>
    </xf>
    <xf numFmtId="0" fontId="92" fillId="14" borderId="40" xfId="165" applyFont="1" applyFill="1" applyBorder="1" applyAlignment="1">
      <alignment horizontal="left" vertical="center" indent="1"/>
    </xf>
    <xf numFmtId="0" fontId="60" fillId="0" borderId="40" xfId="165" applyFont="1" applyBorder="1" applyAlignment="1">
      <alignment horizontal="left" vertical="center" indent="1"/>
    </xf>
    <xf numFmtId="0" fontId="92" fillId="14" borderId="31" xfId="165" applyFont="1" applyFill="1" applyBorder="1" applyAlignment="1">
      <alignment horizontal="left" vertical="center" indent="1"/>
    </xf>
    <xf numFmtId="0" fontId="60" fillId="0" borderId="31" xfId="165" applyFont="1" applyBorder="1" applyAlignment="1">
      <alignment horizontal="left" vertical="center" indent="1"/>
    </xf>
    <xf numFmtId="0" fontId="81" fillId="0" borderId="0" xfId="165" applyFont="1"/>
    <xf numFmtId="0" fontId="81" fillId="0" borderId="0" xfId="165" applyFont="1" applyAlignment="1">
      <alignment vertical="center"/>
    </xf>
    <xf numFmtId="0" fontId="81" fillId="14" borderId="31" xfId="165" applyFont="1" applyFill="1" applyBorder="1"/>
    <xf numFmtId="0" fontId="81" fillId="0" borderId="31" xfId="165" applyFont="1" applyBorder="1"/>
    <xf numFmtId="0" fontId="81" fillId="14" borderId="100" xfId="165" applyFont="1" applyFill="1" applyBorder="1"/>
    <xf numFmtId="0" fontId="81" fillId="0" borderId="100" xfId="165" applyFont="1" applyBorder="1"/>
    <xf numFmtId="201" fontId="11" fillId="0" borderId="0" xfId="164" applyFont="1"/>
    <xf numFmtId="201" fontId="81" fillId="0" borderId="0" xfId="165" applyNumberFormat="1" applyFont="1"/>
    <xf numFmtId="0" fontId="60" fillId="0" borderId="0" xfId="165" applyFont="1" applyAlignment="1">
      <alignment vertical="center"/>
    </xf>
    <xf numFmtId="0" fontId="11" fillId="9" borderId="5" xfId="0" applyFont="1" applyFill="1" applyBorder="1" applyAlignment="1">
      <alignment horizontal="center"/>
    </xf>
    <xf numFmtId="0" fontId="11" fillId="9" borderId="5" xfId="0" applyFont="1" applyFill="1" applyBorder="1" applyAlignment="1">
      <alignment vertical="center" wrapText="1"/>
    </xf>
    <xf numFmtId="173" fontId="0" fillId="0" borderId="0" xfId="6" applyNumberFormat="1" applyFont="1" applyBorder="1" applyAlignment="1">
      <alignment horizontal="center" vertical="center"/>
    </xf>
    <xf numFmtId="173" fontId="0" fillId="0" borderId="137" xfId="6" applyNumberFormat="1" applyFont="1" applyFill="1" applyBorder="1" applyAlignment="1">
      <alignment horizontal="center" vertical="center"/>
    </xf>
    <xf numFmtId="173" fontId="0" fillId="0" borderId="137" xfId="6" applyNumberFormat="1" applyFont="1" applyBorder="1" applyAlignment="1">
      <alignment horizontal="center" vertical="center"/>
    </xf>
    <xf numFmtId="170" fontId="0" fillId="0" borderId="5" xfId="0" applyNumberFormat="1" applyBorder="1"/>
    <xf numFmtId="174" fontId="10" fillId="9" borderId="5" xfId="0" applyNumberFormat="1" applyFont="1" applyFill="1" applyBorder="1" applyAlignment="1">
      <alignment horizontal="center" vertical="center" wrapText="1"/>
    </xf>
    <xf numFmtId="14" fontId="0" fillId="0" borderId="5" xfId="0" applyNumberFormat="1" applyBorder="1"/>
    <xf numFmtId="4" fontId="60" fillId="0" borderId="5" xfId="0" applyNumberFormat="1" applyFont="1" applyBorder="1"/>
    <xf numFmtId="4" fontId="11" fillId="0" borderId="5" xfId="0" applyNumberFormat="1" applyFont="1" applyBorder="1"/>
    <xf numFmtId="0" fontId="10" fillId="9" borderId="5" xfId="0" applyFont="1" applyFill="1" applyBorder="1"/>
    <xf numFmtId="2" fontId="60" fillId="0" borderId="5" xfId="0" applyNumberFormat="1" applyFont="1" applyBorder="1"/>
    <xf numFmtId="171" fontId="11" fillId="0" borderId="12" xfId="2" applyNumberFormat="1" applyFont="1" applyBorder="1" applyAlignment="1">
      <alignment horizontal="center" vertical="center" wrapText="1"/>
    </xf>
    <xf numFmtId="49" fontId="12" fillId="0" borderId="0" xfId="0" applyNumberFormat="1" applyFont="1" applyAlignment="1">
      <alignment horizontal="center" vertical="center"/>
    </xf>
    <xf numFmtId="0" fontId="10" fillId="2" borderId="2" xfId="2" applyFont="1" applyFill="1" applyBorder="1" applyAlignment="1">
      <alignment horizontal="center" vertical="center" wrapText="1"/>
    </xf>
    <xf numFmtId="2" fontId="12" fillId="0" borderId="0" xfId="0" applyNumberFormat="1" applyFont="1" applyAlignment="1">
      <alignment horizontal="center" vertical="center"/>
    </xf>
    <xf numFmtId="1" fontId="14" fillId="0" borderId="21" xfId="0" applyNumberFormat="1" applyFont="1" applyBorder="1" applyAlignment="1">
      <alignment horizontal="right" vertical="center" wrapText="1"/>
    </xf>
    <xf numFmtId="0" fontId="14" fillId="2" borderId="10" xfId="2" applyFont="1" applyFill="1" applyBorder="1" applyAlignment="1">
      <alignment horizontal="left" vertical="center" wrapText="1" indent="1"/>
    </xf>
    <xf numFmtId="0" fontId="11" fillId="0" borderId="150" xfId="0" applyNumberFormat="1" applyFont="1" applyFill="1" applyBorder="1" applyAlignment="1">
      <alignment horizontal="left" vertical="center"/>
    </xf>
    <xf numFmtId="0" fontId="11" fillId="0" borderId="29" xfId="0" applyNumberFormat="1" applyFont="1" applyFill="1" applyBorder="1" applyAlignment="1">
      <alignment horizontal="left" vertical="center"/>
    </xf>
    <xf numFmtId="0" fontId="11" fillId="0" borderId="23" xfId="0" applyNumberFormat="1" applyFont="1" applyFill="1" applyBorder="1" applyAlignment="1">
      <alignment horizontal="left" vertical="center"/>
    </xf>
    <xf numFmtId="0" fontId="11" fillId="0" borderId="115" xfId="0" applyNumberFormat="1" applyFont="1" applyFill="1" applyBorder="1" applyAlignment="1">
      <alignment horizontal="left" vertical="center"/>
    </xf>
    <xf numFmtId="0" fontId="10" fillId="9" borderId="3" xfId="2" applyFont="1" applyFill="1" applyBorder="1" applyAlignment="1">
      <alignment horizontal="center" vertical="center" wrapText="1"/>
    </xf>
    <xf numFmtId="44" fontId="14" fillId="9" borderId="3" xfId="2" applyNumberFormat="1" applyFont="1" applyFill="1" applyBorder="1" applyAlignment="1">
      <alignment horizontal="center" vertical="center" wrapText="1"/>
    </xf>
    <xf numFmtId="0" fontId="92" fillId="14" borderId="31" xfId="165" applyFont="1" applyFill="1" applyBorder="1"/>
    <xf numFmtId="0" fontId="15" fillId="0" borderId="149" xfId="0" applyFont="1" applyBorder="1" applyAlignment="1">
      <alignment horizontal="center" vertical="center"/>
    </xf>
    <xf numFmtId="0" fontId="12" fillId="0" borderId="0" xfId="0" applyFont="1" applyAlignment="1">
      <alignment horizontal="center"/>
    </xf>
    <xf numFmtId="49" fontId="12" fillId="0" borderId="0" xfId="2" applyNumberFormat="1" applyFont="1" applyBorder="1" applyAlignment="1">
      <alignment horizontal="center" vertical="center" wrapText="1"/>
    </xf>
    <xf numFmtId="1" fontId="15" fillId="0" borderId="13" xfId="0" applyNumberFormat="1" applyFont="1" applyBorder="1" applyAlignment="1">
      <alignment horizontal="center" vertical="center"/>
    </xf>
    <xf numFmtId="167" fontId="10" fillId="2" borderId="1" xfId="0" applyNumberFormat="1" applyFont="1" applyFill="1" applyBorder="1" applyAlignment="1">
      <alignment horizontal="center" vertical="center" wrapText="1"/>
    </xf>
    <xf numFmtId="14" fontId="11" fillId="0" borderId="149" xfId="0" applyNumberFormat="1" applyFont="1" applyBorder="1" applyAlignment="1">
      <alignment horizontal="center" vertical="center"/>
    </xf>
    <xf numFmtId="1" fontId="11" fillId="0" borderId="13" xfId="0" applyNumberFormat="1" applyFont="1" applyBorder="1" applyAlignment="1">
      <alignment horizontal="center" vertical="center"/>
    </xf>
    <xf numFmtId="1" fontId="14" fillId="0" borderId="49" xfId="0" applyNumberFormat="1" applyFont="1" applyBorder="1" applyAlignment="1">
      <alignment horizontal="right" vertical="center" wrapText="1"/>
    </xf>
    <xf numFmtId="1" fontId="14" fillId="0" borderId="22" xfId="0" applyNumberFormat="1" applyFont="1" applyBorder="1" applyAlignment="1">
      <alignment horizontal="center" vertical="center" wrapText="1"/>
    </xf>
    <xf numFmtId="0" fontId="11" fillId="0" borderId="48" xfId="0" applyNumberFormat="1" applyFont="1" applyFill="1" applyBorder="1" applyAlignment="1">
      <alignment horizontal="left" vertical="center"/>
    </xf>
    <xf numFmtId="0" fontId="11" fillId="0" borderId="5" xfId="0" applyNumberFormat="1" applyFont="1" applyFill="1" applyBorder="1" applyAlignment="1">
      <alignment horizontal="left" vertical="center"/>
    </xf>
    <xf numFmtId="0" fontId="11" fillId="0" borderId="8" xfId="0" applyNumberFormat="1" applyFont="1" applyFill="1" applyBorder="1" applyAlignment="1">
      <alignment horizontal="left" vertical="center"/>
    </xf>
    <xf numFmtId="0" fontId="11" fillId="0" borderId="0" xfId="2" applyFont="1" applyAlignment="1">
      <alignment horizontal="center" vertical="center" wrapText="1"/>
    </xf>
    <xf numFmtId="166" fontId="11" fillId="0" borderId="23" xfId="0" applyNumberFormat="1" applyFont="1" applyFill="1" applyBorder="1" applyAlignment="1">
      <alignment horizontal="center" vertical="center"/>
    </xf>
    <xf numFmtId="0" fontId="11" fillId="9" borderId="7" xfId="0" applyFont="1" applyFill="1" applyBorder="1" applyAlignment="1">
      <alignment horizontal="center" vertical="center"/>
    </xf>
    <xf numFmtId="0" fontId="11" fillId="9" borderId="18" xfId="0" applyFont="1" applyFill="1" applyBorder="1" applyAlignment="1">
      <alignment vertical="center" wrapText="1"/>
    </xf>
    <xf numFmtId="44" fontId="11" fillId="0" borderId="0" xfId="4" applyFont="1" applyBorder="1" applyAlignment="1">
      <alignment horizontal="right" vertical="center" wrapText="1"/>
    </xf>
    <xf numFmtId="167" fontId="11" fillId="0" borderId="0" xfId="2" applyNumberFormat="1" applyFont="1" applyAlignment="1">
      <alignment horizontal="center" vertical="center" wrapText="1"/>
    </xf>
    <xf numFmtId="2" fontId="92" fillId="5" borderId="10" xfId="0" applyNumberFormat="1" applyFont="1" applyFill="1" applyBorder="1" applyAlignment="1">
      <alignment horizontal="center" vertical="center"/>
    </xf>
    <xf numFmtId="203" fontId="92" fillId="0" borderId="25" xfId="0" applyNumberFormat="1" applyFont="1" applyBorder="1" applyAlignment="1">
      <alignment horizontal="center" vertical="center"/>
    </xf>
    <xf numFmtId="2" fontId="92" fillId="9" borderId="10" xfId="0" applyNumberFormat="1" applyFont="1" applyFill="1" applyBorder="1" applyAlignment="1">
      <alignment horizontal="center" vertical="center"/>
    </xf>
    <xf numFmtId="0" fontId="96" fillId="0" borderId="25" xfId="0" applyFont="1" applyBorder="1" applyAlignment="1">
      <alignment horizontal="center" vertical="center"/>
    </xf>
    <xf numFmtId="2" fontId="92" fillId="64" borderId="10" xfId="0" applyNumberFormat="1" applyFont="1" applyFill="1" applyBorder="1" applyAlignment="1">
      <alignment horizontal="center" vertical="center"/>
    </xf>
    <xf numFmtId="0" fontId="10" fillId="65" borderId="4" xfId="11" applyFont="1" applyFill="1" applyBorder="1" applyAlignment="1">
      <alignment horizontal="center" vertical="top" wrapText="1"/>
    </xf>
    <xf numFmtId="0" fontId="10" fillId="65" borderId="5" xfId="11" applyFont="1" applyFill="1" applyBorder="1" applyAlignment="1">
      <alignment horizontal="center" vertical="top" wrapText="1"/>
    </xf>
    <xf numFmtId="14" fontId="60" fillId="0" borderId="133" xfId="0" applyNumberFormat="1" applyFont="1" applyBorder="1" applyAlignment="1">
      <alignment horizontal="center" vertical="center"/>
    </xf>
    <xf numFmtId="0" fontId="60" fillId="0" borderId="152" xfId="0" applyFont="1" applyBorder="1" applyAlignment="1">
      <alignment horizontal="center" vertical="center"/>
    </xf>
    <xf numFmtId="203" fontId="60" fillId="0" borderId="131" xfId="0" applyNumberFormat="1" applyFont="1" applyBorder="1" applyAlignment="1">
      <alignment horizontal="center" vertical="center"/>
    </xf>
    <xf numFmtId="203" fontId="60" fillId="0" borderId="133" xfId="0" applyNumberFormat="1" applyFont="1" applyBorder="1" applyAlignment="1">
      <alignment horizontal="center" vertical="center"/>
    </xf>
    <xf numFmtId="2" fontId="60" fillId="5" borderId="152" xfId="0" applyNumberFormat="1" applyFont="1" applyFill="1" applyBorder="1" applyAlignment="1">
      <alignment horizontal="center" vertical="center"/>
    </xf>
    <xf numFmtId="2" fontId="60" fillId="9" borderId="152" xfId="0" applyNumberFormat="1" applyFont="1" applyFill="1" applyBorder="1" applyAlignment="1">
      <alignment horizontal="center" vertical="center"/>
    </xf>
    <xf numFmtId="0" fontId="97" fillId="0" borderId="131" xfId="0" applyFont="1" applyBorder="1" applyAlignment="1">
      <alignment horizontal="center" vertical="center"/>
    </xf>
    <xf numFmtId="0" fontId="60" fillId="0" borderId="153" xfId="0" applyFont="1" applyBorder="1" applyAlignment="1">
      <alignment horizontal="center" vertical="center"/>
    </xf>
    <xf numFmtId="0" fontId="60" fillId="0" borderId="131" xfId="0" applyFont="1" applyBorder="1" applyAlignment="1">
      <alignment horizontal="center"/>
    </xf>
    <xf numFmtId="0" fontId="60" fillId="0" borderId="154" xfId="0" applyFont="1" applyBorder="1" applyAlignment="1">
      <alignment horizontal="center"/>
    </xf>
    <xf numFmtId="0" fontId="60" fillId="0" borderId="133" xfId="0" applyFont="1" applyBorder="1" applyAlignment="1">
      <alignment horizontal="center"/>
    </xf>
    <xf numFmtId="0" fontId="60" fillId="64" borderId="133" xfId="0" applyFont="1" applyFill="1" applyBorder="1" applyAlignment="1">
      <alignment horizontal="center"/>
    </xf>
    <xf numFmtId="44" fontId="60" fillId="0" borderId="133" xfId="0" applyNumberFormat="1" applyFont="1" applyBorder="1" applyAlignment="1">
      <alignment horizontal="center"/>
    </xf>
    <xf numFmtId="2" fontId="60" fillId="0" borderId="133" xfId="0" applyNumberFormat="1" applyFont="1" applyBorder="1" applyAlignment="1">
      <alignment horizontal="center"/>
    </xf>
    <xf numFmtId="2" fontId="60" fillId="64" borderId="133" xfId="0" applyNumberFormat="1" applyFont="1" applyFill="1" applyBorder="1" applyAlignment="1">
      <alignment horizontal="center"/>
    </xf>
    <xf numFmtId="0" fontId="10" fillId="0" borderId="0" xfId="2" applyFont="1" applyAlignment="1">
      <alignment vertical="top"/>
    </xf>
    <xf numFmtId="14" fontId="60" fillId="0" borderId="155" xfId="0" applyNumberFormat="1" applyFont="1" applyBorder="1" applyAlignment="1">
      <alignment horizontal="center" vertical="center"/>
    </xf>
    <xf numFmtId="0" fontId="60" fillId="0" borderId="156" xfId="0" applyFont="1" applyBorder="1" applyAlignment="1">
      <alignment horizontal="center" vertical="center"/>
    </xf>
    <xf numFmtId="203" fontId="60" fillId="0" borderId="157" xfId="0" applyNumberFormat="1" applyFont="1" applyBorder="1" applyAlignment="1">
      <alignment horizontal="center" vertical="center"/>
    </xf>
    <xf numFmtId="203" fontId="60" fillId="0" borderId="155" xfId="0" applyNumberFormat="1" applyFont="1" applyBorder="1" applyAlignment="1">
      <alignment horizontal="center" vertical="center"/>
    </xf>
    <xf numFmtId="2" fontId="60" fillId="5" borderId="156" xfId="0" applyNumberFormat="1" applyFont="1" applyFill="1" applyBorder="1" applyAlignment="1">
      <alignment horizontal="center" vertical="center"/>
    </xf>
    <xf numFmtId="2" fontId="60" fillId="66" borderId="156" xfId="0" applyNumberFormat="1" applyFont="1" applyFill="1" applyBorder="1" applyAlignment="1">
      <alignment horizontal="center" vertical="center"/>
    </xf>
    <xf numFmtId="0" fontId="97" fillId="0" borderId="157" xfId="0" applyFont="1" applyBorder="1" applyAlignment="1">
      <alignment horizontal="center" vertical="center"/>
    </xf>
    <xf numFmtId="0" fontId="60" fillId="0" borderId="158" xfId="0" applyFont="1" applyBorder="1" applyAlignment="1">
      <alignment horizontal="center" vertical="center"/>
    </xf>
    <xf numFmtId="0" fontId="60" fillId="0" borderId="157" xfId="0" applyFont="1" applyBorder="1" applyAlignment="1">
      <alignment horizontal="center"/>
    </xf>
    <xf numFmtId="0" fontId="60" fillId="0" borderId="159" xfId="0" applyFont="1" applyBorder="1" applyAlignment="1">
      <alignment horizontal="center"/>
    </xf>
    <xf numFmtId="0" fontId="60" fillId="0" borderId="155" xfId="0" applyFont="1" applyBorder="1" applyAlignment="1">
      <alignment horizontal="center"/>
    </xf>
    <xf numFmtId="0" fontId="60" fillId="64" borderId="155" xfId="0" applyFont="1" applyFill="1" applyBorder="1" applyAlignment="1">
      <alignment horizontal="center"/>
    </xf>
    <xf numFmtId="44" fontId="60" fillId="0" borderId="155" xfId="0" applyNumberFormat="1" applyFont="1" applyBorder="1" applyAlignment="1">
      <alignment horizontal="center"/>
    </xf>
    <xf numFmtId="2" fontId="60" fillId="0" borderId="155" xfId="0" applyNumberFormat="1" applyFont="1" applyBorder="1" applyAlignment="1">
      <alignment horizontal="center"/>
    </xf>
    <xf numFmtId="2" fontId="60" fillId="64" borderId="155" xfId="0" applyNumberFormat="1" applyFont="1" applyFill="1" applyBorder="1" applyAlignment="1">
      <alignment horizontal="center"/>
    </xf>
    <xf numFmtId="2" fontId="60" fillId="66" borderId="152" xfId="0" applyNumberFormat="1" applyFont="1" applyFill="1" applyBorder="1" applyAlignment="1">
      <alignment horizontal="center" vertical="center"/>
    </xf>
    <xf numFmtId="44" fontId="60" fillId="67" borderId="133" xfId="0" applyNumberFormat="1" applyFont="1" applyFill="1" applyBorder="1" applyAlignment="1">
      <alignment horizontal="center"/>
    </xf>
    <xf numFmtId="0" fontId="11" fillId="0" borderId="0" xfId="2" applyFont="1" applyFill="1" applyBorder="1" applyAlignment="1">
      <alignment horizontal="left" vertical="center"/>
    </xf>
    <xf numFmtId="0" fontId="11" fillId="0" borderId="0" xfId="2" applyFont="1" applyFill="1" applyBorder="1" applyAlignment="1">
      <alignment horizontal="center" vertical="center"/>
    </xf>
    <xf numFmtId="167" fontId="11" fillId="0" borderId="0" xfId="2" applyNumberFormat="1" applyFont="1" applyFill="1" applyBorder="1" applyAlignment="1">
      <alignment horizontal="left" vertical="center"/>
    </xf>
    <xf numFmtId="44" fontId="11" fillId="0" borderId="0" xfId="4" applyFont="1" applyFill="1" applyBorder="1" applyAlignment="1">
      <alignment horizontal="right" vertical="center"/>
    </xf>
    <xf numFmtId="0" fontId="11" fillId="0" borderId="0" xfId="2" applyFont="1" applyFill="1" applyBorder="1" applyAlignment="1">
      <alignment vertical="center"/>
    </xf>
    <xf numFmtId="169" fontId="11" fillId="0" borderId="0" xfId="2" applyNumberFormat="1" applyFont="1" applyFill="1" applyBorder="1" applyAlignment="1">
      <alignment horizontal="center" vertical="center"/>
    </xf>
    <xf numFmtId="1" fontId="11" fillId="0" borderId="0" xfId="2" applyNumberFormat="1" applyFont="1" applyFill="1" applyBorder="1" applyAlignment="1">
      <alignment horizontal="center" vertical="center"/>
    </xf>
    <xf numFmtId="0" fontId="25" fillId="0" borderId="0" xfId="2" applyFont="1" applyBorder="1" applyAlignment="1">
      <alignment vertical="center" wrapText="1"/>
    </xf>
    <xf numFmtId="44" fontId="60" fillId="67" borderId="156" xfId="0" applyNumberFormat="1" applyFont="1" applyFill="1" applyBorder="1" applyAlignment="1">
      <alignment horizontal="center"/>
    </xf>
    <xf numFmtId="44" fontId="60" fillId="9" borderId="152" xfId="0" applyNumberFormat="1" applyFont="1" applyFill="1" applyBorder="1" applyAlignment="1">
      <alignment horizontal="center"/>
    </xf>
    <xf numFmtId="44" fontId="60" fillId="67" borderId="152" xfId="0" applyNumberFormat="1" applyFont="1" applyFill="1" applyBorder="1" applyAlignment="1">
      <alignment horizontal="center"/>
    </xf>
    <xf numFmtId="0" fontId="15" fillId="0" borderId="48" xfId="2" applyFont="1" applyBorder="1" applyAlignment="1">
      <alignment vertical="center" wrapText="1"/>
    </xf>
    <xf numFmtId="0" fontId="11" fillId="0" borderId="48" xfId="2" applyFont="1" applyBorder="1" applyAlignment="1">
      <alignment vertical="center" wrapText="1"/>
    </xf>
    <xf numFmtId="0" fontId="15" fillId="0" borderId="149" xfId="2" applyFont="1" applyBorder="1" applyAlignment="1">
      <alignment vertical="center" wrapText="1"/>
    </xf>
    <xf numFmtId="0" fontId="15" fillId="0" borderId="160" xfId="2" applyFont="1" applyBorder="1" applyAlignment="1">
      <alignment vertical="center" wrapText="1"/>
    </xf>
    <xf numFmtId="0" fontId="15" fillId="0" borderId="155" xfId="2" applyFont="1" applyBorder="1" applyAlignment="1">
      <alignment vertical="center" wrapText="1"/>
    </xf>
    <xf numFmtId="0" fontId="15" fillId="0" borderId="133" xfId="2" applyFont="1" applyBorder="1" applyAlignment="1">
      <alignment vertical="center" wrapText="1"/>
    </xf>
    <xf numFmtId="0" fontId="15" fillId="0" borderId="162" xfId="2" applyFont="1" applyBorder="1" applyAlignment="1">
      <alignment vertical="center" wrapText="1"/>
    </xf>
    <xf numFmtId="0" fontId="11" fillId="0" borderId="160" xfId="2" applyFont="1" applyBorder="1" applyAlignment="1">
      <alignment vertical="center" wrapText="1"/>
    </xf>
    <xf numFmtId="0" fontId="15" fillId="0" borderId="163" xfId="2" applyFont="1" applyBorder="1" applyAlignment="1">
      <alignment vertical="center" wrapText="1"/>
    </xf>
    <xf numFmtId="0" fontId="25" fillId="0" borderId="0" xfId="0" applyFont="1"/>
    <xf numFmtId="0" fontId="10" fillId="2" borderId="32" xfId="0" applyFont="1" applyFill="1" applyBorder="1" applyAlignment="1">
      <alignment horizontal="center" vertical="center" wrapText="1"/>
    </xf>
    <xf numFmtId="169" fontId="11" fillId="0" borderId="47" xfId="2" applyNumberFormat="1" applyFont="1" applyFill="1" applyBorder="1" applyAlignment="1">
      <alignment horizontal="right" vertical="center" wrapText="1" indent="2"/>
    </xf>
    <xf numFmtId="169" fontId="11" fillId="0" borderId="6" xfId="2" applyNumberFormat="1" applyFont="1" applyFill="1" applyBorder="1" applyAlignment="1">
      <alignment horizontal="right" vertical="center" wrapText="1" indent="2"/>
    </xf>
    <xf numFmtId="169" fontId="11" fillId="0" borderId="9" xfId="2" applyNumberFormat="1" applyFont="1" applyFill="1" applyBorder="1" applyAlignment="1">
      <alignment horizontal="right" vertical="center" wrapText="1" indent="2"/>
    </xf>
    <xf numFmtId="0" fontId="37" fillId="14" borderId="32" xfId="0" applyFont="1" applyFill="1" applyBorder="1" applyAlignment="1">
      <alignment horizontal="center" vertical="center" wrapText="1"/>
    </xf>
    <xf numFmtId="0" fontId="67" fillId="0" borderId="0" xfId="0" applyFont="1"/>
    <xf numFmtId="0" fontId="43" fillId="0" borderId="0" xfId="0" applyFont="1"/>
    <xf numFmtId="177" fontId="11" fillId="10" borderId="75" xfId="0" applyNumberFormat="1" applyFont="1" applyFill="1" applyBorder="1" applyAlignment="1">
      <alignment vertical="center"/>
    </xf>
    <xf numFmtId="0" fontId="11" fillId="0" borderId="24" xfId="0" applyFont="1" applyFill="1" applyBorder="1" applyAlignment="1">
      <alignment horizontal="center" vertical="center"/>
    </xf>
    <xf numFmtId="0" fontId="37" fillId="15" borderId="135" xfId="0" applyFont="1" applyFill="1" applyBorder="1" applyAlignment="1">
      <alignment horizontal="center" vertical="center" wrapText="1"/>
    </xf>
    <xf numFmtId="0" fontId="37" fillId="15" borderId="51" xfId="0" applyFont="1" applyFill="1" applyBorder="1" applyAlignment="1">
      <alignment horizontal="center" vertical="center" wrapText="1"/>
    </xf>
    <xf numFmtId="0" fontId="37" fillId="15" borderId="45" xfId="0" applyFont="1" applyFill="1" applyBorder="1" applyAlignment="1">
      <alignment horizontal="center" vertical="center" wrapText="1"/>
    </xf>
    <xf numFmtId="0" fontId="37" fillId="4" borderId="135" xfId="0" applyFont="1" applyFill="1" applyBorder="1" applyAlignment="1">
      <alignment horizontal="center" vertical="center" wrapText="1"/>
    </xf>
    <xf numFmtId="0" fontId="37" fillId="4" borderId="51" xfId="0" applyFont="1" applyFill="1" applyBorder="1" applyAlignment="1">
      <alignment horizontal="center" vertical="center" wrapText="1"/>
    </xf>
    <xf numFmtId="0" fontId="37" fillId="4" borderId="45" xfId="0" applyFont="1" applyFill="1" applyBorder="1" applyAlignment="1">
      <alignment horizontal="center" vertical="center" wrapText="1"/>
    </xf>
    <xf numFmtId="0" fontId="37" fillId="15" borderId="54" xfId="0" applyFont="1" applyFill="1" applyBorder="1" applyAlignment="1">
      <alignment horizontal="center" vertical="center" wrapText="1"/>
    </xf>
    <xf numFmtId="0" fontId="37" fillId="15" borderId="41" xfId="0" applyFont="1" applyFill="1" applyBorder="1" applyAlignment="1">
      <alignment horizontal="center" vertical="center" wrapText="1"/>
    </xf>
    <xf numFmtId="0" fontId="37" fillId="15" borderId="18" xfId="0" applyFont="1" applyFill="1" applyBorder="1" applyAlignment="1">
      <alignment horizontal="center" vertical="center" wrapText="1"/>
    </xf>
    <xf numFmtId="49" fontId="99" fillId="0" borderId="0" xfId="0" applyNumberFormat="1" applyFont="1" applyAlignment="1">
      <alignment horizontal="left"/>
    </xf>
    <xf numFmtId="49" fontId="16" fillId="0" borderId="0" xfId="0" applyNumberFormat="1" applyFont="1" applyAlignment="1">
      <alignment horizontal="center"/>
    </xf>
    <xf numFmtId="49" fontId="65" fillId="0" borderId="0" xfId="0" applyNumberFormat="1" applyFont="1" applyAlignment="1">
      <alignment horizontal="center"/>
    </xf>
    <xf numFmtId="0" fontId="16" fillId="0" borderId="0" xfId="0" applyFont="1"/>
    <xf numFmtId="49" fontId="16" fillId="0" borderId="0" xfId="0" applyNumberFormat="1" applyFont="1" applyAlignment="1">
      <alignment horizontal="left"/>
    </xf>
    <xf numFmtId="0" fontId="0" fillId="0" borderId="0" xfId="0" applyFill="1" applyBorder="1"/>
    <xf numFmtId="0" fontId="10" fillId="2" borderId="33" xfId="0" applyFont="1" applyFill="1" applyBorder="1" applyAlignment="1">
      <alignment horizontal="center" vertical="center" wrapText="1"/>
    </xf>
    <xf numFmtId="173" fontId="0" fillId="0" borderId="2" xfId="106" applyNumberFormat="1" applyFont="1" applyFill="1" applyBorder="1" applyAlignment="1">
      <alignment horizontal="center" vertical="center"/>
    </xf>
    <xf numFmtId="173" fontId="0" fillId="0" borderId="1" xfId="106" applyNumberFormat="1" applyFont="1" applyFill="1" applyBorder="1" applyAlignment="1">
      <alignment horizontal="center" vertical="center"/>
    </xf>
    <xf numFmtId="0" fontId="0" fillId="0" borderId="0" xfId="0" applyFill="1" applyAlignment="1">
      <alignment horizontal="center"/>
    </xf>
    <xf numFmtId="170" fontId="0" fillId="0" borderId="0" xfId="6" applyNumberFormat="1" applyFont="1" applyFill="1" applyBorder="1" applyAlignment="1">
      <alignment horizontal="center" vertical="center"/>
    </xf>
    <xf numFmtId="0" fontId="0" fillId="0" borderId="0" xfId="0" applyBorder="1" applyAlignment="1">
      <alignment horizontal="center"/>
    </xf>
    <xf numFmtId="2" fontId="16" fillId="0" borderId="0" xfId="0" applyNumberFormat="1" applyFont="1"/>
    <xf numFmtId="0" fontId="16" fillId="0" borderId="0" xfId="0" applyFont="1" applyAlignment="1"/>
    <xf numFmtId="0" fontId="11" fillId="0" borderId="35" xfId="0" applyFont="1" applyBorder="1" applyAlignment="1">
      <alignment horizontal="center" vertical="center"/>
    </xf>
    <xf numFmtId="0" fontId="0" fillId="0" borderId="36" xfId="0" applyBorder="1"/>
    <xf numFmtId="0" fontId="0" fillId="0" borderId="31" xfId="0" applyBorder="1"/>
    <xf numFmtId="0" fontId="0" fillId="0" borderId="0" xfId="0" applyAlignment="1">
      <alignment horizontal="center" wrapText="1"/>
    </xf>
    <xf numFmtId="0" fontId="11" fillId="69" borderId="5" xfId="0" applyNumberFormat="1" applyFont="1" applyFill="1" applyBorder="1" applyAlignment="1">
      <alignment horizontal="center" vertical="center"/>
    </xf>
    <xf numFmtId="0" fontId="16" fillId="0" borderId="0" xfId="0" applyFont="1" applyAlignment="1">
      <alignment vertical="center"/>
    </xf>
    <xf numFmtId="0" fontId="94" fillId="0" borderId="0" xfId="171" applyFont="1"/>
    <xf numFmtId="0" fontId="91" fillId="0" borderId="0" xfId="171" applyFont="1" applyAlignment="1">
      <alignment horizontal="left" vertical="center"/>
    </xf>
    <xf numFmtId="0" fontId="102" fillId="0" borderId="0" xfId="171" applyFont="1"/>
    <xf numFmtId="0" fontId="26" fillId="0" borderId="0" xfId="171" applyFont="1"/>
    <xf numFmtId="0" fontId="16" fillId="0" borderId="0" xfId="0" applyFont="1" applyAlignment="1">
      <alignment horizontal="left"/>
    </xf>
    <xf numFmtId="0" fontId="0" fillId="0" borderId="0" xfId="0" applyAlignment="1">
      <alignment vertical="center"/>
    </xf>
    <xf numFmtId="0" fontId="60" fillId="0" borderId="0" xfId="171" applyFont="1"/>
    <xf numFmtId="0" fontId="60" fillId="0" borderId="0" xfId="171" applyFont="1" applyAlignment="1">
      <alignment vertical="center"/>
    </xf>
    <xf numFmtId="0" fontId="92" fillId="0" borderId="5" xfId="171" applyFont="1" applyBorder="1" applyAlignment="1">
      <alignment horizontal="center" vertical="center"/>
    </xf>
    <xf numFmtId="4" fontId="60" fillId="0" borderId="0" xfId="173" applyNumberFormat="1" applyFont="1" applyFill="1" applyBorder="1" applyAlignment="1">
      <alignment horizontal="right" vertical="center" indent="1"/>
    </xf>
    <xf numFmtId="7" fontId="60" fillId="0" borderId="5" xfId="171" applyNumberFormat="1" applyFont="1" applyBorder="1" applyAlignment="1">
      <alignment horizontal="center" vertical="center"/>
    </xf>
    <xf numFmtId="0" fontId="60" fillId="0" borderId="0" xfId="171" applyFont="1" applyFill="1" applyBorder="1"/>
    <xf numFmtId="0" fontId="10" fillId="0" borderId="0" xfId="0" applyFont="1"/>
    <xf numFmtId="0" fontId="40" fillId="0" borderId="0" xfId="171" applyFont="1"/>
    <xf numFmtId="0" fontId="92" fillId="0" borderId="0" xfId="171" applyFont="1"/>
    <xf numFmtId="0" fontId="104" fillId="0" borderId="0" xfId="171" applyFont="1"/>
    <xf numFmtId="185" fontId="92" fillId="5" borderId="22" xfId="171" applyNumberFormat="1" applyFont="1" applyFill="1" applyBorder="1" applyAlignment="1">
      <alignment horizontal="center"/>
    </xf>
    <xf numFmtId="0" fontId="107" fillId="0" borderId="0" xfId="171" applyFont="1"/>
    <xf numFmtId="175" fontId="60" fillId="0" borderId="0" xfId="171" applyNumberFormat="1" applyFont="1"/>
    <xf numFmtId="0" fontId="98" fillId="0" borderId="0" xfId="171" applyFont="1" applyAlignment="1">
      <alignment horizontal="center"/>
    </xf>
    <xf numFmtId="0" fontId="92" fillId="10" borderId="12" xfId="171" applyFont="1" applyFill="1" applyBorder="1" applyAlignment="1">
      <alignment horizontal="center" vertical="top"/>
    </xf>
    <xf numFmtId="0" fontId="92" fillId="10" borderId="12" xfId="171" applyFont="1" applyFill="1" applyBorder="1" applyAlignment="1">
      <alignment horizontal="center" vertical="top" wrapText="1"/>
    </xf>
    <xf numFmtId="0" fontId="17" fillId="10" borderId="12" xfId="171" applyFont="1" applyFill="1" applyBorder="1" applyAlignment="1">
      <alignment horizontal="center" vertical="top" wrapText="1"/>
    </xf>
    <xf numFmtId="0" fontId="92" fillId="10" borderId="12" xfId="171" applyFont="1" applyFill="1" applyBorder="1" applyAlignment="1">
      <alignment horizontal="center" vertical="top" wrapText="1"/>
    </xf>
    <xf numFmtId="185" fontId="60" fillId="0" borderId="0" xfId="171" applyNumberFormat="1" applyFont="1"/>
    <xf numFmtId="0" fontId="92" fillId="10" borderId="149" xfId="171" applyFont="1" applyFill="1" applyBorder="1" applyAlignment="1">
      <alignment horizontal="center" vertical="top"/>
    </xf>
    <xf numFmtId="0" fontId="92" fillId="10" borderId="149" xfId="171" applyFont="1" applyFill="1" applyBorder="1" applyAlignment="1">
      <alignment horizontal="center" vertical="top" wrapText="1"/>
    </xf>
    <xf numFmtId="0" fontId="92" fillId="10" borderId="149" xfId="171" applyFont="1" applyFill="1" applyBorder="1" applyAlignment="1">
      <alignment horizontal="center" vertical="top" wrapText="1"/>
    </xf>
    <xf numFmtId="0" fontId="108" fillId="10" borderId="149" xfId="171" applyFont="1" applyFill="1" applyBorder="1" applyAlignment="1">
      <alignment horizontal="center" vertical="top"/>
    </xf>
    <xf numFmtId="0" fontId="108" fillId="10" borderId="149" xfId="171" applyFont="1" applyFill="1" applyBorder="1" applyAlignment="1">
      <alignment horizontal="center" vertical="top" wrapText="1"/>
    </xf>
    <xf numFmtId="0" fontId="109" fillId="10" borderId="149" xfId="171" applyFont="1" applyFill="1" applyBorder="1" applyAlignment="1">
      <alignment horizontal="center" vertical="top" wrapText="1"/>
    </xf>
    <xf numFmtId="0" fontId="25" fillId="10" borderId="149" xfId="171" applyFont="1" applyFill="1" applyBorder="1" applyAlignment="1">
      <alignment horizontal="center" vertical="top" wrapText="1"/>
    </xf>
    <xf numFmtId="0" fontId="108" fillId="0" borderId="0" xfId="171" applyFont="1"/>
    <xf numFmtId="0" fontId="92" fillId="10" borderId="5" xfId="171" applyFont="1" applyFill="1" applyBorder="1" applyAlignment="1">
      <alignment horizontal="center" vertical="center"/>
    </xf>
    <xf numFmtId="175" fontId="60" fillId="0" borderId="5" xfId="171" applyNumberFormat="1" applyFont="1" applyBorder="1" applyAlignment="1">
      <alignment vertical="center"/>
    </xf>
    <xf numFmtId="170" fontId="60" fillId="67" borderId="5" xfId="171" applyNumberFormat="1" applyFont="1" applyFill="1" applyBorder="1" applyAlignment="1">
      <alignment vertical="center"/>
    </xf>
    <xf numFmtId="170" fontId="26" fillId="0" borderId="5" xfId="171" applyNumberFormat="1" applyFont="1" applyBorder="1" applyAlignment="1">
      <alignment vertical="center"/>
    </xf>
    <xf numFmtId="175" fontId="60" fillId="70" borderId="5" xfId="171" applyNumberFormat="1" applyFont="1" applyFill="1" applyBorder="1" applyAlignment="1">
      <alignment vertical="center"/>
    </xf>
    <xf numFmtId="175" fontId="11" fillId="70" borderId="5" xfId="171" applyNumberFormat="1" applyFont="1" applyFill="1" applyBorder="1" applyAlignment="1">
      <alignment vertical="center"/>
    </xf>
    <xf numFmtId="10" fontId="60" fillId="0" borderId="5" xfId="173" applyNumberFormat="1" applyFont="1" applyBorder="1" applyAlignment="1">
      <alignment vertical="center"/>
    </xf>
    <xf numFmtId="175" fontId="92" fillId="10" borderId="5" xfId="171" applyNumberFormat="1" applyFont="1" applyFill="1" applyBorder="1" applyAlignment="1">
      <alignment vertical="center"/>
    </xf>
    <xf numFmtId="10" fontId="92" fillId="71" borderId="5" xfId="173" applyNumberFormat="1" applyFont="1" applyFill="1" applyBorder="1" applyAlignment="1">
      <alignment vertical="center"/>
    </xf>
    <xf numFmtId="185" fontId="92" fillId="71" borderId="5" xfId="173" applyNumberFormat="1" applyFont="1" applyFill="1" applyBorder="1" applyAlignment="1">
      <alignment vertical="center"/>
    </xf>
    <xf numFmtId="170" fontId="60" fillId="0" borderId="0" xfId="171" applyNumberFormat="1" applyFont="1"/>
    <xf numFmtId="175" fontId="60" fillId="0" borderId="0" xfId="171" applyNumberFormat="1" applyFont="1" applyAlignment="1">
      <alignment horizontal="right"/>
    </xf>
    <xf numFmtId="0" fontId="60" fillId="0" borderId="0" xfId="171" applyFont="1" applyAlignment="1">
      <alignment horizontal="right" vertical="center"/>
    </xf>
    <xf numFmtId="10" fontId="92" fillId="0" borderId="5" xfId="171" applyNumberFormat="1" applyFont="1" applyBorder="1" applyAlignment="1">
      <alignment horizontal="center" vertical="center"/>
    </xf>
    <xf numFmtId="175" fontId="60" fillId="0" borderId="0" xfId="171" applyNumberFormat="1" applyFont="1" applyAlignment="1">
      <alignment horizontal="right" vertical="center"/>
    </xf>
    <xf numFmtId="175" fontId="92" fillId="0" borderId="5" xfId="171" applyNumberFormat="1" applyFont="1" applyBorder="1" applyAlignment="1">
      <alignment horizontal="right" vertical="center"/>
    </xf>
    <xf numFmtId="0" fontId="60" fillId="0" borderId="0" xfId="171" quotePrefix="1" applyFont="1" applyAlignment="1">
      <alignment vertical="center"/>
    </xf>
    <xf numFmtId="0" fontId="111" fillId="0" borderId="0" xfId="171" applyFont="1" applyAlignment="1">
      <alignment horizontal="left"/>
    </xf>
    <xf numFmtId="0" fontId="111" fillId="0" borderId="0" xfId="171" applyFont="1" applyAlignment="1">
      <alignment horizontal="center"/>
    </xf>
    <xf numFmtId="0" fontId="60" fillId="0" borderId="0" xfId="171" applyFont="1" applyAlignment="1">
      <alignment horizontal="center"/>
    </xf>
    <xf numFmtId="170" fontId="60" fillId="0" borderId="0" xfId="171" applyNumberFormat="1" applyFont="1" applyAlignment="1">
      <alignment horizontal="center"/>
    </xf>
    <xf numFmtId="0" fontId="104" fillId="0" borderId="0" xfId="171" applyFont="1" applyAlignment="1">
      <alignment horizontal="center"/>
    </xf>
    <xf numFmtId="0" fontId="40" fillId="10" borderId="5" xfId="171" applyFont="1" applyFill="1" applyBorder="1" applyAlignment="1">
      <alignment horizontal="center" vertical="center"/>
    </xf>
    <xf numFmtId="0" fontId="40" fillId="10" borderId="0" xfId="171" applyFont="1" applyFill="1" applyAlignment="1">
      <alignment horizontal="center" vertical="center"/>
    </xf>
    <xf numFmtId="0" fontId="104" fillId="0" borderId="0" xfId="171" applyFont="1" applyAlignment="1">
      <alignment horizontal="center" vertical="center"/>
    </xf>
    <xf numFmtId="0" fontId="60" fillId="0" borderId="0" xfId="171" applyFont="1" applyAlignment="1">
      <alignment horizontal="center" vertical="center"/>
    </xf>
    <xf numFmtId="0" fontId="60" fillId="10" borderId="5" xfId="171" applyFont="1" applyFill="1" applyBorder="1" applyAlignment="1">
      <alignment horizontal="center" vertical="center" wrapText="1"/>
    </xf>
    <xf numFmtId="0" fontId="112" fillId="0" borderId="0" xfId="171" applyFont="1" applyAlignment="1">
      <alignment horizontal="left" vertical="center"/>
    </xf>
    <xf numFmtId="0" fontId="112" fillId="0" borderId="0" xfId="171" applyFont="1" applyAlignment="1">
      <alignment horizontal="center" vertical="center"/>
    </xf>
    <xf numFmtId="170" fontId="60" fillId="0" borderId="0" xfId="171" applyNumberFormat="1" applyFont="1" applyAlignment="1">
      <alignment horizontal="center" vertical="center"/>
    </xf>
    <xf numFmtId="0" fontId="92" fillId="72" borderId="33" xfId="171" applyFont="1" applyFill="1" applyBorder="1" applyAlignment="1">
      <alignment horizontal="center" vertical="top" wrapText="1"/>
    </xf>
    <xf numFmtId="0" fontId="92" fillId="72" borderId="34" xfId="171" applyFont="1" applyFill="1" applyBorder="1" applyAlignment="1">
      <alignment horizontal="center" vertical="top" wrapText="1"/>
    </xf>
    <xf numFmtId="0" fontId="92" fillId="0" borderId="0" xfId="171" applyFont="1" applyAlignment="1">
      <alignment horizontal="center"/>
    </xf>
    <xf numFmtId="0" fontId="92" fillId="5" borderId="0" xfId="171" applyFont="1" applyFill="1" applyAlignment="1">
      <alignment horizontal="center" vertical="top" wrapText="1"/>
    </xf>
    <xf numFmtId="0" fontId="92" fillId="0" borderId="0" xfId="171" applyFont="1" applyAlignment="1">
      <alignment horizontal="center" vertical="center" wrapText="1"/>
    </xf>
    <xf numFmtId="0" fontId="92" fillId="72" borderId="42" xfId="171" applyFont="1" applyFill="1" applyBorder="1" applyAlignment="1">
      <alignment horizontal="center" vertical="top" wrapText="1"/>
    </xf>
    <xf numFmtId="0" fontId="92" fillId="72" borderId="51" xfId="171" applyFont="1" applyFill="1" applyBorder="1" applyAlignment="1">
      <alignment horizontal="center" vertical="top" wrapText="1"/>
    </xf>
    <xf numFmtId="0" fontId="92" fillId="72" borderId="48" xfId="171" applyFont="1" applyFill="1" applyBorder="1" applyAlignment="1">
      <alignment horizontal="center" vertical="top" wrapText="1"/>
    </xf>
    <xf numFmtId="0" fontId="92" fillId="72" borderId="115" xfId="171" applyFont="1" applyFill="1" applyBorder="1" applyAlignment="1">
      <alignment horizontal="center" vertical="top" wrapText="1"/>
    </xf>
    <xf numFmtId="0" fontId="81" fillId="0" borderId="5" xfId="174" applyFont="1" applyBorder="1" applyAlignment="1">
      <alignment horizontal="center"/>
    </xf>
    <xf numFmtId="0" fontId="60" fillId="0" borderId="5" xfId="174" applyFont="1" applyBorder="1" applyAlignment="1">
      <alignment horizontal="center"/>
    </xf>
    <xf numFmtId="14" fontId="60" fillId="0" borderId="5" xfId="174" applyNumberFormat="1" applyFont="1" applyBorder="1" applyAlignment="1">
      <alignment horizontal="center"/>
    </xf>
    <xf numFmtId="0" fontId="60" fillId="0" borderId="5" xfId="171" applyFont="1" applyBorder="1" applyAlignment="1">
      <alignment horizontal="center"/>
    </xf>
    <xf numFmtId="170" fontId="60" fillId="0" borderId="5" xfId="171" applyNumberFormat="1" applyFont="1" applyBorder="1" applyAlignment="1">
      <alignment horizontal="center"/>
    </xf>
    <xf numFmtId="169" fontId="60" fillId="0" borderId="5" xfId="171" applyNumberFormat="1" applyFont="1" applyBorder="1" applyAlignment="1">
      <alignment horizontal="center"/>
    </xf>
    <xf numFmtId="169" fontId="60" fillId="0" borderId="23" xfId="171" applyNumberFormat="1" applyFont="1" applyBorder="1" applyAlignment="1">
      <alignment horizontal="center"/>
    </xf>
    <xf numFmtId="0" fontId="26" fillId="0" borderId="5" xfId="174" applyFont="1" applyBorder="1" applyAlignment="1">
      <alignment horizontal="center"/>
    </xf>
    <xf numFmtId="14" fontId="26" fillId="0" borderId="5" xfId="174" applyNumberFormat="1" applyFont="1" applyBorder="1" applyAlignment="1">
      <alignment horizontal="center"/>
    </xf>
    <xf numFmtId="0" fontId="60" fillId="0" borderId="51" xfId="174" applyFont="1" applyBorder="1" applyAlignment="1">
      <alignment horizontal="center"/>
    </xf>
    <xf numFmtId="0" fontId="60" fillId="0" borderId="48" xfId="174" applyFont="1" applyBorder="1" applyAlignment="1">
      <alignment horizontal="center"/>
    </xf>
    <xf numFmtId="14" fontId="26" fillId="0" borderId="48" xfId="174" applyNumberFormat="1" applyFont="1" applyBorder="1" applyAlignment="1">
      <alignment horizontal="center"/>
    </xf>
    <xf numFmtId="14" fontId="60" fillId="0" borderId="48" xfId="174" applyNumberFormat="1" applyFont="1" applyBorder="1" applyAlignment="1">
      <alignment horizontal="center"/>
    </xf>
    <xf numFmtId="170" fontId="60" fillId="0" borderId="48" xfId="171" applyNumberFormat="1" applyFont="1" applyBorder="1" applyAlignment="1">
      <alignment horizontal="center"/>
    </xf>
    <xf numFmtId="4" fontId="60" fillId="0" borderId="48" xfId="171" applyNumberFormat="1" applyFont="1" applyBorder="1" applyAlignment="1">
      <alignment horizontal="center"/>
    </xf>
    <xf numFmtId="44" fontId="60" fillId="0" borderId="115" xfId="172" applyFont="1" applyFill="1" applyBorder="1" applyAlignment="1">
      <alignment horizontal="center"/>
    </xf>
    <xf numFmtId="0" fontId="92" fillId="5" borderId="1" xfId="171" applyFont="1" applyFill="1" applyBorder="1" applyAlignment="1">
      <alignment horizontal="center" vertical="center" wrapText="1"/>
    </xf>
    <xf numFmtId="0" fontId="92" fillId="5" borderId="32" xfId="171" applyFont="1" applyFill="1" applyBorder="1" applyAlignment="1">
      <alignment horizontal="center" vertical="center" wrapText="1"/>
    </xf>
    <xf numFmtId="0" fontId="92" fillId="5" borderId="2" xfId="171" applyFont="1" applyFill="1" applyBorder="1" applyAlignment="1">
      <alignment horizontal="center" vertical="center"/>
    </xf>
    <xf numFmtId="0" fontId="92" fillId="0" borderId="0" xfId="171" applyFont="1" applyAlignment="1">
      <alignment horizontal="center" vertical="center"/>
    </xf>
    <xf numFmtId="8" fontId="60" fillId="0" borderId="0" xfId="171" applyNumberFormat="1" applyFont="1" applyAlignment="1">
      <alignment horizontal="center"/>
    </xf>
    <xf numFmtId="0" fontId="11" fillId="0" borderId="0" xfId="0" applyFont="1" applyAlignment="1">
      <alignment horizontal="left"/>
    </xf>
    <xf numFmtId="0" fontId="11" fillId="0" borderId="0" xfId="0" applyFont="1" applyAlignment="1"/>
    <xf numFmtId="44" fontId="16" fillId="0" borderId="0" xfId="0" applyNumberFormat="1" applyFont="1" applyAlignment="1">
      <alignment horizontal="center"/>
    </xf>
    <xf numFmtId="0" fontId="60" fillId="0" borderId="12" xfId="171" applyFont="1" applyBorder="1" applyAlignment="1">
      <alignment horizontal="center"/>
    </xf>
    <xf numFmtId="44" fontId="60" fillId="5" borderId="3" xfId="172" applyFont="1" applyFill="1" applyBorder="1" applyAlignment="1">
      <alignment horizontal="center" vertical="center"/>
    </xf>
    <xf numFmtId="0" fontId="92" fillId="5" borderId="137" xfId="171" applyFont="1" applyFill="1" applyBorder="1" applyAlignment="1">
      <alignment horizontal="center" vertical="top" wrapText="1"/>
    </xf>
    <xf numFmtId="0" fontId="92" fillId="5" borderId="0" xfId="171" applyFont="1" applyFill="1" applyBorder="1" applyAlignment="1">
      <alignment horizontal="center" vertical="center" wrapText="1"/>
    </xf>
    <xf numFmtId="0" fontId="92" fillId="5" borderId="0" xfId="171" applyFont="1" applyFill="1" applyBorder="1" applyAlignment="1">
      <alignment horizontal="center" vertical="center"/>
    </xf>
    <xf numFmtId="44" fontId="60" fillId="5" borderId="0" xfId="172" applyFont="1" applyFill="1" applyBorder="1" applyAlignment="1">
      <alignment horizontal="center" vertical="center"/>
    </xf>
    <xf numFmtId="0" fontId="92" fillId="0" borderId="0" xfId="171" applyFont="1" applyBorder="1" applyAlignment="1">
      <alignment horizontal="center" vertical="center"/>
    </xf>
    <xf numFmtId="0" fontId="60" fillId="4" borderId="5" xfId="171" applyFont="1" applyFill="1" applyBorder="1" applyAlignment="1">
      <alignment horizontal="center"/>
    </xf>
    <xf numFmtId="0" fontId="81" fillId="4" borderId="5" xfId="174" applyFont="1" applyFill="1" applyBorder="1" applyAlignment="1">
      <alignment horizontal="center"/>
    </xf>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center"/>
    </xf>
    <xf numFmtId="0" fontId="10" fillId="2" borderId="60" xfId="57" applyFont="1" applyFill="1" applyBorder="1" applyAlignment="1">
      <alignment horizontal="left" vertical="center" wrapText="1"/>
    </xf>
    <xf numFmtId="0" fontId="93" fillId="0" borderId="0" xfId="171" applyFont="1"/>
    <xf numFmtId="0" fontId="113" fillId="0" borderId="0" xfId="171" applyFont="1" applyAlignment="1">
      <alignment horizontal="center"/>
    </xf>
    <xf numFmtId="0" fontId="10" fillId="10" borderId="12" xfId="171" applyFont="1" applyFill="1" applyBorder="1" applyAlignment="1">
      <alignment horizontal="center" vertical="top" wrapText="1"/>
    </xf>
    <xf numFmtId="0" fontId="114" fillId="10" borderId="12" xfId="171" applyFont="1" applyFill="1" applyBorder="1" applyAlignment="1">
      <alignment horizontal="center" vertical="top" wrapText="1"/>
    </xf>
    <xf numFmtId="0" fontId="92" fillId="10" borderId="48" xfId="171" applyFont="1" applyFill="1" applyBorder="1" applyAlignment="1">
      <alignment horizontal="center" vertical="top" wrapText="1"/>
    </xf>
    <xf numFmtId="0" fontId="117" fillId="10" borderId="48" xfId="171" applyFont="1" applyFill="1" applyBorder="1" applyAlignment="1">
      <alignment horizontal="center" vertical="top" wrapText="1"/>
    </xf>
    <xf numFmtId="0" fontId="10" fillId="10" borderId="48" xfId="171" applyFont="1" applyFill="1" applyBorder="1" applyAlignment="1">
      <alignment horizontal="center" vertical="top" wrapText="1"/>
    </xf>
    <xf numFmtId="0" fontId="114" fillId="10" borderId="48" xfId="171" applyFont="1" applyFill="1" applyBorder="1" applyAlignment="1">
      <alignment horizontal="center" vertical="top" wrapText="1"/>
    </xf>
    <xf numFmtId="0" fontId="114" fillId="10" borderId="149" xfId="171" applyFont="1" applyFill="1" applyBorder="1" applyAlignment="1">
      <alignment horizontal="center" vertical="top" wrapText="1"/>
    </xf>
    <xf numFmtId="0" fontId="119" fillId="10" borderId="149" xfId="171" applyFont="1" applyFill="1" applyBorder="1" applyAlignment="1">
      <alignment horizontal="center" vertical="top" wrapText="1"/>
    </xf>
    <xf numFmtId="0" fontId="60" fillId="10" borderId="149" xfId="171" applyFont="1" applyFill="1" applyBorder="1" applyAlignment="1">
      <alignment horizontal="center" vertical="top"/>
    </xf>
    <xf numFmtId="0" fontId="120" fillId="10" borderId="149" xfId="171" applyFont="1" applyFill="1" applyBorder="1" applyAlignment="1">
      <alignment horizontal="center" vertical="top" wrapText="1"/>
    </xf>
    <xf numFmtId="170" fontId="60" fillId="70" borderId="5" xfId="171" applyNumberFormat="1" applyFont="1" applyFill="1" applyBorder="1" applyAlignment="1">
      <alignment vertical="center"/>
    </xf>
    <xf numFmtId="170" fontId="11" fillId="70" borderId="5" xfId="171" applyNumberFormat="1" applyFont="1" applyFill="1" applyBorder="1" applyAlignment="1">
      <alignment vertical="center"/>
    </xf>
    <xf numFmtId="170" fontId="60" fillId="0" borderId="5" xfId="171" applyNumberFormat="1" applyFont="1" applyBorder="1" applyAlignment="1">
      <alignment vertical="center"/>
    </xf>
    <xf numFmtId="170" fontId="121" fillId="0" borderId="5" xfId="171" applyNumberFormat="1" applyFont="1" applyBorder="1" applyAlignment="1">
      <alignment vertical="center"/>
    </xf>
    <xf numFmtId="44" fontId="60" fillId="0" borderId="5" xfId="172" applyFont="1" applyFill="1" applyBorder="1" applyAlignment="1">
      <alignment vertical="center"/>
    </xf>
    <xf numFmtId="44" fontId="60" fillId="0" borderId="5" xfId="175" applyFont="1" applyFill="1" applyBorder="1" applyAlignment="1">
      <alignment vertical="center"/>
    </xf>
    <xf numFmtId="44" fontId="121" fillId="0" borderId="5" xfId="172" applyFont="1" applyFill="1" applyBorder="1" applyAlignment="1">
      <alignment vertical="center"/>
    </xf>
    <xf numFmtId="169" fontId="60" fillId="67" borderId="5" xfId="171" applyNumberFormat="1" applyFont="1" applyFill="1" applyBorder="1" applyAlignment="1">
      <alignment vertical="center"/>
    </xf>
    <xf numFmtId="44" fontId="60" fillId="67" borderId="5" xfId="172" applyFont="1" applyFill="1" applyBorder="1" applyAlignment="1">
      <alignment vertical="center"/>
    </xf>
    <xf numFmtId="44" fontId="121" fillId="0" borderId="5" xfId="175" applyFont="1" applyFill="1" applyBorder="1" applyAlignment="1">
      <alignment vertical="center"/>
    </xf>
    <xf numFmtId="170" fontId="92" fillId="10" borderId="5" xfId="171" applyNumberFormat="1" applyFont="1" applyFill="1" applyBorder="1" applyAlignment="1">
      <alignment vertical="center"/>
    </xf>
    <xf numFmtId="170" fontId="114" fillId="10" borderId="5" xfId="171" applyNumberFormat="1" applyFont="1" applyFill="1" applyBorder="1" applyAlignment="1">
      <alignment vertical="center"/>
    </xf>
    <xf numFmtId="44" fontId="92" fillId="10" borderId="5" xfId="172" applyFont="1" applyFill="1" applyBorder="1" applyAlignment="1">
      <alignment vertical="center"/>
    </xf>
    <xf numFmtId="44" fontId="114" fillId="10" borderId="5" xfId="172" applyFont="1" applyFill="1" applyBorder="1" applyAlignment="1">
      <alignment vertical="center"/>
    </xf>
    <xf numFmtId="169" fontId="92" fillId="10" borderId="5" xfId="171" applyNumberFormat="1" applyFont="1" applyFill="1" applyBorder="1" applyAlignment="1">
      <alignment vertical="center"/>
    </xf>
    <xf numFmtId="0" fontId="11" fillId="0" borderId="0" xfId="171" applyFont="1"/>
    <xf numFmtId="0" fontId="92" fillId="67" borderId="52" xfId="171" applyFont="1" applyFill="1" applyBorder="1" applyAlignment="1">
      <alignment horizontal="center" wrapText="1"/>
    </xf>
    <xf numFmtId="0" fontId="92" fillId="67" borderId="161" xfId="171" applyFont="1" applyFill="1" applyBorder="1" applyAlignment="1">
      <alignment horizontal="center"/>
    </xf>
    <xf numFmtId="0" fontId="122" fillId="0" borderId="0" xfId="171" applyFont="1" applyAlignment="1">
      <alignment horizontal="center"/>
    </xf>
    <xf numFmtId="0" fontId="122" fillId="0" borderId="0" xfId="171" applyFont="1" applyAlignment="1">
      <alignment horizontal="center" vertical="center"/>
    </xf>
    <xf numFmtId="0" fontId="123" fillId="67" borderId="33" xfId="171" applyFont="1" applyFill="1" applyBorder="1" applyAlignment="1">
      <alignment horizontal="center" vertical="top" wrapText="1"/>
    </xf>
    <xf numFmtId="0" fontId="123" fillId="67" borderId="149" xfId="171" applyFont="1" applyFill="1" applyBorder="1" applyAlignment="1">
      <alignment horizontal="center" vertical="top" wrapText="1"/>
    </xf>
    <xf numFmtId="0" fontId="122" fillId="0" borderId="150" xfId="171" applyFont="1" applyBorder="1" applyAlignment="1">
      <alignment horizontal="center"/>
    </xf>
    <xf numFmtId="0" fontId="122" fillId="0" borderId="23" xfId="171" applyFont="1" applyBorder="1" applyAlignment="1">
      <alignment horizontal="center"/>
    </xf>
    <xf numFmtId="0" fontId="122" fillId="0" borderId="29" xfId="171" applyFont="1" applyBorder="1" applyAlignment="1">
      <alignment horizontal="center"/>
    </xf>
    <xf numFmtId="0" fontId="123" fillId="5" borderId="2" xfId="171" applyFont="1" applyFill="1" applyBorder="1" applyAlignment="1">
      <alignment horizontal="center" vertical="center"/>
    </xf>
    <xf numFmtId="0" fontId="123" fillId="5" borderId="0" xfId="171" applyFont="1" applyFill="1" applyBorder="1" applyAlignment="1">
      <alignment horizontal="center" vertical="center"/>
    </xf>
    <xf numFmtId="170" fontId="60" fillId="0" borderId="0" xfId="171" applyNumberFormat="1" applyFont="1" applyBorder="1" applyAlignment="1">
      <alignment horizontal="center"/>
    </xf>
    <xf numFmtId="44" fontId="60" fillId="0" borderId="6" xfId="172" applyFont="1" applyFill="1" applyBorder="1" applyAlignment="1">
      <alignment horizontal="center" vertical="center"/>
    </xf>
    <xf numFmtId="44" fontId="60" fillId="0" borderId="9" xfId="172" applyFont="1" applyFill="1" applyBorder="1" applyAlignment="1">
      <alignment horizontal="center" vertical="center"/>
    </xf>
    <xf numFmtId="0" fontId="122" fillId="0" borderId="5" xfId="171" applyFont="1" applyBorder="1" applyAlignment="1">
      <alignment horizontal="center"/>
    </xf>
    <xf numFmtId="186" fontId="17" fillId="0" borderId="0" xfId="6" applyNumberFormat="1" applyFont="1" applyFill="1" applyBorder="1" applyAlignment="1">
      <alignment horizontal="center" vertical="center"/>
    </xf>
    <xf numFmtId="10" fontId="17" fillId="0" borderId="0" xfId="7" applyNumberFormat="1" applyFont="1" applyFill="1" applyBorder="1" applyAlignment="1">
      <alignment horizontal="center" vertical="center"/>
    </xf>
    <xf numFmtId="0" fontId="17" fillId="0" borderId="0" xfId="0" applyFont="1" applyFill="1" applyBorder="1" applyAlignment="1">
      <alignment vertical="center" wrapText="1"/>
    </xf>
    <xf numFmtId="0" fontId="60" fillId="0" borderId="0" xfId="163" applyFont="1" applyFill="1" applyBorder="1" applyAlignment="1">
      <alignment horizontal="left" vertical="center" indent="1"/>
    </xf>
    <xf numFmtId="0" fontId="0" fillId="0" borderId="0" xfId="0" applyFill="1" applyBorder="1" applyAlignment="1">
      <alignment horizontal="left" indent="1"/>
    </xf>
    <xf numFmtId="2" fontId="0" fillId="0" borderId="0" xfId="0" applyNumberFormat="1" applyFill="1" applyBorder="1"/>
    <xf numFmtId="0" fontId="10" fillId="0" borderId="0" xfId="0" applyFont="1" applyFill="1" applyBorder="1" applyAlignment="1">
      <alignment horizontal="left" vertical="center" wrapText="1" indent="1"/>
    </xf>
    <xf numFmtId="2" fontId="10" fillId="0" borderId="0" xfId="0" applyNumberFormat="1" applyFont="1" applyFill="1" applyBorder="1" applyAlignment="1">
      <alignment horizontal="center" vertical="center" wrapText="1"/>
    </xf>
    <xf numFmtId="0" fontId="60" fillId="0" borderId="0" xfId="163" applyFont="1" applyFill="1" applyBorder="1" applyAlignment="1">
      <alignment horizontal="center" vertical="center"/>
    </xf>
    <xf numFmtId="172" fontId="60" fillId="0" borderId="0" xfId="163" applyNumberFormat="1" applyFont="1" applyFill="1" applyBorder="1" applyAlignment="1">
      <alignment horizontal="right" vertical="center" indent="1"/>
    </xf>
    <xf numFmtId="0" fontId="14" fillId="0" borderId="0" xfId="0" applyFont="1" applyFill="1" applyBorder="1"/>
    <xf numFmtId="1" fontId="81" fillId="0" borderId="22" xfId="57" applyNumberFormat="1" applyFont="1" applyBorder="1" applyAlignment="1">
      <alignment horizontal="center"/>
    </xf>
    <xf numFmtId="0" fontId="81" fillId="0" borderId="0" xfId="57" applyFont="1"/>
    <xf numFmtId="0" fontId="81" fillId="49" borderId="22" xfId="57" applyFont="1" applyFill="1" applyBorder="1" applyAlignment="1">
      <alignment horizontal="center"/>
    </xf>
    <xf numFmtId="0" fontId="81" fillId="50" borderId="22" xfId="57" applyFont="1" applyFill="1" applyBorder="1" applyAlignment="1">
      <alignment horizontal="center"/>
    </xf>
    <xf numFmtId="196" fontId="81" fillId="0" borderId="0" xfId="57" applyNumberFormat="1" applyFont="1"/>
    <xf numFmtId="14" fontId="81" fillId="0" borderId="0" xfId="57" applyNumberFormat="1" applyFont="1" applyAlignment="1">
      <alignment horizontal="right"/>
    </xf>
    <xf numFmtId="193" fontId="81" fillId="0" borderId="0" xfId="57" applyNumberFormat="1" applyFont="1"/>
    <xf numFmtId="1" fontId="81" fillId="5" borderId="22" xfId="57" applyNumberFormat="1" applyFont="1" applyFill="1" applyBorder="1" applyAlignment="1">
      <alignment horizontal="center"/>
    </xf>
    <xf numFmtId="14" fontId="81" fillId="0" borderId="0" xfId="57" applyNumberFormat="1" applyFont="1" applyAlignment="1">
      <alignment horizontal="left"/>
    </xf>
    <xf numFmtId="1" fontId="60" fillId="0" borderId="130" xfId="57" applyNumberFormat="1" applyFont="1" applyBorder="1" applyAlignment="1">
      <alignment horizontal="center"/>
    </xf>
    <xf numFmtId="0" fontId="60" fillId="0" borderId="5" xfId="57" applyFont="1" applyBorder="1" applyAlignment="1">
      <alignment horizontal="center" vertical="center"/>
    </xf>
    <xf numFmtId="1" fontId="60" fillId="0" borderId="131" xfId="57" applyNumberFormat="1" applyFont="1" applyBorder="1" applyAlignment="1">
      <alignment horizontal="center"/>
    </xf>
    <xf numFmtId="0" fontId="60" fillId="0" borderId="5" xfId="57" applyFont="1" applyBorder="1" applyAlignment="1">
      <alignment horizontal="center"/>
    </xf>
    <xf numFmtId="0" fontId="11" fillId="0" borderId="35" xfId="0" applyFont="1" applyBorder="1" applyAlignment="1">
      <alignment vertical="top" wrapText="1"/>
    </xf>
    <xf numFmtId="0" fontId="11" fillId="0" borderId="4" xfId="0" applyFont="1" applyBorder="1" applyAlignment="1">
      <alignment vertical="top" wrapText="1"/>
    </xf>
    <xf numFmtId="0" fontId="11" fillId="0" borderId="7" xfId="0" applyFont="1" applyBorder="1" applyAlignment="1">
      <alignment vertical="top" wrapText="1"/>
    </xf>
    <xf numFmtId="0" fontId="60" fillId="9" borderId="23" xfId="163" applyFont="1" applyFill="1" applyBorder="1" applyAlignment="1">
      <alignment horizontal="left" vertical="center" indent="1"/>
    </xf>
    <xf numFmtId="0" fontId="60" fillId="9" borderId="24" xfId="163" applyFont="1" applyFill="1" applyBorder="1" applyAlignment="1">
      <alignment horizontal="left" vertical="center" indent="1"/>
    </xf>
    <xf numFmtId="172" fontId="60" fillId="9" borderId="24" xfId="163" applyNumberFormat="1" applyFont="1" applyFill="1" applyBorder="1" applyAlignment="1">
      <alignment horizontal="right" vertical="center" indent="1"/>
    </xf>
    <xf numFmtId="0" fontId="10" fillId="4" borderId="1" xfId="0" applyFont="1" applyFill="1" applyBorder="1" applyAlignment="1">
      <alignment horizontal="center" vertical="center"/>
    </xf>
    <xf numFmtId="197" fontId="65" fillId="2" borderId="32" xfId="57" applyNumberFormat="1" applyFont="1" applyFill="1" applyBorder="1" applyAlignment="1">
      <alignment horizontal="center" vertical="center" textRotation="90"/>
    </xf>
    <xf numFmtId="14" fontId="60" fillId="0" borderId="36" xfId="57" applyNumberFormat="1" applyFont="1" applyBorder="1"/>
    <xf numFmtId="14" fontId="60" fillId="0" borderId="5" xfId="57" applyNumberFormat="1" applyFont="1" applyBorder="1"/>
    <xf numFmtId="0" fontId="60" fillId="0" borderId="47" xfId="57" applyFont="1" applyBorder="1" applyAlignment="1">
      <alignment horizontal="center"/>
    </xf>
    <xf numFmtId="0" fontId="60" fillId="0" borderId="6" xfId="57" applyFont="1" applyBorder="1" applyAlignment="1">
      <alignment horizontal="center"/>
    </xf>
    <xf numFmtId="0" fontId="60" fillId="0" borderId="9" xfId="57" applyFont="1" applyBorder="1" applyAlignment="1">
      <alignment horizontal="center"/>
    </xf>
    <xf numFmtId="0" fontId="60" fillId="0" borderId="31" xfId="57" applyFont="1" applyBorder="1" applyAlignment="1">
      <alignment horizontal="center"/>
    </xf>
    <xf numFmtId="0" fontId="14" fillId="2" borderId="22" xfId="0" applyFont="1" applyFill="1" applyBorder="1" applyAlignment="1">
      <alignment horizontal="center" vertical="center"/>
    </xf>
    <xf numFmtId="49" fontId="12" fillId="0" borderId="0" xfId="2" applyNumberFormat="1" applyFont="1" applyBorder="1" applyAlignment="1">
      <alignment horizontal="center" vertical="center" wrapText="1"/>
    </xf>
    <xf numFmtId="2" fontId="11" fillId="0" borderId="5" xfId="0" applyNumberFormat="1" applyFont="1" applyBorder="1"/>
    <xf numFmtId="0" fontId="12" fillId="0" borderId="0" xfId="0" applyFont="1" applyFill="1" applyAlignment="1">
      <alignment horizontal="center"/>
    </xf>
    <xf numFmtId="0" fontId="11" fillId="0" borderId="0" xfId="0" applyFont="1" applyAlignment="1">
      <alignment horizontal="left" vertical="top"/>
    </xf>
    <xf numFmtId="49" fontId="12" fillId="0" borderId="0" xfId="0" applyNumberFormat="1" applyFont="1" applyFill="1" applyAlignment="1">
      <alignment horizontal="center" vertical="center"/>
    </xf>
    <xf numFmtId="49" fontId="12" fillId="0" borderId="0" xfId="0" applyNumberFormat="1" applyFont="1" applyFill="1" applyAlignment="1">
      <alignment horizontal="center"/>
    </xf>
    <xf numFmtId="0" fontId="12" fillId="0" borderId="0" xfId="0" applyFont="1" applyAlignment="1">
      <alignment horizontal="center"/>
    </xf>
    <xf numFmtId="0" fontId="0" fillId="0" borderId="0" xfId="0" applyAlignment="1">
      <alignment vertical="center"/>
    </xf>
    <xf numFmtId="0" fontId="12" fillId="0" borderId="0" xfId="2" applyFont="1" applyAlignment="1">
      <alignment horizontal="center" vertical="center" wrapText="1"/>
    </xf>
    <xf numFmtId="0" fontId="10" fillId="0" borderId="0" xfId="2" applyFont="1" applyAlignment="1">
      <alignment horizontal="left" vertical="center" wrapText="1"/>
    </xf>
    <xf numFmtId="0" fontId="14" fillId="2" borderId="22" xfId="0" applyFont="1" applyFill="1" applyBorder="1" applyAlignment="1">
      <alignment horizontal="left" vertical="center" indent="1"/>
    </xf>
    <xf numFmtId="0" fontId="10" fillId="2" borderId="22" xfId="0" applyFont="1" applyFill="1" applyBorder="1" applyAlignment="1">
      <alignment horizontal="center" vertical="center"/>
    </xf>
    <xf numFmtId="0" fontId="16" fillId="0" borderId="0" xfId="0" applyFont="1" applyBorder="1" applyAlignment="1">
      <alignment vertical="center"/>
    </xf>
    <xf numFmtId="0" fontId="15" fillId="0" borderId="164" xfId="2" applyFont="1" applyBorder="1" applyAlignment="1">
      <alignment vertical="center" wrapText="1"/>
    </xf>
    <xf numFmtId="0" fontId="10" fillId="2" borderId="32" xfId="2" applyFont="1" applyFill="1" applyBorder="1" applyAlignment="1">
      <alignment horizontal="left" vertical="center" wrapText="1" indent="1"/>
    </xf>
    <xf numFmtId="0" fontId="11" fillId="0" borderId="138" xfId="0" applyNumberFormat="1" applyFont="1" applyFill="1" applyBorder="1" applyAlignment="1">
      <alignment horizontal="left" vertical="center" indent="1"/>
    </xf>
    <xf numFmtId="0" fontId="11" fillId="0" borderId="96" xfId="0" applyNumberFormat="1" applyFont="1" applyFill="1" applyBorder="1" applyAlignment="1">
      <alignment horizontal="left" vertical="center" indent="1"/>
    </xf>
    <xf numFmtId="0" fontId="11" fillId="0" borderId="41" xfId="0" applyNumberFormat="1" applyFont="1" applyFill="1" applyBorder="1" applyAlignment="1">
      <alignment horizontal="left" vertical="center" indent="1"/>
    </xf>
    <xf numFmtId="0" fontId="11" fillId="0" borderId="51" xfId="0" applyNumberFormat="1" applyFont="1" applyFill="1" applyBorder="1" applyAlignment="1">
      <alignment horizontal="left" vertical="center" indent="1"/>
    </xf>
    <xf numFmtId="0" fontId="11" fillId="9" borderId="3" xfId="2" applyFont="1" applyFill="1" applyBorder="1" applyAlignment="1">
      <alignment vertical="center" wrapText="1"/>
    </xf>
    <xf numFmtId="0" fontId="11" fillId="9" borderId="6" xfId="2" applyFont="1" applyFill="1" applyBorder="1" applyAlignment="1">
      <alignment vertical="center" wrapText="1"/>
    </xf>
    <xf numFmtId="169" fontId="11" fillId="9" borderId="6" xfId="3" applyNumberFormat="1" applyFont="1" applyFill="1" applyBorder="1" applyAlignment="1">
      <alignment horizontal="left" wrapText="1"/>
    </xf>
    <xf numFmtId="169" fontId="14" fillId="0" borderId="3" xfId="2" applyNumberFormat="1" applyFont="1" applyBorder="1" applyAlignment="1">
      <alignment horizontal="center" vertical="center" wrapText="1"/>
    </xf>
    <xf numFmtId="0" fontId="10" fillId="9" borderId="3" xfId="0" applyFont="1" applyFill="1" applyBorder="1" applyAlignment="1">
      <alignment horizontal="center" vertical="center" wrapText="1"/>
    </xf>
    <xf numFmtId="0" fontId="100" fillId="0" borderId="0" xfId="2" applyFont="1" applyAlignment="1">
      <alignment horizontal="left" vertical="center" wrapText="1"/>
    </xf>
    <xf numFmtId="0" fontId="16" fillId="0" borderId="35" xfId="2" applyFont="1" applyBorder="1" applyAlignment="1">
      <alignment vertical="center" wrapText="1"/>
    </xf>
    <xf numFmtId="169" fontId="10" fillId="0" borderId="0" xfId="5" applyNumberFormat="1" applyFont="1" applyBorder="1" applyAlignment="1">
      <alignment horizontal="right" vertical="center" wrapText="1"/>
    </xf>
    <xf numFmtId="0" fontId="16" fillId="0" borderId="7" xfId="2" applyFont="1" applyBorder="1" applyAlignment="1">
      <alignment vertical="center" wrapText="1"/>
    </xf>
    <xf numFmtId="0" fontId="65" fillId="0" borderId="1" xfId="2" applyFont="1" applyBorder="1" applyAlignment="1">
      <alignment vertical="center" wrapText="1"/>
    </xf>
    <xf numFmtId="49" fontId="37" fillId="9" borderId="38" xfId="9" applyNumberFormat="1" applyFont="1" applyFill="1" applyBorder="1" applyAlignment="1">
      <alignment horizontal="center"/>
    </xf>
    <xf numFmtId="0" fontId="11" fillId="9" borderId="104" xfId="2" applyFont="1" applyFill="1" applyBorder="1" applyAlignment="1">
      <alignment vertical="center"/>
    </xf>
    <xf numFmtId="0" fontId="10" fillId="2" borderId="59" xfId="2" applyFont="1" applyFill="1" applyBorder="1" applyAlignment="1">
      <alignment horizontal="center" vertical="center" textRotation="90"/>
    </xf>
    <xf numFmtId="0" fontId="10" fillId="0" borderId="0" xfId="2" applyFont="1" applyAlignment="1">
      <alignment vertical="center" wrapText="1"/>
    </xf>
    <xf numFmtId="0" fontId="11" fillId="0" borderId="13" xfId="2" applyFont="1" applyBorder="1" applyAlignment="1">
      <alignment horizontal="left" vertical="center" wrapText="1" indent="1"/>
    </xf>
    <xf numFmtId="14" fontId="11" fillId="0" borderId="149" xfId="2" applyNumberFormat="1" applyFont="1" applyBorder="1" applyAlignment="1">
      <alignment horizontal="center" vertical="center" wrapText="1"/>
    </xf>
    <xf numFmtId="20" fontId="11" fillId="0" borderId="149" xfId="2" applyNumberFormat="1" applyFont="1" applyBorder="1" applyAlignment="1">
      <alignment horizontal="left" vertical="center" wrapText="1" indent="1"/>
    </xf>
    <xf numFmtId="1" fontId="11" fillId="0" borderId="136" xfId="2" applyNumberFormat="1" applyFont="1" applyBorder="1" applyAlignment="1">
      <alignment horizontal="center" vertical="center"/>
    </xf>
    <xf numFmtId="1" fontId="11" fillId="0" borderId="149" xfId="2" applyNumberFormat="1" applyFont="1" applyBorder="1" applyAlignment="1">
      <alignment horizontal="center" vertical="center"/>
    </xf>
    <xf numFmtId="1" fontId="11" fillId="0" borderId="161" xfId="2" applyNumberFormat="1" applyFont="1" applyBorder="1" applyAlignment="1">
      <alignment horizontal="center" vertical="center" wrapText="1"/>
    </xf>
    <xf numFmtId="14" fontId="11" fillId="0" borderId="5" xfId="2" applyNumberFormat="1" applyFont="1" applyBorder="1" applyAlignment="1">
      <alignment horizontal="center" vertical="center" wrapText="1"/>
    </xf>
    <xf numFmtId="20" fontId="11" fillId="0" borderId="5" xfId="2" applyNumberFormat="1" applyFont="1" applyBorder="1" applyAlignment="1">
      <alignment horizontal="left" vertical="center" wrapText="1" indent="1"/>
    </xf>
    <xf numFmtId="1" fontId="11" fillId="0" borderId="27" xfId="2" applyNumberFormat="1" applyFont="1" applyBorder="1" applyAlignment="1">
      <alignment horizontal="center" vertical="center"/>
    </xf>
    <xf numFmtId="1" fontId="11" fillId="0" borderId="5" xfId="2" applyNumberFormat="1" applyFont="1" applyBorder="1" applyAlignment="1">
      <alignment horizontal="center" vertical="center"/>
    </xf>
    <xf numFmtId="1" fontId="11" fillId="0" borderId="6" xfId="2" applyNumberFormat="1" applyFont="1" applyBorder="1" applyAlignment="1">
      <alignment horizontal="center" vertical="center" wrapText="1"/>
    </xf>
    <xf numFmtId="14" fontId="11" fillId="0" borderId="12" xfId="2" applyNumberFormat="1" applyFont="1" applyBorder="1" applyAlignment="1">
      <alignment horizontal="center" vertical="center" wrapText="1"/>
    </xf>
    <xf numFmtId="20" fontId="11" fillId="0" borderId="12" xfId="2" applyNumberFormat="1" applyFont="1" applyBorder="1" applyAlignment="1">
      <alignment horizontal="left" vertical="center" wrapText="1" indent="1"/>
    </xf>
    <xf numFmtId="0" fontId="11" fillId="0" borderId="5" xfId="2" applyFont="1" applyBorder="1" applyAlignment="1">
      <alignment horizontal="left" vertical="center" wrapText="1" indent="1"/>
    </xf>
    <xf numFmtId="1" fontId="11" fillId="0" borderId="116" xfId="2" applyNumberFormat="1" applyFont="1" applyBorder="1" applyAlignment="1">
      <alignment horizontal="center" vertical="center"/>
    </xf>
    <xf numFmtId="1" fontId="11" fillId="0" borderId="12" xfId="2" applyNumberFormat="1" applyFont="1" applyBorder="1" applyAlignment="1">
      <alignment horizontal="center" vertical="center"/>
    </xf>
    <xf numFmtId="1" fontId="11" fillId="0" borderId="16" xfId="2" applyNumberFormat="1" applyFont="1" applyBorder="1" applyAlignment="1">
      <alignment horizontal="center" vertical="center" wrapText="1"/>
    </xf>
    <xf numFmtId="1" fontId="11" fillId="0" borderId="8" xfId="2" applyNumberFormat="1" applyFont="1" applyBorder="1" applyAlignment="1">
      <alignment horizontal="center" vertical="center"/>
    </xf>
    <xf numFmtId="167" fontId="10" fillId="2" borderId="25" xfId="2" applyNumberFormat="1" applyFont="1" applyFill="1" applyBorder="1" applyAlignment="1">
      <alignment horizontal="left" vertical="center" wrapText="1"/>
    </xf>
    <xf numFmtId="167" fontId="10" fillId="2" borderId="21" xfId="2" applyNumberFormat="1" applyFont="1" applyFill="1" applyBorder="1" applyAlignment="1">
      <alignment horizontal="center" vertical="center" wrapText="1"/>
    </xf>
    <xf numFmtId="167" fontId="10" fillId="2" borderId="21" xfId="2" applyNumberFormat="1" applyFont="1" applyFill="1" applyBorder="1" applyAlignment="1">
      <alignment horizontal="left" vertical="center" wrapText="1"/>
    </xf>
    <xf numFmtId="1" fontId="10" fillId="2" borderId="1" xfId="2" applyNumberFormat="1" applyFont="1" applyFill="1" applyBorder="1" applyAlignment="1">
      <alignment horizontal="center" vertical="center" wrapText="1"/>
    </xf>
    <xf numFmtId="1" fontId="10" fillId="2" borderId="2" xfId="2" applyNumberFormat="1" applyFont="1" applyFill="1" applyBorder="1" applyAlignment="1">
      <alignment horizontal="center" vertical="center" wrapText="1"/>
    </xf>
    <xf numFmtId="1" fontId="10" fillId="2" borderId="3" xfId="2" applyNumberFormat="1" applyFont="1" applyFill="1" applyBorder="1" applyAlignment="1">
      <alignment horizontal="center" vertical="center" wrapText="1"/>
    </xf>
    <xf numFmtId="0" fontId="10" fillId="0" borderId="0" xfId="2" applyFont="1" applyFill="1" applyBorder="1" applyAlignment="1">
      <alignment horizontal="left" vertical="center" wrapText="1"/>
    </xf>
    <xf numFmtId="0" fontId="11" fillId="0" borderId="0" xfId="2" applyFont="1" applyAlignment="1">
      <alignment horizontal="left" vertical="center"/>
    </xf>
    <xf numFmtId="0" fontId="10" fillId="9" borderId="132" xfId="2" applyFont="1" applyFill="1" applyBorder="1" applyAlignment="1">
      <alignment horizontal="center" vertical="center" textRotation="90" wrapText="1"/>
    </xf>
    <xf numFmtId="0" fontId="10" fillId="9" borderId="44" xfId="2" applyFont="1" applyFill="1" applyBorder="1" applyAlignment="1">
      <alignment horizontal="center" vertical="center" textRotation="90" wrapText="1"/>
    </xf>
    <xf numFmtId="0" fontId="10" fillId="0" borderId="0" xfId="2" applyFont="1" applyAlignment="1">
      <alignment horizontal="center" vertical="center" wrapText="1"/>
    </xf>
    <xf numFmtId="174" fontId="10" fillId="9" borderId="3" xfId="2" applyNumberFormat="1" applyFont="1" applyFill="1" applyBorder="1" applyAlignment="1">
      <alignment horizontal="center" vertical="center" wrapText="1"/>
    </xf>
    <xf numFmtId="0" fontId="16" fillId="0" borderId="42" xfId="2" applyFont="1" applyBorder="1" applyAlignment="1">
      <alignment vertical="center" wrapText="1"/>
    </xf>
    <xf numFmtId="0" fontId="16" fillId="0" borderId="58" xfId="2" applyFont="1" applyBorder="1" applyAlignment="1">
      <alignment vertical="center" wrapText="1"/>
    </xf>
    <xf numFmtId="0" fontId="16" fillId="0" borderId="22" xfId="2" applyFont="1" applyBorder="1" applyAlignment="1">
      <alignment vertical="center" wrapText="1"/>
    </xf>
    <xf numFmtId="0" fontId="10" fillId="9" borderId="59" xfId="2" applyFont="1" applyFill="1" applyBorder="1" applyAlignment="1">
      <alignment horizontal="center" vertical="center" textRotation="90" wrapText="1"/>
    </xf>
    <xf numFmtId="1" fontId="11" fillId="0" borderId="31" xfId="2" applyNumberFormat="1" applyFont="1" applyBorder="1" applyAlignment="1">
      <alignment horizontal="center" vertical="center" wrapText="1"/>
    </xf>
    <xf numFmtId="1" fontId="11" fillId="0" borderId="53" xfId="2" applyNumberFormat="1" applyFont="1" applyBorder="1" applyAlignment="1">
      <alignment horizontal="center" vertical="center" wrapText="1"/>
    </xf>
    <xf numFmtId="1" fontId="11" fillId="0" borderId="151" xfId="2" applyNumberFormat="1" applyFont="1" applyBorder="1" applyAlignment="1">
      <alignment horizontal="center" vertical="center" wrapText="1"/>
    </xf>
    <xf numFmtId="186" fontId="11" fillId="0" borderId="36" xfId="6" applyNumberFormat="1" applyFont="1" applyFill="1" applyBorder="1" applyAlignment="1">
      <alignment horizontal="center" vertical="center"/>
    </xf>
    <xf numFmtId="10" fontId="11" fillId="0" borderId="36" xfId="7" applyNumberFormat="1" applyFont="1" applyFill="1" applyBorder="1" applyAlignment="1">
      <alignment horizontal="center" vertical="center"/>
    </xf>
    <xf numFmtId="10" fontId="11" fillId="0" borderId="37" xfId="7" applyNumberFormat="1" applyFont="1" applyFill="1" applyBorder="1" applyAlignment="1">
      <alignment horizontal="center" vertical="center"/>
    </xf>
    <xf numFmtId="7" fontId="11" fillId="0" borderId="161" xfId="0" applyNumberFormat="1" applyFont="1" applyBorder="1" applyAlignment="1">
      <alignment vertical="center"/>
    </xf>
    <xf numFmtId="186" fontId="11" fillId="0" borderId="5" xfId="6" applyNumberFormat="1" applyFont="1" applyFill="1" applyBorder="1" applyAlignment="1">
      <alignment horizontal="center" vertical="center"/>
    </xf>
    <xf numFmtId="10" fontId="11" fillId="0" borderId="5" xfId="7" applyNumberFormat="1" applyFont="1" applyFill="1" applyBorder="1" applyAlignment="1">
      <alignment horizontal="center" vertical="center"/>
    </xf>
    <xf numFmtId="10" fontId="11" fillId="0" borderId="23" xfId="7" applyNumberFormat="1" applyFont="1" applyFill="1" applyBorder="1" applyAlignment="1">
      <alignment horizontal="center" vertical="center"/>
    </xf>
    <xf numFmtId="7" fontId="11" fillId="0" borderId="6" xfId="0" applyNumberFormat="1" applyFont="1" applyBorder="1" applyAlignment="1">
      <alignment vertical="center"/>
    </xf>
    <xf numFmtId="186" fontId="11" fillId="0" borderId="12" xfId="6" applyNumberFormat="1" applyFont="1" applyFill="1" applyBorder="1" applyAlignment="1">
      <alignment horizontal="center" vertical="center"/>
    </xf>
    <xf numFmtId="10" fontId="11" fillId="0" borderId="12" xfId="7" applyNumberFormat="1" applyFont="1" applyFill="1" applyBorder="1" applyAlignment="1">
      <alignment horizontal="center" vertical="center"/>
    </xf>
    <xf numFmtId="186" fontId="11" fillId="9" borderId="8" xfId="6" applyNumberFormat="1" applyFont="1" applyFill="1" applyBorder="1" applyAlignment="1">
      <alignment horizontal="center" vertical="center"/>
    </xf>
    <xf numFmtId="10" fontId="11" fillId="9" borderId="8" xfId="7" applyNumberFormat="1" applyFont="1" applyFill="1" applyBorder="1" applyAlignment="1">
      <alignment horizontal="center" vertical="center"/>
    </xf>
    <xf numFmtId="7" fontId="11" fillId="9" borderId="9" xfId="0" applyNumberFormat="1" applyFont="1" applyFill="1" applyBorder="1" applyAlignment="1">
      <alignment vertical="center"/>
    </xf>
    <xf numFmtId="0" fontId="11" fillId="0" borderId="6" xfId="0" applyFont="1" applyBorder="1" applyAlignment="1">
      <alignment horizontal="center" vertical="center" wrapText="1"/>
    </xf>
    <xf numFmtId="20" fontId="11" fillId="0" borderId="6" xfId="0" applyNumberFormat="1" applyFont="1" applyBorder="1" applyAlignment="1">
      <alignment vertical="center"/>
    </xf>
    <xf numFmtId="0" fontId="14" fillId="5" borderId="2" xfId="0" applyFont="1" applyFill="1" applyBorder="1" applyAlignment="1">
      <alignment horizontal="center" vertical="center" wrapText="1"/>
    </xf>
    <xf numFmtId="49" fontId="14" fillId="5" borderId="2" xfId="0" applyNumberFormat="1" applyFont="1" applyFill="1" applyBorder="1" applyAlignment="1">
      <alignment horizontal="center" vertical="center" wrapText="1"/>
    </xf>
    <xf numFmtId="0" fontId="14" fillId="5" borderId="3" xfId="0" applyFont="1" applyFill="1" applyBorder="1" applyAlignment="1">
      <alignment horizontal="center" vertical="center" wrapText="1"/>
    </xf>
    <xf numFmtId="0" fontId="0" fillId="0" borderId="0" xfId="0" applyAlignment="1">
      <alignment horizontal="left" vertical="top"/>
    </xf>
    <xf numFmtId="2" fontId="0" fillId="0" borderId="0" xfId="0" applyNumberFormat="1" applyAlignment="1">
      <alignment vertical="top"/>
    </xf>
    <xf numFmtId="49" fontId="12" fillId="0" borderId="0" xfId="2" applyNumberFormat="1" applyFont="1" applyAlignment="1">
      <alignment horizontal="center" vertical="center" wrapText="1"/>
    </xf>
    <xf numFmtId="169" fontId="10" fillId="0" borderId="0" xfId="2" applyNumberFormat="1" applyFont="1" applyAlignment="1">
      <alignment horizontal="center" vertical="center" wrapText="1"/>
    </xf>
    <xf numFmtId="169" fontId="10" fillId="0" borderId="0" xfId="2" applyNumberFormat="1" applyFont="1" applyAlignment="1">
      <alignment horizontal="center" vertical="center" wrapText="1"/>
    </xf>
    <xf numFmtId="49" fontId="12" fillId="0" borderId="0" xfId="2" applyNumberFormat="1" applyFont="1" applyAlignment="1">
      <alignment horizontal="center" vertical="center" wrapText="1"/>
    </xf>
    <xf numFmtId="0" fontId="10" fillId="0" borderId="0" xfId="2" applyFont="1" applyBorder="1" applyAlignment="1">
      <alignment horizontal="center" vertical="center" wrapText="1"/>
    </xf>
    <xf numFmtId="169" fontId="10" fillId="0" borderId="0" xfId="2" applyNumberFormat="1" applyFont="1" applyBorder="1" applyAlignment="1">
      <alignment horizontal="center" vertical="center" wrapText="1"/>
    </xf>
    <xf numFmtId="4" fontId="10" fillId="9" borderId="166" xfId="0" applyNumberFormat="1" applyFont="1" applyFill="1" applyBorder="1" applyAlignment="1">
      <alignment vertical="center" wrapText="1"/>
    </xf>
    <xf numFmtId="2" fontId="92" fillId="64" borderId="2" xfId="0" applyNumberFormat="1" applyFont="1" applyFill="1" applyBorder="1" applyAlignment="1">
      <alignment horizontal="center" vertical="center"/>
    </xf>
    <xf numFmtId="0" fontId="60" fillId="5" borderId="157" xfId="0" applyFont="1" applyFill="1" applyBorder="1" applyAlignment="1">
      <alignment horizontal="center"/>
    </xf>
    <xf numFmtId="0" fontId="60" fillId="5" borderId="159" xfId="0" applyFont="1" applyFill="1" applyBorder="1" applyAlignment="1">
      <alignment horizontal="center"/>
    </xf>
    <xf numFmtId="0" fontId="60" fillId="5" borderId="155" xfId="0" applyFont="1" applyFill="1" applyBorder="1" applyAlignment="1">
      <alignment horizontal="center"/>
    </xf>
    <xf numFmtId="44" fontId="60" fillId="5" borderId="155" xfId="0" applyNumberFormat="1" applyFont="1" applyFill="1" applyBorder="1" applyAlignment="1">
      <alignment horizontal="center"/>
    </xf>
    <xf numFmtId="2" fontId="60" fillId="5" borderId="155" xfId="0" applyNumberFormat="1" applyFont="1" applyFill="1" applyBorder="1" applyAlignment="1">
      <alignment horizontal="center"/>
    </xf>
    <xf numFmtId="0" fontId="15" fillId="5" borderId="155" xfId="2" applyFont="1" applyFill="1" applyBorder="1" applyAlignment="1">
      <alignment vertical="center" wrapText="1"/>
    </xf>
    <xf numFmtId="0" fontId="60" fillId="5" borderId="131" xfId="0" applyFont="1" applyFill="1" applyBorder="1" applyAlignment="1">
      <alignment horizontal="center"/>
    </xf>
    <xf numFmtId="0" fontId="60" fillId="5" borderId="154" xfId="0" applyFont="1" applyFill="1" applyBorder="1" applyAlignment="1">
      <alignment horizontal="center"/>
    </xf>
    <xf numFmtId="0" fontId="60" fillId="5" borderId="133" xfId="0" applyFont="1" applyFill="1" applyBorder="1" applyAlignment="1">
      <alignment horizontal="center"/>
    </xf>
    <xf numFmtId="44" fontId="60" fillId="5" borderId="133" xfId="0" applyNumberFormat="1" applyFont="1" applyFill="1" applyBorder="1" applyAlignment="1">
      <alignment horizontal="center"/>
    </xf>
    <xf numFmtId="2" fontId="60" fillId="5" borderId="133" xfId="0" applyNumberFormat="1" applyFont="1" applyFill="1" applyBorder="1" applyAlignment="1">
      <alignment horizontal="center"/>
    </xf>
    <xf numFmtId="0" fontId="15" fillId="5" borderId="133" xfId="2" applyFont="1" applyFill="1" applyBorder="1" applyAlignment="1">
      <alignment vertical="center" wrapText="1"/>
    </xf>
    <xf numFmtId="0" fontId="11" fillId="5" borderId="155" xfId="2" applyFont="1" applyFill="1" applyBorder="1" applyAlignment="1">
      <alignment vertical="center" wrapText="1"/>
    </xf>
    <xf numFmtId="2" fontId="10" fillId="0" borderId="0" xfId="167" applyNumberFormat="1" applyFont="1" applyFill="1" applyBorder="1" applyAlignment="1">
      <alignment horizontal="center"/>
    </xf>
    <xf numFmtId="0" fontId="11" fillId="0" borderId="0" xfId="167" applyNumberFormat="1" applyFont="1" applyFill="1" applyBorder="1" applyAlignment="1">
      <alignment horizontal="center"/>
    </xf>
    <xf numFmtId="203" fontId="11" fillId="0" borderId="0" xfId="167" applyNumberFormat="1" applyFont="1" applyFill="1" applyBorder="1" applyAlignment="1">
      <alignment horizontal="center"/>
    </xf>
    <xf numFmtId="0" fontId="10" fillId="0" borderId="0" xfId="167" applyNumberFormat="1" applyFont="1" applyFill="1" applyBorder="1" applyAlignment="1"/>
    <xf numFmtId="14" fontId="10" fillId="0" borderId="0" xfId="167" applyNumberFormat="1" applyFont="1" applyFill="1" applyBorder="1" applyAlignment="1">
      <alignment horizontal="left"/>
    </xf>
    <xf numFmtId="0" fontId="10" fillId="0" borderId="0" xfId="167" applyNumberFormat="1" applyFont="1" applyFill="1" applyBorder="1" applyAlignment="1">
      <alignment horizontal="center" wrapText="1"/>
    </xf>
    <xf numFmtId="0" fontId="10" fillId="0" borderId="0" xfId="167" applyNumberFormat="1" applyFont="1" applyFill="1" applyBorder="1" applyAlignment="1">
      <alignment horizontal="center" vertical="center" wrapText="1"/>
    </xf>
    <xf numFmtId="20" fontId="10" fillId="0" borderId="0" xfId="167" applyNumberFormat="1" applyFont="1" applyFill="1" applyBorder="1" applyAlignment="1">
      <alignment horizontal="center" wrapText="1"/>
    </xf>
    <xf numFmtId="20" fontId="10" fillId="0" borderId="0" xfId="167" applyNumberFormat="1" applyFont="1" applyFill="1" applyBorder="1" applyAlignment="1">
      <alignment horizontal="center" vertical="center" wrapText="1"/>
    </xf>
    <xf numFmtId="203" fontId="10" fillId="0" borderId="0" xfId="0" applyNumberFormat="1" applyFont="1" applyFill="1" applyBorder="1" applyAlignment="1">
      <alignment horizontal="center" vertical="center" wrapText="1"/>
    </xf>
    <xf numFmtId="2" fontId="11" fillId="0" borderId="0" xfId="167" applyNumberFormat="1" applyFont="1" applyFill="1" applyBorder="1" applyAlignment="1">
      <alignment horizontal="center"/>
    </xf>
    <xf numFmtId="0" fontId="100" fillId="0" borderId="0" xfId="167" applyNumberFormat="1" applyFont="1" applyFill="1" applyBorder="1" applyAlignment="1">
      <alignment horizontal="center"/>
    </xf>
    <xf numFmtId="2" fontId="100" fillId="0" borderId="0" xfId="167" applyNumberFormat="1" applyFont="1" applyFill="1" applyBorder="1" applyAlignment="1">
      <alignment horizontal="center"/>
    </xf>
    <xf numFmtId="44" fontId="10" fillId="0" borderId="0" xfId="62" applyFont="1" applyFill="1" applyBorder="1" applyAlignment="1">
      <alignment vertical="center" wrapText="1"/>
    </xf>
    <xf numFmtId="14" fontId="92" fillId="0" borderId="0" xfId="0" applyNumberFormat="1" applyFont="1" applyFill="1" applyBorder="1" applyAlignment="1">
      <alignment horizontal="center"/>
    </xf>
    <xf numFmtId="0" fontId="81" fillId="0" borderId="0" xfId="0" applyFont="1" applyFill="1" applyBorder="1" applyAlignment="1">
      <alignment horizontal="center"/>
    </xf>
    <xf numFmtId="0" fontId="10" fillId="0" borderId="0" xfId="2" applyFont="1" applyFill="1" applyBorder="1" applyAlignment="1">
      <alignment vertical="center" wrapText="1"/>
    </xf>
    <xf numFmtId="0" fontId="10" fillId="0" borderId="0" xfId="0" applyFont="1" applyFill="1" applyBorder="1" applyAlignment="1">
      <alignment vertical="center" wrapText="1"/>
    </xf>
    <xf numFmtId="14" fontId="81" fillId="0" borderId="0" xfId="0" applyNumberFormat="1" applyFont="1" applyFill="1" applyBorder="1" applyAlignment="1">
      <alignment horizontal="center" vertical="center"/>
    </xf>
    <xf numFmtId="14" fontId="60" fillId="0" borderId="0" xfId="0" applyNumberFormat="1" applyFont="1" applyFill="1" applyBorder="1" applyAlignment="1">
      <alignment horizontal="center" vertical="center"/>
    </xf>
    <xf numFmtId="0" fontId="60" fillId="0" borderId="0" xfId="0" applyFont="1" applyFill="1" applyBorder="1" applyAlignment="1">
      <alignment horizontal="center" vertical="center"/>
    </xf>
    <xf numFmtId="203" fontId="60" fillId="0" borderId="0" xfId="0" applyNumberFormat="1" applyFont="1" applyFill="1" applyBorder="1" applyAlignment="1">
      <alignment horizontal="center" vertical="center"/>
    </xf>
    <xf numFmtId="2" fontId="60" fillId="0" borderId="0" xfId="0" applyNumberFormat="1" applyFont="1" applyFill="1" applyBorder="1" applyAlignment="1">
      <alignment horizontal="center" vertical="center"/>
    </xf>
    <xf numFmtId="0" fontId="97" fillId="0" borderId="0" xfId="0" applyFont="1" applyFill="1" applyBorder="1" applyAlignment="1">
      <alignment horizontal="center" vertical="center"/>
    </xf>
    <xf numFmtId="0" fontId="60" fillId="0" borderId="0" xfId="0" applyFont="1" applyFill="1" applyBorder="1" applyAlignment="1">
      <alignment horizontal="center"/>
    </xf>
    <xf numFmtId="44" fontId="60" fillId="0" borderId="0" xfId="0" applyNumberFormat="1" applyFont="1" applyFill="1" applyBorder="1" applyAlignment="1">
      <alignment horizontal="center"/>
    </xf>
    <xf numFmtId="2" fontId="60" fillId="0" borderId="0" xfId="0" applyNumberFormat="1" applyFont="1" applyFill="1" applyBorder="1" applyAlignment="1">
      <alignment horizontal="center"/>
    </xf>
    <xf numFmtId="49" fontId="20" fillId="0" borderId="0" xfId="2" applyNumberFormat="1" applyFont="1" applyFill="1" applyBorder="1" applyAlignment="1">
      <alignment horizontal="left" vertical="center"/>
    </xf>
    <xf numFmtId="203" fontId="81" fillId="0" borderId="0" xfId="0" applyNumberFormat="1" applyFont="1" applyFill="1" applyBorder="1" applyAlignment="1">
      <alignment horizontal="center" vertical="center"/>
    </xf>
    <xf numFmtId="2" fontId="81" fillId="0" borderId="0" xfId="0" applyNumberFormat="1" applyFont="1" applyFill="1" applyBorder="1" applyAlignment="1">
      <alignment horizontal="center" vertical="center"/>
    </xf>
    <xf numFmtId="0" fontId="81" fillId="0" borderId="0" xfId="0" applyFont="1" applyFill="1" applyBorder="1" applyAlignment="1">
      <alignment horizontal="center" vertical="center"/>
    </xf>
    <xf numFmtId="44" fontId="81" fillId="0" borderId="0" xfId="0" applyNumberFormat="1" applyFont="1" applyFill="1" applyBorder="1" applyAlignment="1">
      <alignment horizontal="center" vertical="center"/>
    </xf>
    <xf numFmtId="44" fontId="81" fillId="0" borderId="0" xfId="0" applyNumberFormat="1" applyFont="1" applyFill="1" applyBorder="1" applyAlignment="1">
      <alignment horizontal="right" vertical="center"/>
    </xf>
    <xf numFmtId="0" fontId="11" fillId="0" borderId="0" xfId="2" applyFont="1" applyFill="1" applyBorder="1" applyAlignment="1">
      <alignment vertical="top"/>
    </xf>
    <xf numFmtId="2" fontId="11" fillId="0" borderId="0" xfId="11" applyNumberFormat="1" applyFont="1" applyFill="1" applyBorder="1" applyAlignment="1">
      <alignment horizontal="center" vertical="top"/>
    </xf>
    <xf numFmtId="44" fontId="11" fillId="0" borderId="0" xfId="11" applyNumberFormat="1" applyFont="1" applyFill="1" applyBorder="1" applyAlignment="1">
      <alignment horizontal="center" vertical="top"/>
    </xf>
    <xf numFmtId="0" fontId="13" fillId="0" borderId="0" xfId="2" applyFont="1" applyFill="1" applyBorder="1" applyAlignment="1">
      <alignment horizontal="center" vertical="center"/>
    </xf>
    <xf numFmtId="49" fontId="13" fillId="0" borderId="0" xfId="2" applyNumberFormat="1" applyFont="1" applyFill="1" applyBorder="1" applyAlignment="1">
      <alignment horizontal="center" vertical="center"/>
    </xf>
    <xf numFmtId="0" fontId="11" fillId="0" borderId="0" xfId="11" applyFont="1" applyFill="1" applyBorder="1" applyAlignment="1">
      <alignment horizontal="center" vertical="center"/>
    </xf>
    <xf numFmtId="2" fontId="11" fillId="0" borderId="0" xfId="2" applyNumberFormat="1" applyFont="1" applyFill="1" applyBorder="1" applyAlignment="1">
      <alignment horizontal="center" vertical="center"/>
    </xf>
    <xf numFmtId="2" fontId="11" fillId="0" borderId="0" xfId="4" applyNumberFormat="1" applyFont="1" applyFill="1" applyBorder="1" applyAlignment="1">
      <alignment horizontal="center" vertical="center"/>
    </xf>
    <xf numFmtId="0" fontId="11" fillId="0" borderId="0" xfId="11" applyFont="1" applyFill="1" applyBorder="1" applyAlignment="1">
      <alignment horizontal="center" vertical="top"/>
    </xf>
    <xf numFmtId="0" fontId="25" fillId="0" borderId="0" xfId="2" applyFont="1" applyFill="1" applyBorder="1" applyAlignment="1">
      <alignment vertical="center"/>
    </xf>
    <xf numFmtId="202" fontId="0" fillId="0" borderId="0" xfId="0" applyNumberFormat="1"/>
    <xf numFmtId="0" fontId="15" fillId="0" borderId="133" xfId="2" applyFont="1" applyFill="1" applyBorder="1" applyAlignment="1">
      <alignment vertical="center" wrapText="1"/>
    </xf>
    <xf numFmtId="0" fontId="15" fillId="5" borderId="168" xfId="2" applyFont="1" applyFill="1" applyBorder="1" applyAlignment="1">
      <alignment vertical="center" wrapText="1"/>
    </xf>
    <xf numFmtId="0" fontId="15" fillId="5" borderId="48" xfId="2" applyFont="1" applyFill="1" applyBorder="1" applyAlignment="1">
      <alignment vertical="center" wrapText="1"/>
    </xf>
    <xf numFmtId="0" fontId="15" fillId="0" borderId="5" xfId="2" applyFont="1" applyBorder="1" applyAlignment="1">
      <alignment vertical="center" wrapText="1"/>
    </xf>
    <xf numFmtId="202" fontId="11" fillId="0" borderId="0" xfId="0" quotePrefix="1" applyNumberFormat="1" applyFont="1"/>
    <xf numFmtId="3" fontId="92" fillId="9" borderId="25" xfId="0" applyNumberFormat="1" applyFont="1" applyFill="1" applyBorder="1" applyAlignment="1">
      <alignment horizontal="center" vertical="center"/>
    </xf>
    <xf numFmtId="2" fontId="92" fillId="5" borderId="10" xfId="0" applyNumberFormat="1" applyFont="1" applyFill="1" applyBorder="1" applyAlignment="1">
      <alignment horizontal="center" vertical="center"/>
    </xf>
    <xf numFmtId="203" fontId="92" fillId="0" borderId="21" xfId="0" applyNumberFormat="1" applyFont="1" applyBorder="1" applyAlignment="1">
      <alignment horizontal="center" vertical="center"/>
    </xf>
    <xf numFmtId="14" fontId="92" fillId="0" borderId="21" xfId="0" applyNumberFormat="1" applyFont="1" applyBorder="1" applyAlignment="1">
      <alignment horizontal="center" vertical="center"/>
    </xf>
    <xf numFmtId="2" fontId="92" fillId="0" borderId="21" xfId="0" applyNumberFormat="1" applyFont="1" applyBorder="1" applyAlignment="1">
      <alignment horizontal="center" vertical="center"/>
    </xf>
    <xf numFmtId="0" fontId="92" fillId="64" borderId="2" xfId="0" applyFont="1" applyFill="1" applyBorder="1" applyAlignment="1">
      <alignment horizontal="center" vertical="center"/>
    </xf>
    <xf numFmtId="44" fontId="92" fillId="0" borderId="21" xfId="0" applyNumberFormat="1" applyFont="1" applyBorder="1" applyAlignment="1">
      <alignment horizontal="center" vertical="center"/>
    </xf>
    <xf numFmtId="44" fontId="92" fillId="9" borderId="10" xfId="0" applyNumberFormat="1" applyFont="1" applyFill="1" applyBorder="1" applyAlignment="1">
      <alignment horizontal="right" vertical="center"/>
    </xf>
    <xf numFmtId="0" fontId="11" fillId="0" borderId="2" xfId="2" applyFont="1" applyBorder="1" applyAlignment="1">
      <alignment vertical="center" wrapText="1"/>
    </xf>
    <xf numFmtId="0" fontId="11" fillId="0" borderId="166" xfId="2" applyFont="1" applyBorder="1" applyAlignment="1">
      <alignment vertical="center" wrapText="1"/>
    </xf>
    <xf numFmtId="0" fontId="11" fillId="0" borderId="0" xfId="2" applyFont="1" applyFill="1" applyBorder="1" applyAlignment="1">
      <alignment vertical="center" wrapText="1"/>
    </xf>
    <xf numFmtId="0" fontId="11" fillId="0" borderId="0" xfId="2" applyFont="1" applyBorder="1" applyAlignment="1">
      <alignment vertical="center" wrapText="1"/>
    </xf>
    <xf numFmtId="0" fontId="11" fillId="0" borderId="33" xfId="2" applyFont="1" applyBorder="1" applyAlignment="1">
      <alignment vertical="center" wrapText="1"/>
    </xf>
    <xf numFmtId="0" fontId="11" fillId="0" borderId="52" xfId="2" applyFont="1" applyBorder="1" applyAlignment="1">
      <alignment vertical="center" wrapText="1"/>
    </xf>
    <xf numFmtId="3" fontId="92" fillId="0" borderId="25" xfId="0" applyNumberFormat="1" applyFont="1" applyBorder="1" applyAlignment="1">
      <alignment horizontal="center" vertical="center"/>
    </xf>
    <xf numFmtId="202" fontId="58" fillId="0" borderId="170" xfId="0" applyNumberFormat="1" applyFont="1" applyBorder="1"/>
    <xf numFmtId="202" fontId="58" fillId="0" borderId="171" xfId="0" applyNumberFormat="1" applyFont="1" applyBorder="1"/>
    <xf numFmtId="0" fontId="58" fillId="0" borderId="169" xfId="0" applyFont="1" applyBorder="1"/>
    <xf numFmtId="202" fontId="0" fillId="0" borderId="173" xfId="0" applyNumberFormat="1" applyBorder="1"/>
    <xf numFmtId="202" fontId="0" fillId="0" borderId="174" xfId="0" applyNumberFormat="1" applyBorder="1"/>
    <xf numFmtId="202" fontId="0" fillId="0" borderId="4" xfId="0" applyNumberFormat="1" applyBorder="1"/>
    <xf numFmtId="202" fontId="0" fillId="0" borderId="5" xfId="0" applyNumberFormat="1" applyBorder="1"/>
    <xf numFmtId="202" fontId="0" fillId="0" borderId="7" xfId="0" applyNumberFormat="1" applyBorder="1"/>
    <xf numFmtId="202" fontId="0" fillId="0" borderId="8" xfId="0" applyNumberFormat="1" applyBorder="1"/>
    <xf numFmtId="0" fontId="15" fillId="0" borderId="139" xfId="2" applyFont="1" applyBorder="1" applyAlignment="1">
      <alignment vertical="center" wrapText="1"/>
    </xf>
    <xf numFmtId="0" fontId="15" fillId="0" borderId="168" xfId="2" applyFont="1" applyBorder="1" applyAlignment="1">
      <alignment vertical="center" wrapText="1"/>
    </xf>
    <xf numFmtId="2" fontId="15" fillId="0" borderId="0" xfId="2" applyNumberFormat="1" applyFont="1" applyBorder="1" applyAlignment="1">
      <alignment vertical="center" wrapText="1"/>
    </xf>
    <xf numFmtId="0" fontId="11" fillId="0" borderId="167" xfId="2" applyFont="1" applyBorder="1" applyAlignment="1">
      <alignment vertical="center" wrapText="1"/>
    </xf>
    <xf numFmtId="0" fontId="92" fillId="14" borderId="105" xfId="165" applyFont="1" applyFill="1" applyBorder="1" applyAlignment="1">
      <alignment horizontal="left" vertical="center" indent="1"/>
    </xf>
    <xf numFmtId="0" fontId="60" fillId="76" borderId="5" xfId="57" applyFont="1" applyFill="1" applyBorder="1" applyAlignment="1">
      <alignment horizontal="center" vertical="center"/>
    </xf>
    <xf numFmtId="0" fontId="60" fillId="76" borderId="5" xfId="57" applyFont="1" applyFill="1" applyBorder="1" applyAlignment="1">
      <alignment horizontal="center"/>
    </xf>
    <xf numFmtId="0" fontId="15" fillId="50" borderId="5" xfId="0" applyFont="1" applyFill="1" applyBorder="1" applyAlignment="1">
      <alignment horizontal="center" vertical="center"/>
    </xf>
    <xf numFmtId="0" fontId="81" fillId="14" borderId="6" xfId="165" applyFont="1" applyFill="1" applyBorder="1"/>
    <xf numFmtId="0" fontId="81" fillId="0" borderId="0" xfId="165" applyFont="1" applyFill="1"/>
    <xf numFmtId="201" fontId="11" fillId="0" borderId="0" xfId="164" applyFont="1" applyFill="1"/>
    <xf numFmtId="0" fontId="0" fillId="0" borderId="0" xfId="0" applyFill="1" applyAlignment="1">
      <alignment vertical="center"/>
    </xf>
    <xf numFmtId="0" fontId="16" fillId="0" borderId="29"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8" xfId="0" applyFont="1" applyBorder="1" applyAlignment="1">
      <alignment vertical="center" wrapText="1"/>
    </xf>
    <xf numFmtId="0" fontId="16" fillId="0" borderId="96" xfId="0" applyFont="1" applyBorder="1" applyAlignment="1">
      <alignment vertical="center" wrapText="1"/>
    </xf>
    <xf numFmtId="0" fontId="11" fillId="0" borderId="115" xfId="0" applyFont="1" applyFill="1" applyBorder="1"/>
    <xf numFmtId="14" fontId="0" fillId="0" borderId="0" xfId="0" applyNumberFormat="1" applyFill="1" applyBorder="1"/>
    <xf numFmtId="0" fontId="11" fillId="0" borderId="51" xfId="0" applyFont="1" applyFill="1" applyBorder="1"/>
    <xf numFmtId="0" fontId="11" fillId="0" borderId="150" xfId="0" applyFont="1" applyFill="1" applyBorder="1"/>
    <xf numFmtId="0" fontId="0" fillId="0" borderId="137" xfId="0" applyFill="1" applyBorder="1"/>
    <xf numFmtId="14" fontId="0" fillId="0" borderId="137" xfId="0" applyNumberFormat="1" applyFill="1" applyBorder="1"/>
    <xf numFmtId="0" fontId="11" fillId="0" borderId="138" xfId="0" applyFont="1" applyFill="1" applyBorder="1"/>
    <xf numFmtId="0" fontId="11" fillId="5" borderId="176" xfId="0" applyFont="1" applyFill="1" applyBorder="1" applyAlignment="1">
      <alignment wrapText="1"/>
    </xf>
    <xf numFmtId="0" fontId="11" fillId="9" borderId="179" xfId="0" applyFont="1" applyFill="1" applyBorder="1" applyAlignment="1">
      <alignment wrapText="1"/>
    </xf>
    <xf numFmtId="202" fontId="58" fillId="9" borderId="166" xfId="0" applyNumberFormat="1" applyFont="1" applyFill="1" applyBorder="1"/>
    <xf numFmtId="167" fontId="14" fillId="2" borderId="165" xfId="2" applyNumberFormat="1" applyFont="1" applyFill="1" applyBorder="1" applyAlignment="1">
      <alignment horizontal="left" vertical="center" wrapText="1"/>
    </xf>
    <xf numFmtId="0" fontId="14" fillId="2" borderId="167" xfId="2" applyFont="1" applyFill="1" applyBorder="1" applyAlignment="1">
      <alignment horizontal="center" vertical="center" textRotation="90" wrapText="1"/>
    </xf>
    <xf numFmtId="0" fontId="10" fillId="2" borderId="178" xfId="2" applyFont="1" applyFill="1" applyBorder="1" applyAlignment="1">
      <alignment horizontal="center" vertical="center" textRotation="90" wrapText="1"/>
    </xf>
    <xf numFmtId="167" fontId="14" fillId="2" borderId="182" xfId="2" applyNumberFormat="1" applyFont="1" applyFill="1" applyBorder="1" applyAlignment="1">
      <alignment horizontal="center" vertical="center" wrapText="1"/>
    </xf>
    <xf numFmtId="167" fontId="10" fillId="2" borderId="177" xfId="2" applyNumberFormat="1" applyFont="1" applyFill="1" applyBorder="1" applyAlignment="1">
      <alignment horizontal="center" vertical="center" wrapText="1"/>
    </xf>
    <xf numFmtId="1" fontId="11" fillId="0" borderId="30" xfId="2" applyNumberFormat="1" applyFont="1" applyBorder="1" applyAlignment="1">
      <alignment horizontal="left" vertical="center" indent="1"/>
    </xf>
    <xf numFmtId="1" fontId="11" fillId="0" borderId="150" xfId="2" applyNumberFormat="1" applyFont="1" applyBorder="1" applyAlignment="1">
      <alignment horizontal="left" vertical="center" indent="1"/>
    </xf>
    <xf numFmtId="1" fontId="11" fillId="0" borderId="23" xfId="2" applyNumberFormat="1" applyFont="1" applyBorder="1" applyAlignment="1">
      <alignment horizontal="left" vertical="center" indent="1"/>
    </xf>
    <xf numFmtId="1" fontId="11" fillId="0" borderId="29" xfId="2" applyNumberFormat="1" applyFont="1" applyBorder="1" applyAlignment="1">
      <alignment horizontal="left" vertical="center" indent="1"/>
    </xf>
    <xf numFmtId="0" fontId="16" fillId="0" borderId="0" xfId="2" applyFont="1" applyBorder="1" applyAlignment="1">
      <alignment horizontal="left" wrapText="1"/>
    </xf>
    <xf numFmtId="0" fontId="14" fillId="2" borderId="183" xfId="2" applyFont="1" applyFill="1" applyBorder="1" applyAlignment="1">
      <alignment horizontal="center" vertical="center" textRotation="90" wrapText="1"/>
    </xf>
    <xf numFmtId="0" fontId="10" fillId="2" borderId="184" xfId="2" applyFont="1" applyFill="1" applyBorder="1" applyAlignment="1">
      <alignment horizontal="center" vertical="center" textRotation="90" wrapText="1"/>
    </xf>
    <xf numFmtId="0" fontId="14" fillId="2" borderId="185" xfId="2" applyFont="1" applyFill="1" applyBorder="1" applyAlignment="1">
      <alignment horizontal="center" vertical="center" textRotation="90" wrapText="1"/>
    </xf>
    <xf numFmtId="0" fontId="14" fillId="2" borderId="186" xfId="2" applyFont="1" applyFill="1" applyBorder="1" applyAlignment="1">
      <alignment horizontal="center" vertical="center" textRotation="90" wrapText="1"/>
    </xf>
    <xf numFmtId="0" fontId="10" fillId="2" borderId="187" xfId="2" applyFont="1" applyFill="1" applyBorder="1" applyAlignment="1">
      <alignment horizontal="center" vertical="center" textRotation="90" wrapText="1"/>
    </xf>
    <xf numFmtId="0" fontId="10" fillId="2" borderId="179" xfId="2" applyFont="1" applyFill="1" applyBorder="1" applyAlignment="1">
      <alignment horizontal="center" vertical="center" textRotation="90" wrapText="1"/>
    </xf>
    <xf numFmtId="1" fontId="11" fillId="0" borderId="136" xfId="2" applyNumberFormat="1" applyFont="1" applyBorder="1" applyAlignment="1">
      <alignment horizontal="left" vertical="center" indent="1"/>
    </xf>
    <xf numFmtId="1" fontId="11" fillId="0" borderId="161" xfId="2" applyNumberFormat="1" applyFont="1" applyBorder="1" applyAlignment="1">
      <alignment horizontal="left" vertical="center" indent="1"/>
    </xf>
    <xf numFmtId="1" fontId="11" fillId="0" borderId="27" xfId="2" applyNumberFormat="1" applyFont="1" applyBorder="1" applyAlignment="1">
      <alignment horizontal="left" vertical="center" indent="1"/>
    </xf>
    <xf numFmtId="1" fontId="11" fillId="0" borderId="6" xfId="2" applyNumberFormat="1" applyFont="1" applyBorder="1" applyAlignment="1">
      <alignment horizontal="left" vertical="center" indent="1"/>
    </xf>
    <xf numFmtId="0" fontId="10" fillId="2" borderId="171" xfId="2" applyFont="1" applyFill="1" applyBorder="1" applyAlignment="1">
      <alignment horizontal="center" vertical="center" wrapText="1"/>
    </xf>
    <xf numFmtId="1" fontId="15" fillId="0" borderId="138" xfId="2" applyNumberFormat="1" applyFont="1" applyFill="1" applyBorder="1" applyAlignment="1">
      <alignment horizontal="center" vertical="center" wrapText="1"/>
    </xf>
    <xf numFmtId="1" fontId="11" fillId="0" borderId="105" xfId="2" applyNumberFormat="1" applyFont="1" applyBorder="1" applyAlignment="1">
      <alignment horizontal="left" vertical="center" indent="1"/>
    </xf>
    <xf numFmtId="1" fontId="11" fillId="0" borderId="31" xfId="2" applyNumberFormat="1" applyFont="1" applyBorder="1" applyAlignment="1">
      <alignment horizontal="left" vertical="center" indent="1"/>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49" fontId="12" fillId="0" borderId="0" xfId="0" applyNumberFormat="1" applyFont="1" applyAlignment="1">
      <alignment horizontal="center"/>
    </xf>
    <xf numFmtId="7" fontId="0" fillId="0" borderId="0" xfId="0" applyNumberFormat="1" applyAlignment="1">
      <alignment vertical="center"/>
    </xf>
    <xf numFmtId="0" fontId="0" fillId="0" borderId="0" xfId="0" applyAlignment="1">
      <alignment horizontal="center"/>
    </xf>
    <xf numFmtId="0" fontId="0" fillId="0" borderId="0" xfId="0" applyAlignment="1">
      <alignment horizontal="center" vertical="center"/>
    </xf>
    <xf numFmtId="49" fontId="12" fillId="0" borderId="0" xfId="0" applyNumberFormat="1" applyFont="1" applyAlignment="1">
      <alignment horizontal="center"/>
    </xf>
    <xf numFmtId="49" fontId="10" fillId="9" borderId="190" xfId="0" applyNumberFormat="1" applyFont="1" applyFill="1" applyBorder="1" applyAlignment="1">
      <alignment horizontal="center"/>
    </xf>
    <xf numFmtId="0" fontId="10" fillId="2" borderId="189" xfId="0" applyFont="1" applyFill="1" applyBorder="1" applyAlignment="1">
      <alignment horizontal="center" vertical="center" wrapText="1"/>
    </xf>
    <xf numFmtId="0" fontId="10" fillId="2" borderId="170" xfId="0" applyFont="1" applyFill="1" applyBorder="1" applyAlignment="1">
      <alignment horizontal="center" vertical="center" wrapText="1"/>
    </xf>
    <xf numFmtId="0" fontId="10" fillId="2" borderId="191" xfId="0" applyFont="1" applyFill="1" applyBorder="1" applyAlignment="1">
      <alignment horizontal="center" vertical="center" wrapText="1"/>
    </xf>
    <xf numFmtId="0" fontId="11" fillId="0" borderId="13" xfId="0" applyFont="1" applyBorder="1" applyAlignment="1">
      <alignment horizontal="center" vertical="center"/>
    </xf>
    <xf numFmtId="1" fontId="0" fillId="0" borderId="5" xfId="0" applyNumberFormat="1" applyBorder="1" applyAlignment="1">
      <alignment horizontal="center" vertical="center"/>
    </xf>
    <xf numFmtId="1" fontId="0" fillId="0" borderId="23" xfId="0" applyNumberFormat="1" applyBorder="1" applyAlignment="1">
      <alignment horizontal="center" vertical="center"/>
    </xf>
    <xf numFmtId="0" fontId="10" fillId="2" borderId="189" xfId="0" applyFont="1" applyFill="1" applyBorder="1" applyAlignment="1">
      <alignment horizontal="center" vertical="center"/>
    </xf>
    <xf numFmtId="0" fontId="10" fillId="2" borderId="170" xfId="0" applyFont="1" applyFill="1" applyBorder="1" applyAlignment="1">
      <alignment horizontal="center" vertical="center"/>
    </xf>
    <xf numFmtId="0" fontId="10" fillId="2" borderId="191" xfId="0" applyFont="1" applyFill="1" applyBorder="1" applyAlignment="1">
      <alignment horizontal="center" vertical="center"/>
    </xf>
    <xf numFmtId="0" fontId="10" fillId="2" borderId="166" xfId="0" applyFont="1" applyFill="1" applyBorder="1" applyAlignment="1">
      <alignment horizontal="center" vertical="center"/>
    </xf>
    <xf numFmtId="0" fontId="100" fillId="0" borderId="0" xfId="0" applyFont="1" applyAlignment="1">
      <alignment horizontal="left"/>
    </xf>
    <xf numFmtId="10" fontId="8" fillId="0" borderId="0" xfId="57" applyNumberFormat="1" applyFont="1" applyFill="1" applyBorder="1" applyAlignment="1">
      <alignment horizontal="center"/>
    </xf>
    <xf numFmtId="0" fontId="11" fillId="0" borderId="0" xfId="2" applyFont="1" applyFill="1" applyBorder="1" applyAlignment="1">
      <alignment horizontal="center" vertical="center" wrapText="1"/>
    </xf>
    <xf numFmtId="167" fontId="11" fillId="0" borderId="0" xfId="2" applyNumberFormat="1" applyFont="1" applyFill="1" applyBorder="1" applyAlignment="1">
      <alignment horizontal="center" vertical="center" wrapText="1"/>
    </xf>
    <xf numFmtId="44" fontId="11" fillId="0" borderId="0" xfId="59" applyFont="1" applyFill="1" applyBorder="1" applyAlignment="1">
      <alignment horizontal="center" vertical="center" wrapText="1"/>
    </xf>
    <xf numFmtId="0" fontId="43" fillId="0" borderId="0" xfId="2" applyFont="1" applyFill="1" applyBorder="1" applyAlignment="1">
      <alignment horizontal="center" vertical="center" wrapText="1"/>
    </xf>
    <xf numFmtId="167" fontId="43" fillId="0" borderId="0" xfId="2" applyNumberFormat="1" applyFont="1" applyFill="1" applyBorder="1" applyAlignment="1">
      <alignment horizontal="center" vertical="center" wrapText="1"/>
    </xf>
    <xf numFmtId="169" fontId="43" fillId="0" borderId="0" xfId="2" applyNumberFormat="1" applyFont="1" applyFill="1" applyBorder="1" applyAlignment="1">
      <alignment horizontal="center" vertical="center" wrapText="1"/>
    </xf>
    <xf numFmtId="49" fontId="10" fillId="9" borderId="116" xfId="0" applyNumberFormat="1" applyFont="1" applyFill="1" applyBorder="1" applyAlignment="1">
      <alignment horizontal="center"/>
    </xf>
    <xf numFmtId="1" fontId="10" fillId="0" borderId="53" xfId="0" applyNumberFormat="1" applyFont="1" applyBorder="1" applyAlignment="1" applyProtection="1">
      <alignment horizontal="center"/>
      <protection locked="0"/>
    </xf>
    <xf numFmtId="1" fontId="11" fillId="0" borderId="23" xfId="0" applyNumberFormat="1" applyFont="1" applyBorder="1" applyAlignment="1">
      <alignment horizontal="center" vertical="center"/>
    </xf>
    <xf numFmtId="170" fontId="0" fillId="0" borderId="23" xfId="0" applyNumberFormat="1" applyBorder="1" applyAlignment="1">
      <alignment horizontal="center" vertical="center"/>
    </xf>
    <xf numFmtId="170" fontId="10" fillId="2" borderId="191" xfId="0" applyNumberFormat="1" applyFont="1" applyFill="1" applyBorder="1" applyAlignment="1">
      <alignment horizontal="center" vertical="center"/>
    </xf>
    <xf numFmtId="49" fontId="10" fillId="9" borderId="100" xfId="0" applyNumberFormat="1" applyFont="1" applyFill="1" applyBorder="1" applyAlignment="1">
      <alignment horizontal="center"/>
    </xf>
    <xf numFmtId="204" fontId="10" fillId="0" borderId="100" xfId="3" applyNumberFormat="1" applyFont="1" applyFill="1" applyBorder="1" applyAlignment="1">
      <alignment horizontal="center"/>
    </xf>
    <xf numFmtId="0" fontId="10" fillId="9" borderId="100" xfId="0" applyFont="1" applyFill="1" applyBorder="1" applyAlignment="1">
      <alignment vertical="center"/>
    </xf>
    <xf numFmtId="0" fontId="10" fillId="9" borderId="169" xfId="0" applyFont="1" applyFill="1" applyBorder="1" applyAlignment="1">
      <alignment vertical="center" wrapText="1"/>
    </xf>
    <xf numFmtId="0" fontId="10" fillId="2" borderId="166" xfId="0" applyFont="1" applyFill="1" applyBorder="1" applyAlignment="1">
      <alignment horizontal="center" vertical="center" wrapText="1"/>
    </xf>
    <xf numFmtId="1" fontId="0" fillId="0" borderId="6" xfId="0" applyNumberFormat="1" applyBorder="1" applyAlignment="1">
      <alignment horizontal="center" vertical="center"/>
    </xf>
    <xf numFmtId="0" fontId="10" fillId="2" borderId="191" xfId="0" applyFont="1" applyFill="1" applyBorder="1" applyAlignment="1">
      <alignment horizontal="left" vertical="center" wrapText="1" indent="1"/>
    </xf>
    <xf numFmtId="1" fontId="11" fillId="0" borderId="5" xfId="0" applyNumberFormat="1" applyFont="1" applyBorder="1" applyAlignment="1">
      <alignment horizontal="center" vertical="center"/>
    </xf>
    <xf numFmtId="0" fontId="0" fillId="9" borderId="169" xfId="0" applyFill="1" applyBorder="1"/>
    <xf numFmtId="0" fontId="10" fillId="6" borderId="2" xfId="0" applyFont="1" applyFill="1" applyBorder="1" applyAlignment="1">
      <alignment horizontal="center" vertical="center" wrapText="1"/>
    </xf>
    <xf numFmtId="0" fontId="10" fillId="7" borderId="2" xfId="0" applyFont="1" applyFill="1" applyBorder="1" applyAlignment="1">
      <alignment horizontal="center" vertical="center" wrapText="1"/>
    </xf>
    <xf numFmtId="2" fontId="10" fillId="7" borderId="2" xfId="0" applyNumberFormat="1" applyFont="1" applyFill="1" applyBorder="1" applyAlignment="1">
      <alignment horizontal="center" vertical="center" wrapText="1"/>
    </xf>
    <xf numFmtId="0" fontId="10" fillId="7" borderId="3" xfId="0" applyFont="1" applyFill="1" applyBorder="1" applyAlignment="1">
      <alignment horizontal="center" vertical="center" wrapText="1"/>
    </xf>
    <xf numFmtId="0" fontId="11" fillId="0" borderId="105" xfId="0" applyFont="1" applyBorder="1" applyAlignment="1">
      <alignment vertical="center"/>
    </xf>
    <xf numFmtId="0" fontId="11" fillId="0" borderId="31" xfId="0" applyFont="1" applyBorder="1" applyAlignment="1">
      <alignment vertical="center"/>
    </xf>
    <xf numFmtId="0" fontId="10" fillId="6" borderId="95" xfId="0" applyFont="1" applyFill="1" applyBorder="1" applyAlignment="1">
      <alignment horizontal="center" vertical="center" wrapText="1"/>
    </xf>
    <xf numFmtId="0" fontId="10" fillId="7" borderId="132" xfId="0" applyFont="1" applyFill="1" applyBorder="1" applyAlignment="1">
      <alignment horizontal="center" vertical="center" wrapText="1"/>
    </xf>
    <xf numFmtId="0" fontId="10" fillId="7" borderId="46" xfId="0" applyFont="1" applyFill="1" applyBorder="1" applyAlignment="1">
      <alignment horizontal="center" vertical="center"/>
    </xf>
    <xf numFmtId="0" fontId="10" fillId="7" borderId="44" xfId="0" applyFont="1" applyFill="1" applyBorder="1" applyAlignment="1">
      <alignment horizontal="center" vertical="center"/>
    </xf>
    <xf numFmtId="0" fontId="10" fillId="7" borderId="44" xfId="0" applyFont="1" applyFill="1" applyBorder="1" applyAlignment="1">
      <alignment horizontal="left" vertical="center" indent="1"/>
    </xf>
    <xf numFmtId="166" fontId="10" fillId="7" borderId="44" xfId="0" applyNumberFormat="1" applyFont="1" applyFill="1" applyBorder="1" applyAlignment="1">
      <alignment vertical="center"/>
    </xf>
    <xf numFmtId="0" fontId="10" fillId="7" borderId="59" xfId="0" applyFont="1" applyFill="1" applyBorder="1" applyAlignment="1">
      <alignment horizontal="center" vertical="center"/>
    </xf>
    <xf numFmtId="44" fontId="11" fillId="0" borderId="105" xfId="0" applyNumberFormat="1" applyFont="1" applyBorder="1" applyAlignment="1">
      <alignment vertical="center"/>
    </xf>
    <xf numFmtId="0" fontId="10" fillId="6" borderId="132" xfId="0" applyFont="1" applyFill="1" applyBorder="1" applyAlignment="1">
      <alignment horizontal="center" vertical="center" wrapText="1"/>
    </xf>
    <xf numFmtId="0" fontId="0" fillId="0" borderId="194" xfId="0" applyFill="1" applyBorder="1" applyAlignment="1">
      <alignment vertical="center"/>
    </xf>
    <xf numFmtId="0" fontId="0" fillId="0" borderId="138" xfId="0" applyFill="1" applyBorder="1" applyAlignment="1">
      <alignment vertical="center"/>
    </xf>
    <xf numFmtId="0" fontId="14" fillId="2" borderId="171" xfId="0" applyFont="1" applyFill="1" applyBorder="1" applyAlignment="1">
      <alignment vertical="center"/>
    </xf>
    <xf numFmtId="0" fontId="14" fillId="2" borderId="169" xfId="0" applyFont="1" applyFill="1" applyBorder="1" applyAlignment="1">
      <alignment horizontal="left" vertical="center" indent="1"/>
    </xf>
    <xf numFmtId="0" fontId="10" fillId="2" borderId="188"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1" fillId="0" borderId="0" xfId="9"/>
    <xf numFmtId="0" fontId="11" fillId="0" borderId="0" xfId="9" applyAlignment="1">
      <alignment horizontal="center"/>
    </xf>
    <xf numFmtId="2" fontId="11" fillId="0" borderId="0" xfId="9" applyNumberFormat="1"/>
    <xf numFmtId="0" fontId="26" fillId="0" borderId="0" xfId="9" applyFont="1" applyAlignment="1">
      <alignment horizontal="center"/>
    </xf>
    <xf numFmtId="0" fontId="10" fillId="2" borderId="189" xfId="9" applyFont="1" applyFill="1" applyBorder="1" applyAlignment="1">
      <alignment horizontal="center" vertical="center" wrapText="1"/>
    </xf>
    <xf numFmtId="0" fontId="10" fillId="2" borderId="171" xfId="9" applyFont="1" applyFill="1" applyBorder="1" applyAlignment="1">
      <alignment horizontal="center" vertical="center" wrapText="1"/>
    </xf>
    <xf numFmtId="0" fontId="10" fillId="2" borderId="170" xfId="9" applyFont="1" applyFill="1" applyBorder="1" applyAlignment="1">
      <alignment horizontal="center" vertical="center" wrapText="1"/>
    </xf>
    <xf numFmtId="2" fontId="10" fillId="2" borderId="170" xfId="9" applyNumberFormat="1" applyFont="1" applyFill="1" applyBorder="1" applyAlignment="1">
      <alignment horizontal="center" vertical="center" wrapText="1"/>
    </xf>
    <xf numFmtId="0" fontId="10" fillId="2" borderId="166" xfId="9" applyFont="1" applyFill="1" applyBorder="1" applyAlignment="1">
      <alignment horizontal="center" vertical="center" wrapText="1"/>
    </xf>
    <xf numFmtId="0" fontId="10" fillId="0" borderId="0" xfId="9" applyFont="1" applyAlignment="1">
      <alignment vertical="center" wrapText="1"/>
    </xf>
    <xf numFmtId="0" fontId="11" fillId="0" borderId="41" xfId="9" applyBorder="1" applyAlignment="1">
      <alignment horizontal="center" vertical="center"/>
    </xf>
    <xf numFmtId="0" fontId="11" fillId="0" borderId="5" xfId="9" applyBorder="1" applyAlignment="1">
      <alignment horizontal="center" vertical="center"/>
    </xf>
    <xf numFmtId="14" fontId="11" fillId="0" borderId="5" xfId="9" applyNumberFormat="1" applyBorder="1" applyAlignment="1">
      <alignment horizontal="center" vertical="center"/>
    </xf>
    <xf numFmtId="0" fontId="11" fillId="0" borderId="5" xfId="9" applyBorder="1" applyAlignment="1">
      <alignment vertical="center"/>
    </xf>
    <xf numFmtId="170" fontId="11" fillId="0" borderId="5" xfId="9" applyNumberFormat="1" applyBorder="1" applyAlignment="1">
      <alignment vertical="center"/>
    </xf>
    <xf numFmtId="0" fontId="11" fillId="0" borderId="6" xfId="9" applyBorder="1" applyAlignment="1">
      <alignment horizontal="center" vertical="center"/>
    </xf>
    <xf numFmtId="0" fontId="11" fillId="0" borderId="0" xfId="9" applyAlignment="1">
      <alignment vertical="center"/>
    </xf>
    <xf numFmtId="0" fontId="10" fillId="2" borderId="189" xfId="9" applyFont="1" applyFill="1" applyBorder="1" applyAlignment="1">
      <alignment horizontal="center" vertical="center"/>
    </xf>
    <xf numFmtId="0" fontId="10" fillId="2" borderId="171" xfId="9" applyFont="1" applyFill="1" applyBorder="1" applyAlignment="1">
      <alignment horizontal="center" vertical="center"/>
    </xf>
    <xf numFmtId="0" fontId="10" fillId="2" borderId="170" xfId="9" applyFont="1" applyFill="1" applyBorder="1" applyAlignment="1">
      <alignment horizontal="center" vertical="center"/>
    </xf>
    <xf numFmtId="0" fontId="10" fillId="2" borderId="170" xfId="9" applyFont="1" applyFill="1" applyBorder="1" applyAlignment="1">
      <alignment horizontal="left" vertical="center" indent="1"/>
    </xf>
    <xf numFmtId="0" fontId="10" fillId="2" borderId="170" xfId="9" applyFont="1" applyFill="1" applyBorder="1" applyAlignment="1">
      <alignment vertical="center"/>
    </xf>
    <xf numFmtId="170" fontId="10" fillId="2" borderId="170" xfId="9" applyNumberFormat="1" applyFont="1" applyFill="1" applyBorder="1" applyAlignment="1">
      <alignment vertical="center"/>
    </xf>
    <xf numFmtId="0" fontId="10" fillId="2" borderId="166" xfId="9" applyFont="1" applyFill="1" applyBorder="1" applyAlignment="1">
      <alignment horizontal="center" vertical="center"/>
    </xf>
    <xf numFmtId="0" fontId="10" fillId="0" borderId="0" xfId="9" applyFont="1" applyAlignment="1">
      <alignment vertical="center"/>
    </xf>
    <xf numFmtId="0" fontId="10" fillId="0" borderId="0" xfId="9" applyFont="1" applyAlignment="1">
      <alignment horizontal="left" vertical="center"/>
    </xf>
    <xf numFmtId="0" fontId="11" fillId="0" borderId="0" xfId="9" applyAlignment="1">
      <alignment horizontal="left" vertical="center"/>
    </xf>
    <xf numFmtId="0" fontId="11" fillId="0" borderId="0" xfId="9" applyAlignment="1">
      <alignment horizontal="center" vertical="center"/>
    </xf>
    <xf numFmtId="2" fontId="11" fillId="0" borderId="0" xfId="9" applyNumberFormat="1" applyAlignment="1">
      <alignment vertical="center"/>
    </xf>
    <xf numFmtId="0" fontId="11" fillId="0" borderId="0" xfId="9" applyAlignment="1">
      <alignment vertical="center" wrapText="1"/>
    </xf>
    <xf numFmtId="0" fontId="11" fillId="0" borderId="0" xfId="9" applyAlignment="1">
      <alignment horizontal="left"/>
    </xf>
    <xf numFmtId="49" fontId="12" fillId="0" borderId="0" xfId="9" applyNumberFormat="1" applyFont="1" applyAlignment="1">
      <alignment horizontal="center"/>
    </xf>
    <xf numFmtId="0" fontId="10" fillId="9" borderId="169" xfId="9" applyFont="1" applyFill="1" applyBorder="1" applyAlignment="1">
      <alignment vertical="center"/>
    </xf>
    <xf numFmtId="0" fontId="11" fillId="0" borderId="6" xfId="0" applyFont="1" applyBorder="1" applyAlignment="1">
      <alignment horizontal="center" vertical="center"/>
    </xf>
    <xf numFmtId="0" fontId="10" fillId="0" borderId="0" xfId="0" applyFont="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0" fillId="0" borderId="169" xfId="0" applyBorder="1" applyAlignment="1">
      <alignment vertical="center"/>
    </xf>
    <xf numFmtId="0" fontId="10" fillId="9" borderId="169" xfId="0" applyFont="1" applyFill="1" applyBorder="1" applyAlignment="1">
      <alignment horizontal="center" vertical="center" wrapText="1"/>
    </xf>
    <xf numFmtId="0" fontId="15" fillId="0" borderId="5" xfId="2" applyFont="1" applyBorder="1" applyAlignment="1">
      <alignment horizontal="center" vertical="center" wrapText="1"/>
    </xf>
    <xf numFmtId="0" fontId="15" fillId="0" borderId="12" xfId="2" applyFont="1" applyBorder="1" applyAlignment="1">
      <alignment horizontal="center" vertical="center" wrapText="1"/>
    </xf>
    <xf numFmtId="2" fontId="11" fillId="0" borderId="11" xfId="2" applyNumberFormat="1" applyFont="1" applyBorder="1" applyAlignment="1">
      <alignment horizontal="center" vertical="center"/>
    </xf>
    <xf numFmtId="2" fontId="11" fillId="0" borderId="48" xfId="2" applyNumberFormat="1" applyFont="1" applyBorder="1" applyAlignment="1">
      <alignment horizontal="center" vertical="center"/>
    </xf>
    <xf numFmtId="1" fontId="11" fillId="0" borderId="11" xfId="2" applyNumberFormat="1" applyFont="1" applyBorder="1" applyAlignment="1">
      <alignment horizontal="center" vertical="center"/>
    </xf>
    <xf numFmtId="1" fontId="11" fillId="0" borderId="48" xfId="2" applyNumberFormat="1" applyFont="1" applyBorder="1" applyAlignment="1">
      <alignment horizontal="center" vertical="center"/>
    </xf>
    <xf numFmtId="0" fontId="11" fillId="0" borderId="0" xfId="0" applyFont="1" applyFill="1" applyAlignment="1">
      <alignment horizontal="center" wrapText="1"/>
    </xf>
    <xf numFmtId="0" fontId="0" fillId="0" borderId="0" xfId="0" applyFill="1" applyAlignment="1">
      <alignment horizontal="center" wrapText="1"/>
    </xf>
    <xf numFmtId="49" fontId="11" fillId="0" borderId="0" xfId="9" applyNumberFormat="1" applyFont="1" applyFill="1" applyAlignment="1">
      <alignment horizontal="center" vertical="center"/>
    </xf>
    <xf numFmtId="1" fontId="60" fillId="0" borderId="196" xfId="57" applyNumberFormat="1" applyFont="1" applyBorder="1" applyAlignment="1">
      <alignment horizontal="center"/>
    </xf>
    <xf numFmtId="14" fontId="60" fillId="0" borderId="12" xfId="57" applyNumberFormat="1" applyFont="1" applyBorder="1"/>
    <xf numFmtId="0" fontId="60" fillId="0" borderId="12" xfId="57" applyFont="1" applyBorder="1" applyAlignment="1">
      <alignment horizontal="center" vertical="center"/>
    </xf>
    <xf numFmtId="0" fontId="81" fillId="9" borderId="60" xfId="57" applyFont="1" applyFill="1" applyBorder="1" applyAlignment="1">
      <alignment horizontal="left"/>
    </xf>
    <xf numFmtId="167" fontId="10" fillId="9" borderId="166" xfId="2" applyNumberFormat="1" applyFont="1" applyFill="1" applyBorder="1" applyAlignment="1">
      <alignment horizontal="center" vertical="center" wrapText="1"/>
    </xf>
    <xf numFmtId="0" fontId="81" fillId="77" borderId="22" xfId="57" applyFont="1" applyFill="1" applyBorder="1" applyAlignment="1">
      <alignment horizontal="center"/>
    </xf>
    <xf numFmtId="0" fontId="60" fillId="77" borderId="12" xfId="57" applyFont="1" applyFill="1" applyBorder="1" applyAlignment="1">
      <alignment horizontal="center" vertical="center"/>
    </xf>
    <xf numFmtId="0" fontId="11" fillId="0" borderId="0" xfId="9" applyFill="1" applyBorder="1" applyAlignment="1">
      <alignment horizontal="center"/>
    </xf>
    <xf numFmtId="0" fontId="10" fillId="2" borderId="188" xfId="2" applyFont="1" applyFill="1" applyBorder="1" applyAlignment="1">
      <alignment horizontal="center" vertical="center" wrapText="1"/>
    </xf>
    <xf numFmtId="0" fontId="11" fillId="0" borderId="0" xfId="9" applyFill="1" applyBorder="1"/>
    <xf numFmtId="0" fontId="10" fillId="2" borderId="176" xfId="0" applyFont="1" applyFill="1" applyBorder="1" applyAlignment="1">
      <alignment horizontal="center" vertical="center"/>
    </xf>
    <xf numFmtId="0" fontId="10" fillId="2" borderId="171" xfId="0" applyFont="1" applyFill="1" applyBorder="1" applyAlignment="1">
      <alignment horizontal="center" vertical="center" wrapText="1"/>
    </xf>
    <xf numFmtId="0" fontId="10" fillId="2" borderId="135" xfId="0" applyFont="1" applyFill="1" applyBorder="1" applyAlignment="1">
      <alignment horizontal="center" vertical="center" wrapText="1"/>
    </xf>
    <xf numFmtId="170" fontId="14" fillId="2" borderId="171" xfId="6" applyNumberFormat="1" applyFont="1" applyFill="1" applyBorder="1" applyAlignment="1">
      <alignment vertical="center"/>
    </xf>
    <xf numFmtId="170" fontId="14" fillId="2" borderId="2" xfId="6" applyNumberFormat="1" applyFont="1" applyFill="1" applyBorder="1" applyAlignment="1">
      <alignment vertical="center"/>
    </xf>
    <xf numFmtId="170" fontId="14" fillId="2" borderId="10" xfId="6" applyNumberFormat="1" applyFont="1" applyFill="1" applyBorder="1" applyAlignment="1">
      <alignment vertical="center"/>
    </xf>
    <xf numFmtId="170" fontId="14" fillId="2" borderId="21" xfId="6" applyNumberFormat="1" applyFont="1" applyFill="1" applyBorder="1" applyAlignment="1">
      <alignment vertical="center"/>
    </xf>
    <xf numFmtId="170" fontId="14" fillId="2" borderId="22" xfId="6" applyNumberFormat="1" applyFont="1" applyFill="1" applyBorder="1" applyAlignment="1">
      <alignment vertical="center"/>
    </xf>
    <xf numFmtId="170" fontId="14" fillId="2" borderId="1" xfId="6" applyNumberFormat="1" applyFont="1" applyFill="1" applyBorder="1" applyAlignment="1">
      <alignment vertical="center"/>
    </xf>
    <xf numFmtId="170" fontId="10" fillId="0" borderId="40" xfId="6" applyNumberFormat="1" applyFont="1" applyFill="1" applyBorder="1" applyAlignment="1">
      <alignment vertical="center"/>
    </xf>
    <xf numFmtId="170" fontId="10" fillId="0" borderId="105" xfId="6" applyNumberFormat="1" applyFont="1" applyFill="1" applyBorder="1" applyAlignment="1">
      <alignment vertical="center"/>
    </xf>
    <xf numFmtId="170" fontId="10" fillId="0" borderId="31" xfId="6" applyNumberFormat="1" applyFont="1" applyFill="1" applyBorder="1" applyAlignment="1">
      <alignment vertical="center"/>
    </xf>
    <xf numFmtId="170" fontId="11" fillId="0" borderId="36" xfId="6" applyNumberFormat="1" applyFont="1" applyFill="1" applyBorder="1" applyAlignment="1">
      <alignment vertical="center"/>
    </xf>
    <xf numFmtId="170" fontId="11" fillId="0" borderId="149" xfId="6" applyNumberFormat="1" applyFont="1" applyFill="1" applyBorder="1" applyAlignment="1">
      <alignment vertical="center"/>
    </xf>
    <xf numFmtId="170" fontId="11" fillId="0" borderId="55" xfId="6" applyNumberFormat="1" applyFont="1" applyFill="1" applyBorder="1" applyAlignment="1">
      <alignment vertical="center"/>
    </xf>
    <xf numFmtId="170" fontId="11" fillId="0" borderId="194" xfId="6" applyNumberFormat="1" applyFont="1" applyFill="1" applyBorder="1" applyAlignment="1">
      <alignment vertical="center"/>
    </xf>
    <xf numFmtId="170" fontId="11" fillId="0" borderId="37" xfId="6" applyNumberFormat="1" applyFont="1" applyFill="1" applyBorder="1" applyAlignment="1">
      <alignment vertical="center"/>
    </xf>
    <xf numFmtId="170" fontId="11" fillId="0" borderId="138" xfId="6" applyNumberFormat="1" applyFont="1" applyFill="1" applyBorder="1" applyAlignment="1">
      <alignment vertical="center"/>
    </xf>
    <xf numFmtId="170" fontId="11" fillId="0" borderId="5" xfId="6" applyNumberFormat="1" applyFont="1" applyBorder="1" applyAlignment="1">
      <alignment horizontal="center" vertical="center"/>
    </xf>
    <xf numFmtId="170" fontId="11" fillId="0" borderId="150" xfId="6" applyNumberFormat="1" applyFont="1" applyFill="1" applyBorder="1" applyAlignment="1">
      <alignment vertical="center"/>
    </xf>
    <xf numFmtId="170" fontId="11" fillId="0" borderId="137" xfId="6" applyNumberFormat="1" applyFont="1" applyFill="1" applyBorder="1" applyAlignment="1">
      <alignment vertical="center"/>
    </xf>
    <xf numFmtId="170" fontId="11" fillId="0" borderId="11" xfId="6" applyNumberFormat="1" applyFont="1" applyFill="1" applyBorder="1" applyAlignment="1">
      <alignment vertical="center"/>
    </xf>
    <xf numFmtId="170" fontId="11" fillId="0" borderId="41" xfId="6" applyNumberFormat="1" applyFont="1" applyFill="1" applyBorder="1" applyAlignment="1">
      <alignment vertical="center"/>
    </xf>
    <xf numFmtId="170" fontId="11" fillId="0" borderId="5" xfId="6" applyNumberFormat="1" applyFont="1" applyFill="1" applyBorder="1" applyAlignment="1">
      <alignment vertical="center"/>
    </xf>
    <xf numFmtId="170" fontId="11" fillId="0" borderId="23" xfId="6" applyNumberFormat="1" applyFont="1" applyFill="1" applyBorder="1" applyAlignment="1">
      <alignment vertical="center"/>
    </xf>
    <xf numFmtId="170" fontId="11" fillId="0" borderId="24" xfId="6" applyNumberFormat="1" applyFont="1" applyFill="1" applyBorder="1" applyAlignment="1">
      <alignment vertical="center"/>
    </xf>
    <xf numFmtId="170" fontId="11" fillId="0" borderId="35" xfId="6" applyNumberFormat="1" applyFont="1" applyFill="1" applyBorder="1" applyAlignment="1">
      <alignment vertical="center"/>
    </xf>
    <xf numFmtId="170" fontId="11" fillId="0" borderId="4" xfId="6" applyNumberFormat="1" applyFont="1" applyFill="1" applyBorder="1" applyAlignment="1">
      <alignment vertical="center"/>
    </xf>
    <xf numFmtId="0" fontId="11" fillId="0" borderId="40" xfId="0" applyFont="1" applyFill="1" applyBorder="1" applyAlignment="1">
      <alignment vertical="center"/>
    </xf>
    <xf numFmtId="0" fontId="11" fillId="0" borderId="105" xfId="0" applyFont="1" applyFill="1" applyBorder="1" applyAlignment="1">
      <alignment vertical="center"/>
    </xf>
    <xf numFmtId="0" fontId="11" fillId="0" borderId="31" xfId="0" applyFont="1" applyFill="1" applyBorder="1" applyAlignment="1">
      <alignment vertical="center"/>
    </xf>
    <xf numFmtId="0" fontId="0" fillId="0" borderId="105" xfId="0" applyBorder="1" applyAlignment="1">
      <alignment vertical="center"/>
    </xf>
    <xf numFmtId="170" fontId="11" fillId="0" borderId="36" xfId="0" applyNumberFormat="1" applyFont="1" applyBorder="1" applyAlignment="1">
      <alignment vertical="center"/>
    </xf>
    <xf numFmtId="170" fontId="11" fillId="0" borderId="37" xfId="0" applyNumberFormat="1" applyFont="1" applyBorder="1" applyAlignment="1">
      <alignment vertical="center"/>
    </xf>
    <xf numFmtId="170" fontId="10" fillId="0" borderId="40" xfId="0" applyNumberFormat="1" applyFont="1" applyBorder="1" applyAlignment="1">
      <alignment vertical="center"/>
    </xf>
    <xf numFmtId="170" fontId="10" fillId="0" borderId="99" xfId="0" applyNumberFormat="1" applyFont="1" applyBorder="1" applyAlignment="1">
      <alignment vertical="center"/>
    </xf>
    <xf numFmtId="170" fontId="11" fillId="0" borderId="5" xfId="0" applyNumberFormat="1" applyFont="1" applyBorder="1" applyAlignment="1">
      <alignment vertical="center"/>
    </xf>
    <xf numFmtId="170" fontId="11" fillId="0" borderId="23" xfId="0" applyNumberFormat="1" applyFont="1" applyBorder="1" applyAlignment="1">
      <alignment vertical="center"/>
    </xf>
    <xf numFmtId="170" fontId="10" fillId="0" borderId="31" xfId="0" applyNumberFormat="1" applyFont="1" applyBorder="1" applyAlignment="1">
      <alignment vertical="center"/>
    </xf>
    <xf numFmtId="170" fontId="10" fillId="0" borderId="98" xfId="0" applyNumberFormat="1" applyFont="1" applyBorder="1" applyAlignment="1">
      <alignment vertical="center"/>
    </xf>
    <xf numFmtId="170" fontId="0" fillId="9" borderId="2" xfId="0" applyNumberFormat="1" applyFill="1" applyBorder="1" applyAlignment="1">
      <alignment vertical="center"/>
    </xf>
    <xf numFmtId="170" fontId="0" fillId="9" borderId="10" xfId="0" applyNumberFormat="1" applyFill="1" applyBorder="1" applyAlignment="1">
      <alignment vertical="center"/>
    </xf>
    <xf numFmtId="170" fontId="10" fillId="9" borderId="22" xfId="0" applyNumberFormat="1" applyFont="1" applyFill="1" applyBorder="1" applyAlignment="1">
      <alignment vertical="center"/>
    </xf>
    <xf numFmtId="170" fontId="10" fillId="9" borderId="49" xfId="0" applyNumberFormat="1" applyFont="1" applyFill="1" applyBorder="1" applyAlignment="1">
      <alignment vertical="center"/>
    </xf>
    <xf numFmtId="0" fontId="10" fillId="2" borderId="195" xfId="0" applyFont="1" applyFill="1" applyBorder="1" applyAlignment="1">
      <alignment horizontal="center" vertical="center" wrapText="1"/>
    </xf>
    <xf numFmtId="169" fontId="14" fillId="0" borderId="169" xfId="2" applyNumberFormat="1" applyFont="1" applyBorder="1" applyAlignment="1">
      <alignment horizontal="center" vertical="center" wrapText="1"/>
    </xf>
    <xf numFmtId="0" fontId="15" fillId="9" borderId="169" xfId="2" applyFont="1" applyFill="1" applyBorder="1" applyAlignment="1">
      <alignment vertical="center" wrapText="1"/>
    </xf>
    <xf numFmtId="0" fontId="10" fillId="9" borderId="169" xfId="2" applyFont="1" applyFill="1" applyBorder="1" applyAlignment="1">
      <alignment horizontal="center" vertical="center" wrapText="1"/>
    </xf>
    <xf numFmtId="0" fontId="11" fillId="0" borderId="172" xfId="2" applyFont="1" applyBorder="1" applyAlignment="1">
      <alignment vertical="center" wrapText="1"/>
    </xf>
    <xf numFmtId="169" fontId="11" fillId="0" borderId="169" xfId="2" applyNumberFormat="1" applyFont="1" applyBorder="1" applyAlignment="1">
      <alignment horizontal="center" vertical="center" wrapText="1"/>
    </xf>
    <xf numFmtId="170" fontId="14" fillId="0" borderId="40" xfId="0" applyNumberFormat="1" applyFont="1" applyFill="1" applyBorder="1" applyAlignment="1">
      <alignment vertical="center"/>
    </xf>
    <xf numFmtId="170" fontId="0" fillId="0" borderId="105" xfId="0" applyNumberFormat="1" applyBorder="1" applyAlignment="1">
      <alignment vertical="center"/>
    </xf>
    <xf numFmtId="170" fontId="14" fillId="0" borderId="105" xfId="0" applyNumberFormat="1" applyFont="1" applyFill="1" applyBorder="1" applyAlignment="1">
      <alignment vertical="center"/>
    </xf>
    <xf numFmtId="170" fontId="0" fillId="0" borderId="31" xfId="0" applyNumberFormat="1" applyBorder="1" applyAlignment="1">
      <alignment vertical="center"/>
    </xf>
    <xf numFmtId="170" fontId="14" fillId="0" borderId="31" xfId="0" applyNumberFormat="1" applyFont="1" applyFill="1" applyBorder="1" applyAlignment="1">
      <alignment vertical="center"/>
    </xf>
    <xf numFmtId="170" fontId="14" fillId="2" borderId="22" xfId="0" applyNumberFormat="1" applyFont="1" applyFill="1" applyBorder="1" applyAlignment="1">
      <alignment vertical="center"/>
    </xf>
    <xf numFmtId="170" fontId="0" fillId="9" borderId="169" xfId="0" applyNumberFormat="1" applyFill="1" applyBorder="1" applyAlignment="1">
      <alignment vertical="center"/>
    </xf>
    <xf numFmtId="0" fontId="16" fillId="0" borderId="0" xfId="2" applyFont="1" applyBorder="1" applyAlignment="1">
      <alignment horizontal="center" vertical="center" wrapText="1"/>
    </xf>
    <xf numFmtId="4" fontId="10" fillId="9" borderId="169" xfId="0" applyNumberFormat="1" applyFont="1" applyFill="1" applyBorder="1" applyAlignment="1">
      <alignment vertical="center" wrapText="1"/>
    </xf>
    <xf numFmtId="0" fontId="10" fillId="10" borderId="169" xfId="2" applyFont="1" applyFill="1" applyBorder="1" applyAlignment="1">
      <alignment vertical="center" wrapText="1"/>
    </xf>
    <xf numFmtId="1" fontId="92" fillId="64" borderId="2" xfId="0" applyNumberFormat="1" applyFont="1" applyFill="1" applyBorder="1" applyAlignment="1">
      <alignment horizontal="center" vertical="center"/>
    </xf>
    <xf numFmtId="1" fontId="92" fillId="10" borderId="21" xfId="0" applyNumberFormat="1" applyFont="1" applyFill="1" applyBorder="1" applyAlignment="1">
      <alignment horizontal="center" vertical="center"/>
    </xf>
    <xf numFmtId="2" fontId="92" fillId="10" borderId="21" xfId="0" applyNumberFormat="1" applyFont="1" applyFill="1" applyBorder="1" applyAlignment="1">
      <alignment horizontal="center" vertical="center"/>
    </xf>
    <xf numFmtId="0" fontId="11" fillId="9" borderId="178" xfId="0" applyFont="1" applyFill="1" applyBorder="1" applyAlignment="1">
      <alignment wrapText="1"/>
    </xf>
    <xf numFmtId="202" fontId="58" fillId="9" borderId="170" xfId="0" applyNumberFormat="1" applyFont="1" applyFill="1" applyBorder="1"/>
    <xf numFmtId="202" fontId="0" fillId="0" borderId="174" xfId="0" applyNumberFormat="1" applyFill="1" applyBorder="1"/>
    <xf numFmtId="202" fontId="0" fillId="0" borderId="175" xfId="0" applyNumberFormat="1" applyFill="1" applyBorder="1"/>
    <xf numFmtId="202" fontId="0" fillId="0" borderId="5" xfId="0" applyNumberFormat="1" applyFill="1" applyBorder="1"/>
    <xf numFmtId="202" fontId="0" fillId="0" borderId="6" xfId="0" applyNumberFormat="1" applyFill="1" applyBorder="1"/>
    <xf numFmtId="202" fontId="0" fillId="0" borderId="8" xfId="0" applyNumberFormat="1" applyFill="1" applyBorder="1"/>
    <xf numFmtId="202" fontId="0" fillId="0" borderId="9" xfId="0" applyNumberFormat="1" applyFill="1" applyBorder="1"/>
    <xf numFmtId="44" fontId="60" fillId="67" borderId="155" xfId="0" applyNumberFormat="1" applyFont="1" applyFill="1" applyBorder="1" applyAlignment="1">
      <alignment horizontal="center"/>
    </xf>
    <xf numFmtId="0" fontId="10" fillId="2" borderId="189" xfId="0" applyFont="1" applyFill="1" applyBorder="1" applyAlignment="1">
      <alignment horizontal="left" vertical="center" wrapText="1" indent="1"/>
    </xf>
    <xf numFmtId="0" fontId="10" fillId="2" borderId="170" xfId="0" applyFont="1" applyFill="1" applyBorder="1" applyAlignment="1">
      <alignment horizontal="left" vertical="center" wrapText="1" indent="1"/>
    </xf>
    <xf numFmtId="14" fontId="11" fillId="0" borderId="149" xfId="0" applyNumberFormat="1" applyFont="1" applyBorder="1" applyAlignment="1">
      <alignment horizontal="center" vertical="center" wrapText="1"/>
    </xf>
    <xf numFmtId="2" fontId="10" fillId="2" borderId="170" xfId="0" applyNumberFormat="1" applyFont="1" applyFill="1" applyBorder="1" applyAlignment="1">
      <alignment horizontal="center" vertical="center" wrapText="1"/>
    </xf>
    <xf numFmtId="2" fontId="10" fillId="2" borderId="191" xfId="0" applyNumberFormat="1" applyFont="1" applyFill="1" applyBorder="1" applyAlignment="1">
      <alignment horizontal="center" vertical="center" wrapText="1"/>
    </xf>
    <xf numFmtId="2" fontId="60" fillId="9" borderId="169" xfId="0" applyNumberFormat="1" applyFont="1" applyFill="1" applyBorder="1" applyAlignment="1">
      <alignment horizontal="center" vertical="center"/>
    </xf>
    <xf numFmtId="2" fontId="92" fillId="9" borderId="169" xfId="0" applyNumberFormat="1" applyFont="1" applyFill="1" applyBorder="1" applyAlignment="1">
      <alignment horizontal="center" vertical="center"/>
    </xf>
    <xf numFmtId="2" fontId="60" fillId="0" borderId="31" xfId="0" applyNumberFormat="1" applyFont="1" applyFill="1" applyBorder="1" applyAlignment="1">
      <alignment horizontal="center" vertical="center"/>
    </xf>
    <xf numFmtId="2" fontId="60" fillId="0" borderId="100" xfId="0" applyNumberFormat="1" applyFont="1" applyFill="1" applyBorder="1" applyAlignment="1">
      <alignment horizontal="center" vertical="center"/>
    </xf>
    <xf numFmtId="2" fontId="11" fillId="0" borderId="149" xfId="0" applyNumberFormat="1" applyFont="1" applyBorder="1" applyAlignment="1" applyProtection="1">
      <alignment horizontal="center" vertical="center" wrapText="1"/>
      <protection locked="0"/>
    </xf>
    <xf numFmtId="1" fontId="11" fillId="0" borderId="149" xfId="0" applyNumberFormat="1" applyFont="1" applyBorder="1" applyAlignment="1" applyProtection="1">
      <alignment horizontal="center" vertical="center" wrapText="1"/>
      <protection locked="0"/>
    </xf>
    <xf numFmtId="0" fontId="11" fillId="0" borderId="150" xfId="0" applyNumberFormat="1" applyFont="1" applyBorder="1" applyAlignment="1" applyProtection="1">
      <alignment horizontal="center" vertical="center" wrapText="1"/>
      <protection locked="0"/>
    </xf>
    <xf numFmtId="14" fontId="11" fillId="0" borderId="5" xfId="0" applyNumberFormat="1" applyFont="1" applyBorder="1" applyAlignment="1">
      <alignment horizontal="center" vertical="center" wrapText="1"/>
    </xf>
    <xf numFmtId="1" fontId="10" fillId="2" borderId="170" xfId="0" applyNumberFormat="1" applyFont="1" applyFill="1" applyBorder="1" applyAlignment="1">
      <alignment horizontal="center" vertical="center" wrapText="1"/>
    </xf>
    <xf numFmtId="202" fontId="0" fillId="0" borderId="0" xfId="0" applyNumberFormat="1" applyFill="1" applyBorder="1"/>
    <xf numFmtId="0" fontId="10" fillId="0" borderId="0" xfId="0" applyFont="1" applyFill="1" applyBorder="1" applyAlignment="1">
      <alignment horizontal="center" vertical="center"/>
    </xf>
    <xf numFmtId="0" fontId="11" fillId="0" borderId="0" xfId="0" applyFont="1" applyFill="1" applyBorder="1" applyAlignment="1">
      <alignment wrapText="1"/>
    </xf>
    <xf numFmtId="202" fontId="58" fillId="0" borderId="0" xfId="0" applyNumberFormat="1" applyFont="1" applyFill="1" applyBorder="1"/>
    <xf numFmtId="202" fontId="11" fillId="0" borderId="0" xfId="0" quotePrefix="1" applyNumberFormat="1" applyFont="1" applyFill="1"/>
    <xf numFmtId="0" fontId="0" fillId="0" borderId="0" xfId="0" applyFill="1" applyBorder="1" applyAlignment="1">
      <alignment horizontal="center" vertical="center"/>
    </xf>
    <xf numFmtId="44" fontId="11" fillId="0" borderId="150" xfId="0" applyNumberFormat="1" applyFont="1" applyBorder="1" applyAlignment="1" applyProtection="1">
      <alignment horizontal="center" vertical="center" wrapText="1"/>
      <protection locked="0"/>
    </xf>
    <xf numFmtId="44" fontId="10" fillId="2" borderId="191" xfId="0" applyNumberFormat="1" applyFont="1" applyFill="1" applyBorder="1" applyAlignment="1">
      <alignment horizontal="center" vertical="center" wrapText="1"/>
    </xf>
    <xf numFmtId="0" fontId="11" fillId="5" borderId="177" xfId="0" applyFont="1" applyFill="1" applyBorder="1" applyAlignment="1">
      <alignment wrapText="1"/>
    </xf>
    <xf numFmtId="0" fontId="11" fillId="5" borderId="178" xfId="0" applyFont="1" applyFill="1" applyBorder="1" applyAlignment="1">
      <alignment wrapText="1"/>
    </xf>
    <xf numFmtId="170" fontId="15" fillId="0" borderId="151" xfId="2" applyNumberFormat="1" applyFont="1" applyBorder="1" applyAlignment="1">
      <alignment horizontal="center" vertical="center" wrapText="1"/>
    </xf>
    <xf numFmtId="204" fontId="11" fillId="0" borderId="188" xfId="2" applyNumberFormat="1" applyFont="1" applyBorder="1" applyAlignment="1">
      <alignment horizontal="center" vertical="center" wrapText="1"/>
    </xf>
    <xf numFmtId="174" fontId="10" fillId="0" borderId="22" xfId="3" applyNumberFormat="1" applyFont="1" applyBorder="1" applyAlignment="1">
      <alignment horizontal="center" vertical="center" wrapText="1"/>
    </xf>
    <xf numFmtId="195" fontId="11" fillId="0" borderId="0" xfId="2" applyNumberFormat="1" applyFont="1" applyBorder="1" applyAlignment="1">
      <alignment horizontal="center" vertical="center" wrapText="1"/>
    </xf>
    <xf numFmtId="0" fontId="11" fillId="0" borderId="149" xfId="0" applyFont="1" applyBorder="1" applyAlignment="1">
      <alignment horizontal="center" vertical="center"/>
    </xf>
    <xf numFmtId="0" fontId="12" fillId="0" borderId="0" xfId="2" applyFont="1" applyAlignment="1">
      <alignment horizontal="center" vertical="center" wrapText="1"/>
    </xf>
    <xf numFmtId="192" fontId="12" fillId="0" borderId="0" xfId="2" applyNumberFormat="1" applyFont="1" applyAlignment="1">
      <alignment horizontal="center" vertical="center" wrapText="1"/>
    </xf>
    <xf numFmtId="49" fontId="12" fillId="0" borderId="0" xfId="2" applyNumberFormat="1" applyFont="1" applyAlignment="1">
      <alignment horizontal="center" vertical="center" wrapText="1"/>
    </xf>
    <xf numFmtId="0" fontId="10" fillId="4" borderId="10" xfId="0" applyFont="1" applyFill="1" applyBorder="1" applyAlignment="1">
      <alignment horizontal="center" vertical="center" wrapText="1"/>
    </xf>
    <xf numFmtId="0" fontId="10" fillId="4" borderId="3" xfId="0" applyFont="1" applyFill="1" applyBorder="1" applyAlignment="1">
      <alignment horizontal="center" vertical="center" wrapText="1"/>
    </xf>
    <xf numFmtId="166" fontId="14" fillId="4" borderId="10" xfId="0" applyNumberFormat="1" applyFont="1" applyFill="1" applyBorder="1" applyAlignment="1">
      <alignment horizontal="center" vertical="center"/>
    </xf>
    <xf numFmtId="170" fontId="14" fillId="4" borderId="3" xfId="0" applyNumberFormat="1" applyFont="1" applyFill="1" applyBorder="1" applyAlignment="1">
      <alignment horizontal="center" vertical="center"/>
    </xf>
    <xf numFmtId="166" fontId="14" fillId="4" borderId="2" xfId="0" applyNumberFormat="1" applyFont="1" applyFill="1" applyBorder="1" applyAlignment="1">
      <alignment horizontal="center" vertical="center"/>
    </xf>
    <xf numFmtId="0" fontId="11" fillId="0" borderId="5" xfId="0" applyFont="1" applyBorder="1" applyAlignment="1">
      <alignment wrapText="1"/>
    </xf>
    <xf numFmtId="0" fontId="0" fillId="0" borderId="0" xfId="0" applyAlignment="1"/>
    <xf numFmtId="0" fontId="11" fillId="0" borderId="194" xfId="0" applyFont="1" applyFill="1" applyBorder="1" applyAlignment="1">
      <alignment vertical="center" wrapText="1"/>
    </xf>
    <xf numFmtId="0" fontId="10" fillId="2" borderId="171" xfId="0" applyFont="1" applyFill="1" applyBorder="1" applyAlignment="1">
      <alignment horizontal="left" vertical="center" wrapText="1" indent="1"/>
    </xf>
    <xf numFmtId="0" fontId="13" fillId="0" borderId="0" xfId="9" applyFont="1"/>
    <xf numFmtId="0" fontId="12" fillId="0" borderId="0" xfId="9" applyFont="1" applyAlignment="1">
      <alignment horizontal="center" vertical="center"/>
    </xf>
    <xf numFmtId="49" fontId="12" fillId="0" borderId="0" xfId="194" applyNumberFormat="1" applyFont="1" applyAlignment="1">
      <alignment horizontal="center" vertical="center"/>
    </xf>
    <xf numFmtId="49" fontId="124" fillId="0" borderId="0" xfId="9" applyNumberFormat="1" applyFont="1" applyAlignment="1">
      <alignment horizontal="center" vertical="center"/>
    </xf>
    <xf numFmtId="0" fontId="125" fillId="0" borderId="0" xfId="9" applyFont="1" applyAlignment="1">
      <alignment horizontal="center" vertical="top" wrapText="1"/>
    </xf>
    <xf numFmtId="0" fontId="10" fillId="0" borderId="0" xfId="9" applyFont="1" applyAlignment="1">
      <alignment vertical="justify"/>
    </xf>
    <xf numFmtId="0" fontId="11" fillId="0" borderId="0" xfId="9" applyAlignment="1">
      <alignment vertical="justify"/>
    </xf>
    <xf numFmtId="0" fontId="11" fillId="0" borderId="149" xfId="9" applyBorder="1" applyAlignment="1" applyProtection="1">
      <alignment horizontal="left"/>
      <protection locked="0"/>
    </xf>
    <xf numFmtId="0" fontId="11" fillId="0" borderId="5" xfId="9" applyBorder="1" applyAlignment="1" applyProtection="1">
      <alignment horizontal="left"/>
      <protection locked="0"/>
    </xf>
    <xf numFmtId="10" fontId="81" fillId="0" borderId="0" xfId="57" applyNumberFormat="1" applyFont="1" applyFill="1" applyBorder="1" applyAlignment="1">
      <alignment horizontal="center"/>
    </xf>
    <xf numFmtId="169" fontId="81" fillId="0" borderId="0" xfId="57" applyNumberFormat="1" applyFont="1"/>
    <xf numFmtId="0" fontId="11" fillId="0" borderId="0" xfId="0" applyFont="1" applyFill="1" applyAlignment="1">
      <alignment horizontal="center" vertical="center"/>
    </xf>
    <xf numFmtId="0" fontId="11" fillId="0" borderId="0" xfId="0" applyFont="1" applyFill="1" applyAlignment="1"/>
    <xf numFmtId="0" fontId="60" fillId="0" borderId="23" xfId="57" applyFont="1" applyBorder="1" applyAlignment="1">
      <alignment horizontal="center" vertical="center"/>
    </xf>
    <xf numFmtId="0" fontId="60" fillId="0" borderId="41" xfId="57" applyFont="1" applyBorder="1" applyAlignment="1">
      <alignment horizontal="center" vertical="center"/>
    </xf>
    <xf numFmtId="0" fontId="60" fillId="0" borderId="149" xfId="57" applyFont="1" applyBorder="1" applyAlignment="1">
      <alignment horizontal="center" vertical="center"/>
    </xf>
    <xf numFmtId="0" fontId="60" fillId="77" borderId="23" xfId="57" applyFont="1" applyFill="1" applyBorder="1" applyAlignment="1">
      <alignment horizontal="center"/>
    </xf>
    <xf numFmtId="0" fontId="60" fillId="77" borderId="5" xfId="57" applyFont="1" applyFill="1" applyBorder="1" applyAlignment="1">
      <alignment horizontal="center"/>
    </xf>
    <xf numFmtId="0" fontId="11" fillId="12" borderId="82" xfId="0" applyFont="1" applyFill="1" applyBorder="1" applyAlignment="1">
      <alignment vertical="center" wrapText="1"/>
    </xf>
    <xf numFmtId="175" fontId="11" fillId="10" borderId="198" xfId="0" applyNumberFormat="1" applyFont="1" applyFill="1" applyBorder="1" applyAlignment="1">
      <alignment vertical="center"/>
    </xf>
    <xf numFmtId="0" fontId="11" fillId="12" borderId="102" xfId="0" applyFont="1" applyFill="1" applyBorder="1" applyAlignment="1">
      <alignment horizontal="left" vertical="center"/>
    </xf>
    <xf numFmtId="8" fontId="11" fillId="10" borderId="200" xfId="0" applyNumberFormat="1" applyFont="1" applyFill="1" applyBorder="1" applyAlignment="1">
      <alignment horizontal="right" vertical="center" indent="1"/>
    </xf>
    <xf numFmtId="175" fontId="11" fillId="0" borderId="75" xfId="0" applyNumberFormat="1" applyFont="1" applyFill="1" applyBorder="1" applyAlignment="1">
      <alignment vertical="center"/>
    </xf>
    <xf numFmtId="8" fontId="33" fillId="13" borderId="49" xfId="0" applyNumberFormat="1" applyFont="1" applyFill="1" applyBorder="1" applyAlignment="1">
      <alignment horizontal="right" vertical="center"/>
    </xf>
    <xf numFmtId="172" fontId="11" fillId="10" borderId="201" xfId="0" applyNumberFormat="1" applyFont="1" applyFill="1" applyBorder="1" applyAlignment="1">
      <alignment vertical="center"/>
    </xf>
    <xf numFmtId="172" fontId="11" fillId="10" borderId="202" xfId="0" applyNumberFormat="1" applyFont="1" applyFill="1" applyBorder="1" applyAlignment="1">
      <alignment vertical="center"/>
    </xf>
    <xf numFmtId="170" fontId="11" fillId="0" borderId="5" xfId="0" applyNumberFormat="1" applyFont="1" applyBorder="1"/>
    <xf numFmtId="4" fontId="0" fillId="0" borderId="5" xfId="0" applyNumberFormat="1" applyBorder="1" applyAlignment="1">
      <alignment wrapText="1"/>
    </xf>
    <xf numFmtId="172" fontId="11" fillId="10" borderId="78" xfId="0" applyNumberFormat="1" applyFont="1" applyFill="1" applyBorder="1" applyAlignment="1">
      <alignment vertical="center"/>
    </xf>
    <xf numFmtId="172" fontId="11" fillId="10" borderId="77" xfId="0" applyNumberFormat="1" applyFont="1" applyFill="1" applyBorder="1" applyAlignment="1">
      <alignment vertical="center"/>
    </xf>
    <xf numFmtId="0" fontId="12" fillId="0" borderId="0" xfId="0" applyFont="1" applyAlignment="1">
      <alignment horizontal="center"/>
    </xf>
    <xf numFmtId="0" fontId="11" fillId="0" borderId="4" xfId="9" applyBorder="1" applyAlignment="1" applyProtection="1">
      <alignment horizontal="left"/>
      <protection locked="0"/>
    </xf>
    <xf numFmtId="0" fontId="11" fillId="0" borderId="4" xfId="9" applyBorder="1"/>
    <xf numFmtId="0" fontId="11" fillId="0" borderId="5" xfId="9" applyBorder="1"/>
    <xf numFmtId="0" fontId="11" fillId="0" borderId="6" xfId="9" applyBorder="1"/>
    <xf numFmtId="0" fontId="11" fillId="0" borderId="7" xfId="9" applyBorder="1"/>
    <xf numFmtId="0" fontId="11" fillId="0" borderId="8" xfId="9" applyBorder="1"/>
    <xf numFmtId="0" fontId="11" fillId="0" borderId="9" xfId="9" applyBorder="1"/>
    <xf numFmtId="0" fontId="10" fillId="2" borderId="3" xfId="0" applyFont="1" applyFill="1" applyBorder="1" applyAlignment="1">
      <alignment horizontal="center" vertical="center"/>
    </xf>
    <xf numFmtId="0" fontId="11" fillId="0" borderId="0" xfId="9" applyFont="1"/>
    <xf numFmtId="0" fontId="10" fillId="2" borderId="208" xfId="9" applyFont="1" applyFill="1" applyBorder="1" applyAlignment="1">
      <alignment horizontal="center" vertical="center" wrapText="1"/>
    </xf>
    <xf numFmtId="0" fontId="11" fillId="0" borderId="150" xfId="9" applyBorder="1" applyAlignment="1" applyProtection="1">
      <protection locked="0"/>
    </xf>
    <xf numFmtId="0" fontId="11" fillId="0" borderId="23" xfId="9" applyBorder="1" applyAlignment="1" applyProtection="1">
      <protection locked="0"/>
    </xf>
    <xf numFmtId="0" fontId="11" fillId="0" borderId="23" xfId="9" applyBorder="1"/>
    <xf numFmtId="0" fontId="11" fillId="0" borderId="19" xfId="9" applyBorder="1"/>
    <xf numFmtId="0" fontId="11" fillId="0" borderId="161" xfId="9" applyBorder="1"/>
    <xf numFmtId="0" fontId="10" fillId="9" borderId="207" xfId="9" applyFont="1" applyFill="1" applyBorder="1" applyAlignment="1">
      <alignment horizontal="center" vertical="center"/>
    </xf>
    <xf numFmtId="0" fontId="15" fillId="0" borderId="0" xfId="2" applyFont="1" applyFill="1" applyBorder="1" applyAlignment="1">
      <alignment vertical="center"/>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49" fontId="12" fillId="0" borderId="0" xfId="0" applyNumberFormat="1" applyFont="1" applyFill="1" applyAlignment="1">
      <alignment horizontal="center" vertical="center"/>
    </xf>
    <xf numFmtId="0" fontId="92" fillId="9" borderId="39" xfId="2" applyFont="1" applyFill="1" applyBorder="1" applyAlignment="1">
      <alignment horizontal="center" vertical="center" wrapText="1"/>
    </xf>
    <xf numFmtId="0" fontId="11" fillId="0" borderId="0" xfId="0" applyFont="1" applyAlignment="1">
      <alignment horizontal="left" indent="1"/>
    </xf>
    <xf numFmtId="14" fontId="11" fillId="0" borderId="5" xfId="0" applyNumberFormat="1" applyFont="1" applyBorder="1" applyAlignment="1">
      <alignment horizontal="center"/>
    </xf>
    <xf numFmtId="0" fontId="11" fillId="0" borderId="5" xfId="0" applyFont="1" applyBorder="1" applyAlignment="1">
      <alignment horizontal="center"/>
    </xf>
    <xf numFmtId="49" fontId="125" fillId="0" borderId="5" xfId="0" applyNumberFormat="1" applyFont="1" applyBorder="1" applyAlignment="1">
      <alignment horizontal="center"/>
    </xf>
    <xf numFmtId="1" fontId="11" fillId="0" borderId="5" xfId="0" applyNumberFormat="1" applyFont="1" applyBorder="1" applyAlignment="1">
      <alignment horizontal="center"/>
    </xf>
    <xf numFmtId="0" fontId="11" fillId="0" borderId="5" xfId="0" applyFont="1" applyBorder="1" applyAlignment="1">
      <alignment horizontal="right"/>
    </xf>
    <xf numFmtId="0" fontId="60" fillId="0" borderId="5" xfId="0" applyFont="1" applyBorder="1" applyAlignment="1">
      <alignment horizontal="center"/>
    </xf>
    <xf numFmtId="0" fontId="16" fillId="0" borderId="0" xfId="0" applyFont="1" applyAlignment="1">
      <alignment vertical="top" wrapText="1"/>
    </xf>
    <xf numFmtId="0" fontId="11" fillId="0" borderId="0" xfId="0" applyFont="1" applyAlignment="1">
      <alignment vertical="top" wrapText="1"/>
    </xf>
    <xf numFmtId="0" fontId="10" fillId="9" borderId="210" xfId="2" applyFont="1" applyFill="1" applyBorder="1" applyAlignment="1">
      <alignment horizontal="left" vertical="center" wrapText="1" indent="1"/>
    </xf>
    <xf numFmtId="49" fontId="14" fillId="0" borderId="0" xfId="0" applyNumberFormat="1" applyFont="1" applyFill="1" applyAlignment="1">
      <alignment horizontal="center" vertical="center"/>
    </xf>
    <xf numFmtId="14" fontId="11" fillId="0" borderId="149" xfId="0" applyNumberFormat="1" applyFont="1" applyBorder="1" applyAlignment="1">
      <alignment horizontal="center"/>
    </xf>
    <xf numFmtId="0" fontId="11" fillId="0" borderId="149" xfId="0" applyFont="1" applyBorder="1" applyAlignment="1">
      <alignment horizontal="center"/>
    </xf>
    <xf numFmtId="49" fontId="125" fillId="0" borderId="149" xfId="0" applyNumberFormat="1" applyFont="1" applyBorder="1" applyAlignment="1">
      <alignment horizontal="center"/>
    </xf>
    <xf numFmtId="1" fontId="11" fillId="0" borderId="149" xfId="0" applyNumberFormat="1" applyFont="1" applyBorder="1" applyAlignment="1">
      <alignment horizontal="center"/>
    </xf>
    <xf numFmtId="0" fontId="11" fillId="0" borderId="149" xfId="0" applyFont="1" applyBorder="1" applyAlignment="1">
      <alignment horizontal="right"/>
    </xf>
    <xf numFmtId="0" fontId="81" fillId="9" borderId="169" xfId="0" applyFont="1" applyFill="1" applyBorder="1" applyAlignment="1">
      <alignment horizontal="center"/>
    </xf>
    <xf numFmtId="0" fontId="10" fillId="9" borderId="169" xfId="0" applyFont="1" applyFill="1" applyBorder="1"/>
    <xf numFmtId="0" fontId="0" fillId="0" borderId="0" xfId="0" applyBorder="1" applyAlignment="1">
      <alignment horizontal="left" indent="1"/>
    </xf>
    <xf numFmtId="0" fontId="0" fillId="0" borderId="0" xfId="0" applyBorder="1"/>
    <xf numFmtId="0" fontId="81" fillId="0" borderId="0" xfId="0" applyFont="1" applyBorder="1" applyAlignment="1">
      <alignment horizontal="center"/>
    </xf>
    <xf numFmtId="14" fontId="11" fillId="0" borderId="0" xfId="0" applyNumberFormat="1" applyFont="1" applyBorder="1" applyAlignment="1">
      <alignment horizontal="center"/>
    </xf>
    <xf numFmtId="0" fontId="11" fillId="0" borderId="0" xfId="0" applyFont="1" applyBorder="1" applyAlignment="1">
      <alignment horizontal="center"/>
    </xf>
    <xf numFmtId="49" fontId="125" fillId="0" borderId="0" xfId="0" applyNumberFormat="1" applyFont="1" applyBorder="1" applyAlignment="1">
      <alignment horizontal="center"/>
    </xf>
    <xf numFmtId="1" fontId="11" fillId="0" borderId="0" xfId="0" applyNumberFormat="1" applyFont="1" applyBorder="1" applyAlignment="1">
      <alignment horizontal="center"/>
    </xf>
    <xf numFmtId="0" fontId="11" fillId="0" borderId="0" xfId="0" applyFont="1" applyBorder="1" applyAlignment="1">
      <alignment horizontal="right"/>
    </xf>
    <xf numFmtId="0" fontId="60" fillId="0" borderId="0" xfId="0" applyFont="1" applyBorder="1" applyAlignment="1">
      <alignment horizontal="center"/>
    </xf>
    <xf numFmtId="0" fontId="11" fillId="0" borderId="0" xfId="0" applyFont="1" applyBorder="1" applyAlignment="1">
      <alignment vertical="top" wrapText="1"/>
    </xf>
    <xf numFmtId="0" fontId="16" fillId="0" borderId="0" xfId="0" applyFont="1" applyBorder="1" applyAlignment="1">
      <alignment vertical="top" wrapText="1"/>
    </xf>
    <xf numFmtId="0" fontId="67" fillId="0" borderId="0" xfId="0" applyFont="1" applyBorder="1" applyAlignment="1">
      <alignment horizontal="center" vertical="center"/>
    </xf>
    <xf numFmtId="0" fontId="0" fillId="0" borderId="0" xfId="0" applyBorder="1" applyAlignment="1">
      <alignment horizontal="left"/>
    </xf>
    <xf numFmtId="0" fontId="0" fillId="0" borderId="0" xfId="0" applyBorder="1" applyAlignment="1"/>
    <xf numFmtId="0" fontId="81" fillId="0" borderId="0" xfId="0" applyFont="1" applyBorder="1" applyAlignment="1"/>
    <xf numFmtId="0" fontId="11" fillId="0" borderId="0" xfId="0" applyFont="1" applyBorder="1" applyAlignment="1">
      <alignment vertical="top"/>
    </xf>
    <xf numFmtId="0" fontId="0" fillId="0" borderId="0" xfId="0" applyBorder="1" applyAlignment="1">
      <alignment vertical="top"/>
    </xf>
    <xf numFmtId="0" fontId="10" fillId="9" borderId="210" xfId="0" applyFont="1" applyFill="1" applyBorder="1" applyAlignment="1">
      <alignment horizontal="center" vertical="center" wrapText="1"/>
    </xf>
    <xf numFmtId="0" fontId="0" fillId="9" borderId="178" xfId="0" applyFill="1" applyBorder="1" applyAlignment="1">
      <alignment vertical="center"/>
    </xf>
    <xf numFmtId="0" fontId="0" fillId="0" borderId="212" xfId="0" applyBorder="1" applyAlignment="1">
      <alignment vertical="center"/>
    </xf>
    <xf numFmtId="0" fontId="0" fillId="0" borderId="5" xfId="0" applyBorder="1" applyAlignment="1">
      <alignment vertical="center"/>
    </xf>
    <xf numFmtId="0" fontId="11" fillId="12" borderId="213" xfId="0" applyFont="1" applyFill="1" applyBorder="1" applyAlignment="1">
      <alignment vertical="center" wrapText="1"/>
    </xf>
    <xf numFmtId="0" fontId="81" fillId="0" borderId="0" xfId="195" applyFont="1"/>
    <xf numFmtId="0" fontId="81" fillId="0" borderId="0" xfId="195" applyFont="1" applyAlignment="1">
      <alignment horizontal="left" vertical="top" wrapText="1"/>
    </xf>
    <xf numFmtId="0" fontId="81" fillId="0" borderId="0" xfId="195" applyFont="1" applyAlignment="1">
      <alignment wrapText="1"/>
    </xf>
    <xf numFmtId="0" fontId="38" fillId="0" borderId="5" xfId="195" applyFont="1" applyBorder="1"/>
    <xf numFmtId="0" fontId="38" fillId="0" borderId="23" xfId="195" applyFont="1" applyBorder="1" applyAlignment="1">
      <alignment horizontal="center"/>
    </xf>
    <xf numFmtId="170" fontId="38" fillId="0" borderId="5" xfId="195" applyNumberFormat="1" applyFont="1" applyBorder="1" applyAlignment="1">
      <alignment horizontal="left"/>
    </xf>
    <xf numFmtId="0" fontId="81" fillId="0" borderId="5" xfId="195" applyFont="1" applyBorder="1" applyAlignment="1">
      <alignment wrapText="1"/>
    </xf>
    <xf numFmtId="9" fontId="81" fillId="0" borderId="23" xfId="195" applyNumberFormat="1" applyFont="1" applyBorder="1" applyAlignment="1">
      <alignment horizontal="center" vertical="center"/>
    </xf>
    <xf numFmtId="0" fontId="81" fillId="0" borderId="12" xfId="195" applyFont="1" applyBorder="1" applyAlignment="1">
      <alignment wrapText="1"/>
    </xf>
    <xf numFmtId="9" fontId="81" fillId="0" borderId="29" xfId="195" applyNumberFormat="1" applyFont="1" applyBorder="1" applyAlignment="1">
      <alignment horizontal="center" vertical="center"/>
    </xf>
    <xf numFmtId="0" fontId="11" fillId="12" borderId="214" xfId="0" applyFont="1" applyFill="1" applyBorder="1" applyAlignment="1">
      <alignment vertical="center" wrapText="1"/>
    </xf>
    <xf numFmtId="175" fontId="11" fillId="10" borderId="215" xfId="0" applyNumberFormat="1" applyFont="1" applyFill="1" applyBorder="1" applyAlignment="1">
      <alignment vertical="center"/>
    </xf>
    <xf numFmtId="0" fontId="43" fillId="0" borderId="0" xfId="195" applyFont="1" applyAlignment="1">
      <alignment horizontal="right"/>
    </xf>
    <xf numFmtId="0" fontId="81" fillId="0" borderId="0" xfId="195" applyFont="1" applyAlignment="1">
      <alignment horizontal="right"/>
    </xf>
    <xf numFmtId="1" fontId="43" fillId="5" borderId="5" xfId="195" applyNumberFormat="1" applyFont="1" applyFill="1" applyBorder="1" applyAlignment="1">
      <alignment horizontal="center" vertical="center"/>
    </xf>
    <xf numFmtId="2" fontId="81" fillId="5" borderId="5" xfId="195" applyNumberFormat="1" applyFont="1" applyFill="1" applyBorder="1" applyAlignment="1">
      <alignment horizontal="center"/>
    </xf>
    <xf numFmtId="14" fontId="43" fillId="5" borderId="5" xfId="195" applyNumberFormat="1" applyFont="1" applyFill="1" applyBorder="1" applyAlignment="1">
      <alignment horizontal="center"/>
    </xf>
    <xf numFmtId="49" fontId="81" fillId="5" borderId="5" xfId="195" applyNumberFormat="1" applyFont="1" applyFill="1" applyBorder="1" applyAlignment="1">
      <alignment horizontal="center"/>
    </xf>
    <xf numFmtId="169" fontId="81" fillId="5" borderId="5" xfId="195" applyNumberFormat="1" applyFont="1" applyFill="1" applyBorder="1" applyAlignment="1">
      <alignment horizontal="center"/>
    </xf>
    <xf numFmtId="0" fontId="81" fillId="5" borderId="5" xfId="195" applyFont="1" applyFill="1" applyBorder="1" applyAlignment="1">
      <alignment horizontal="center" vertical="center"/>
    </xf>
    <xf numFmtId="9" fontId="81" fillId="5" borderId="5" xfId="195" applyNumberFormat="1" applyFont="1" applyFill="1" applyBorder="1" applyAlignment="1">
      <alignment horizontal="center" vertical="center"/>
    </xf>
    <xf numFmtId="0" fontId="43" fillId="5" borderId="5" xfId="195" applyFont="1" applyFill="1" applyBorder="1" applyAlignment="1">
      <alignment horizontal="center" vertical="center"/>
    </xf>
    <xf numFmtId="9" fontId="81" fillId="5" borderId="12" xfId="195" applyNumberFormat="1" applyFont="1" applyFill="1" applyBorder="1" applyAlignment="1">
      <alignment horizontal="center" vertical="center"/>
    </xf>
    <xf numFmtId="0" fontId="81" fillId="0" borderId="0" xfId="195" applyFont="1" applyFill="1" applyAlignment="1">
      <alignment horizontal="left" vertical="top" wrapText="1"/>
    </xf>
    <xf numFmtId="0" fontId="81" fillId="0" borderId="0" xfId="195" applyFont="1" applyFill="1" applyAlignment="1">
      <alignment wrapText="1"/>
    </xf>
    <xf numFmtId="0" fontId="67" fillId="0" borderId="189" xfId="195" applyFont="1" applyBorder="1" applyAlignment="1">
      <alignment wrapText="1"/>
    </xf>
    <xf numFmtId="2" fontId="81" fillId="0" borderId="0" xfId="195" applyNumberFormat="1" applyFont="1" applyFill="1" applyBorder="1" applyAlignment="1" applyProtection="1">
      <alignment horizontal="center"/>
      <protection locked="0"/>
    </xf>
    <xf numFmtId="49" fontId="81" fillId="0" borderId="0" xfId="195" applyNumberFormat="1" applyFont="1" applyFill="1" applyBorder="1" applyAlignment="1" applyProtection="1">
      <alignment horizontal="center"/>
      <protection locked="0"/>
    </xf>
    <xf numFmtId="169" fontId="81" fillId="0" borderId="0" xfId="195" applyNumberFormat="1" applyFont="1" applyFill="1" applyBorder="1" applyAlignment="1" applyProtection="1">
      <alignment horizontal="center"/>
      <protection locked="0"/>
    </xf>
    <xf numFmtId="170" fontId="38" fillId="0" borderId="0" xfId="195" applyNumberFormat="1" applyFont="1" applyFill="1" applyBorder="1" applyAlignment="1" applyProtection="1">
      <alignment horizontal="left"/>
      <protection locked="0"/>
    </xf>
    <xf numFmtId="0" fontId="81" fillId="0" borderId="0" xfId="195" applyFont="1" applyFill="1" applyBorder="1" applyAlignment="1" applyProtection="1">
      <alignment horizontal="center" vertical="center"/>
      <protection locked="0"/>
    </xf>
    <xf numFmtId="9" fontId="81" fillId="0" borderId="0" xfId="195" applyNumberFormat="1" applyFont="1" applyFill="1" applyBorder="1" applyAlignment="1" applyProtection="1">
      <alignment horizontal="center" vertical="center"/>
      <protection locked="0"/>
    </xf>
    <xf numFmtId="0" fontId="81" fillId="0" borderId="0" xfId="195" applyFont="1" applyFill="1" applyBorder="1" applyAlignment="1" applyProtection="1">
      <alignment horizontal="center"/>
      <protection locked="0"/>
    </xf>
    <xf numFmtId="170" fontId="81" fillId="0" borderId="0" xfId="195" applyNumberFormat="1" applyFont="1" applyFill="1" applyBorder="1" applyProtection="1">
      <protection locked="0"/>
    </xf>
    <xf numFmtId="4" fontId="81" fillId="0" borderId="0" xfId="195" applyNumberFormat="1" applyFont="1" applyFill="1" applyBorder="1" applyProtection="1">
      <protection locked="0"/>
    </xf>
    <xf numFmtId="169" fontId="105" fillId="0" borderId="0" xfId="195" applyNumberFormat="1" applyFont="1" applyFill="1" applyBorder="1" applyAlignment="1" applyProtection="1">
      <alignment horizontal="center"/>
      <protection locked="0"/>
    </xf>
    <xf numFmtId="0" fontId="81" fillId="0" borderId="0" xfId="195" applyFont="1" applyAlignment="1">
      <alignment horizontal="right" wrapText="1"/>
    </xf>
    <xf numFmtId="0" fontId="43" fillId="0" borderId="0" xfId="195" applyFont="1" applyAlignment="1">
      <alignment horizontal="left" vertical="top"/>
    </xf>
    <xf numFmtId="9" fontId="81" fillId="0" borderId="216" xfId="195" applyNumberFormat="1" applyFont="1" applyBorder="1" applyAlignment="1">
      <alignment horizontal="center" vertical="center"/>
    </xf>
    <xf numFmtId="1" fontId="43" fillId="5" borderId="149" xfId="195" applyNumberFormat="1" applyFont="1" applyFill="1" applyBorder="1" applyAlignment="1">
      <alignment horizontal="center" vertical="center"/>
    </xf>
    <xf numFmtId="2" fontId="81" fillId="5" borderId="149" xfId="195" applyNumberFormat="1" applyFont="1" applyFill="1" applyBorder="1" applyAlignment="1">
      <alignment horizontal="center"/>
    </xf>
    <xf numFmtId="14" fontId="43" fillId="5" borderId="4" xfId="195" applyNumberFormat="1" applyFont="1" applyFill="1" applyBorder="1" applyAlignment="1">
      <alignment horizontal="center"/>
    </xf>
    <xf numFmtId="1" fontId="43" fillId="5" borderId="4" xfId="195" applyNumberFormat="1" applyFont="1" applyFill="1" applyBorder="1" applyAlignment="1">
      <alignment horizontal="center" vertical="center"/>
    </xf>
    <xf numFmtId="170" fontId="38" fillId="0" borderId="4" xfId="195" applyNumberFormat="1" applyFont="1" applyBorder="1" applyAlignment="1">
      <alignment horizontal="left"/>
    </xf>
    <xf numFmtId="0" fontId="81" fillId="5" borderId="4" xfId="195" applyFont="1" applyFill="1" applyBorder="1" applyAlignment="1">
      <alignment horizontal="center" vertical="center"/>
    </xf>
    <xf numFmtId="0" fontId="43" fillId="5" borderId="4" xfId="195" applyFont="1" applyFill="1" applyBorder="1" applyAlignment="1">
      <alignment horizontal="center" vertical="center"/>
    </xf>
    <xf numFmtId="1" fontId="43" fillId="5" borderId="13" xfId="195" applyNumberFormat="1" applyFont="1" applyFill="1" applyBorder="1" applyAlignment="1">
      <alignment horizontal="center" vertical="center"/>
    </xf>
    <xf numFmtId="14" fontId="43" fillId="68" borderId="220" xfId="195" applyNumberFormat="1" applyFont="1" applyFill="1" applyBorder="1" applyAlignment="1" applyProtection="1">
      <alignment horizontal="left" vertical="top"/>
      <protection locked="0"/>
    </xf>
    <xf numFmtId="14" fontId="81" fillId="68" borderId="212" xfId="195" applyNumberFormat="1" applyFont="1" applyFill="1" applyBorder="1" applyAlignment="1" applyProtection="1">
      <alignment horizontal="left" vertical="top" wrapText="1"/>
      <protection locked="0"/>
    </xf>
    <xf numFmtId="0" fontId="81" fillId="0" borderId="0" xfId="195" applyFont="1" applyAlignment="1">
      <alignment horizontal="left" vertical="top"/>
    </xf>
    <xf numFmtId="0" fontId="81" fillId="0" borderId="0" xfId="195" applyFont="1" applyFill="1" applyBorder="1" applyAlignment="1" applyProtection="1">
      <alignment horizontal="left" vertical="top" wrapText="1"/>
      <protection locked="0"/>
    </xf>
    <xf numFmtId="0" fontId="81" fillId="0" borderId="0" xfId="195" applyFont="1" applyFill="1" applyBorder="1" applyProtection="1">
      <protection locked="0"/>
    </xf>
    <xf numFmtId="0" fontId="105" fillId="0" borderId="0" xfId="195" applyFont="1"/>
    <xf numFmtId="9" fontId="81" fillId="9" borderId="189" xfId="195" applyNumberFormat="1" applyFont="1" applyFill="1" applyBorder="1" applyAlignment="1">
      <alignment horizontal="center" vertical="center"/>
    </xf>
    <xf numFmtId="9" fontId="81" fillId="9" borderId="170" xfId="195" applyNumberFormat="1" applyFont="1" applyFill="1" applyBorder="1" applyAlignment="1">
      <alignment horizontal="center" vertical="center"/>
    </xf>
    <xf numFmtId="9" fontId="81" fillId="9" borderId="218" xfId="195" applyNumberFormat="1" applyFont="1" applyFill="1" applyBorder="1" applyAlignment="1">
      <alignment horizontal="center" vertical="center"/>
    </xf>
    <xf numFmtId="0" fontId="81" fillId="9" borderId="189" xfId="195" applyFont="1" applyFill="1" applyBorder="1" applyAlignment="1">
      <alignment horizontal="center"/>
    </xf>
    <xf numFmtId="0" fontId="81" fillId="9" borderId="170" xfId="195" applyFont="1" applyFill="1" applyBorder="1" applyAlignment="1">
      <alignment horizontal="center"/>
    </xf>
    <xf numFmtId="0" fontId="81" fillId="9" borderId="218" xfId="195" applyFont="1" applyFill="1" applyBorder="1" applyAlignment="1">
      <alignment horizontal="center"/>
    </xf>
    <xf numFmtId="0" fontId="60" fillId="9" borderId="5" xfId="195" applyFont="1" applyFill="1" applyBorder="1"/>
    <xf numFmtId="9" fontId="67" fillId="0" borderId="189" xfId="195" applyNumberFormat="1" applyFont="1" applyBorder="1" applyAlignment="1">
      <alignment wrapText="1"/>
    </xf>
    <xf numFmtId="0" fontId="11" fillId="0" borderId="15" xfId="0" applyNumberFormat="1" applyFont="1" applyFill="1" applyBorder="1" applyAlignment="1">
      <alignment horizontal="left" vertical="center" indent="1"/>
    </xf>
    <xf numFmtId="169" fontId="11" fillId="0" borderId="6" xfId="3" applyNumberFormat="1" applyFont="1" applyFill="1" applyBorder="1" applyAlignment="1">
      <alignment horizontal="left" wrapText="1"/>
    </xf>
    <xf numFmtId="171" fontId="11" fillId="0" borderId="5" xfId="2" applyNumberFormat="1" applyFont="1" applyBorder="1" applyAlignment="1">
      <alignment horizontal="center" vertical="center" wrapText="1"/>
    </xf>
    <xf numFmtId="205" fontId="25" fillId="0" borderId="11" xfId="0" applyNumberFormat="1" applyFont="1" applyFill="1" applyBorder="1" applyAlignment="1">
      <alignment horizontal="center" vertical="center"/>
    </xf>
    <xf numFmtId="14" fontId="11" fillId="0" borderId="11" xfId="0" applyNumberFormat="1" applyFont="1" applyFill="1" applyBorder="1" applyAlignment="1">
      <alignment horizontal="center" vertical="center"/>
    </xf>
    <xf numFmtId="205" fontId="11" fillId="0" borderId="11" xfId="0" applyNumberFormat="1" applyFont="1" applyFill="1" applyBorder="1" applyAlignment="1">
      <alignment horizontal="center" vertical="center"/>
    </xf>
    <xf numFmtId="20" fontId="11" fillId="0" borderId="149" xfId="0" applyNumberFormat="1" applyFont="1" applyFill="1" applyBorder="1" applyAlignment="1">
      <alignment horizontal="center" vertical="center"/>
    </xf>
    <xf numFmtId="169" fontId="11" fillId="0" borderId="47" xfId="3" applyNumberFormat="1" applyFont="1" applyFill="1" applyBorder="1" applyAlignment="1">
      <alignment horizontal="left" wrapText="1"/>
    </xf>
    <xf numFmtId="190" fontId="11" fillId="9" borderId="11" xfId="2" applyNumberFormat="1" applyFont="1" applyFill="1" applyBorder="1" applyAlignment="1">
      <alignment horizontal="center" vertical="center" wrapText="1"/>
    </xf>
    <xf numFmtId="0" fontId="11" fillId="0" borderId="31" xfId="2" applyFont="1" applyBorder="1" applyAlignment="1">
      <alignment vertical="center" wrapText="1"/>
    </xf>
    <xf numFmtId="205" fontId="11" fillId="0" borderId="12" xfId="2" applyNumberFormat="1" applyFont="1" applyBorder="1" applyAlignment="1">
      <alignment horizontal="center" vertical="center" wrapText="1"/>
    </xf>
    <xf numFmtId="205" fontId="11" fillId="0" borderId="5" xfId="2" applyNumberFormat="1" applyFont="1" applyBorder="1" applyAlignment="1">
      <alignment horizontal="center" vertical="center" wrapText="1"/>
    </xf>
    <xf numFmtId="14" fontId="11" fillId="0" borderId="48" xfId="0" applyNumberFormat="1" applyFont="1" applyFill="1" applyBorder="1" applyAlignment="1">
      <alignment horizontal="center" vertical="center"/>
    </xf>
    <xf numFmtId="205" fontId="11" fillId="0" borderId="48" xfId="2" applyNumberFormat="1" applyFont="1" applyBorder="1" applyAlignment="1">
      <alignment horizontal="center" vertical="center" wrapText="1"/>
    </xf>
    <xf numFmtId="171" fontId="11" fillId="0" borderId="48" xfId="2" applyNumberFormat="1" applyFont="1" applyBorder="1" applyAlignment="1">
      <alignment horizontal="center" vertical="center" wrapText="1"/>
    </xf>
    <xf numFmtId="169" fontId="11" fillId="0" borderId="9" xfId="3" applyNumberFormat="1" applyFont="1" applyFill="1" applyBorder="1" applyAlignment="1">
      <alignment horizontal="left" wrapText="1"/>
    </xf>
    <xf numFmtId="0" fontId="11" fillId="0" borderId="100" xfId="2" applyFont="1" applyBorder="1" applyAlignment="1">
      <alignment vertical="center" wrapText="1"/>
    </xf>
    <xf numFmtId="205" fontId="25" fillId="0" borderId="5" xfId="0" applyNumberFormat="1" applyFont="1" applyFill="1" applyBorder="1" applyAlignment="1">
      <alignment horizontal="center" vertical="center"/>
    </xf>
    <xf numFmtId="0" fontId="11" fillId="0" borderId="161" xfId="2" applyFont="1" applyBorder="1" applyAlignment="1">
      <alignment vertical="center" wrapText="1"/>
    </xf>
    <xf numFmtId="0" fontId="11" fillId="0" borderId="6" xfId="2" applyFont="1" applyBorder="1" applyAlignment="1">
      <alignment vertical="center" wrapText="1"/>
    </xf>
    <xf numFmtId="205" fontId="11" fillId="0" borderId="12" xfId="0" applyNumberFormat="1" applyFont="1" applyFill="1" applyBorder="1" applyAlignment="1">
      <alignment horizontal="center" vertical="center"/>
    </xf>
    <xf numFmtId="205" fontId="11" fillId="0" borderId="12" xfId="2" applyNumberFormat="1" applyFont="1" applyBorder="1" applyAlignment="1">
      <alignment horizontal="center" vertical="center"/>
    </xf>
    <xf numFmtId="205" fontId="11" fillId="0" borderId="5" xfId="0" applyNumberFormat="1" applyFont="1" applyFill="1" applyBorder="1" applyAlignment="1">
      <alignment horizontal="center" vertical="center"/>
    </xf>
    <xf numFmtId="205" fontId="11" fillId="0" borderId="48" xfId="0" applyNumberFormat="1" applyFont="1" applyFill="1" applyBorder="1" applyAlignment="1">
      <alignment horizontal="center" vertical="center"/>
    </xf>
    <xf numFmtId="0" fontId="11" fillId="0" borderId="16" xfId="2" applyFont="1" applyBorder="1" applyAlignment="1">
      <alignment vertical="center" wrapText="1"/>
    </xf>
    <xf numFmtId="0" fontId="10" fillId="2" borderId="10" xfId="2" applyFont="1" applyFill="1" applyBorder="1" applyAlignment="1">
      <alignment horizontal="left" vertical="center" wrapText="1" indent="1"/>
    </xf>
    <xf numFmtId="205" fontId="15" fillId="0" borderId="5" xfId="2" applyNumberFormat="1" applyFont="1" applyBorder="1" applyAlignment="1">
      <alignment horizontal="center" vertical="center"/>
    </xf>
    <xf numFmtId="202" fontId="11" fillId="9" borderId="11" xfId="2" applyNumberFormat="1" applyFont="1" applyFill="1" applyBorder="1" applyAlignment="1" applyProtection="1">
      <alignment horizontal="center" vertical="center" wrapText="1"/>
    </xf>
    <xf numFmtId="0" fontId="92" fillId="10" borderId="12" xfId="171" applyFont="1" applyFill="1" applyBorder="1" applyAlignment="1">
      <alignment horizontal="center" vertical="top" wrapText="1"/>
    </xf>
    <xf numFmtId="206" fontId="11" fillId="0" borderId="68" xfId="0" applyNumberFormat="1" applyFont="1" applyFill="1" applyBorder="1" applyAlignment="1">
      <alignment vertical="center"/>
    </xf>
    <xf numFmtId="206" fontId="11" fillId="12" borderId="92" xfId="0" applyNumberFormat="1" applyFont="1" applyFill="1" applyBorder="1" applyAlignment="1">
      <alignment vertical="center"/>
    </xf>
    <xf numFmtId="0" fontId="122" fillId="0" borderId="0" xfId="171" applyFont="1"/>
    <xf numFmtId="0" fontId="123" fillId="10" borderId="12" xfId="171" applyFont="1" applyFill="1" applyBorder="1" applyAlignment="1">
      <alignment horizontal="center" vertical="top" wrapText="1"/>
    </xf>
    <xf numFmtId="0" fontId="128" fillId="0" borderId="0" xfId="171" applyFont="1" applyAlignment="1">
      <alignment horizontal="center"/>
    </xf>
    <xf numFmtId="0" fontId="129" fillId="0" borderId="0" xfId="171" applyFont="1" applyAlignment="1">
      <alignment horizontal="center"/>
    </xf>
    <xf numFmtId="7" fontId="60" fillId="78" borderId="5" xfId="171" applyNumberFormat="1" applyFont="1" applyFill="1" applyBorder="1" applyAlignment="1" applyProtection="1">
      <alignment horizontal="center" vertical="center"/>
      <protection locked="0"/>
    </xf>
    <xf numFmtId="0" fontId="15" fillId="0" borderId="0" xfId="2" applyFont="1" applyFill="1" applyBorder="1" applyAlignment="1">
      <alignment horizontal="left" vertical="center" wrapText="1" indent="1"/>
    </xf>
    <xf numFmtId="3" fontId="11" fillId="0" borderId="5" xfId="0" applyNumberFormat="1" applyFont="1" applyFill="1" applyBorder="1" applyAlignment="1">
      <alignment horizontal="center" vertical="center"/>
    </xf>
    <xf numFmtId="3" fontId="11" fillId="0" borderId="6" xfId="0" applyNumberFormat="1" applyFont="1" applyFill="1" applyBorder="1" applyAlignment="1">
      <alignment vertical="center" wrapText="1"/>
    </xf>
    <xf numFmtId="3" fontId="11" fillId="0" borderId="221" xfId="0" applyNumberFormat="1" applyFont="1" applyFill="1" applyBorder="1" applyAlignment="1">
      <alignment horizontal="center" vertical="center"/>
    </xf>
    <xf numFmtId="0" fontId="92" fillId="10" borderId="149" xfId="171" applyFont="1" applyFill="1" applyBorder="1" applyAlignment="1">
      <alignment horizontal="center" vertical="top" wrapText="1"/>
    </xf>
    <xf numFmtId="2" fontId="10" fillId="2" borderId="3" xfId="0" applyNumberFormat="1" applyFont="1" applyFill="1" applyBorder="1" applyAlignment="1">
      <alignment horizontal="center" vertical="center" wrapText="1"/>
    </xf>
    <xf numFmtId="0" fontId="132" fillId="10" borderId="149" xfId="171" applyFont="1" applyFill="1" applyBorder="1" applyAlignment="1">
      <alignment horizontal="center" vertical="top" wrapText="1"/>
    </xf>
    <xf numFmtId="0" fontId="10" fillId="9" borderId="149" xfId="0" applyFont="1" applyFill="1" applyBorder="1" applyAlignment="1">
      <alignment horizontal="center" vertical="center" wrapText="1"/>
    </xf>
    <xf numFmtId="0" fontId="0" fillId="0" borderId="0" xfId="0" applyAlignment="1"/>
    <xf numFmtId="0" fontId="0" fillId="0" borderId="0" xfId="0" applyAlignment="1">
      <alignment vertical="center"/>
    </xf>
    <xf numFmtId="0" fontId="38" fillId="9" borderId="0" xfId="166" applyFont="1" applyFill="1"/>
    <xf numFmtId="10" fontId="81" fillId="9" borderId="0" xfId="113" applyNumberFormat="1" applyFont="1" applyFill="1"/>
    <xf numFmtId="173" fontId="0" fillId="0" borderId="0" xfId="6" applyNumberFormat="1" applyFont="1" applyFill="1" applyBorder="1"/>
    <xf numFmtId="0" fontId="0" fillId="9" borderId="0" xfId="0" applyFill="1"/>
    <xf numFmtId="0" fontId="0" fillId="0" borderId="0" xfId="0" applyAlignment="1">
      <alignment vertical="center"/>
    </xf>
    <xf numFmtId="0" fontId="10" fillId="9" borderId="149" xfId="0" applyFont="1" applyFill="1" applyBorder="1"/>
    <xf numFmtId="0" fontId="10" fillId="9" borderId="8" xfId="0" applyFont="1" applyFill="1" applyBorder="1"/>
    <xf numFmtId="0" fontId="0" fillId="0" borderId="8" xfId="0" applyFill="1" applyBorder="1" applyAlignment="1"/>
    <xf numFmtId="173" fontId="0" fillId="0" borderId="216" xfId="106" applyNumberFormat="1" applyFont="1" applyFill="1" applyBorder="1" applyAlignment="1">
      <alignment horizontal="center" vertical="center"/>
    </xf>
    <xf numFmtId="173" fontId="10" fillId="0" borderId="222" xfId="0" applyNumberFormat="1" applyFont="1" applyFill="1" applyBorder="1" applyAlignment="1">
      <alignment horizontal="center"/>
    </xf>
    <xf numFmtId="173" fontId="10" fillId="0" borderId="222" xfId="0" applyNumberFormat="1" applyFont="1" applyFill="1" applyBorder="1" applyAlignment="1">
      <alignment horizontal="center" vertical="center" wrapText="1"/>
    </xf>
    <xf numFmtId="173" fontId="10" fillId="0" borderId="222" xfId="6" applyNumberFormat="1" applyFont="1" applyFill="1" applyBorder="1" applyAlignment="1">
      <alignment horizontal="center" vertical="center"/>
    </xf>
    <xf numFmtId="0" fontId="60" fillId="0" borderId="5" xfId="0" applyFont="1" applyBorder="1" applyAlignment="1">
      <alignment horizontal="center" vertical="center"/>
    </xf>
    <xf numFmtId="0" fontId="11" fillId="0" borderId="13" xfId="0" applyFont="1" applyFill="1" applyBorder="1" applyAlignment="1">
      <alignment horizontal="center" vertical="center"/>
    </xf>
    <xf numFmtId="169" fontId="11" fillId="9" borderId="169" xfId="2" applyNumberFormat="1" applyFont="1" applyFill="1" applyBorder="1" applyAlignment="1">
      <alignment horizontal="center" vertical="center" wrapText="1"/>
    </xf>
    <xf numFmtId="0" fontId="11" fillId="0" borderId="138" xfId="2" applyFont="1" applyBorder="1" applyAlignment="1">
      <alignment horizontal="left" vertical="center" wrapText="1" indent="1"/>
    </xf>
    <xf numFmtId="0" fontId="11" fillId="0" borderId="51" xfId="2" applyFont="1" applyBorder="1" applyAlignment="1">
      <alignment horizontal="left" vertical="center" wrapText="1" indent="1"/>
    </xf>
    <xf numFmtId="170" fontId="0" fillId="0" borderId="0" xfId="0" applyNumberFormat="1"/>
    <xf numFmtId="0" fontId="105" fillId="0" borderId="0" xfId="171" applyFont="1" applyAlignment="1">
      <alignment horizontal="center"/>
    </xf>
    <xf numFmtId="0" fontId="0" fillId="0" borderId="0" xfId="0" applyAlignment="1">
      <alignment vertical="center"/>
    </xf>
    <xf numFmtId="0" fontId="10" fillId="2" borderId="181" xfId="0" applyFont="1" applyFill="1" applyBorder="1" applyAlignment="1">
      <alignment horizontal="center" vertical="center" wrapText="1"/>
    </xf>
    <xf numFmtId="0" fontId="0" fillId="0" borderId="0" xfId="0" applyAlignment="1">
      <alignment vertical="center"/>
    </xf>
    <xf numFmtId="3" fontId="11" fillId="0" borderId="41" xfId="0" applyNumberFormat="1" applyFont="1" applyFill="1" applyBorder="1" applyAlignment="1">
      <alignment horizontal="center" vertical="center"/>
    </xf>
    <xf numFmtId="0" fontId="0" fillId="0" borderId="149" xfId="0" applyFill="1" applyBorder="1" applyAlignment="1"/>
    <xf numFmtId="0" fontId="16" fillId="0" borderId="31" xfId="0" applyFont="1" applyFill="1" applyBorder="1" applyAlignment="1">
      <alignment horizontal="center" vertical="center"/>
    </xf>
    <xf numFmtId="0" fontId="16" fillId="0" borderId="13" xfId="0" applyFont="1" applyBorder="1" applyAlignment="1">
      <alignment horizontal="left" vertical="center" indent="1"/>
    </xf>
    <xf numFmtId="3" fontId="0" fillId="0" borderId="149" xfId="0" applyNumberFormat="1" applyFill="1" applyBorder="1" applyAlignment="1">
      <alignment vertical="center"/>
    </xf>
    <xf numFmtId="3" fontId="0" fillId="0" borderId="150" xfId="0" applyNumberFormat="1" applyFill="1" applyBorder="1" applyAlignment="1">
      <alignment vertical="center"/>
    </xf>
    <xf numFmtId="3" fontId="14" fillId="0" borderId="136" xfId="0" applyNumberFormat="1" applyFont="1" applyFill="1" applyBorder="1" applyAlignment="1">
      <alignment vertical="center"/>
    </xf>
    <xf numFmtId="170" fontId="11" fillId="0" borderId="13" xfId="6" applyNumberFormat="1" applyFont="1" applyFill="1" applyBorder="1" applyAlignment="1">
      <alignment vertical="center"/>
    </xf>
    <xf numFmtId="170" fontId="11" fillId="0" borderId="149" xfId="0" applyNumberFormat="1" applyFont="1" applyBorder="1" applyAlignment="1">
      <alignment vertical="center"/>
    </xf>
    <xf numFmtId="170" fontId="11" fillId="0" borderId="150" xfId="0" applyNumberFormat="1" applyFont="1" applyBorder="1" applyAlignment="1">
      <alignment vertical="center"/>
    </xf>
    <xf numFmtId="170" fontId="10" fillId="0" borderId="105" xfId="0" applyNumberFormat="1" applyFont="1" applyBorder="1" applyAlignment="1">
      <alignment vertical="center"/>
    </xf>
    <xf numFmtId="170" fontId="10" fillId="0" borderId="226" xfId="0" applyNumberFormat="1" applyFont="1" applyBorder="1" applyAlignment="1">
      <alignment vertical="center"/>
    </xf>
    <xf numFmtId="170" fontId="11" fillId="0" borderId="149" xfId="6" applyNumberFormat="1" applyFont="1" applyBorder="1" applyAlignment="1">
      <alignment horizontal="center" vertical="center"/>
    </xf>
    <xf numFmtId="170" fontId="11" fillId="0" borderId="227" xfId="6" applyNumberFormat="1" applyFont="1" applyFill="1" applyBorder="1" applyAlignment="1">
      <alignment vertical="center"/>
    </xf>
    <xf numFmtId="14" fontId="16" fillId="0" borderId="7" xfId="0" applyNumberFormat="1" applyFont="1" applyBorder="1" applyAlignment="1">
      <alignment horizontal="center" vertical="center"/>
    </xf>
    <xf numFmtId="3" fontId="0" fillId="0" borderId="13" xfId="0" applyNumberFormat="1" applyFill="1" applyBorder="1" applyAlignment="1">
      <alignment vertical="center"/>
    </xf>
    <xf numFmtId="2" fontId="0" fillId="0" borderId="161" xfId="0" applyNumberFormat="1" applyFill="1" applyBorder="1" applyAlignment="1">
      <alignment vertical="center"/>
    </xf>
    <xf numFmtId="4" fontId="0" fillId="0" borderId="13" xfId="0" applyNumberFormat="1" applyFill="1" applyBorder="1" applyAlignment="1">
      <alignment vertical="center"/>
    </xf>
    <xf numFmtId="4" fontId="0" fillId="0" borderId="149" xfId="0" applyNumberFormat="1" applyFill="1" applyBorder="1" applyAlignment="1">
      <alignment vertical="center"/>
    </xf>
    <xf numFmtId="0" fontId="16" fillId="0" borderId="42" xfId="0" applyNumberFormat="1" applyFont="1" applyFill="1" applyBorder="1" applyAlignment="1">
      <alignment horizontal="left" vertical="center" indent="1"/>
    </xf>
    <xf numFmtId="0" fontId="15" fillId="9" borderId="166" xfId="2" applyFont="1" applyFill="1" applyBorder="1" applyAlignment="1">
      <alignment vertical="center" wrapText="1"/>
    </xf>
    <xf numFmtId="0" fontId="10" fillId="9" borderId="166" xfId="2" applyFont="1" applyFill="1" applyBorder="1" applyAlignment="1">
      <alignment vertical="center" wrapText="1"/>
    </xf>
    <xf numFmtId="0" fontId="16" fillId="0" borderId="100" xfId="0" applyFont="1" applyBorder="1" applyAlignment="1">
      <alignment horizontal="center" vertical="center"/>
    </xf>
    <xf numFmtId="205" fontId="25" fillId="0" borderId="12" xfId="0" applyNumberFormat="1" applyFont="1" applyFill="1" applyBorder="1" applyAlignment="1">
      <alignment horizontal="center" vertical="center"/>
    </xf>
    <xf numFmtId="205" fontId="15" fillId="0" borderId="12" xfId="2" applyNumberFormat="1" applyFont="1" applyBorder="1" applyAlignment="1">
      <alignment horizontal="center" vertical="center"/>
    </xf>
    <xf numFmtId="0" fontId="11" fillId="0" borderId="12" xfId="0" applyNumberFormat="1" applyFont="1" applyFill="1" applyBorder="1" applyAlignment="1">
      <alignment horizontal="left" vertical="center"/>
    </xf>
    <xf numFmtId="14" fontId="25" fillId="0" borderId="8" xfId="0" applyNumberFormat="1" applyFont="1" applyFill="1" applyBorder="1" applyAlignment="1">
      <alignment horizontal="center" vertical="center"/>
    </xf>
    <xf numFmtId="205" fontId="25" fillId="0" borderId="8" xfId="0" applyNumberFormat="1" applyFont="1" applyFill="1" applyBorder="1" applyAlignment="1">
      <alignment horizontal="center" vertical="center"/>
    </xf>
    <xf numFmtId="205" fontId="15" fillId="0" borderId="8" xfId="2" applyNumberFormat="1" applyFont="1" applyBorder="1" applyAlignment="1">
      <alignment horizontal="center" vertical="center"/>
    </xf>
    <xf numFmtId="0" fontId="11" fillId="0" borderId="9" xfId="2" applyFont="1" applyBorder="1" applyAlignment="1">
      <alignment vertical="center" wrapText="1"/>
    </xf>
    <xf numFmtId="0" fontId="16" fillId="0" borderId="7" xfId="0" applyFont="1" applyBorder="1" applyAlignment="1">
      <alignment horizontal="left" vertical="center" indent="1"/>
    </xf>
    <xf numFmtId="167" fontId="10" fillId="9" borderId="169" xfId="2" applyNumberFormat="1" applyFont="1" applyFill="1" applyBorder="1" applyAlignment="1">
      <alignment horizontal="center" vertical="center" wrapText="1"/>
    </xf>
    <xf numFmtId="0" fontId="0" fillId="0" borderId="0" xfId="0" applyAlignment="1">
      <alignment vertical="center"/>
    </xf>
    <xf numFmtId="170" fontId="0" fillId="0" borderId="149" xfId="0" applyNumberFormat="1" applyFill="1" applyBorder="1"/>
    <xf numFmtId="4" fontId="0" fillId="0" borderId="149" xfId="0" applyNumberFormat="1" applyFill="1" applyBorder="1"/>
    <xf numFmtId="170" fontId="0" fillId="0" borderId="8" xfId="0" applyNumberFormat="1" applyFill="1" applyBorder="1"/>
    <xf numFmtId="4" fontId="0" fillId="0" borderId="8" xfId="0" applyNumberFormat="1" applyFill="1" applyBorder="1"/>
    <xf numFmtId="49" fontId="12" fillId="0" borderId="0" xfId="2" applyNumberFormat="1" applyFont="1" applyBorder="1" applyAlignment="1">
      <alignment horizontal="center" vertical="center" wrapText="1"/>
    </xf>
    <xf numFmtId="0" fontId="11" fillId="0" borderId="0" xfId="2" applyFont="1" applyBorder="1" applyAlignment="1">
      <alignment vertical="center" wrapText="1"/>
    </xf>
    <xf numFmtId="0" fontId="11" fillId="0" borderId="0" xfId="0" applyFont="1" applyAlignment="1">
      <alignment vertical="top" wrapText="1"/>
    </xf>
    <xf numFmtId="0" fontId="0" fillId="9" borderId="8" xfId="0" applyFill="1" applyBorder="1" applyAlignment="1"/>
    <xf numFmtId="0" fontId="0" fillId="9" borderId="149" xfId="0" applyFill="1" applyBorder="1" applyAlignment="1"/>
    <xf numFmtId="170" fontId="0" fillId="0" borderId="12" xfId="0" applyNumberFormat="1" applyFill="1" applyBorder="1"/>
    <xf numFmtId="4" fontId="0" fillId="0" borderId="12" xfId="0" applyNumberFormat="1" applyFill="1" applyBorder="1"/>
    <xf numFmtId="166" fontId="0" fillId="0" borderId="1" xfId="106" applyNumberFormat="1" applyFont="1" applyFill="1" applyBorder="1" applyAlignment="1">
      <alignment horizontal="center" vertical="center"/>
    </xf>
    <xf numFmtId="1" fontId="10" fillId="0" borderId="53" xfId="0" applyNumberFormat="1" applyFont="1" applyFill="1" applyBorder="1" applyAlignment="1" applyProtection="1">
      <alignment horizontal="center"/>
      <protection locked="0"/>
    </xf>
    <xf numFmtId="3" fontId="0" fillId="9" borderId="5" xfId="0" applyNumberFormat="1" applyFill="1" applyBorder="1" applyAlignment="1">
      <alignment horizontal="center" vertical="center"/>
    </xf>
    <xf numFmtId="170" fontId="0" fillId="0" borderId="5" xfId="6" applyNumberFormat="1" applyFont="1" applyBorder="1" applyAlignment="1">
      <alignment horizontal="center" vertical="center"/>
    </xf>
    <xf numFmtId="170" fontId="0" fillId="0" borderId="5" xfId="0" applyNumberFormat="1" applyBorder="1" applyAlignment="1">
      <alignment horizontal="center" vertical="center"/>
    </xf>
    <xf numFmtId="170" fontId="0" fillId="9" borderId="5" xfId="6" applyNumberFormat="1" applyFont="1" applyFill="1" applyBorder="1" applyAlignment="1">
      <alignment horizontal="center" vertical="center"/>
    </xf>
    <xf numFmtId="170" fontId="0" fillId="9" borderId="5" xfId="0" applyNumberFormat="1" applyFill="1" applyBorder="1" applyAlignment="1">
      <alignment horizontal="center" vertical="center"/>
    </xf>
    <xf numFmtId="44" fontId="0" fillId="0" borderId="41" xfId="3" applyNumberFormat="1" applyFont="1" applyBorder="1" applyAlignment="1">
      <alignment horizontal="center" vertical="center"/>
    </xf>
    <xf numFmtId="44" fontId="0" fillId="0" borderId="5" xfId="0" applyNumberFormat="1" applyBorder="1" applyAlignment="1">
      <alignment horizontal="center" vertical="center"/>
    </xf>
    <xf numFmtId="44" fontId="0" fillId="0" borderId="5" xfId="3" applyNumberFormat="1" applyFont="1" applyBorder="1" applyAlignment="1">
      <alignment horizontal="center" vertical="center"/>
    </xf>
    <xf numFmtId="0" fontId="60" fillId="0" borderId="5" xfId="163" applyFont="1" applyFill="1" applyBorder="1" applyAlignment="1">
      <alignment horizontal="left" vertical="center" indent="1"/>
    </xf>
    <xf numFmtId="8" fontId="0" fillId="0" borderId="150" xfId="3" applyNumberFormat="1" applyFont="1" applyBorder="1"/>
    <xf numFmtId="0" fontId="0" fillId="0" borderId="217" xfId="0" applyBorder="1"/>
    <xf numFmtId="0" fontId="0" fillId="0" borderId="23" xfId="0" applyBorder="1"/>
    <xf numFmtId="0" fontId="0" fillId="0" borderId="19" xfId="0" applyBorder="1"/>
    <xf numFmtId="0" fontId="10" fillId="9" borderId="169" xfId="14" applyFont="1" applyFill="1" applyBorder="1" applyAlignment="1">
      <alignment horizontal="left" vertical="center" wrapText="1"/>
    </xf>
    <xf numFmtId="0" fontId="11" fillId="9" borderId="169" xfId="0" applyFont="1" applyFill="1" applyBorder="1" applyAlignment="1">
      <alignment vertical="top" wrapText="1"/>
    </xf>
    <xf numFmtId="0" fontId="11" fillId="0" borderId="12" xfId="2" applyFont="1" applyBorder="1" applyAlignment="1">
      <alignment horizontal="left" vertical="center" wrapText="1" indent="1"/>
    </xf>
    <xf numFmtId="0" fontId="16" fillId="0" borderId="8" xfId="2" applyFont="1" applyBorder="1" applyAlignment="1">
      <alignment horizontal="left" vertical="center" wrapText="1" indent="1"/>
    </xf>
    <xf numFmtId="14" fontId="11" fillId="0" borderId="8" xfId="2" applyNumberFormat="1" applyFont="1" applyBorder="1" applyAlignment="1">
      <alignment horizontal="center" vertical="center" wrapText="1"/>
    </xf>
    <xf numFmtId="20" fontId="11" fillId="0" borderId="8" xfId="2" applyNumberFormat="1" applyFont="1" applyBorder="1" applyAlignment="1">
      <alignment horizontal="left" vertical="center" wrapText="1" indent="1"/>
    </xf>
    <xf numFmtId="1" fontId="11" fillId="0" borderId="19" xfId="2" applyNumberFormat="1" applyFont="1" applyBorder="1" applyAlignment="1">
      <alignment horizontal="center" vertical="center" wrapText="1"/>
    </xf>
    <xf numFmtId="1" fontId="11" fillId="0" borderId="18" xfId="2" applyNumberFormat="1" applyFont="1" applyBorder="1" applyAlignment="1">
      <alignment horizontal="center" vertical="center"/>
    </xf>
    <xf numFmtId="1" fontId="11" fillId="0" borderId="100" xfId="2" applyNumberFormat="1" applyFont="1" applyBorder="1" applyAlignment="1">
      <alignment horizontal="center" vertical="center" wrapText="1"/>
    </xf>
    <xf numFmtId="1" fontId="11" fillId="0" borderId="7" xfId="2" applyNumberFormat="1" applyFont="1" applyBorder="1" applyAlignment="1">
      <alignment horizontal="center" vertical="center"/>
    </xf>
    <xf numFmtId="9" fontId="15" fillId="0" borderId="136" xfId="2" applyNumberFormat="1" applyFont="1" applyBorder="1" applyAlignment="1">
      <alignment horizontal="center" vertical="center" wrapText="1"/>
    </xf>
    <xf numFmtId="169" fontId="15" fillId="0" borderId="27" xfId="5" applyNumberFormat="1" applyFont="1" applyBorder="1" applyAlignment="1">
      <alignment horizontal="center" vertical="center" wrapText="1"/>
    </xf>
    <xf numFmtId="3" fontId="15" fillId="0" borderId="27" xfId="5" applyNumberFormat="1" applyFont="1" applyFill="1" applyBorder="1" applyAlignment="1">
      <alignment horizontal="center" vertical="center" wrapText="1"/>
    </xf>
    <xf numFmtId="3" fontId="15" fillId="0" borderId="116" xfId="5" applyNumberFormat="1" applyFont="1" applyFill="1" applyBorder="1" applyAlignment="1">
      <alignment horizontal="center" vertical="center" wrapText="1"/>
    </xf>
    <xf numFmtId="4" fontId="15" fillId="9" borderId="31" xfId="5" applyNumberFormat="1" applyFont="1" applyFill="1" applyBorder="1" applyAlignment="1">
      <alignment horizontal="center" vertical="center" wrapText="1"/>
    </xf>
    <xf numFmtId="4" fontId="15" fillId="9" borderId="31" xfId="2" applyNumberFormat="1" applyFont="1" applyFill="1" applyBorder="1" applyAlignment="1">
      <alignment horizontal="center" vertical="center" wrapText="1"/>
    </xf>
    <xf numFmtId="4" fontId="15" fillId="9" borderId="31" xfId="2" applyNumberFormat="1" applyFont="1" applyFill="1" applyBorder="1" applyAlignment="1">
      <alignment horizontal="left" vertical="center" wrapText="1" indent="1"/>
    </xf>
    <xf numFmtId="4" fontId="15" fillId="9" borderId="31" xfId="2" applyNumberFormat="1" applyFont="1" applyFill="1" applyBorder="1" applyAlignment="1">
      <alignment vertical="center" wrapText="1"/>
    </xf>
    <xf numFmtId="49" fontId="12" fillId="0" borderId="0" xfId="0" applyNumberFormat="1" applyFont="1" applyFill="1" applyAlignment="1">
      <alignment horizontal="center" vertical="center"/>
    </xf>
    <xf numFmtId="0" fontId="0" fillId="0" borderId="0" xfId="0" applyAlignment="1">
      <alignment horizontal="center" vertical="center"/>
    </xf>
    <xf numFmtId="1" fontId="11" fillId="0" borderId="65" xfId="2" applyNumberFormat="1" applyFont="1" applyBorder="1" applyAlignment="1">
      <alignment horizontal="center" vertical="center" wrapText="1"/>
    </xf>
    <xf numFmtId="169" fontId="15" fillId="0" borderId="31" xfId="5" applyNumberFormat="1" applyFont="1" applyBorder="1" applyAlignment="1">
      <alignment horizontal="center" vertical="center" wrapText="1"/>
    </xf>
    <xf numFmtId="0" fontId="11" fillId="9" borderId="31" xfId="2" applyFont="1" applyFill="1" applyBorder="1" applyAlignment="1">
      <alignment horizontal="center" vertical="center" wrapText="1"/>
    </xf>
    <xf numFmtId="0" fontId="11" fillId="9" borderId="100" xfId="2" applyFont="1" applyFill="1" applyBorder="1" applyAlignment="1">
      <alignment horizontal="center" vertical="center" wrapText="1"/>
    </xf>
    <xf numFmtId="0" fontId="11" fillId="9" borderId="6" xfId="2" applyFont="1" applyFill="1" applyBorder="1" applyAlignment="1">
      <alignment horizontal="center" vertical="center" wrapText="1"/>
    </xf>
    <xf numFmtId="0" fontId="11" fillId="9" borderId="9" xfId="2" applyFont="1" applyFill="1" applyBorder="1" applyAlignment="1">
      <alignment horizontal="center" vertical="center" wrapText="1"/>
    </xf>
    <xf numFmtId="0" fontId="11" fillId="9" borderId="53" xfId="2" applyFont="1" applyFill="1" applyBorder="1" applyAlignment="1">
      <alignment vertical="center" wrapText="1"/>
    </xf>
    <xf numFmtId="49" fontId="15" fillId="9" borderId="100" xfId="0" applyNumberFormat="1" applyFont="1" applyFill="1" applyBorder="1" applyAlignment="1">
      <alignment vertical="center"/>
    </xf>
    <xf numFmtId="0" fontId="11" fillId="0" borderId="0" xfId="2" applyFont="1" applyBorder="1" applyAlignment="1">
      <alignment horizontal="left" vertical="center" wrapText="1" indent="1"/>
    </xf>
    <xf numFmtId="167" fontId="11" fillId="0" borderId="0" xfId="2" applyNumberFormat="1" applyFont="1" applyBorder="1" applyAlignment="1">
      <alignment horizontal="left" vertical="center" wrapText="1" indent="1"/>
    </xf>
    <xf numFmtId="0" fontId="11" fillId="0" borderId="0" xfId="2" applyFont="1" applyBorder="1" applyAlignment="1">
      <alignment horizontal="center" vertical="center" wrapText="1"/>
    </xf>
    <xf numFmtId="169" fontId="10" fillId="0" borderId="59" xfId="2" applyNumberFormat="1" applyFont="1" applyBorder="1" applyAlignment="1">
      <alignment horizontal="right" vertical="center" wrapText="1" indent="2"/>
    </xf>
    <xf numFmtId="174" fontId="11" fillId="0" borderId="0" xfId="2" applyNumberFormat="1" applyFont="1" applyBorder="1" applyAlignment="1">
      <alignment horizontal="left" vertical="center" wrapText="1" indent="1"/>
    </xf>
    <xf numFmtId="190" fontId="11" fillId="0" borderId="11" xfId="2" applyNumberFormat="1" applyFont="1" applyFill="1" applyBorder="1" applyAlignment="1">
      <alignment horizontal="center" vertical="center"/>
    </xf>
    <xf numFmtId="190" fontId="11" fillId="0" borderId="11" xfId="2" applyNumberFormat="1" applyFont="1" applyFill="1" applyBorder="1" applyAlignment="1">
      <alignment horizontal="center" vertical="center" wrapText="1"/>
    </xf>
    <xf numFmtId="190" fontId="11" fillId="0" borderId="14" xfId="2" applyNumberFormat="1" applyFont="1" applyFill="1" applyBorder="1" applyAlignment="1">
      <alignment horizontal="center" vertical="center" wrapText="1"/>
    </xf>
    <xf numFmtId="190" fontId="11" fillId="0" borderId="5" xfId="2" applyNumberFormat="1" applyFont="1" applyFill="1" applyBorder="1" applyAlignment="1">
      <alignment horizontal="center" vertical="center"/>
    </xf>
    <xf numFmtId="190" fontId="11" fillId="0" borderId="5" xfId="2" applyNumberFormat="1" applyFont="1" applyFill="1" applyBorder="1" applyAlignment="1">
      <alignment horizontal="center" vertical="center" wrapText="1"/>
    </xf>
    <xf numFmtId="190" fontId="11" fillId="0" borderId="6" xfId="2" applyNumberFormat="1" applyFont="1" applyFill="1" applyBorder="1" applyAlignment="1">
      <alignment horizontal="center" vertical="center" wrapText="1"/>
    </xf>
    <xf numFmtId="190" fontId="11" fillId="0" borderId="12" xfId="2" applyNumberFormat="1" applyFont="1" applyFill="1" applyBorder="1" applyAlignment="1">
      <alignment horizontal="center" vertical="center"/>
    </xf>
    <xf numFmtId="190" fontId="11" fillId="0" borderId="12" xfId="2" applyNumberFormat="1" applyFont="1" applyFill="1" applyBorder="1" applyAlignment="1">
      <alignment horizontal="center" vertical="center" wrapText="1"/>
    </xf>
    <xf numFmtId="190" fontId="11" fillId="0" borderId="16" xfId="2" applyNumberFormat="1" applyFont="1" applyFill="1" applyBorder="1" applyAlignment="1">
      <alignment horizontal="center" vertical="center" wrapText="1"/>
    </xf>
    <xf numFmtId="190" fontId="11" fillId="0" borderId="48" xfId="2" applyNumberFormat="1" applyFont="1" applyFill="1" applyBorder="1" applyAlignment="1">
      <alignment horizontal="center" vertical="center"/>
    </xf>
    <xf numFmtId="190" fontId="11" fillId="0" borderId="48" xfId="2" applyNumberFormat="1" applyFont="1" applyFill="1" applyBorder="1" applyAlignment="1">
      <alignment horizontal="center" vertical="center" wrapText="1"/>
    </xf>
    <xf numFmtId="190" fontId="11" fillId="0" borderId="50" xfId="2" applyNumberFormat="1" applyFont="1" applyFill="1" applyBorder="1" applyAlignment="1">
      <alignment horizontal="center" vertical="center" wrapText="1"/>
    </xf>
    <xf numFmtId="0" fontId="11" fillId="9" borderId="210" xfId="2" applyFont="1" applyFill="1" applyBorder="1" applyAlignment="1">
      <alignment horizontal="left" vertical="center" wrapText="1" indent="1"/>
    </xf>
    <xf numFmtId="190" fontId="10" fillId="2" borderId="2" xfId="2" applyNumberFormat="1" applyFont="1" applyFill="1" applyBorder="1" applyAlignment="1">
      <alignment horizontal="center" vertical="center" wrapText="1"/>
    </xf>
    <xf numFmtId="190" fontId="10" fillId="2" borderId="3" xfId="2" applyNumberFormat="1" applyFont="1" applyFill="1" applyBorder="1" applyAlignment="1">
      <alignment horizontal="center" vertical="center" wrapText="1"/>
    </xf>
    <xf numFmtId="169" fontId="14" fillId="0" borderId="165" xfId="2" applyNumberFormat="1" applyFont="1" applyBorder="1" applyAlignment="1">
      <alignment horizontal="left" vertical="center" wrapText="1"/>
    </xf>
    <xf numFmtId="0" fontId="15" fillId="9" borderId="231" xfId="2" applyFont="1" applyFill="1" applyBorder="1" applyAlignment="1">
      <alignment horizontal="left" vertical="center" wrapText="1"/>
    </xf>
    <xf numFmtId="0" fontId="0" fillId="9" borderId="230" xfId="0" applyFill="1" applyBorder="1" applyAlignment="1">
      <alignment vertical="center" wrapText="1"/>
    </xf>
    <xf numFmtId="167" fontId="15" fillId="9" borderId="169" xfId="2" applyNumberFormat="1" applyFont="1" applyFill="1" applyBorder="1" applyAlignment="1">
      <alignment horizontal="left" vertical="center" wrapText="1" indent="1"/>
    </xf>
    <xf numFmtId="173" fontId="11" fillId="9" borderId="22" xfId="6" applyNumberFormat="1" applyFont="1" applyFill="1" applyBorder="1" applyAlignment="1">
      <alignment horizontal="center" vertical="center" wrapText="1"/>
    </xf>
    <xf numFmtId="174" fontId="15" fillId="0" borderId="22" xfId="3" applyNumberFormat="1" applyFont="1" applyFill="1" applyBorder="1" applyAlignment="1">
      <alignment vertical="center" wrapText="1"/>
    </xf>
    <xf numFmtId="169" fontId="10" fillId="9" borderId="180" xfId="2" applyNumberFormat="1" applyFont="1" applyFill="1" applyBorder="1" applyAlignment="1">
      <alignment horizontal="center" vertical="center" wrapText="1"/>
    </xf>
    <xf numFmtId="44" fontId="11" fillId="9" borderId="169" xfId="59" applyFont="1" applyFill="1" applyBorder="1" applyAlignment="1">
      <alignment horizontal="center" vertical="center" wrapText="1"/>
    </xf>
    <xf numFmtId="44" fontId="11" fillId="9" borderId="166" xfId="59" applyFont="1" applyFill="1" applyBorder="1" applyAlignment="1">
      <alignment horizontal="center" vertical="center" wrapText="1"/>
    </xf>
    <xf numFmtId="169" fontId="11" fillId="9" borderId="1" xfId="2" applyNumberFormat="1" applyFont="1" applyFill="1" applyBorder="1" applyAlignment="1">
      <alignment horizontal="center" vertical="center" wrapText="1"/>
    </xf>
    <xf numFmtId="169" fontId="10" fillId="9" borderId="3" xfId="2" applyNumberFormat="1" applyFont="1" applyFill="1" applyBorder="1" applyAlignment="1">
      <alignment horizontal="center" vertical="center" wrapText="1"/>
    </xf>
    <xf numFmtId="10" fontId="15" fillId="0" borderId="229" xfId="2" applyNumberFormat="1" applyFont="1" applyBorder="1" applyAlignment="1">
      <alignment horizontal="center" vertical="center" wrapText="1"/>
    </xf>
    <xf numFmtId="3" fontId="15" fillId="0" borderId="31" xfId="5" applyNumberFormat="1" applyFont="1" applyFill="1" applyBorder="1" applyAlignment="1">
      <alignment horizontal="center" vertical="center" wrapText="1"/>
    </xf>
    <xf numFmtId="169" fontId="15" fillId="9" borderId="31" xfId="5" applyNumberFormat="1" applyFont="1" applyFill="1" applyBorder="1" applyAlignment="1">
      <alignment horizontal="center" vertical="center" wrapText="1"/>
    </xf>
    <xf numFmtId="167" fontId="15" fillId="9" borderId="31" xfId="2" applyNumberFormat="1" applyFont="1" applyFill="1" applyBorder="1" applyAlignment="1">
      <alignment horizontal="center" vertical="center" wrapText="1"/>
    </xf>
    <xf numFmtId="170" fontId="11" fillId="0" borderId="225" xfId="0" applyNumberFormat="1" applyFont="1" applyFill="1" applyBorder="1" applyAlignment="1">
      <alignment horizontal="center" vertical="center"/>
    </xf>
    <xf numFmtId="170" fontId="11" fillId="0" borderId="13" xfId="0" applyNumberFormat="1" applyFont="1" applyFill="1" applyBorder="1" applyAlignment="1">
      <alignment horizontal="center" vertical="center"/>
    </xf>
    <xf numFmtId="170" fontId="11" fillId="0" borderId="4" xfId="0" applyNumberFormat="1" applyFont="1" applyFill="1" applyBorder="1" applyAlignment="1">
      <alignment horizontal="center" vertical="center"/>
    </xf>
    <xf numFmtId="170" fontId="0" fillId="0" borderId="36" xfId="0" applyNumberFormat="1" applyFill="1" applyBorder="1" applyAlignment="1">
      <alignment horizontal="center" vertical="center"/>
    </xf>
    <xf numFmtId="170" fontId="0" fillId="0" borderId="47" xfId="0" applyNumberFormat="1" applyBorder="1" applyAlignment="1">
      <alignment horizontal="center" vertical="center"/>
    </xf>
    <xf numFmtId="170" fontId="0" fillId="0" borderId="14" xfId="0" applyNumberFormat="1" applyFill="1" applyBorder="1" applyAlignment="1">
      <alignment horizontal="center" vertical="center"/>
    </xf>
    <xf numFmtId="4" fontId="0" fillId="0" borderId="14" xfId="0" applyNumberFormat="1" applyFill="1" applyBorder="1" applyAlignment="1">
      <alignment horizontal="center" vertical="center"/>
    </xf>
    <xf numFmtId="170" fontId="0" fillId="0" borderId="14" xfId="0" applyNumberFormat="1" applyBorder="1" applyAlignment="1">
      <alignment horizontal="center" vertical="center"/>
    </xf>
    <xf numFmtId="170" fontId="0" fillId="0" borderId="149" xfId="0" applyNumberFormat="1" applyFill="1" applyBorder="1" applyAlignment="1">
      <alignment horizontal="center" vertical="center"/>
    </xf>
    <xf numFmtId="170" fontId="0" fillId="0" borderId="161" xfId="0" applyNumberFormat="1" applyBorder="1" applyAlignment="1">
      <alignment horizontal="center" vertical="center"/>
    </xf>
    <xf numFmtId="170" fontId="0" fillId="0" borderId="161" xfId="0" applyNumberFormat="1" applyFill="1" applyBorder="1" applyAlignment="1">
      <alignment horizontal="center" vertical="center"/>
    </xf>
    <xf numFmtId="4" fontId="0" fillId="0" borderId="161" xfId="0" applyNumberFormat="1" applyFill="1" applyBorder="1" applyAlignment="1">
      <alignment horizontal="center" vertical="center"/>
    </xf>
    <xf numFmtId="170" fontId="0" fillId="0" borderId="5" xfId="0" applyNumberFormat="1" applyFill="1" applyBorder="1" applyAlignment="1">
      <alignment horizontal="center" vertical="center"/>
    </xf>
    <xf numFmtId="170" fontId="0" fillId="0" borderId="6" xfId="0" applyNumberFormat="1" applyBorder="1" applyAlignment="1">
      <alignment horizontal="center" vertical="center"/>
    </xf>
    <xf numFmtId="4" fontId="0" fillId="0" borderId="6" xfId="0" applyNumberFormat="1" applyFill="1" applyBorder="1" applyAlignment="1">
      <alignment horizontal="center" vertical="center"/>
    </xf>
    <xf numFmtId="170" fontId="11" fillId="0" borderId="15" xfId="0" applyNumberFormat="1" applyFont="1" applyFill="1" applyBorder="1" applyAlignment="1">
      <alignment horizontal="center" vertical="center"/>
    </xf>
    <xf numFmtId="170" fontId="11" fillId="0" borderId="7" xfId="0" applyNumberFormat="1" applyFont="1" applyFill="1" applyBorder="1" applyAlignment="1">
      <alignment horizontal="center" vertical="center"/>
    </xf>
    <xf numFmtId="170" fontId="14" fillId="2" borderId="1" xfId="0" applyNumberFormat="1" applyFont="1" applyFill="1" applyBorder="1" applyAlignment="1">
      <alignment horizontal="center" vertical="center"/>
    </xf>
    <xf numFmtId="170" fontId="14" fillId="2" borderId="2" xfId="0" applyNumberFormat="1" applyFont="1" applyFill="1" applyBorder="1" applyAlignment="1">
      <alignment horizontal="center" vertical="center"/>
    </xf>
    <xf numFmtId="170" fontId="14" fillId="2" borderId="3" xfId="0" applyNumberFormat="1" applyFont="1" applyFill="1" applyBorder="1" applyAlignment="1">
      <alignment horizontal="center" vertical="center"/>
    </xf>
    <xf numFmtId="170" fontId="0" fillId="9" borderId="169" xfId="0" applyNumberFormat="1" applyFill="1" applyBorder="1" applyAlignment="1">
      <alignment horizontal="center" vertical="center"/>
    </xf>
    <xf numFmtId="170" fontId="14" fillId="2" borderId="181" xfId="0" applyNumberFormat="1" applyFont="1" applyFill="1" applyBorder="1" applyAlignment="1">
      <alignment horizontal="center" vertical="center"/>
    </xf>
    <xf numFmtId="4" fontId="14" fillId="2" borderId="3" xfId="0" applyNumberFormat="1" applyFont="1" applyFill="1" applyBorder="1" applyAlignment="1">
      <alignment horizontal="center" vertical="center"/>
    </xf>
    <xf numFmtId="174" fontId="14" fillId="2" borderId="3" xfId="3" applyNumberFormat="1" applyFont="1" applyFill="1" applyBorder="1" applyAlignment="1">
      <alignment horizontal="center" vertical="center"/>
    </xf>
    <xf numFmtId="0" fontId="13" fillId="9" borderId="169" xfId="2" applyFont="1" applyFill="1" applyBorder="1" applyAlignment="1">
      <alignment horizontal="center" vertical="center" wrapText="1"/>
    </xf>
    <xf numFmtId="0" fontId="14" fillId="0" borderId="1" xfId="0" applyFont="1" applyFill="1" applyBorder="1" applyAlignment="1">
      <alignment horizontal="center" vertical="center" wrapText="1"/>
    </xf>
    <xf numFmtId="4" fontId="11" fillId="10" borderId="11" xfId="2" applyNumberFormat="1" applyFont="1" applyFill="1" applyBorder="1" applyAlignment="1" applyProtection="1">
      <alignment horizontal="center" vertical="center"/>
    </xf>
    <xf numFmtId="1" fontId="11" fillId="10" borderId="149" xfId="2" applyNumberFormat="1" applyFont="1" applyFill="1" applyBorder="1" applyAlignment="1" applyProtection="1">
      <alignment horizontal="center" vertical="center"/>
      <protection locked="0"/>
    </xf>
    <xf numFmtId="4" fontId="11" fillId="10" borderId="5" xfId="2" applyNumberFormat="1" applyFont="1" applyFill="1" applyBorder="1" applyAlignment="1" applyProtection="1">
      <alignment horizontal="center" vertical="center"/>
    </xf>
    <xf numFmtId="1" fontId="11" fillId="10" borderId="48" xfId="2" applyNumberFormat="1" applyFont="1" applyFill="1" applyBorder="1" applyAlignment="1" applyProtection="1">
      <alignment horizontal="center" vertical="center"/>
      <protection locked="0"/>
    </xf>
    <xf numFmtId="1" fontId="11" fillId="10" borderId="5" xfId="2" applyNumberFormat="1" applyFont="1" applyFill="1" applyBorder="1" applyAlignment="1" applyProtection="1">
      <alignment horizontal="center" vertical="center"/>
      <protection locked="0"/>
    </xf>
    <xf numFmtId="4" fontId="11" fillId="10" borderId="12" xfId="2" applyNumberFormat="1" applyFont="1" applyFill="1" applyBorder="1" applyAlignment="1" applyProtection="1">
      <alignment horizontal="center" vertical="center"/>
    </xf>
    <xf numFmtId="1" fontId="11" fillId="10" borderId="12" xfId="2" applyNumberFormat="1" applyFont="1" applyFill="1" applyBorder="1" applyAlignment="1" applyProtection="1">
      <alignment horizontal="center" vertical="center"/>
      <protection locked="0"/>
    </xf>
    <xf numFmtId="4" fontId="11" fillId="10" borderId="8" xfId="2" applyNumberFormat="1" applyFont="1" applyFill="1" applyBorder="1" applyAlignment="1" applyProtection="1">
      <alignment horizontal="center" vertical="center"/>
    </xf>
    <xf numFmtId="1" fontId="11" fillId="10" borderId="8" xfId="2" applyNumberFormat="1" applyFont="1" applyFill="1" applyBorder="1" applyAlignment="1" applyProtection="1">
      <alignment horizontal="center" vertical="center"/>
      <protection locked="0"/>
    </xf>
    <xf numFmtId="4" fontId="14" fillId="10" borderId="2" xfId="2" applyNumberFormat="1" applyFont="1" applyFill="1" applyBorder="1" applyAlignment="1">
      <alignment horizontal="center" vertical="center" wrapText="1"/>
    </xf>
    <xf numFmtId="0" fontId="14" fillId="10" borderId="2" xfId="2" applyFont="1" applyFill="1" applyBorder="1" applyAlignment="1">
      <alignment horizontal="center" vertical="center" wrapText="1"/>
    </xf>
    <xf numFmtId="202" fontId="11" fillId="10" borderId="11" xfId="2" applyNumberFormat="1" applyFont="1" applyFill="1" applyBorder="1" applyAlignment="1" applyProtection="1">
      <alignment horizontal="center" vertical="center" wrapText="1"/>
    </xf>
    <xf numFmtId="202" fontId="11" fillId="10" borderId="5" xfId="2" applyNumberFormat="1" applyFont="1" applyFill="1" applyBorder="1" applyAlignment="1" applyProtection="1">
      <alignment horizontal="center" vertical="center" wrapText="1"/>
    </xf>
    <xf numFmtId="4" fontId="11" fillId="10" borderId="48" xfId="2" applyNumberFormat="1" applyFont="1" applyFill="1" applyBorder="1" applyAlignment="1" applyProtection="1">
      <alignment horizontal="center" vertical="center"/>
    </xf>
    <xf numFmtId="202" fontId="11" fillId="10" borderId="48" xfId="2" applyNumberFormat="1" applyFont="1" applyFill="1" applyBorder="1" applyAlignment="1" applyProtection="1">
      <alignment horizontal="center" vertical="center" wrapText="1"/>
    </xf>
    <xf numFmtId="4" fontId="10" fillId="10" borderId="2" xfId="2" applyNumberFormat="1" applyFont="1" applyFill="1" applyBorder="1" applyAlignment="1" applyProtection="1">
      <alignment horizontal="center" vertical="center" wrapText="1"/>
    </xf>
    <xf numFmtId="202" fontId="10" fillId="10" borderId="2" xfId="2" applyNumberFormat="1" applyFont="1" applyFill="1" applyBorder="1" applyAlignment="1" applyProtection="1">
      <alignment horizontal="center" vertical="center" wrapText="1"/>
    </xf>
    <xf numFmtId="167" fontId="10" fillId="9" borderId="188" xfId="2" applyNumberFormat="1" applyFont="1" applyFill="1" applyBorder="1" applyAlignment="1">
      <alignment horizontal="left" vertical="center" wrapText="1" indent="1"/>
    </xf>
    <xf numFmtId="2" fontId="11" fillId="10" borderId="11" xfId="2" applyNumberFormat="1" applyFont="1" applyFill="1" applyBorder="1" applyAlignment="1" applyProtection="1">
      <alignment horizontal="center" vertical="center"/>
    </xf>
    <xf numFmtId="190" fontId="11" fillId="10" borderId="11" xfId="2" applyNumberFormat="1" applyFont="1" applyFill="1" applyBorder="1" applyAlignment="1">
      <alignment horizontal="center" vertical="center" wrapText="1"/>
    </xf>
    <xf numFmtId="4" fontId="10" fillId="10" borderId="2" xfId="2" applyNumberFormat="1" applyFont="1" applyFill="1" applyBorder="1" applyAlignment="1" applyProtection="1">
      <alignment horizontal="center" vertical="center" wrapText="1"/>
      <protection locked="0"/>
    </xf>
    <xf numFmtId="190" fontId="14" fillId="10" borderId="2" xfId="2" applyNumberFormat="1" applyFont="1" applyFill="1" applyBorder="1" applyAlignment="1">
      <alignment horizontal="center" vertical="center" wrapText="1"/>
    </xf>
    <xf numFmtId="0" fontId="16" fillId="0" borderId="100" xfId="0" applyFont="1" applyBorder="1"/>
    <xf numFmtId="0" fontId="16" fillId="0" borderId="4" xfId="0" applyFont="1" applyBorder="1" applyAlignment="1">
      <alignment horizontal="left" vertical="center" wrapText="1" indent="1"/>
    </xf>
    <xf numFmtId="1" fontId="11" fillId="0" borderId="53" xfId="0" applyNumberFormat="1" applyFont="1" applyFill="1" applyBorder="1" applyAlignment="1" applyProtection="1">
      <alignment horizontal="center"/>
      <protection locked="0"/>
    </xf>
    <xf numFmtId="0" fontId="0" fillId="0" borderId="227" xfId="0" applyBorder="1" applyAlignment="1">
      <alignment horizontal="center" vertical="center"/>
    </xf>
    <xf numFmtId="0" fontId="10" fillId="9" borderId="218" xfId="0" applyFont="1" applyFill="1" applyBorder="1" applyAlignment="1">
      <alignment horizontal="center" vertical="center"/>
    </xf>
    <xf numFmtId="0" fontId="0" fillId="0" borderId="12" xfId="0" applyBorder="1" applyAlignment="1">
      <alignment horizontal="center" vertical="center"/>
    </xf>
    <xf numFmtId="0" fontId="11" fillId="0" borderId="51" xfId="9" applyBorder="1" applyAlignment="1">
      <alignment horizontal="center" vertical="center"/>
    </xf>
    <xf numFmtId="0" fontId="11" fillId="0" borderId="48" xfId="9" applyBorder="1" applyAlignment="1">
      <alignment horizontal="center" vertical="center"/>
    </xf>
    <xf numFmtId="14" fontId="11" fillId="0" borderId="48" xfId="9" applyNumberFormat="1" applyBorder="1" applyAlignment="1">
      <alignment horizontal="center" vertical="center"/>
    </xf>
    <xf numFmtId="0" fontId="11" fillId="0" borderId="48" xfId="9" applyBorder="1" applyAlignment="1">
      <alignment horizontal="left" vertical="center" indent="1"/>
    </xf>
    <xf numFmtId="0" fontId="11" fillId="0" borderId="48" xfId="9" applyBorder="1" applyAlignment="1">
      <alignment vertical="center"/>
    </xf>
    <xf numFmtId="170" fontId="11" fillId="0" borderId="48" xfId="9" applyNumberFormat="1" applyBorder="1" applyAlignment="1">
      <alignment vertical="center"/>
    </xf>
    <xf numFmtId="0" fontId="11" fillId="0" borderId="50" xfId="9" applyBorder="1" applyAlignment="1">
      <alignment horizontal="center" vertical="center"/>
    </xf>
    <xf numFmtId="1" fontId="0" fillId="0" borderId="151" xfId="0" applyNumberFormat="1" applyBorder="1" applyAlignment="1">
      <alignment horizontal="center" vertical="center"/>
    </xf>
    <xf numFmtId="0" fontId="16" fillId="0" borderId="42" xfId="9" applyFont="1" applyBorder="1" applyAlignment="1">
      <alignment horizontal="center" vertical="center"/>
    </xf>
    <xf numFmtId="0" fontId="15" fillId="9" borderId="218" xfId="2" applyFont="1" applyFill="1" applyBorder="1" applyAlignment="1">
      <alignment horizontal="center" vertical="center" wrapText="1"/>
    </xf>
    <xf numFmtId="174" fontId="15" fillId="0" borderId="22" xfId="3" applyNumberFormat="1" applyFont="1" applyFill="1" applyBorder="1" applyAlignment="1">
      <alignment horizontal="center" vertical="center" wrapText="1"/>
    </xf>
    <xf numFmtId="0" fontId="11" fillId="0" borderId="41" xfId="0" applyFont="1" applyBorder="1" applyAlignment="1">
      <alignment horizontal="center" vertical="center"/>
    </xf>
    <xf numFmtId="1" fontId="15" fillId="0" borderId="51" xfId="2" applyNumberFormat="1" applyFont="1" applyFill="1" applyBorder="1" applyAlignment="1">
      <alignment horizontal="center" vertical="center" wrapText="1"/>
    </xf>
    <xf numFmtId="1" fontId="11" fillId="0" borderId="116" xfId="2" applyNumberFormat="1" applyFont="1" applyBorder="1" applyAlignment="1">
      <alignment horizontal="left" vertical="center" indent="1"/>
    </xf>
    <xf numFmtId="1" fontId="11" fillId="0" borderId="16" xfId="2" applyNumberFormat="1" applyFont="1" applyBorder="1" applyAlignment="1">
      <alignment horizontal="left" vertical="center" indent="1"/>
    </xf>
    <xf numFmtId="1" fontId="11" fillId="0" borderId="53" xfId="2" applyNumberFormat="1" applyFont="1" applyBorder="1" applyAlignment="1">
      <alignment horizontal="left" vertical="center" indent="1"/>
    </xf>
    <xf numFmtId="1" fontId="15" fillId="0" borderId="50" xfId="2" applyNumberFormat="1" applyFont="1" applyFill="1" applyBorder="1" applyAlignment="1">
      <alignment horizontal="center" vertical="center" wrapText="1"/>
    </xf>
    <xf numFmtId="0" fontId="11" fillId="0" borderId="8" xfId="2" applyFont="1" applyBorder="1" applyAlignment="1">
      <alignment horizontal="left" vertical="center" wrapText="1" indent="1"/>
    </xf>
    <xf numFmtId="14" fontId="15" fillId="0" borderId="8" xfId="2" applyNumberFormat="1" applyFont="1" applyBorder="1" applyAlignment="1">
      <alignment horizontal="left" vertical="center" wrapText="1" indent="1"/>
    </xf>
    <xf numFmtId="1" fontId="11" fillId="0" borderId="8" xfId="2" applyNumberFormat="1" applyFont="1" applyBorder="1" applyAlignment="1">
      <alignment horizontal="left" vertical="center" indent="1"/>
    </xf>
    <xf numFmtId="1" fontId="15" fillId="0" borderId="9" xfId="2" applyNumberFormat="1" applyFont="1" applyFill="1" applyBorder="1" applyAlignment="1">
      <alignment horizontal="center" vertical="center" wrapText="1"/>
    </xf>
    <xf numFmtId="1" fontId="11" fillId="0" borderId="19" xfId="2" applyNumberFormat="1" applyFont="1" applyBorder="1" applyAlignment="1">
      <alignment horizontal="left" vertical="center" indent="1"/>
    </xf>
    <xf numFmtId="1" fontId="11" fillId="0" borderId="7" xfId="2" applyNumberFormat="1" applyFont="1" applyBorder="1" applyAlignment="1">
      <alignment horizontal="left" vertical="center" indent="1"/>
    </xf>
    <xf numFmtId="1" fontId="15" fillId="0" borderId="7" xfId="2" applyNumberFormat="1" applyFont="1" applyFill="1" applyBorder="1" applyAlignment="1">
      <alignment horizontal="center" vertical="center" wrapText="1"/>
    </xf>
    <xf numFmtId="0" fontId="16" fillId="0" borderId="7" xfId="2" applyFont="1" applyBorder="1" applyAlignment="1">
      <alignment horizontal="left" vertical="center" wrapText="1" indent="1"/>
    </xf>
    <xf numFmtId="1" fontId="15" fillId="0" borderId="48" xfId="2" applyNumberFormat="1" applyFont="1" applyFill="1" applyBorder="1" applyAlignment="1">
      <alignment horizontal="center" vertical="center" wrapText="1"/>
    </xf>
    <xf numFmtId="0" fontId="60" fillId="0" borderId="16" xfId="57" applyFont="1" applyBorder="1" applyAlignment="1">
      <alignment horizontal="center"/>
    </xf>
    <xf numFmtId="1" fontId="105" fillId="0" borderId="15" xfId="57" applyNumberFormat="1" applyFont="1" applyBorder="1" applyAlignment="1">
      <alignment horizontal="center"/>
    </xf>
    <xf numFmtId="0" fontId="60" fillId="0" borderId="12" xfId="57" applyFont="1" applyFill="1" applyBorder="1" applyAlignment="1">
      <alignment horizontal="center" vertical="center"/>
    </xf>
    <xf numFmtId="0" fontId="16" fillId="0" borderId="100" xfId="0" applyFont="1" applyFill="1" applyBorder="1" applyAlignment="1">
      <alignment horizontal="center" vertical="center"/>
    </xf>
    <xf numFmtId="1" fontId="60" fillId="0" borderId="134" xfId="57" applyNumberFormat="1" applyFont="1" applyBorder="1" applyAlignment="1">
      <alignment horizontal="center"/>
    </xf>
    <xf numFmtId="0" fontId="60" fillId="0" borderId="233" xfId="57" applyFont="1" applyBorder="1" applyAlignment="1">
      <alignment horizontal="center"/>
    </xf>
    <xf numFmtId="1" fontId="60" fillId="0" borderId="233" xfId="57" applyNumberFormat="1" applyFont="1" applyBorder="1" applyAlignment="1">
      <alignment horizontal="center"/>
    </xf>
    <xf numFmtId="0" fontId="60" fillId="0" borderId="234" xfId="57" applyFont="1" applyBorder="1" applyAlignment="1">
      <alignment horizontal="center"/>
    </xf>
    <xf numFmtId="0" fontId="105" fillId="0" borderId="27" xfId="57" applyFont="1" applyBorder="1" applyAlignment="1">
      <alignment horizontal="center"/>
    </xf>
    <xf numFmtId="0" fontId="60" fillId="0" borderId="229" xfId="57" applyFont="1" applyBorder="1" applyAlignment="1">
      <alignment horizontal="center"/>
    </xf>
    <xf numFmtId="0" fontId="60" fillId="9" borderId="132" xfId="57" applyFont="1" applyFill="1" applyBorder="1" applyAlignment="1">
      <alignment horizontal="left"/>
    </xf>
    <xf numFmtId="1" fontId="11" fillId="0" borderId="27" xfId="2" applyNumberFormat="1" applyFont="1" applyBorder="1" applyAlignment="1">
      <alignment horizontal="center" vertical="center" wrapText="1"/>
    </xf>
    <xf numFmtId="1" fontId="11" fillId="0" borderId="116" xfId="2" applyNumberFormat="1" applyFont="1" applyBorder="1" applyAlignment="1">
      <alignment horizontal="center" vertical="center" wrapText="1"/>
    </xf>
    <xf numFmtId="1" fontId="11" fillId="0" borderId="161" xfId="2" applyNumberFormat="1" applyFont="1" applyFill="1" applyBorder="1" applyAlignment="1">
      <alignment horizontal="center" vertical="center" wrapText="1"/>
    </xf>
    <xf numFmtId="1" fontId="11" fillId="0" borderId="6" xfId="2" applyNumberFormat="1" applyFont="1" applyFill="1" applyBorder="1" applyAlignment="1">
      <alignment horizontal="center" vertical="center" wrapText="1"/>
    </xf>
    <xf numFmtId="1" fontId="11" fillId="0" borderId="16" xfId="2" applyNumberFormat="1" applyFont="1" applyFill="1" applyBorder="1" applyAlignment="1">
      <alignment horizontal="center" vertical="center" wrapText="1"/>
    </xf>
    <xf numFmtId="1" fontId="11" fillId="0" borderId="100" xfId="2" applyNumberFormat="1" applyFont="1" applyFill="1" applyBorder="1" applyAlignment="1">
      <alignment horizontal="center" vertical="center" wrapText="1"/>
    </xf>
    <xf numFmtId="0" fontId="11" fillId="0" borderId="235" xfId="2" applyFont="1" applyBorder="1" applyAlignment="1">
      <alignment horizontal="left" vertical="center" wrapText="1"/>
    </xf>
    <xf numFmtId="0" fontId="10" fillId="9" borderId="231" xfId="2" applyFont="1" applyFill="1" applyBorder="1" applyAlignment="1">
      <alignment horizontal="left" vertical="center" wrapText="1"/>
    </xf>
    <xf numFmtId="174" fontId="10" fillId="9" borderId="232" xfId="2" applyNumberFormat="1" applyFont="1" applyFill="1" applyBorder="1" applyAlignment="1">
      <alignment horizontal="center" vertical="center" wrapText="1"/>
    </xf>
    <xf numFmtId="174" fontId="11" fillId="10" borderId="237" xfId="2" applyNumberFormat="1" applyFont="1" applyFill="1" applyBorder="1" applyAlignment="1">
      <alignment horizontal="center" vertical="center" wrapText="1"/>
    </xf>
    <xf numFmtId="174" fontId="11" fillId="10" borderId="52" xfId="2" applyNumberFormat="1" applyFont="1" applyFill="1" applyBorder="1" applyAlignment="1">
      <alignment horizontal="center" vertical="center" wrapText="1"/>
    </xf>
    <xf numFmtId="174" fontId="10" fillId="10" borderId="25" xfId="2" applyNumberFormat="1" applyFont="1" applyFill="1" applyBorder="1" applyAlignment="1">
      <alignment horizontal="center" vertical="center" wrapText="1"/>
    </xf>
    <xf numFmtId="174" fontId="10" fillId="10" borderId="22" xfId="2" applyNumberFormat="1" applyFont="1" applyFill="1" applyBorder="1" applyAlignment="1">
      <alignment horizontal="center" vertical="center" wrapText="1"/>
    </xf>
    <xf numFmtId="49" fontId="11" fillId="0" borderId="219" xfId="9" applyNumberFormat="1" applyFont="1" applyBorder="1" applyAlignment="1">
      <alignment horizontal="center" wrapText="1"/>
    </xf>
    <xf numFmtId="49" fontId="11" fillId="0" borderId="116" xfId="9" applyNumberFormat="1" applyFont="1" applyBorder="1" applyAlignment="1">
      <alignment horizontal="center" wrapText="1"/>
    </xf>
    <xf numFmtId="174" fontId="11" fillId="10" borderId="129" xfId="9" applyNumberFormat="1" applyFont="1" applyFill="1" applyBorder="1" applyAlignment="1">
      <alignment horizontal="center"/>
    </xf>
    <xf numFmtId="174" fontId="11" fillId="10" borderId="16" xfId="9" applyNumberFormat="1" applyFont="1" applyFill="1" applyBorder="1" applyAlignment="1">
      <alignment horizontal="center"/>
    </xf>
    <xf numFmtId="174" fontId="10" fillId="10" borderId="53" xfId="9" applyNumberFormat="1" applyFont="1" applyFill="1" applyBorder="1" applyAlignment="1">
      <alignment horizontal="center"/>
    </xf>
    <xf numFmtId="1" fontId="10" fillId="10" borderId="224" xfId="2" applyNumberFormat="1" applyFont="1" applyFill="1" applyBorder="1" applyAlignment="1">
      <alignment horizontal="center" vertical="center" wrapText="1"/>
    </xf>
    <xf numFmtId="174" fontId="10" fillId="10" borderId="224" xfId="2" applyNumberFormat="1" applyFont="1" applyFill="1" applyBorder="1" applyAlignment="1">
      <alignment horizontal="center" vertical="center" wrapText="1"/>
    </xf>
    <xf numFmtId="174" fontId="10" fillId="9" borderId="169" xfId="2" applyNumberFormat="1" applyFont="1" applyFill="1" applyBorder="1" applyAlignment="1">
      <alignment horizontal="center" vertical="center" wrapText="1"/>
    </xf>
    <xf numFmtId="10" fontId="0" fillId="0" borderId="169" xfId="0" applyNumberFormat="1" applyBorder="1" applyAlignment="1">
      <alignment horizontal="center" vertical="center"/>
    </xf>
    <xf numFmtId="169" fontId="15" fillId="0" borderId="238" xfId="3" applyNumberFormat="1" applyFont="1" applyBorder="1" applyAlignment="1">
      <alignment horizontal="center" vertical="center" wrapText="1"/>
    </xf>
    <xf numFmtId="169" fontId="0" fillId="0" borderId="238" xfId="0" applyNumberFormat="1" applyBorder="1" applyAlignment="1">
      <alignment horizontal="center" vertical="center" wrapText="1"/>
    </xf>
    <xf numFmtId="169" fontId="0" fillId="0" borderId="238" xfId="0" applyNumberFormat="1" applyBorder="1" applyAlignment="1">
      <alignment horizontal="center" vertical="center"/>
    </xf>
    <xf numFmtId="2" fontId="11" fillId="0" borderId="150" xfId="2" applyNumberFormat="1" applyFont="1" applyBorder="1" applyAlignment="1">
      <alignment horizontal="left" vertical="center" wrapText="1" indent="1"/>
    </xf>
    <xf numFmtId="2" fontId="11" fillId="0" borderId="23" xfId="2" applyNumberFormat="1" applyFont="1" applyBorder="1" applyAlignment="1">
      <alignment horizontal="left" vertical="center" wrapText="1" indent="1"/>
    </xf>
    <xf numFmtId="2" fontId="11" fillId="0" borderId="29" xfId="2" applyNumberFormat="1" applyFont="1" applyBorder="1" applyAlignment="1">
      <alignment horizontal="left" vertical="center" wrapText="1" indent="1"/>
    </xf>
    <xf numFmtId="2" fontId="11" fillId="0" borderId="19" xfId="2" applyNumberFormat="1" applyFont="1" applyBorder="1" applyAlignment="1">
      <alignment horizontal="left" vertical="center" wrapText="1" indent="1"/>
    </xf>
    <xf numFmtId="0" fontId="14" fillId="2" borderId="240" xfId="0" applyFont="1" applyFill="1" applyBorder="1" applyAlignment="1">
      <alignment horizontal="center" vertical="center"/>
    </xf>
    <xf numFmtId="0" fontId="16" fillId="0" borderId="0" xfId="0" applyFont="1" applyFill="1" applyBorder="1" applyAlignment="1">
      <alignment horizontal="center" vertical="center"/>
    </xf>
    <xf numFmtId="166" fontId="14" fillId="0" borderId="0" xfId="0" applyNumberFormat="1" applyFont="1" applyFill="1" applyBorder="1" applyAlignment="1">
      <alignment horizontal="center" vertical="center"/>
    </xf>
    <xf numFmtId="170" fontId="14" fillId="0" borderId="0" xfId="0" applyNumberFormat="1" applyFont="1" applyFill="1" applyBorder="1" applyAlignment="1">
      <alignment horizontal="center" vertical="center"/>
    </xf>
    <xf numFmtId="14" fontId="15" fillId="0" borderId="243" xfId="2" applyNumberFormat="1" applyFont="1" applyBorder="1" applyAlignment="1">
      <alignment horizontal="left" vertical="center" wrapText="1" indent="1"/>
    </xf>
    <xf numFmtId="20" fontId="15" fillId="0" borderId="243" xfId="2" applyNumberFormat="1" applyFont="1" applyBorder="1" applyAlignment="1">
      <alignment horizontal="left" vertical="center" wrapText="1" indent="1"/>
    </xf>
    <xf numFmtId="2" fontId="11" fillId="0" borderId="244" xfId="2" applyNumberFormat="1" applyFont="1" applyBorder="1" applyAlignment="1">
      <alignment horizontal="left" vertical="center" indent="1"/>
    </xf>
    <xf numFmtId="1" fontId="11" fillId="0" borderId="243" xfId="2" applyNumberFormat="1" applyFont="1" applyBorder="1" applyAlignment="1">
      <alignment horizontal="left" vertical="center" indent="1"/>
    </xf>
    <xf numFmtId="0" fontId="16" fillId="0" borderId="187" xfId="2" applyFont="1" applyBorder="1" applyAlignment="1">
      <alignment horizontal="left" vertical="center" wrapText="1" indent="1"/>
    </xf>
    <xf numFmtId="14" fontId="15" fillId="0" borderId="178" xfId="2" applyNumberFormat="1" applyFont="1" applyBorder="1" applyAlignment="1">
      <alignment horizontal="left" vertical="center" wrapText="1" indent="1"/>
    </xf>
    <xf numFmtId="20" fontId="15" fillId="0" borderId="178" xfId="2" applyNumberFormat="1" applyFont="1" applyBorder="1" applyAlignment="1">
      <alignment horizontal="left" vertical="center" wrapText="1" indent="1"/>
    </xf>
    <xf numFmtId="2" fontId="11" fillId="0" borderId="178" xfId="2" applyNumberFormat="1" applyFont="1" applyBorder="1" applyAlignment="1">
      <alignment horizontal="center" vertical="center"/>
    </xf>
    <xf numFmtId="1" fontId="11" fillId="0" borderId="178" xfId="2" applyNumberFormat="1" applyFont="1" applyBorder="1" applyAlignment="1">
      <alignment horizontal="center" vertical="center"/>
    </xf>
    <xf numFmtId="2" fontId="11" fillId="0" borderId="178" xfId="2" applyNumberFormat="1" applyFont="1" applyBorder="1" applyAlignment="1">
      <alignment horizontal="left" vertical="center" indent="1"/>
    </xf>
    <xf numFmtId="1" fontId="11" fillId="0" borderId="178" xfId="2" applyNumberFormat="1" applyFont="1" applyBorder="1" applyAlignment="1">
      <alignment horizontal="left" vertical="center" indent="1"/>
    </xf>
    <xf numFmtId="1" fontId="15" fillId="0" borderId="178" xfId="2" applyNumberFormat="1" applyFont="1" applyFill="1" applyBorder="1" applyAlignment="1">
      <alignment horizontal="center" vertical="center" wrapText="1"/>
    </xf>
    <xf numFmtId="0" fontId="15" fillId="0" borderId="245" xfId="2" applyFont="1" applyBorder="1" applyAlignment="1">
      <alignment horizontal="left" vertical="center" wrapText="1" indent="1"/>
    </xf>
    <xf numFmtId="14" fontId="15" fillId="0" borderId="246" xfId="2" applyNumberFormat="1" applyFont="1" applyBorder="1" applyAlignment="1">
      <alignment horizontal="left" vertical="center" wrapText="1" indent="1"/>
    </xf>
    <xf numFmtId="20" fontId="15" fillId="0" borderId="246" xfId="2" applyNumberFormat="1" applyFont="1" applyBorder="1" applyAlignment="1">
      <alignment horizontal="left" vertical="center" wrapText="1" indent="1"/>
    </xf>
    <xf numFmtId="2" fontId="11" fillId="0" borderId="246" xfId="2" applyNumberFormat="1" applyFont="1" applyBorder="1" applyAlignment="1">
      <alignment horizontal="center" vertical="center"/>
    </xf>
    <xf numFmtId="1" fontId="11" fillId="0" borderId="246" xfId="2" applyNumberFormat="1" applyFont="1" applyBorder="1" applyAlignment="1">
      <alignment horizontal="center" vertical="center"/>
    </xf>
    <xf numFmtId="2" fontId="11" fillId="0" borderId="246" xfId="2" applyNumberFormat="1" applyFont="1" applyBorder="1" applyAlignment="1">
      <alignment horizontal="left" vertical="center" indent="1"/>
    </xf>
    <xf numFmtId="1" fontId="11" fillId="0" borderId="246" xfId="2" applyNumberFormat="1" applyFont="1" applyBorder="1" applyAlignment="1">
      <alignment horizontal="left" vertical="center" indent="1"/>
    </xf>
    <xf numFmtId="1" fontId="15" fillId="0" borderId="246" xfId="2" applyNumberFormat="1" applyFont="1" applyFill="1" applyBorder="1" applyAlignment="1">
      <alignment horizontal="center" vertical="center" wrapText="1"/>
    </xf>
    <xf numFmtId="1" fontId="15" fillId="0" borderId="212" xfId="2" applyNumberFormat="1" applyFont="1" applyFill="1" applyBorder="1" applyAlignment="1">
      <alignment horizontal="center" vertical="center" wrapText="1"/>
    </xf>
    <xf numFmtId="1" fontId="15" fillId="0" borderId="149" xfId="2" applyNumberFormat="1" applyFont="1" applyFill="1" applyBorder="1" applyAlignment="1">
      <alignment horizontal="center" vertical="center" wrapText="1"/>
    </xf>
    <xf numFmtId="1" fontId="14" fillId="2" borderId="210" xfId="2" applyNumberFormat="1" applyFont="1" applyFill="1" applyBorder="1" applyAlignment="1">
      <alignment horizontal="center" vertical="center" wrapText="1"/>
    </xf>
    <xf numFmtId="0" fontId="10" fillId="2" borderId="238" xfId="2" applyFont="1" applyFill="1" applyBorder="1" applyAlignment="1">
      <alignment horizontal="center" vertical="center" wrapText="1"/>
    </xf>
    <xf numFmtId="1" fontId="14" fillId="9" borderId="207" xfId="2" applyNumberFormat="1" applyFont="1" applyFill="1" applyBorder="1" applyAlignment="1">
      <alignment horizontal="center" vertical="center" wrapText="1"/>
    </xf>
    <xf numFmtId="169" fontId="15" fillId="0" borderId="242" xfId="5" applyNumberFormat="1" applyFont="1" applyBorder="1" applyAlignment="1">
      <alignment horizontal="center" vertical="center" wrapText="1"/>
    </xf>
    <xf numFmtId="4" fontId="15" fillId="9" borderId="241" xfId="2" applyNumberFormat="1" applyFont="1" applyFill="1" applyBorder="1" applyAlignment="1">
      <alignment vertical="center" wrapText="1"/>
    </xf>
    <xf numFmtId="2" fontId="11" fillId="0" borderId="250" xfId="2" applyNumberFormat="1" applyFont="1" applyBorder="1" applyAlignment="1">
      <alignment horizontal="left" vertical="center" indent="1"/>
    </xf>
    <xf numFmtId="0" fontId="10" fillId="9" borderId="238" xfId="0" applyFont="1" applyFill="1" applyBorder="1" applyAlignment="1">
      <alignment vertical="center" wrapText="1"/>
    </xf>
    <xf numFmtId="0" fontId="0" fillId="0" borderId="27" xfId="0" applyFill="1" applyBorder="1" applyAlignment="1">
      <alignment horizontal="left" indent="1"/>
    </xf>
    <xf numFmtId="0" fontId="60" fillId="0" borderId="31" xfId="165" applyFont="1" applyFill="1" applyBorder="1" applyAlignment="1">
      <alignment horizontal="left" vertical="center" indent="1"/>
    </xf>
    <xf numFmtId="0" fontId="60" fillId="0" borderId="31" xfId="165" applyFont="1" applyFill="1" applyBorder="1" applyAlignment="1">
      <alignment horizontal="left" vertical="center" wrapText="1" indent="1"/>
    </xf>
    <xf numFmtId="0" fontId="0" fillId="80" borderId="0" xfId="0" applyFill="1"/>
    <xf numFmtId="8" fontId="133" fillId="64" borderId="5" xfId="163" applyNumberFormat="1" applyFont="1" applyFill="1" applyBorder="1" applyAlignment="1">
      <alignment horizontal="right" vertical="center" indent="1"/>
    </xf>
    <xf numFmtId="8" fontId="133" fillId="9" borderId="5" xfId="163" applyNumberFormat="1" applyFont="1" applyFill="1" applyBorder="1" applyAlignment="1">
      <alignment horizontal="right" vertical="center" indent="1"/>
    </xf>
    <xf numFmtId="0" fontId="10" fillId="2" borderId="238" xfId="0" applyFont="1" applyFill="1" applyBorder="1" applyAlignment="1">
      <alignment horizontal="center" vertical="center"/>
    </xf>
    <xf numFmtId="0" fontId="10" fillId="2" borderId="209" xfId="0" applyFont="1" applyFill="1" applyBorder="1" applyAlignment="1">
      <alignment horizontal="center" vertical="center" wrapText="1"/>
    </xf>
    <xf numFmtId="0" fontId="10" fillId="2" borderId="207" xfId="0" applyFont="1" applyFill="1" applyBorder="1" applyAlignment="1">
      <alignment horizontal="center" vertical="center" wrapText="1"/>
    </xf>
    <xf numFmtId="0" fontId="10" fillId="2" borderId="251" xfId="0" applyFont="1" applyFill="1" applyBorder="1" applyAlignment="1">
      <alignment horizontal="center" vertical="center" wrapText="1"/>
    </xf>
    <xf numFmtId="0" fontId="10" fillId="9" borderId="238" xfId="0" applyFont="1" applyFill="1" applyBorder="1" applyAlignment="1">
      <alignment horizontal="center" vertical="center" wrapText="1"/>
    </xf>
    <xf numFmtId="0" fontId="0" fillId="0" borderId="0" xfId="0" applyNumberFormat="1" applyFill="1" applyBorder="1" applyAlignment="1">
      <alignment vertical="center"/>
    </xf>
    <xf numFmtId="0" fontId="15" fillId="0" borderId="0" xfId="2" applyFont="1" applyFill="1" applyBorder="1" applyAlignment="1">
      <alignment horizontal="center" vertical="center" wrapText="1"/>
    </xf>
    <xf numFmtId="174" fontId="0" fillId="0" borderId="242" xfId="3" applyNumberFormat="1" applyFont="1" applyFill="1" applyBorder="1" applyAlignment="1">
      <alignment horizontal="center" vertical="center"/>
    </xf>
    <xf numFmtId="174" fontId="14" fillId="9" borderId="238" xfId="3" applyNumberFormat="1" applyFont="1" applyFill="1" applyBorder="1" applyAlignment="1">
      <alignment horizontal="center" vertical="center"/>
    </xf>
    <xf numFmtId="174" fontId="133" fillId="0" borderId="241" xfId="3" applyNumberFormat="1" applyFont="1" applyFill="1" applyBorder="1" applyAlignment="1">
      <alignment horizontal="center" vertical="center"/>
    </xf>
    <xf numFmtId="2" fontId="0" fillId="0" borderId="6" xfId="7" applyNumberFormat="1" applyFont="1" applyBorder="1" applyAlignment="1">
      <alignment horizontal="center" vertical="center"/>
    </xf>
    <xf numFmtId="2" fontId="0" fillId="0" borderId="6" xfId="0" applyNumberFormat="1" applyBorder="1" applyAlignment="1">
      <alignment horizontal="center" vertical="center"/>
    </xf>
    <xf numFmtId="170" fontId="0" fillId="0" borderId="31" xfId="0" applyNumberFormat="1" applyBorder="1" applyAlignment="1">
      <alignment horizontal="center" vertical="center"/>
    </xf>
    <xf numFmtId="0" fontId="14" fillId="2" borderId="251" xfId="0" applyFont="1" applyFill="1" applyBorder="1" applyAlignment="1">
      <alignment horizontal="center" vertical="center"/>
    </xf>
    <xf numFmtId="0" fontId="133" fillId="0" borderId="252" xfId="0" applyFont="1" applyFill="1" applyBorder="1" applyAlignment="1">
      <alignment horizontal="left" vertical="center" indent="1"/>
    </xf>
    <xf numFmtId="0" fontId="11" fillId="0" borderId="252" xfId="0" applyFont="1" applyFill="1" applyBorder="1" applyAlignment="1">
      <alignment horizontal="left" vertical="center" indent="1"/>
    </xf>
    <xf numFmtId="0" fontId="11" fillId="0" borderId="241" xfId="0" applyFont="1" applyBorder="1" applyAlignment="1">
      <alignment horizontal="center" vertical="center"/>
    </xf>
    <xf numFmtId="170" fontId="133" fillId="0" borderId="105" xfId="0" applyNumberFormat="1" applyFont="1" applyFill="1" applyBorder="1" applyAlignment="1">
      <alignment horizontal="center" vertical="center"/>
    </xf>
    <xf numFmtId="170" fontId="133" fillId="0" borderId="14" xfId="0" applyNumberFormat="1" applyFont="1" applyFill="1" applyBorder="1" applyAlignment="1">
      <alignment horizontal="center" vertical="center"/>
    </xf>
    <xf numFmtId="10" fontId="133" fillId="0" borderId="14" xfId="7" applyNumberFormat="1" applyFont="1" applyFill="1" applyBorder="1" applyAlignment="1">
      <alignment horizontal="center" vertical="center"/>
    </xf>
    <xf numFmtId="170" fontId="133" fillId="0" borderId="252" xfId="0" applyNumberFormat="1" applyFont="1" applyFill="1" applyBorder="1" applyAlignment="1">
      <alignment horizontal="center" vertical="center"/>
    </xf>
    <xf numFmtId="170" fontId="0" fillId="0" borderId="17" xfId="0" applyNumberFormat="1" applyFill="1" applyBorder="1" applyAlignment="1">
      <alignment horizontal="center" vertical="center"/>
    </xf>
    <xf numFmtId="170" fontId="133" fillId="0" borderId="241" xfId="0" applyNumberFormat="1" applyFont="1" applyFill="1" applyBorder="1" applyAlignment="1">
      <alignment horizontal="center" vertical="center"/>
    </xf>
    <xf numFmtId="170" fontId="0" fillId="0" borderId="100" xfId="0" applyNumberFormat="1" applyBorder="1" applyAlignment="1">
      <alignment horizontal="center" vertical="center"/>
    </xf>
    <xf numFmtId="0" fontId="10" fillId="2" borderId="208" xfId="0" applyFont="1" applyFill="1" applyBorder="1" applyAlignment="1">
      <alignment horizontal="center" vertical="center" wrapText="1"/>
    </xf>
    <xf numFmtId="0" fontId="10" fillId="2" borderId="238" xfId="0" applyFont="1" applyFill="1" applyBorder="1" applyAlignment="1">
      <alignment horizontal="center" vertical="center" wrapText="1"/>
    </xf>
    <xf numFmtId="170" fontId="14" fillId="2" borderId="22" xfId="0" applyNumberFormat="1" applyFont="1" applyFill="1" applyBorder="1" applyAlignment="1">
      <alignment horizontal="center" vertical="center"/>
    </xf>
    <xf numFmtId="170" fontId="14" fillId="2" borderId="238" xfId="0" applyNumberFormat="1" applyFont="1" applyFill="1" applyBorder="1" applyAlignment="1">
      <alignment horizontal="center" vertical="center"/>
    </xf>
    <xf numFmtId="2" fontId="14" fillId="2" borderId="3" xfId="7" applyNumberFormat="1" applyFont="1" applyFill="1" applyBorder="1" applyAlignment="1">
      <alignment horizontal="center" vertical="center"/>
    </xf>
    <xf numFmtId="0" fontId="0" fillId="0" borderId="253" xfId="0" applyBorder="1" applyAlignment="1">
      <alignment horizontal="left" indent="1"/>
    </xf>
    <xf numFmtId="8" fontId="0" fillId="0" borderId="250" xfId="3" applyNumberFormat="1" applyFont="1" applyBorder="1"/>
    <xf numFmtId="0" fontId="11" fillId="0" borderId="253" xfId="0" applyFont="1" applyBorder="1" applyAlignment="1">
      <alignment vertical="top" wrapText="1"/>
    </xf>
    <xf numFmtId="0" fontId="11" fillId="0" borderId="245" xfId="0" applyFont="1" applyBorder="1" applyAlignment="1">
      <alignment vertical="top" wrapText="1"/>
    </xf>
    <xf numFmtId="0" fontId="0" fillId="0" borderId="246" xfId="0" applyBorder="1"/>
    <xf numFmtId="0" fontId="0" fillId="0" borderId="250" xfId="0" applyBorder="1"/>
    <xf numFmtId="0" fontId="0" fillId="0" borderId="248" xfId="0" applyBorder="1"/>
    <xf numFmtId="8" fontId="0" fillId="0" borderId="248" xfId="3" applyNumberFormat="1" applyFont="1" applyBorder="1"/>
    <xf numFmtId="8" fontId="10" fillId="0" borderId="9" xfId="3" applyNumberFormat="1" applyFont="1" applyBorder="1"/>
    <xf numFmtId="0" fontId="136" fillId="0" borderId="115" xfId="0" applyFont="1" applyBorder="1" applyAlignment="1">
      <alignment horizontal="left"/>
    </xf>
    <xf numFmtId="0" fontId="122" fillId="0" borderId="0" xfId="0" applyFont="1"/>
    <xf numFmtId="0" fontId="136" fillId="0" borderId="48" xfId="0" applyFont="1" applyBorder="1" applyAlignment="1">
      <alignment horizontal="left"/>
    </xf>
    <xf numFmtId="0" fontId="0" fillId="0" borderId="0" xfId="0" applyAlignment="1">
      <alignment horizontal="center"/>
    </xf>
    <xf numFmtId="0" fontId="0" fillId="0" borderId="0" xfId="0" applyAlignment="1">
      <alignment vertical="center"/>
    </xf>
    <xf numFmtId="3" fontId="11" fillId="0" borderId="253" xfId="0" applyNumberFormat="1" applyFont="1" applyFill="1" applyBorder="1" applyAlignment="1">
      <alignment horizontal="center" vertical="center"/>
    </xf>
    <xf numFmtId="170" fontId="0" fillId="0" borderId="246" xfId="0" applyNumberFormat="1" applyBorder="1" applyAlignment="1">
      <alignment horizontal="center" vertical="center"/>
    </xf>
    <xf numFmtId="44" fontId="0" fillId="0" borderId="5" xfId="0" applyNumberFormat="1" applyFill="1" applyBorder="1" applyAlignment="1">
      <alignment horizontal="center" vertical="center"/>
    </xf>
    <xf numFmtId="44" fontId="10" fillId="0" borderId="0" xfId="0" applyNumberFormat="1" applyFont="1" applyFill="1"/>
    <xf numFmtId="170" fontId="0" fillId="0" borderId="246" xfId="6" applyNumberFormat="1" applyFont="1" applyBorder="1" applyAlignment="1">
      <alignment horizontal="center" vertical="center"/>
    </xf>
    <xf numFmtId="170" fontId="0" fillId="0" borderId="246" xfId="0" applyNumberFormat="1" applyFill="1" applyBorder="1" applyAlignment="1">
      <alignment horizontal="center" vertical="center"/>
    </xf>
    <xf numFmtId="0" fontId="11" fillId="12" borderId="255" xfId="0" applyFont="1" applyFill="1" applyBorder="1" applyAlignment="1">
      <alignment vertical="center" wrapText="1"/>
    </xf>
    <xf numFmtId="175" fontId="11" fillId="10" borderId="256" xfId="0" applyNumberFormat="1" applyFont="1" applyFill="1" applyBorder="1" applyAlignment="1">
      <alignment vertical="center"/>
    </xf>
    <xf numFmtId="175" fontId="11" fillId="0" borderId="257" xfId="0" applyNumberFormat="1" applyFont="1" applyBorder="1" applyAlignment="1">
      <alignment vertical="center"/>
    </xf>
    <xf numFmtId="177" fontId="11" fillId="0" borderId="198" xfId="0" applyNumberFormat="1" applyFont="1" applyFill="1" applyBorder="1" applyAlignment="1">
      <alignment vertical="center"/>
    </xf>
    <xf numFmtId="0" fontId="11" fillId="9" borderId="149" xfId="0" applyFont="1" applyFill="1" applyBorder="1" applyAlignment="1"/>
    <xf numFmtId="0" fontId="11" fillId="0" borderId="246" xfId="0" applyFont="1" applyFill="1" applyBorder="1" applyAlignment="1">
      <alignment horizontal="center" vertical="center"/>
    </xf>
    <xf numFmtId="14" fontId="11" fillId="0" borderId="246" xfId="0" applyNumberFormat="1" applyFont="1" applyFill="1" applyBorder="1" applyAlignment="1">
      <alignment horizontal="center" vertical="center"/>
    </xf>
    <xf numFmtId="0" fontId="11" fillId="0" borderId="248" xfId="0" applyFont="1" applyFill="1" applyBorder="1" applyAlignment="1">
      <alignment horizontal="center" vertical="center"/>
    </xf>
    <xf numFmtId="0" fontId="11" fillId="0" borderId="241" xfId="0" applyFont="1" applyBorder="1" applyAlignment="1">
      <alignment vertical="center"/>
    </xf>
    <xf numFmtId="0" fontId="10" fillId="2" borderId="262" xfId="0" applyFont="1" applyFill="1" applyBorder="1" applyAlignment="1">
      <alignment horizontal="center" vertical="center" wrapText="1"/>
    </xf>
    <xf numFmtId="0" fontId="0" fillId="0" borderId="0" xfId="0" applyAlignment="1">
      <alignment vertical="center"/>
    </xf>
    <xf numFmtId="170" fontId="0" fillId="0" borderId="0" xfId="0" applyNumberFormat="1" applyFill="1" applyBorder="1" applyAlignment="1">
      <alignment horizontal="center" vertical="center"/>
    </xf>
    <xf numFmtId="0" fontId="10" fillId="9" borderId="238" xfId="2" applyFont="1" applyFill="1" applyBorder="1" applyAlignment="1">
      <alignment vertical="center" wrapText="1"/>
    </xf>
    <xf numFmtId="0" fontId="105" fillId="0" borderId="0" xfId="57" applyFont="1"/>
    <xf numFmtId="2" fontId="11" fillId="0" borderId="215" xfId="7" applyNumberFormat="1" applyFont="1" applyFill="1" applyBorder="1" applyAlignment="1">
      <alignment vertical="center"/>
    </xf>
    <xf numFmtId="0" fontId="11" fillId="0" borderId="215" xfId="0" applyFont="1" applyBorder="1" applyAlignment="1">
      <alignment horizontal="left" vertical="center"/>
    </xf>
    <xf numFmtId="184" fontId="11" fillId="12" borderId="264" xfId="10" applyNumberFormat="1" applyFont="1" applyFill="1" applyBorder="1" applyAlignment="1">
      <alignment horizontal="right" vertical="center"/>
    </xf>
    <xf numFmtId="8" fontId="11" fillId="0" borderId="265" xfId="0" applyNumberFormat="1" applyFont="1" applyBorder="1" applyAlignment="1">
      <alignment horizontal="right" vertical="center" indent="1"/>
    </xf>
    <xf numFmtId="0" fontId="10" fillId="9" borderId="1" xfId="2" applyFont="1" applyFill="1" applyBorder="1" applyAlignment="1">
      <alignment horizontal="left" vertical="center" wrapText="1" indent="1"/>
    </xf>
    <xf numFmtId="169" fontId="15" fillId="0" borderId="27" xfId="5" applyNumberFormat="1" applyFont="1" applyFill="1" applyBorder="1" applyAlignment="1">
      <alignment horizontal="center" vertical="center" wrapText="1"/>
    </xf>
    <xf numFmtId="169" fontId="15" fillId="0" borderId="100" xfId="5" applyNumberFormat="1" applyFont="1" applyFill="1" applyBorder="1" applyAlignment="1">
      <alignment horizontal="center" vertical="center" wrapText="1"/>
    </xf>
    <xf numFmtId="0" fontId="10" fillId="0" borderId="25" xfId="2" applyFont="1" applyBorder="1" applyAlignment="1">
      <alignment horizontal="left" vertical="center" wrapText="1"/>
    </xf>
    <xf numFmtId="167" fontId="10" fillId="9" borderId="3" xfId="2" applyNumberFormat="1" applyFont="1" applyFill="1" applyBorder="1" applyAlignment="1">
      <alignment horizontal="left" vertical="center" wrapText="1" indent="1"/>
    </xf>
    <xf numFmtId="0" fontId="10" fillId="2" borderId="3" xfId="0" applyFont="1" applyFill="1" applyBorder="1" applyAlignment="1">
      <alignment horizontal="left" vertical="center" indent="1"/>
    </xf>
    <xf numFmtId="0" fontId="10" fillId="2" borderId="10" xfId="0" applyFont="1" applyFill="1" applyBorder="1" applyAlignment="1">
      <alignment horizontal="left" vertical="center" indent="1"/>
    </xf>
    <xf numFmtId="0" fontId="135" fillId="0" borderId="5" xfId="0" applyFont="1" applyFill="1" applyBorder="1"/>
    <xf numFmtId="14" fontId="122" fillId="0" borderId="5" xfId="0" applyNumberFormat="1" applyFont="1" applyFill="1" applyBorder="1"/>
    <xf numFmtId="0" fontId="122" fillId="0" borderId="5" xfId="0" applyFont="1" applyFill="1" applyBorder="1"/>
    <xf numFmtId="170" fontId="122" fillId="0" borderId="5" xfId="0" applyNumberFormat="1" applyFont="1" applyFill="1" applyBorder="1"/>
    <xf numFmtId="2" fontId="122" fillId="0" borderId="5" xfId="0" applyNumberFormat="1" applyFont="1" applyFill="1" applyBorder="1"/>
    <xf numFmtId="4" fontId="122" fillId="0" borderId="5" xfId="0" applyNumberFormat="1" applyFont="1" applyFill="1" applyBorder="1" applyAlignment="1">
      <alignment wrapText="1"/>
    </xf>
    <xf numFmtId="0" fontId="122" fillId="0" borderId="5" xfId="0" applyFont="1" applyFill="1" applyBorder="1" applyAlignment="1">
      <alignment wrapText="1"/>
    </xf>
    <xf numFmtId="0" fontId="136" fillId="0" borderId="0" xfId="0" applyFont="1" applyFill="1"/>
    <xf numFmtId="167" fontId="15" fillId="9" borderId="238" xfId="2" applyNumberFormat="1" applyFont="1" applyFill="1" applyBorder="1" applyAlignment="1">
      <alignment horizontal="left" vertical="center" wrapText="1" indent="1"/>
    </xf>
    <xf numFmtId="173" fontId="11" fillId="9" borderId="238" xfId="6" applyNumberFormat="1" applyFont="1" applyFill="1" applyBorder="1" applyAlignment="1">
      <alignment horizontal="center" vertical="center" wrapText="1"/>
    </xf>
    <xf numFmtId="174" fontId="15" fillId="0" borderId="238" xfId="3" applyNumberFormat="1" applyFont="1" applyFill="1" applyBorder="1" applyAlignment="1">
      <alignment vertical="center" wrapText="1"/>
    </xf>
    <xf numFmtId="0" fontId="14" fillId="2" borderId="269" xfId="0" applyFont="1" applyFill="1" applyBorder="1" applyAlignment="1">
      <alignment horizontal="center" vertical="center"/>
    </xf>
    <xf numFmtId="0" fontId="14" fillId="2" borderId="270" xfId="0" applyFont="1" applyFill="1" applyBorder="1" applyAlignment="1">
      <alignment horizontal="center" vertical="center"/>
    </xf>
    <xf numFmtId="166" fontId="14" fillId="2" borderId="270" xfId="0" applyNumberFormat="1" applyFont="1" applyFill="1" applyBorder="1" applyAlignment="1">
      <alignment horizontal="center" vertical="center"/>
    </xf>
    <xf numFmtId="166" fontId="14" fillId="4" borderId="271" xfId="0" applyNumberFormat="1" applyFont="1" applyFill="1" applyBorder="1" applyAlignment="1">
      <alignment horizontal="center" vertical="center"/>
    </xf>
    <xf numFmtId="170" fontId="14" fillId="4" borderId="272" xfId="0" applyNumberFormat="1" applyFont="1" applyFill="1" applyBorder="1" applyAlignment="1">
      <alignment horizontal="center" vertical="center"/>
    </xf>
    <xf numFmtId="8" fontId="11" fillId="0" borderId="70" xfId="0" applyNumberFormat="1" applyFont="1" applyFill="1" applyBorder="1" applyAlignment="1">
      <alignment horizontal="right" vertical="center" indent="1"/>
    </xf>
    <xf numFmtId="8" fontId="61" fillId="0" borderId="70" xfId="0" applyNumberFormat="1" applyFont="1" applyFill="1" applyBorder="1" applyAlignment="1">
      <alignment horizontal="right" vertical="center" indent="1"/>
    </xf>
    <xf numFmtId="8" fontId="11" fillId="0" borderId="258" xfId="0" applyNumberFormat="1" applyFont="1" applyFill="1" applyBorder="1" applyAlignment="1">
      <alignment horizontal="right" vertical="center" indent="1"/>
    </xf>
    <xf numFmtId="169" fontId="10" fillId="0" borderId="31" xfId="5" applyNumberFormat="1" applyFont="1" applyBorder="1" applyAlignment="1">
      <alignment horizontal="center" vertical="center" wrapText="1"/>
    </xf>
    <xf numFmtId="169" fontId="10" fillId="0" borderId="242" xfId="5" applyNumberFormat="1" applyFont="1" applyFill="1" applyBorder="1" applyAlignment="1">
      <alignment horizontal="center" vertical="center" wrapText="1"/>
    </xf>
    <xf numFmtId="167" fontId="15" fillId="9" borderId="242" xfId="2" applyNumberFormat="1" applyFont="1" applyFill="1" applyBorder="1" applyAlignment="1">
      <alignment horizontal="center" vertical="center" wrapText="1"/>
    </xf>
    <xf numFmtId="0" fontId="11" fillId="0" borderId="273" xfId="2" applyFont="1" applyBorder="1" applyAlignment="1">
      <alignment vertical="center" wrapText="1"/>
    </xf>
    <xf numFmtId="0" fontId="11" fillId="0" borderId="274" xfId="2" applyFont="1" applyBorder="1" applyAlignment="1">
      <alignment vertical="center" wrapText="1"/>
    </xf>
    <xf numFmtId="0" fontId="11" fillId="0" borderId="275" xfId="2" applyFont="1" applyBorder="1" applyAlignment="1">
      <alignment vertical="center" wrapText="1"/>
    </xf>
    <xf numFmtId="0" fontId="11" fillId="0" borderId="276" xfId="2" applyFont="1" applyBorder="1" applyAlignment="1">
      <alignment vertical="center"/>
    </xf>
    <xf numFmtId="0" fontId="11" fillId="0" borderId="278" xfId="2" applyFont="1" applyBorder="1" applyAlignment="1">
      <alignment vertical="center" wrapText="1"/>
    </xf>
    <xf numFmtId="0" fontId="11" fillId="0" borderId="279" xfId="2" applyFont="1" applyBorder="1" applyAlignment="1">
      <alignment vertical="center" wrapText="1"/>
    </xf>
    <xf numFmtId="0" fontId="11" fillId="0" borderId="280" xfId="2" applyFont="1" applyBorder="1" applyAlignment="1">
      <alignment vertical="center" wrapText="1"/>
    </xf>
    <xf numFmtId="0" fontId="11" fillId="0" borderId="281" xfId="2" applyFont="1" applyBorder="1" applyAlignment="1">
      <alignment vertical="center"/>
    </xf>
    <xf numFmtId="0" fontId="15" fillId="9" borderId="251" xfId="2" applyFont="1" applyFill="1" applyBorder="1" applyAlignment="1">
      <alignment horizontal="left" vertical="center"/>
    </xf>
    <xf numFmtId="0" fontId="15" fillId="9" borderId="259" xfId="2" applyFont="1" applyFill="1" applyBorder="1" applyAlignment="1">
      <alignment horizontal="center" vertical="center"/>
    </xf>
    <xf numFmtId="167" fontId="15" fillId="9" borderId="259" xfId="2" applyNumberFormat="1" applyFont="1" applyFill="1" applyBorder="1" applyAlignment="1">
      <alignment horizontal="left" vertical="center"/>
    </xf>
    <xf numFmtId="10" fontId="15" fillId="0" borderId="229" xfId="2" applyNumberFormat="1" applyFont="1" applyFill="1" applyBorder="1" applyAlignment="1">
      <alignment horizontal="center" vertical="center" wrapText="1"/>
    </xf>
    <xf numFmtId="0" fontId="15" fillId="0" borderId="282" xfId="2" applyFont="1" applyFill="1" applyBorder="1" applyAlignment="1">
      <alignment horizontal="left" vertical="center"/>
    </xf>
    <xf numFmtId="0" fontId="15" fillId="0" borderId="282" xfId="2" applyFont="1" applyFill="1" applyBorder="1" applyAlignment="1">
      <alignment horizontal="center" vertical="center"/>
    </xf>
    <xf numFmtId="167" fontId="15" fillId="0" borderId="282" xfId="2" applyNumberFormat="1" applyFont="1" applyFill="1" applyBorder="1" applyAlignment="1">
      <alignment horizontal="left" vertical="center"/>
    </xf>
    <xf numFmtId="167" fontId="15" fillId="0" borderId="197" xfId="2" applyNumberFormat="1" applyFont="1" applyFill="1" applyBorder="1" applyAlignment="1">
      <alignment horizontal="left" vertical="center"/>
    </xf>
    <xf numFmtId="202" fontId="15" fillId="0" borderId="169" xfId="2" applyNumberFormat="1" applyFont="1" applyFill="1" applyBorder="1" applyAlignment="1">
      <alignment horizontal="center" vertical="center" wrapText="1"/>
    </xf>
    <xf numFmtId="169" fontId="14" fillId="0" borderId="169" xfId="2" applyNumberFormat="1" applyFont="1" applyFill="1" applyBorder="1" applyAlignment="1">
      <alignment horizontal="center" vertical="center" wrapText="1"/>
    </xf>
    <xf numFmtId="169" fontId="14" fillId="0" borderId="197" xfId="2" applyNumberFormat="1" applyFont="1" applyFill="1" applyBorder="1" applyAlignment="1">
      <alignment horizontal="center" vertical="center" wrapText="1"/>
    </xf>
    <xf numFmtId="10" fontId="10" fillId="0" borderId="229" xfId="9" applyNumberFormat="1" applyFont="1" applyBorder="1" applyAlignment="1">
      <alignment horizontal="center"/>
    </xf>
    <xf numFmtId="0" fontId="0" fillId="9" borderId="238" xfId="0" applyFill="1" applyBorder="1" applyAlignment="1">
      <alignment horizontal="center" vertical="center"/>
    </xf>
    <xf numFmtId="0" fontId="11" fillId="9" borderId="238" xfId="2" applyFont="1" applyFill="1" applyBorder="1" applyAlignment="1">
      <alignment horizontal="center" vertical="center" wrapText="1"/>
    </xf>
    <xf numFmtId="2" fontId="0" fillId="9" borderId="238" xfId="0" applyNumberFormat="1" applyFill="1" applyBorder="1" applyAlignment="1">
      <alignment horizontal="center" vertical="center"/>
    </xf>
    <xf numFmtId="10" fontId="11" fillId="9" borderId="238" xfId="7" applyNumberFormat="1" applyFont="1" applyFill="1" applyBorder="1" applyAlignment="1">
      <alignment horizontal="center" vertical="center" wrapText="1"/>
    </xf>
    <xf numFmtId="0" fontId="0" fillId="9" borderId="238" xfId="0" applyFill="1" applyBorder="1" applyAlignment="1">
      <alignment horizontal="center" vertical="center" wrapText="1"/>
    </xf>
    <xf numFmtId="169" fontId="10" fillId="0" borderId="238" xfId="5" applyNumberFormat="1" applyFont="1" applyFill="1" applyBorder="1" applyAlignment="1">
      <alignment horizontal="center" vertical="center" wrapText="1"/>
    </xf>
    <xf numFmtId="169" fontId="15" fillId="0" borderId="238" xfId="5" applyNumberFormat="1" applyFont="1" applyFill="1" applyBorder="1" applyAlignment="1">
      <alignment horizontal="center" vertical="center" wrapText="1"/>
    </xf>
    <xf numFmtId="0" fontId="0" fillId="0" borderId="0" xfId="0" applyAlignment="1">
      <alignment vertical="center"/>
    </xf>
    <xf numFmtId="0" fontId="11" fillId="0" borderId="27" xfId="0" applyFont="1" applyFill="1" applyBorder="1" applyAlignment="1">
      <alignment horizontal="left" wrapText="1" indent="1"/>
    </xf>
    <xf numFmtId="0" fontId="11" fillId="0" borderId="252" xfId="0" applyFont="1" applyFill="1" applyBorder="1" applyAlignment="1">
      <alignment horizontal="left" indent="1"/>
    </xf>
    <xf numFmtId="0" fontId="0" fillId="0" borderId="39" xfId="0" applyFill="1" applyBorder="1" applyAlignment="1">
      <alignment horizontal="left" indent="1"/>
    </xf>
    <xf numFmtId="0" fontId="11" fillId="0" borderId="252" xfId="0" applyFont="1" applyFill="1" applyBorder="1" applyAlignment="1">
      <alignment horizontal="left" wrapText="1" indent="1"/>
    </xf>
    <xf numFmtId="0" fontId="60" fillId="0" borderId="241" xfId="165" applyFont="1" applyFill="1" applyBorder="1" applyAlignment="1">
      <alignment horizontal="left" vertical="center" indent="1"/>
    </xf>
    <xf numFmtId="0" fontId="0" fillId="0" borderId="0" xfId="0" applyAlignment="1"/>
    <xf numFmtId="0" fontId="0" fillId="0" borderId="0" xfId="0" applyAlignment="1">
      <alignment vertical="center"/>
    </xf>
    <xf numFmtId="0" fontId="11" fillId="0" borderId="243" xfId="0" applyFont="1" applyBorder="1" applyAlignment="1">
      <alignment horizontal="center" vertical="center"/>
    </xf>
    <xf numFmtId="0" fontId="11" fillId="0" borderId="246" xfId="0" applyFont="1" applyBorder="1" applyAlignment="1">
      <alignment horizontal="center" vertical="center"/>
    </xf>
    <xf numFmtId="0" fontId="11" fillId="79" borderId="0" xfId="0" applyFont="1" applyFill="1" applyAlignment="1">
      <alignment vertical="center"/>
    </xf>
    <xf numFmtId="49" fontId="137" fillId="79" borderId="0" xfId="2" applyNumberFormat="1" applyFont="1" applyFill="1" applyAlignment="1">
      <alignment horizontal="left" vertical="center"/>
    </xf>
    <xf numFmtId="49" fontId="12" fillId="79" borderId="0" xfId="2" applyNumberFormat="1" applyFont="1" applyFill="1" applyAlignment="1">
      <alignment horizontal="center" vertical="center" wrapText="1"/>
    </xf>
    <xf numFmtId="49" fontId="137" fillId="79" borderId="0" xfId="2" applyNumberFormat="1" applyFont="1" applyFill="1" applyAlignment="1">
      <alignment horizontal="center" vertical="center" wrapText="1"/>
    </xf>
    <xf numFmtId="0" fontId="10" fillId="9" borderId="251" xfId="2" applyFont="1" applyFill="1" applyBorder="1" applyAlignment="1">
      <alignment horizontal="left" vertical="center" wrapText="1" indent="1"/>
    </xf>
    <xf numFmtId="0" fontId="12" fillId="0" borderId="0" xfId="0" applyFont="1" applyFill="1" applyBorder="1" applyAlignment="1">
      <alignment horizontal="left" vertical="center"/>
    </xf>
    <xf numFmtId="0" fontId="138" fillId="0" borderId="0" xfId="165" applyFont="1" applyFill="1"/>
    <xf numFmtId="0" fontId="10" fillId="9" borderId="5" xfId="0" applyFont="1" applyFill="1" applyBorder="1" applyAlignment="1">
      <alignment wrapText="1"/>
    </xf>
    <xf numFmtId="0" fontId="10" fillId="9" borderId="246" xfId="0" applyFont="1" applyFill="1" applyBorder="1" applyAlignment="1">
      <alignment wrapText="1"/>
    </xf>
    <xf numFmtId="3" fontId="0" fillId="9" borderId="246" xfId="0" applyNumberFormat="1" applyFill="1" applyBorder="1" applyAlignment="1">
      <alignment horizontal="center" vertical="center"/>
    </xf>
    <xf numFmtId="170" fontId="0" fillId="0" borderId="260" xfId="0" applyNumberFormat="1" applyFill="1" applyBorder="1"/>
    <xf numFmtId="4" fontId="0" fillId="0" borderId="260" xfId="0" applyNumberFormat="1" applyFill="1" applyBorder="1"/>
    <xf numFmtId="0" fontId="0" fillId="9" borderId="260" xfId="0" applyFill="1" applyBorder="1" applyAlignment="1"/>
    <xf numFmtId="0" fontId="0" fillId="0" borderId="260" xfId="0" applyFill="1" applyBorder="1" applyAlignment="1"/>
    <xf numFmtId="170" fontId="0" fillId="0" borderId="246" xfId="0" applyNumberFormat="1" applyFill="1" applyBorder="1"/>
    <xf numFmtId="4" fontId="0" fillId="0" borderId="246" xfId="0" applyNumberFormat="1" applyFill="1" applyBorder="1"/>
    <xf numFmtId="0" fontId="0" fillId="9" borderId="246" xfId="0" applyFill="1" applyBorder="1" applyAlignment="1"/>
    <xf numFmtId="0" fontId="0" fillId="0" borderId="246" xfId="0" applyFill="1" applyBorder="1" applyAlignment="1"/>
    <xf numFmtId="0" fontId="0" fillId="0" borderId="149" xfId="0" applyFill="1" applyBorder="1" applyAlignment="1">
      <alignment vertical="center"/>
    </xf>
    <xf numFmtId="2" fontId="14" fillId="0" borderId="161" xfId="0" applyNumberFormat="1" applyFont="1" applyFill="1" applyBorder="1" applyAlignment="1">
      <alignment vertical="center"/>
    </xf>
    <xf numFmtId="2" fontId="11" fillId="0" borderId="161" xfId="0" applyNumberFormat="1" applyFont="1" applyFill="1" applyBorder="1" applyAlignment="1">
      <alignment vertical="center"/>
    </xf>
    <xf numFmtId="14" fontId="11" fillId="0" borderId="8" xfId="0" applyNumberFormat="1" applyFont="1" applyBorder="1" applyAlignment="1">
      <alignment horizontal="center" vertical="center"/>
    </xf>
    <xf numFmtId="1" fontId="11" fillId="0" borderId="8" xfId="0" applyNumberFormat="1" applyFont="1" applyBorder="1" applyAlignment="1">
      <alignment horizontal="center" vertical="center"/>
    </xf>
    <xf numFmtId="49" fontId="11" fillId="0" borderId="8" xfId="0" applyNumberFormat="1" applyFont="1" applyBorder="1" applyAlignment="1">
      <alignment horizontal="center" vertical="center"/>
    </xf>
    <xf numFmtId="20" fontId="11" fillId="0" borderId="9" xfId="0" applyNumberFormat="1" applyFont="1" applyBorder="1" applyAlignment="1">
      <alignment vertical="center"/>
    </xf>
    <xf numFmtId="170" fontId="11" fillId="0" borderId="41" xfId="0" applyNumberFormat="1" applyFont="1" applyFill="1" applyBorder="1" applyAlignment="1">
      <alignment horizontal="center" vertical="center"/>
    </xf>
    <xf numFmtId="170" fontId="11" fillId="0" borderId="253" xfId="0" applyNumberFormat="1" applyFont="1" applyFill="1" applyBorder="1" applyAlignment="1">
      <alignment horizontal="center" vertical="center"/>
    </xf>
    <xf numFmtId="170" fontId="0" fillId="9" borderId="246" xfId="0" applyNumberFormat="1" applyFill="1" applyBorder="1" applyAlignment="1">
      <alignment horizontal="center" vertical="center"/>
    </xf>
    <xf numFmtId="44" fontId="0" fillId="0" borderId="246" xfId="0" applyNumberFormat="1" applyFill="1" applyBorder="1" applyAlignment="1">
      <alignment horizontal="center" vertical="center"/>
    </xf>
    <xf numFmtId="0" fontId="0" fillId="0" borderId="246" xfId="0" applyFill="1" applyBorder="1" applyAlignment="1">
      <alignment vertical="center"/>
    </xf>
    <xf numFmtId="3" fontId="0" fillId="0" borderId="246" xfId="0" applyNumberFormat="1" applyFill="1" applyBorder="1" applyAlignment="1">
      <alignment vertical="center"/>
    </xf>
    <xf numFmtId="0" fontId="0" fillId="0" borderId="245" xfId="0" applyFill="1" applyBorder="1" applyAlignment="1">
      <alignment vertical="center"/>
    </xf>
    <xf numFmtId="2" fontId="11" fillId="0" borderId="248" xfId="0" applyNumberFormat="1" applyFont="1" applyFill="1" applyBorder="1" applyAlignment="1">
      <alignment vertical="center"/>
    </xf>
    <xf numFmtId="0" fontId="0" fillId="0" borderId="0" xfId="0" applyAlignment="1">
      <alignment vertical="center"/>
    </xf>
    <xf numFmtId="0" fontId="10" fillId="9" borderId="238" xfId="0" applyFont="1" applyFill="1" applyBorder="1" applyAlignment="1">
      <alignment wrapText="1"/>
    </xf>
    <xf numFmtId="14" fontId="0" fillId="0" borderId="5" xfId="0" applyNumberFormat="1" applyFill="1" applyBorder="1" applyAlignment="1">
      <alignment horizontal="center" vertical="center"/>
    </xf>
    <xf numFmtId="1" fontId="0" fillId="0" borderId="5" xfId="0" applyNumberFormat="1" applyFill="1" applyBorder="1" applyAlignment="1">
      <alignment horizontal="center" vertical="center"/>
    </xf>
    <xf numFmtId="0" fontId="0" fillId="0" borderId="227" xfId="0" applyFill="1" applyBorder="1" applyAlignment="1">
      <alignment horizontal="center" vertical="center"/>
    </xf>
    <xf numFmtId="1" fontId="11" fillId="0" borderId="23" xfId="0" applyNumberFormat="1" applyFont="1" applyFill="1" applyBorder="1" applyAlignment="1">
      <alignment horizontal="center" vertical="center"/>
    </xf>
    <xf numFmtId="170" fontId="0" fillId="0" borderId="23" xfId="0" applyNumberFormat="1" applyFill="1" applyBorder="1" applyAlignment="1">
      <alignment horizontal="center" vertical="center"/>
    </xf>
    <xf numFmtId="1" fontId="11" fillId="0" borderId="6" xfId="0" applyNumberFormat="1" applyFont="1" applyFill="1" applyBorder="1" applyAlignment="1">
      <alignment horizontal="center" vertical="center"/>
    </xf>
    <xf numFmtId="0" fontId="11" fillId="0" borderId="4" xfId="9" applyFill="1" applyBorder="1" applyAlignment="1">
      <alignment horizontal="center" vertical="center"/>
    </xf>
    <xf numFmtId="0" fontId="11" fillId="0" borderId="5" xfId="9" applyFill="1" applyBorder="1" applyAlignment="1">
      <alignment horizontal="left" vertical="center" indent="1"/>
    </xf>
    <xf numFmtId="1" fontId="11" fillId="0" borderId="241" xfId="0" applyNumberFormat="1" applyFont="1" applyFill="1" applyBorder="1" applyAlignment="1">
      <alignment horizontal="center" vertical="center"/>
    </xf>
    <xf numFmtId="1" fontId="11" fillId="0" borderId="53" xfId="0" applyNumberFormat="1" applyFont="1" applyBorder="1" applyAlignment="1" applyProtection="1">
      <alignment horizontal="center"/>
      <protection locked="0"/>
    </xf>
    <xf numFmtId="204" fontId="11" fillId="0" borderId="100" xfId="3" applyNumberFormat="1" applyFont="1" applyFill="1" applyBorder="1" applyAlignment="1">
      <alignment horizontal="center"/>
    </xf>
    <xf numFmtId="49" fontId="10" fillId="9" borderId="284" xfId="0" applyNumberFormat="1" applyFont="1" applyFill="1" applyBorder="1" applyAlignment="1">
      <alignment horizontal="center"/>
    </xf>
    <xf numFmtId="1" fontId="10" fillId="0" borderId="267" xfId="0" applyNumberFormat="1" applyFont="1" applyBorder="1" applyAlignment="1" applyProtection="1">
      <alignment horizontal="center"/>
      <protection locked="0"/>
    </xf>
    <xf numFmtId="0" fontId="10" fillId="9" borderId="58" xfId="0" applyFont="1" applyFill="1" applyBorder="1" applyAlignment="1">
      <alignment horizontal="center" vertical="center" wrapText="1"/>
    </xf>
    <xf numFmtId="0" fontId="10" fillId="9" borderId="33" xfId="0" applyFont="1" applyFill="1" applyBorder="1" applyAlignment="1">
      <alignment horizontal="center" vertical="center" wrapText="1"/>
    </xf>
    <xf numFmtId="0" fontId="10" fillId="9" borderId="223" xfId="0" applyFont="1" applyFill="1" applyBorder="1" applyAlignment="1">
      <alignment horizontal="center" vertical="center" wrapText="1"/>
    </xf>
    <xf numFmtId="0" fontId="10" fillId="9" borderId="283" xfId="0" applyFont="1" applyFill="1" applyBorder="1" applyAlignment="1">
      <alignment horizontal="center" vertical="center" wrapText="1"/>
    </xf>
    <xf numFmtId="0" fontId="11" fillId="9" borderId="46" xfId="0" applyFont="1" applyFill="1" applyBorder="1" applyAlignment="1">
      <alignment horizontal="center" vertical="center" wrapText="1"/>
    </xf>
    <xf numFmtId="0" fontId="11" fillId="9" borderId="44" xfId="0" applyFont="1" applyFill="1" applyBorder="1" applyAlignment="1">
      <alignment horizontal="center" vertical="center" wrapText="1"/>
    </xf>
    <xf numFmtId="0" fontId="11" fillId="9" borderId="178" xfId="0" applyFont="1" applyFill="1" applyBorder="1" applyAlignment="1">
      <alignment horizontal="center"/>
    </xf>
    <xf numFmtId="0" fontId="11" fillId="9" borderId="184" xfId="0" applyFont="1" applyFill="1" applyBorder="1" applyAlignment="1">
      <alignment horizontal="center" vertical="center" wrapText="1"/>
    </xf>
    <xf numFmtId="0" fontId="11" fillId="9" borderId="179" xfId="0" applyFont="1" applyFill="1" applyBorder="1" applyAlignment="1">
      <alignment horizontal="center" vertical="center" wrapText="1"/>
    </xf>
    <xf numFmtId="173" fontId="0" fillId="0" borderId="270" xfId="106" applyNumberFormat="1" applyFont="1" applyFill="1" applyBorder="1" applyAlignment="1">
      <alignment horizontal="center" vertical="center"/>
    </xf>
    <xf numFmtId="173" fontId="0" fillId="0" borderId="272" xfId="106" applyNumberFormat="1" applyFont="1" applyFill="1" applyBorder="1" applyAlignment="1">
      <alignment horizontal="center" vertical="center"/>
    </xf>
    <xf numFmtId="0" fontId="11" fillId="0" borderId="137" xfId="0" applyFont="1" applyFill="1" applyBorder="1" applyAlignment="1">
      <alignment horizontal="center" vertical="center"/>
    </xf>
    <xf numFmtId="0" fontId="11" fillId="0" borderId="53" xfId="0" applyFont="1" applyFill="1" applyBorder="1" applyAlignment="1">
      <alignment horizontal="center" vertical="center"/>
    </xf>
    <xf numFmtId="0" fontId="11" fillId="0" borderId="12" xfId="0" applyFont="1" applyFill="1" applyBorder="1" applyAlignment="1">
      <alignment horizontal="left" vertical="center" indent="1"/>
    </xf>
    <xf numFmtId="166" fontId="11" fillId="0" borderId="12" xfId="0" applyNumberFormat="1" applyFont="1" applyFill="1" applyBorder="1" applyAlignment="1">
      <alignment vertical="center"/>
    </xf>
    <xf numFmtId="0" fontId="10" fillId="9" borderId="262" xfId="0" applyFont="1" applyFill="1" applyBorder="1" applyAlignment="1">
      <alignment horizontal="center" vertical="center" wrapText="1"/>
    </xf>
    <xf numFmtId="0" fontId="11" fillId="9" borderId="176" xfId="0" applyFont="1" applyFill="1" applyBorder="1" applyAlignment="1">
      <alignment horizontal="center" vertical="center" wrapText="1"/>
    </xf>
    <xf numFmtId="0" fontId="11" fillId="0" borderId="105" xfId="0" applyFont="1" applyFill="1" applyBorder="1" applyAlignment="1">
      <alignment horizontal="center" vertical="center"/>
    </xf>
    <xf numFmtId="0" fontId="11" fillId="0" borderId="241" xfId="0" applyFont="1" applyFill="1" applyBorder="1" applyAlignment="1">
      <alignment horizontal="center" vertical="center"/>
    </xf>
    <xf numFmtId="0" fontId="11" fillId="0" borderId="137" xfId="0" applyFont="1" applyFill="1" applyBorder="1" applyAlignment="1">
      <alignment horizontal="center" vertical="center" wrapText="1"/>
    </xf>
    <xf numFmtId="0" fontId="11" fillId="0" borderId="246" xfId="0" applyFont="1" applyFill="1" applyBorder="1" applyAlignment="1">
      <alignment horizontal="left" vertical="center" indent="1"/>
    </xf>
    <xf numFmtId="166" fontId="11" fillId="0" borderId="243" xfId="0" applyNumberFormat="1" applyFont="1" applyFill="1" applyBorder="1" applyAlignment="1">
      <alignment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168" fontId="11" fillId="0" borderId="5" xfId="0" applyNumberFormat="1" applyFont="1" applyFill="1" applyBorder="1" applyAlignment="1">
      <alignment horizontal="center" vertical="center"/>
    </xf>
    <xf numFmtId="168" fontId="11" fillId="0" borderId="8" xfId="0" applyNumberFormat="1" applyFont="1" applyFill="1" applyBorder="1" applyAlignment="1">
      <alignment horizontal="center" vertical="center"/>
    </xf>
    <xf numFmtId="0" fontId="11" fillId="0" borderId="36"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0" xfId="0" applyFill="1" applyAlignment="1">
      <alignment horizontal="left" indent="1"/>
    </xf>
    <xf numFmtId="0" fontId="0" fillId="0" borderId="0" xfId="0" applyAlignment="1">
      <alignment vertical="center"/>
    </xf>
    <xf numFmtId="0" fontId="15" fillId="9" borderId="180" xfId="2" applyFont="1" applyFill="1" applyBorder="1" applyAlignment="1">
      <alignment horizontal="left" vertical="center" wrapText="1"/>
    </xf>
    <xf numFmtId="0" fontId="0" fillId="9" borderId="165" xfId="0" applyFill="1" applyBorder="1" applyAlignment="1">
      <alignment vertical="center" wrapText="1"/>
    </xf>
    <xf numFmtId="0" fontId="11" fillId="0" borderId="0" xfId="0" applyFont="1" applyAlignment="1">
      <alignment vertical="top" wrapText="1"/>
    </xf>
    <xf numFmtId="0" fontId="0" fillId="0" borderId="0" xfId="0" applyAlignment="1">
      <alignment vertical="top" wrapText="1"/>
    </xf>
    <xf numFmtId="14" fontId="0" fillId="0" borderId="253" xfId="0" applyNumberFormat="1" applyBorder="1" applyAlignment="1">
      <alignment horizontal="center" vertical="center"/>
    </xf>
    <xf numFmtId="20" fontId="0" fillId="0" borderId="246" xfId="0" applyNumberFormat="1" applyBorder="1" applyAlignment="1">
      <alignment horizontal="center" vertical="center"/>
    </xf>
    <xf numFmtId="0" fontId="11" fillId="69" borderId="246" xfId="0" applyNumberFormat="1" applyFont="1" applyFill="1" applyBorder="1" applyAlignment="1">
      <alignment horizontal="center" vertical="center"/>
    </xf>
    <xf numFmtId="0" fontId="0" fillId="0" borderId="246" xfId="0" applyBorder="1" applyAlignment="1">
      <alignment horizontal="center" vertical="center"/>
    </xf>
    <xf numFmtId="170" fontId="0" fillId="0" borderId="248" xfId="0" applyNumberFormat="1" applyFill="1" applyBorder="1" applyAlignment="1">
      <alignment horizontal="center" vertical="center"/>
    </xf>
    <xf numFmtId="14" fontId="11" fillId="0" borderId="4"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xf>
    <xf numFmtId="14" fontId="11" fillId="0" borderId="245" xfId="0" applyNumberFormat="1" applyFont="1" applyFill="1" applyBorder="1" applyAlignment="1">
      <alignment horizontal="center" vertical="center"/>
    </xf>
    <xf numFmtId="49" fontId="11" fillId="0" borderId="246" xfId="0" applyNumberFormat="1" applyFont="1" applyFill="1" applyBorder="1" applyAlignment="1">
      <alignment horizontal="center" vertical="center"/>
    </xf>
    <xf numFmtId="173" fontId="0" fillId="0" borderId="22" xfId="6" applyNumberFormat="1" applyFont="1" applyFill="1" applyBorder="1" applyAlignment="1">
      <alignment horizontal="center" vertical="center"/>
    </xf>
    <xf numFmtId="49" fontId="11" fillId="0" borderId="13" xfId="0" applyNumberFormat="1" applyFont="1" applyFill="1" applyBorder="1" applyAlignment="1">
      <alignment horizontal="left" vertical="center" wrapText="1" indent="1"/>
    </xf>
    <xf numFmtId="49" fontId="11" fillId="0" borderId="4" xfId="0" applyNumberFormat="1" applyFont="1" applyFill="1" applyBorder="1" applyAlignment="1">
      <alignment horizontal="left" vertical="center" wrapText="1" indent="1"/>
    </xf>
    <xf numFmtId="0" fontId="11" fillId="0" borderId="172" xfId="0" applyFont="1" applyFill="1" applyBorder="1"/>
    <xf numFmtId="0" fontId="11" fillId="0" borderId="31" xfId="0" applyFont="1" applyFill="1" applyBorder="1"/>
    <xf numFmtId="3" fontId="0" fillId="0" borderId="245" xfId="0" applyNumberFormat="1" applyFill="1" applyBorder="1" applyAlignment="1">
      <alignment vertical="center"/>
    </xf>
    <xf numFmtId="2" fontId="0" fillId="0" borderId="248" xfId="0" applyNumberFormat="1" applyFill="1" applyBorder="1" applyAlignment="1">
      <alignment vertical="center"/>
    </xf>
    <xf numFmtId="4" fontId="0" fillId="0" borderId="245" xfId="0" applyNumberFormat="1" applyFill="1" applyBorder="1" applyAlignment="1">
      <alignment vertical="center"/>
    </xf>
    <xf numFmtId="4" fontId="0" fillId="0" borderId="246" xfId="0" applyNumberFormat="1" applyFill="1" applyBorder="1" applyAlignment="1">
      <alignment vertical="center"/>
    </xf>
    <xf numFmtId="0" fontId="11" fillId="0" borderId="37" xfId="0" applyFont="1" applyFill="1" applyBorder="1" applyAlignment="1">
      <alignment horizontal="left" vertical="center" indent="1"/>
    </xf>
    <xf numFmtId="0" fontId="11" fillId="0" borderId="150" xfId="0" applyFont="1" applyFill="1" applyBorder="1" applyAlignment="1">
      <alignment horizontal="left" vertical="center" indent="1"/>
    </xf>
    <xf numFmtId="0" fontId="11" fillId="0" borderId="4" xfId="0" applyFont="1" applyFill="1" applyBorder="1" applyAlignment="1">
      <alignment horizontal="left" vertical="center" indent="1"/>
    </xf>
    <xf numFmtId="0" fontId="11" fillId="0" borderId="23" xfId="0" applyFont="1" applyFill="1" applyBorder="1" applyAlignment="1">
      <alignment horizontal="left" vertical="center" indent="1"/>
    </xf>
    <xf numFmtId="0" fontId="11" fillId="0" borderId="245" xfId="0" applyFont="1" applyFill="1" applyBorder="1" applyAlignment="1">
      <alignment horizontal="left" vertical="center" indent="1"/>
    </xf>
    <xf numFmtId="0" fontId="11" fillId="0" borderId="250" xfId="0" applyFont="1" applyFill="1" applyBorder="1" applyAlignment="1">
      <alignment horizontal="left" vertical="center" indent="1"/>
    </xf>
    <xf numFmtId="2" fontId="60" fillId="0" borderId="172" xfId="0" applyNumberFormat="1" applyFont="1" applyFill="1" applyBorder="1" applyAlignment="1">
      <alignment horizontal="center" vertical="center"/>
    </xf>
    <xf numFmtId="0" fontId="11" fillId="0" borderId="0" xfId="0" applyFont="1" applyFill="1" applyBorder="1" applyAlignment="1">
      <alignment horizontal="left" vertical="center" wrapText="1" indent="1"/>
    </xf>
    <xf numFmtId="1" fontId="11" fillId="0" borderId="0" xfId="0" applyNumberFormat="1" applyFont="1" applyFill="1" applyBorder="1" applyAlignment="1">
      <alignment horizontal="center" vertical="center" wrapText="1"/>
    </xf>
    <xf numFmtId="2" fontId="11" fillId="0" borderId="0" xfId="0" applyNumberFormat="1" applyFont="1" applyFill="1" applyBorder="1" applyAlignment="1">
      <alignment horizontal="center" vertical="center" wrapText="1"/>
    </xf>
    <xf numFmtId="44" fontId="11" fillId="0" borderId="0" xfId="0" applyNumberFormat="1" applyFont="1" applyFill="1" applyBorder="1" applyAlignment="1">
      <alignment horizontal="center" vertical="center" wrapText="1"/>
    </xf>
    <xf numFmtId="202" fontId="11" fillId="0" borderId="181" xfId="2" applyNumberFormat="1" applyFont="1" applyFill="1" applyBorder="1" applyAlignment="1">
      <alignment horizontal="center" vertical="center" wrapText="1"/>
    </xf>
    <xf numFmtId="202" fontId="11" fillId="0" borderId="181" xfId="2" applyNumberFormat="1" applyFont="1" applyFill="1" applyBorder="1" applyAlignment="1">
      <alignment horizontal="center" vertical="center"/>
    </xf>
    <xf numFmtId="0" fontId="10" fillId="9" borderId="195" xfId="0" applyFont="1" applyFill="1" applyBorder="1" applyAlignment="1">
      <alignment horizontal="center" vertical="center" wrapText="1"/>
    </xf>
    <xf numFmtId="0" fontId="10" fillId="9" borderId="104" xfId="0" applyFont="1" applyFill="1" applyBorder="1" applyAlignment="1">
      <alignment horizontal="center" vertical="center" wrapText="1"/>
    </xf>
    <xf numFmtId="195" fontId="11" fillId="0" borderId="22" xfId="6" applyNumberFormat="1" applyFont="1" applyFill="1" applyBorder="1" applyAlignment="1">
      <alignment horizontal="center" vertical="center" wrapText="1"/>
    </xf>
    <xf numFmtId="0" fontId="10" fillId="9" borderId="238" xfId="0" applyFont="1" applyFill="1" applyBorder="1" applyAlignment="1">
      <alignment horizontal="center" vertical="center"/>
    </xf>
    <xf numFmtId="0" fontId="10" fillId="9" borderId="1" xfId="0" applyFont="1" applyFill="1" applyBorder="1" applyAlignment="1">
      <alignment horizontal="center" vertical="center"/>
    </xf>
    <xf numFmtId="0" fontId="10" fillId="9" borderId="268" xfId="0" applyFont="1" applyFill="1" applyBorder="1" applyAlignment="1">
      <alignment horizontal="center" vertical="center"/>
    </xf>
    <xf numFmtId="173" fontId="11" fillId="0" borderId="22" xfId="6" applyNumberFormat="1" applyFont="1" applyFill="1" applyBorder="1" applyAlignment="1">
      <alignment horizontal="center" vertical="center" wrapText="1"/>
    </xf>
    <xf numFmtId="0" fontId="11" fillId="0" borderId="225" xfId="0" applyFont="1" applyFill="1" applyBorder="1" applyAlignment="1">
      <alignment horizontal="left" vertical="center" indent="1"/>
    </xf>
    <xf numFmtId="0" fontId="11" fillId="0" borderId="99" xfId="0" applyFont="1" applyFill="1" applyBorder="1" applyAlignment="1">
      <alignment horizontal="left" vertical="center"/>
    </xf>
    <xf numFmtId="0" fontId="11" fillId="0" borderId="285" xfId="0" applyFont="1" applyFill="1" applyBorder="1" applyAlignment="1">
      <alignment horizontal="left" vertical="center" indent="1"/>
    </xf>
    <xf numFmtId="0" fontId="11" fillId="0" borderId="226" xfId="0" applyFont="1" applyFill="1" applyBorder="1" applyAlignment="1">
      <alignment horizontal="left" vertical="center"/>
    </xf>
    <xf numFmtId="0" fontId="11" fillId="0" borderId="98" xfId="0" applyFont="1" applyFill="1" applyBorder="1" applyAlignment="1">
      <alignment horizontal="left" vertical="center"/>
    </xf>
    <xf numFmtId="0" fontId="11" fillId="0" borderId="263" xfId="0" applyFont="1" applyFill="1" applyBorder="1" applyAlignment="1">
      <alignment horizontal="left" vertical="center"/>
    </xf>
    <xf numFmtId="0" fontId="11" fillId="0" borderId="7" xfId="0" applyFont="1" applyFill="1" applyBorder="1" applyAlignment="1">
      <alignment horizontal="left" vertical="center" indent="1"/>
    </xf>
    <xf numFmtId="170" fontId="11" fillId="0" borderId="161" xfId="0" applyNumberFormat="1" applyFont="1" applyFill="1" applyBorder="1" applyAlignment="1">
      <alignment horizontal="center" vertical="center"/>
    </xf>
    <xf numFmtId="170" fontId="11" fillId="0" borderId="245" xfId="0" applyNumberFormat="1" applyFont="1" applyFill="1" applyBorder="1" applyAlignment="1">
      <alignment horizontal="center" vertical="center"/>
    </xf>
    <xf numFmtId="169" fontId="11" fillId="9" borderId="3" xfId="2" applyNumberFormat="1" applyFont="1" applyFill="1" applyBorder="1" applyAlignment="1">
      <alignment horizontal="center" vertical="center" wrapText="1"/>
    </xf>
    <xf numFmtId="170" fontId="11" fillId="0" borderId="43" xfId="6" applyNumberFormat="1" applyFont="1" applyFill="1" applyBorder="1" applyAlignment="1">
      <alignment vertical="center"/>
    </xf>
    <xf numFmtId="170" fontId="11" fillId="0" borderId="30" xfId="6" applyNumberFormat="1" applyFont="1" applyFill="1" applyBorder="1" applyAlignment="1">
      <alignment vertical="center"/>
    </xf>
    <xf numFmtId="170" fontId="11" fillId="0" borderId="286" xfId="6" applyNumberFormat="1" applyFont="1" applyFill="1" applyBorder="1" applyAlignment="1">
      <alignment vertical="center"/>
    </xf>
    <xf numFmtId="170" fontId="11" fillId="0" borderId="245" xfId="6" applyNumberFormat="1" applyFont="1" applyFill="1" applyBorder="1" applyAlignment="1">
      <alignment vertical="center"/>
    </xf>
    <xf numFmtId="170" fontId="11" fillId="0" borderId="246" xfId="6" applyNumberFormat="1" applyFont="1" applyFill="1" applyBorder="1" applyAlignment="1">
      <alignment vertical="center"/>
    </xf>
    <xf numFmtId="170" fontId="11" fillId="0" borderId="246" xfId="0" applyNumberFormat="1" applyFont="1" applyBorder="1" applyAlignment="1">
      <alignment vertical="center"/>
    </xf>
    <xf numFmtId="170" fontId="11" fillId="0" borderId="250" xfId="0" applyNumberFormat="1" applyFont="1" applyBorder="1" applyAlignment="1">
      <alignment vertical="center"/>
    </xf>
    <xf numFmtId="170" fontId="10" fillId="0" borderId="241" xfId="0" applyNumberFormat="1" applyFont="1" applyBorder="1" applyAlignment="1">
      <alignment vertical="center"/>
    </xf>
    <xf numFmtId="170" fontId="10" fillId="0" borderId="263" xfId="0" applyNumberFormat="1" applyFont="1" applyBorder="1" applyAlignment="1">
      <alignment vertical="center"/>
    </xf>
    <xf numFmtId="170" fontId="0" fillId="0" borderId="241" xfId="0" applyNumberFormat="1" applyBorder="1" applyAlignment="1">
      <alignment vertical="center"/>
    </xf>
    <xf numFmtId="170" fontId="0" fillId="0" borderId="48" xfId="0" applyNumberFormat="1" applyFill="1" applyBorder="1" applyAlignment="1">
      <alignment horizontal="center" vertical="center"/>
    </xf>
    <xf numFmtId="170" fontId="0" fillId="0" borderId="50" xfId="0" applyNumberFormat="1" applyBorder="1" applyAlignment="1">
      <alignment horizontal="center" vertical="center"/>
    </xf>
    <xf numFmtId="170" fontId="0" fillId="0" borderId="50" xfId="0" applyNumberFormat="1" applyFill="1" applyBorder="1" applyAlignment="1">
      <alignment horizontal="center" vertical="center"/>
    </xf>
    <xf numFmtId="170" fontId="0" fillId="0" borderId="66" xfId="0" applyNumberFormat="1" applyFill="1" applyBorder="1" applyAlignment="1">
      <alignment horizontal="center" vertical="center"/>
    </xf>
    <xf numFmtId="4" fontId="0" fillId="0" borderId="50" xfId="0" applyNumberFormat="1" applyFill="1" applyBorder="1" applyAlignment="1">
      <alignment horizontal="center" vertical="center"/>
    </xf>
    <xf numFmtId="170" fontId="11" fillId="0" borderId="285" xfId="0" applyNumberFormat="1" applyFont="1" applyFill="1" applyBorder="1" applyAlignment="1">
      <alignment horizontal="center" vertical="center"/>
    </xf>
    <xf numFmtId="0" fontId="11" fillId="0" borderId="179" xfId="0" applyFont="1" applyFill="1" applyBorder="1" applyAlignment="1">
      <alignment horizontal="left" vertical="center"/>
    </xf>
    <xf numFmtId="0" fontId="11" fillId="0" borderId="15" xfId="0" applyFont="1" applyFill="1" applyBorder="1" applyAlignment="1">
      <alignment horizontal="left" vertical="center" indent="1"/>
    </xf>
    <xf numFmtId="170" fontId="16" fillId="0" borderId="246" xfId="0" applyNumberFormat="1" applyFont="1" applyFill="1" applyBorder="1" applyAlignment="1">
      <alignment horizontal="center" vertical="center"/>
    </xf>
    <xf numFmtId="49" fontId="12" fillId="0" borderId="0" xfId="0" applyNumberFormat="1" applyFont="1" applyFill="1" applyAlignment="1">
      <alignment horizontal="center"/>
    </xf>
    <xf numFmtId="0" fontId="0" fillId="0" borderId="0" xfId="0" applyAlignment="1">
      <alignment vertical="center"/>
    </xf>
    <xf numFmtId="170" fontId="0" fillId="0" borderId="11" xfId="0" applyNumberFormat="1" applyFill="1" applyBorder="1" applyAlignment="1">
      <alignment horizontal="center" vertical="center"/>
    </xf>
    <xf numFmtId="170" fontId="0" fillId="0" borderId="51" xfId="0" applyNumberFormat="1" applyFill="1" applyBorder="1" applyAlignment="1">
      <alignment horizontal="center" vertical="center"/>
    </xf>
    <xf numFmtId="174" fontId="11" fillId="0" borderId="14" xfId="3" applyNumberFormat="1" applyFont="1" applyFill="1" applyBorder="1" applyAlignment="1">
      <alignment horizontal="center" vertical="center"/>
    </xf>
    <xf numFmtId="174" fontId="11" fillId="0" borderId="161" xfId="3" applyNumberFormat="1" applyFont="1" applyFill="1" applyBorder="1" applyAlignment="1">
      <alignment horizontal="center" vertical="center"/>
    </xf>
    <xf numFmtId="174" fontId="11" fillId="0" borderId="6" xfId="3" applyNumberFormat="1" applyFont="1" applyFill="1" applyBorder="1" applyAlignment="1">
      <alignment horizontal="center" vertical="center"/>
    </xf>
    <xf numFmtId="174" fontId="11" fillId="0" borderId="50" xfId="3" applyNumberFormat="1" applyFont="1" applyFill="1" applyBorder="1" applyAlignment="1">
      <alignment horizontal="center" vertical="center"/>
    </xf>
    <xf numFmtId="169" fontId="15" fillId="0" borderId="31" xfId="5" applyNumberFormat="1" applyFont="1" applyFill="1" applyBorder="1" applyAlignment="1">
      <alignment horizontal="center" vertical="center" wrapText="1"/>
    </xf>
    <xf numFmtId="20" fontId="11" fillId="0" borderId="11" xfId="2" applyNumberFormat="1" applyFont="1" applyFill="1" applyBorder="1" applyAlignment="1">
      <alignment horizontal="left" vertical="center" wrapText="1" indent="1"/>
    </xf>
    <xf numFmtId="20" fontId="11" fillId="0" borderId="5" xfId="2" applyNumberFormat="1" applyFont="1" applyFill="1" applyBorder="1" applyAlignment="1">
      <alignment horizontal="left" vertical="center" wrapText="1" indent="1"/>
    </xf>
    <xf numFmtId="20" fontId="11" fillId="0" borderId="12" xfId="2" applyNumberFormat="1" applyFont="1" applyFill="1" applyBorder="1" applyAlignment="1">
      <alignment horizontal="left" vertical="center" wrapText="1" indent="1"/>
    </xf>
    <xf numFmtId="0" fontId="11" fillId="0" borderId="219" xfId="0" applyFont="1" applyFill="1" applyBorder="1" applyAlignment="1">
      <alignment horizontal="left" vertical="center" indent="1"/>
    </xf>
    <xf numFmtId="170" fontId="11" fillId="0" borderId="229" xfId="0" applyNumberFormat="1" applyFont="1" applyFill="1" applyBorder="1" applyAlignment="1">
      <alignment horizontal="center" vertical="center"/>
    </xf>
    <xf numFmtId="170" fontId="11" fillId="0" borderId="219" xfId="0" applyNumberFormat="1" applyFont="1" applyFill="1" applyBorder="1" applyAlignment="1">
      <alignment horizontal="center" vertical="center"/>
    </xf>
    <xf numFmtId="2" fontId="11" fillId="0" borderId="161" xfId="0" applyNumberFormat="1" applyFont="1" applyFill="1" applyBorder="1" applyAlignment="1">
      <alignment horizontal="center" vertical="center"/>
    </xf>
    <xf numFmtId="170" fontId="11" fillId="0" borderId="105" xfId="0" applyNumberFormat="1" applyFont="1" applyFill="1" applyBorder="1" applyAlignment="1">
      <alignment horizontal="center" vertical="center"/>
    </xf>
    <xf numFmtId="174" fontId="11" fillId="0" borderId="105" xfId="3" applyNumberFormat="1" applyFont="1" applyFill="1" applyBorder="1" applyAlignment="1">
      <alignment horizontal="center" vertical="center"/>
    </xf>
    <xf numFmtId="0" fontId="60" fillId="0" borderId="246" xfId="171" applyFont="1" applyBorder="1" applyAlignment="1">
      <alignment horizontal="center" vertical="center"/>
    </xf>
    <xf numFmtId="7" fontId="60" fillId="0" borderId="246" xfId="171" applyNumberFormat="1" applyFont="1" applyBorder="1" applyAlignment="1">
      <alignment horizontal="right" vertical="center" indent="1"/>
    </xf>
    <xf numFmtId="170" fontId="60" fillId="0" borderId="246" xfId="171" applyNumberFormat="1" applyFont="1" applyBorder="1" applyAlignment="1">
      <alignment horizontal="right" vertical="center"/>
    </xf>
    <xf numFmtId="44" fontId="60" fillId="0" borderId="246" xfId="171" applyNumberFormat="1" applyFont="1" applyBorder="1" applyAlignment="1">
      <alignment horizontal="right" vertical="center" indent="1"/>
    </xf>
    <xf numFmtId="44" fontId="60" fillId="10" borderId="246" xfId="171" applyNumberFormat="1" applyFont="1" applyFill="1" applyBorder="1" applyAlignment="1">
      <alignment horizontal="right" vertical="center" indent="1"/>
    </xf>
    <xf numFmtId="7" fontId="38" fillId="4" borderId="246" xfId="171" applyNumberFormat="1" applyFont="1" applyFill="1" applyBorder="1" applyAlignment="1">
      <alignment horizontal="right" vertical="center"/>
    </xf>
    <xf numFmtId="7" fontId="60" fillId="70" borderId="246" xfId="171" applyNumberFormat="1" applyFont="1" applyFill="1" applyBorder="1" applyAlignment="1">
      <alignment horizontal="right" vertical="center" indent="1"/>
    </xf>
    <xf numFmtId="170" fontId="60" fillId="70" borderId="246" xfId="171" applyNumberFormat="1" applyFont="1" applyFill="1" applyBorder="1" applyAlignment="1">
      <alignment horizontal="right" vertical="center"/>
    </xf>
    <xf numFmtId="44" fontId="60" fillId="70" borderId="246" xfId="171" applyNumberFormat="1" applyFont="1" applyFill="1" applyBorder="1" applyAlignment="1">
      <alignment horizontal="right" vertical="center" indent="1"/>
    </xf>
    <xf numFmtId="7" fontId="38" fillId="70" borderId="246" xfId="171" applyNumberFormat="1" applyFont="1" applyFill="1" applyBorder="1" applyAlignment="1">
      <alignment horizontal="right" vertical="center"/>
    </xf>
    <xf numFmtId="7" fontId="40" fillId="5" borderId="246" xfId="171" applyNumberFormat="1" applyFont="1" applyFill="1" applyBorder="1" applyAlignment="1">
      <alignment horizontal="right" vertical="center"/>
    </xf>
    <xf numFmtId="7" fontId="92" fillId="0" borderId="246" xfId="171" applyNumberFormat="1" applyFont="1" applyBorder="1" applyAlignment="1">
      <alignment horizontal="right" vertical="center" indent="1"/>
    </xf>
    <xf numFmtId="7" fontId="60" fillId="0" borderId="246" xfId="171" applyNumberFormat="1" applyFont="1" applyBorder="1" applyAlignment="1">
      <alignment horizontal="center" vertical="center"/>
    </xf>
    <xf numFmtId="7" fontId="105" fillId="0" borderId="246" xfId="171" applyNumberFormat="1" applyFont="1" applyBorder="1" applyAlignment="1">
      <alignment horizontal="center" vertical="center"/>
    </xf>
    <xf numFmtId="7" fontId="60" fillId="5" borderId="246" xfId="171" applyNumberFormat="1" applyFont="1" applyFill="1" applyBorder="1" applyAlignment="1">
      <alignment horizontal="center" vertical="center"/>
    </xf>
    <xf numFmtId="49" fontId="33" fillId="9" borderId="246" xfId="172" applyNumberFormat="1" applyFont="1" applyFill="1" applyBorder="1" applyAlignment="1">
      <alignment horizontal="center" vertical="center" wrapText="1"/>
    </xf>
    <xf numFmtId="0" fontId="40" fillId="9" borderId="246" xfId="171" applyFont="1" applyFill="1" applyBorder="1" applyAlignment="1">
      <alignment vertical="center" wrapText="1"/>
    </xf>
    <xf numFmtId="0" fontId="92" fillId="10" borderId="246" xfId="171" applyFont="1" applyFill="1" applyBorder="1" applyAlignment="1">
      <alignment horizontal="center" vertical="center"/>
    </xf>
    <xf numFmtId="175" fontId="60" fillId="0" borderId="246" xfId="171" applyNumberFormat="1" applyFont="1" applyBorder="1" applyAlignment="1">
      <alignment vertical="center"/>
    </xf>
    <xf numFmtId="170" fontId="60" fillId="67" borderId="246" xfId="171" applyNumberFormat="1" applyFont="1" applyFill="1" applyBorder="1" applyAlignment="1">
      <alignment vertical="center"/>
    </xf>
    <xf numFmtId="170" fontId="26" fillId="0" borderId="246" xfId="171" applyNumberFormat="1" applyFont="1" applyBorder="1" applyAlignment="1">
      <alignment vertical="center"/>
    </xf>
    <xf numFmtId="175" fontId="60" fillId="70" borderId="246" xfId="171" applyNumberFormat="1" applyFont="1" applyFill="1" applyBorder="1" applyAlignment="1">
      <alignment vertical="center"/>
    </xf>
    <xf numFmtId="175" fontId="11" fillId="70" borderId="246" xfId="171" applyNumberFormat="1" applyFont="1" applyFill="1" applyBorder="1" applyAlignment="1">
      <alignment vertical="center"/>
    </xf>
    <xf numFmtId="10" fontId="60" fillId="0" borderId="246" xfId="173" applyNumberFormat="1" applyFont="1" applyBorder="1" applyAlignment="1">
      <alignment vertical="center"/>
    </xf>
    <xf numFmtId="175" fontId="105" fillId="0" borderId="5" xfId="171" applyNumberFormat="1" applyFont="1" applyBorder="1" applyAlignment="1">
      <alignment horizontal="center" vertical="center"/>
    </xf>
    <xf numFmtId="0" fontId="11" fillId="0" borderId="266" xfId="0" applyFont="1" applyFill="1" applyBorder="1" applyAlignment="1">
      <alignment vertical="center" wrapText="1"/>
    </xf>
    <xf numFmtId="186" fontId="11" fillId="0" borderId="243" xfId="6" applyNumberFormat="1" applyFont="1" applyFill="1" applyBorder="1" applyAlignment="1">
      <alignment horizontal="center" vertical="center"/>
    </xf>
    <xf numFmtId="10" fontId="11" fillId="0" borderId="243" xfId="7" applyNumberFormat="1" applyFont="1" applyFill="1" applyBorder="1" applyAlignment="1">
      <alignment horizontal="center" vertical="center"/>
    </xf>
    <xf numFmtId="10" fontId="11" fillId="0" borderId="244" xfId="7" applyNumberFormat="1" applyFont="1" applyFill="1" applyBorder="1" applyAlignment="1">
      <alignment horizontal="center" vertical="center"/>
    </xf>
    <xf numFmtId="7" fontId="11" fillId="0" borderId="249" xfId="0" applyNumberFormat="1" applyFont="1" applyBorder="1" applyAlignment="1">
      <alignment vertical="center"/>
    </xf>
    <xf numFmtId="10" fontId="11" fillId="0" borderId="250" xfId="7" applyNumberFormat="1" applyFont="1" applyFill="1" applyBorder="1" applyAlignment="1">
      <alignment horizontal="center" vertical="center"/>
    </xf>
    <xf numFmtId="7" fontId="11" fillId="0" borderId="248" xfId="0" applyNumberFormat="1" applyFont="1" applyFill="1" applyBorder="1" applyAlignment="1">
      <alignment vertical="center"/>
    </xf>
    <xf numFmtId="9" fontId="15" fillId="9" borderId="169" xfId="2" applyNumberFormat="1" applyFont="1" applyFill="1" applyBorder="1" applyAlignment="1">
      <alignment horizontal="center" vertical="center" wrapText="1"/>
    </xf>
    <xf numFmtId="169" fontId="0" fillId="0" borderId="238" xfId="0" applyNumberFormat="1" applyFill="1" applyBorder="1" applyAlignment="1">
      <alignment horizontal="center" vertical="center"/>
    </xf>
    <xf numFmtId="0" fontId="0" fillId="0" borderId="246" xfId="0" applyBorder="1" applyAlignment="1">
      <alignment vertical="center"/>
    </xf>
    <xf numFmtId="9" fontId="10" fillId="9" borderId="238" xfId="0" applyNumberFormat="1" applyFont="1" applyFill="1" applyBorder="1" applyAlignment="1">
      <alignment horizontal="center" vertical="center" wrapText="1"/>
    </xf>
    <xf numFmtId="169" fontId="15" fillId="0" borderId="242" xfId="5" applyNumberFormat="1" applyFont="1" applyFill="1" applyBorder="1" applyAlignment="1">
      <alignment horizontal="center" vertical="center" wrapText="1"/>
    </xf>
    <xf numFmtId="1" fontId="15" fillId="0" borderId="247" xfId="2" applyNumberFormat="1" applyFont="1" applyFill="1" applyBorder="1" applyAlignment="1">
      <alignment horizontal="center" vertical="center" wrapText="1"/>
    </xf>
    <xf numFmtId="1" fontId="15" fillId="0" borderId="248" xfId="2" applyNumberFormat="1" applyFont="1" applyFill="1" applyBorder="1" applyAlignment="1">
      <alignment horizontal="center" vertical="center" wrapText="1"/>
    </xf>
    <xf numFmtId="1" fontId="15" fillId="0" borderId="249" xfId="2" applyNumberFormat="1" applyFont="1" applyFill="1" applyBorder="1" applyAlignment="1">
      <alignment horizontal="center" vertical="center" wrapText="1"/>
    </xf>
    <xf numFmtId="0" fontId="60" fillId="0" borderId="242" xfId="57" applyFont="1" applyBorder="1" applyAlignment="1">
      <alignment horizontal="center"/>
    </xf>
    <xf numFmtId="0" fontId="92" fillId="9" borderId="238" xfId="57" applyFont="1" applyFill="1" applyBorder="1" applyAlignment="1">
      <alignment horizontal="center"/>
    </xf>
    <xf numFmtId="0" fontId="81" fillId="0" borderId="0" xfId="57" applyFont="1" applyFill="1"/>
    <xf numFmtId="174" fontId="11" fillId="9" borderId="27" xfId="2" applyNumberFormat="1" applyFont="1" applyFill="1" applyBorder="1" applyAlignment="1">
      <alignment horizontal="center" vertical="center" wrapText="1"/>
    </xf>
    <xf numFmtId="174" fontId="11" fillId="9" borderId="31" xfId="2" applyNumberFormat="1" applyFont="1" applyFill="1" applyBorder="1" applyAlignment="1">
      <alignment horizontal="center" vertical="center" wrapText="1"/>
    </xf>
    <xf numFmtId="1" fontId="11" fillId="0" borderId="31" xfId="2" applyNumberFormat="1" applyFont="1" applyFill="1" applyBorder="1" applyAlignment="1">
      <alignment horizontal="center" vertical="center" wrapText="1"/>
    </xf>
    <xf numFmtId="1" fontId="11" fillId="0" borderId="53" xfId="2" applyNumberFormat="1" applyFont="1" applyFill="1" applyBorder="1" applyAlignment="1">
      <alignment horizontal="center" vertical="center" wrapText="1"/>
    </xf>
    <xf numFmtId="1" fontId="11" fillId="0" borderId="151" xfId="2" applyNumberFormat="1" applyFont="1" applyFill="1" applyBorder="1" applyAlignment="1">
      <alignment horizontal="center" vertical="center" wrapText="1"/>
    </xf>
    <xf numFmtId="1" fontId="10" fillId="0" borderId="224" xfId="2" applyNumberFormat="1" applyFont="1" applyFill="1" applyBorder="1" applyAlignment="1">
      <alignment horizontal="center" vertical="center" wrapText="1"/>
    </xf>
    <xf numFmtId="195" fontId="11" fillId="0" borderId="237" xfId="2" applyNumberFormat="1" applyFont="1" applyFill="1" applyBorder="1" applyAlignment="1">
      <alignment horizontal="center" vertical="center" wrapText="1"/>
    </xf>
    <xf numFmtId="195" fontId="11" fillId="0" borderId="52" xfId="2" applyNumberFormat="1" applyFont="1" applyFill="1" applyBorder="1" applyAlignment="1">
      <alignment horizontal="center" vertical="center" wrapText="1"/>
    </xf>
    <xf numFmtId="174" fontId="11" fillId="9" borderId="136" xfId="2" applyNumberFormat="1" applyFont="1" applyFill="1" applyBorder="1" applyAlignment="1">
      <alignment horizontal="center" vertical="center" wrapText="1"/>
    </xf>
    <xf numFmtId="174" fontId="11" fillId="9" borderId="105" xfId="2" applyNumberFormat="1" applyFont="1" applyFill="1" applyBorder="1" applyAlignment="1">
      <alignment horizontal="center" vertical="center" wrapText="1"/>
    </xf>
    <xf numFmtId="0" fontId="92" fillId="9" borderId="251" xfId="2" applyFont="1" applyFill="1" applyBorder="1" applyAlignment="1">
      <alignment horizontal="center" vertical="center" wrapText="1"/>
    </xf>
    <xf numFmtId="0" fontId="92" fillId="9" borderId="238" xfId="2" applyFont="1" applyFill="1" applyBorder="1" applyAlignment="1">
      <alignment horizontal="center" vertical="center" wrapText="1"/>
    </xf>
    <xf numFmtId="0" fontId="11" fillId="0" borderId="13" xfId="2" applyFont="1" applyFill="1" applyBorder="1" applyAlignment="1">
      <alignment horizontal="left" vertical="center" wrapText="1" indent="1"/>
    </xf>
    <xf numFmtId="0" fontId="11" fillId="0" borderId="42" xfId="2" applyFont="1" applyFill="1" applyBorder="1" applyAlignment="1">
      <alignment horizontal="left" vertical="center" wrapText="1" indent="1"/>
    </xf>
    <xf numFmtId="1" fontId="11" fillId="0" borderId="97" xfId="2" applyNumberFormat="1" applyFont="1" applyFill="1" applyBorder="1" applyAlignment="1">
      <alignment horizontal="center" vertical="center" wrapText="1"/>
    </xf>
    <xf numFmtId="9" fontId="11" fillId="9" borderId="31" xfId="2" applyNumberFormat="1" applyFont="1" applyFill="1" applyBorder="1" applyAlignment="1">
      <alignment vertical="center" wrapText="1"/>
    </xf>
    <xf numFmtId="44" fontId="10" fillId="0" borderId="222" xfId="9" applyNumberFormat="1" applyFont="1" applyFill="1" applyBorder="1" applyAlignment="1">
      <alignment vertical="center"/>
    </xf>
    <xf numFmtId="169" fontId="10" fillId="0" borderId="169" xfId="2" applyNumberFormat="1" applyFont="1" applyFill="1" applyBorder="1" applyAlignment="1">
      <alignment vertical="center" wrapText="1"/>
    </xf>
    <xf numFmtId="44" fontId="7" fillId="9" borderId="53" xfId="62" applyFont="1" applyFill="1" applyBorder="1" applyAlignment="1">
      <alignment vertical="center"/>
    </xf>
    <xf numFmtId="1" fontId="10" fillId="12" borderId="31" xfId="9" applyNumberFormat="1" applyFont="1" applyFill="1" applyBorder="1" applyAlignment="1">
      <alignment horizontal="center" vertical="center"/>
    </xf>
    <xf numFmtId="0" fontId="11" fillId="0" borderId="245" xfId="0" applyFont="1" applyFill="1" applyBorder="1" applyAlignment="1">
      <alignment horizontal="center" vertical="center"/>
    </xf>
    <xf numFmtId="0" fontId="11" fillId="0" borderId="15" xfId="0" applyFont="1" applyFill="1" applyBorder="1" applyAlignment="1">
      <alignment horizontal="center" vertical="center"/>
    </xf>
    <xf numFmtId="0" fontId="14" fillId="2" borderId="230" xfId="0" applyFont="1" applyFill="1" applyBorder="1" applyAlignment="1">
      <alignment horizontal="left" vertical="center" indent="1"/>
    </xf>
    <xf numFmtId="0" fontId="11" fillId="0" borderId="261" xfId="0" applyFont="1" applyFill="1" applyBorder="1" applyAlignment="1">
      <alignment vertical="center" wrapText="1"/>
    </xf>
    <xf numFmtId="0" fontId="11" fillId="0" borderId="254" xfId="0" applyFont="1" applyFill="1" applyBorder="1" applyAlignment="1">
      <alignment vertical="center" wrapText="1"/>
    </xf>
    <xf numFmtId="0" fontId="11" fillId="0" borderId="28" xfId="0" applyFont="1" applyFill="1" applyBorder="1" applyAlignment="1">
      <alignment vertical="center" wrapText="1"/>
    </xf>
    <xf numFmtId="0" fontId="11" fillId="9" borderId="20" xfId="0" applyFont="1" applyFill="1" applyBorder="1" applyAlignment="1">
      <alignment vertical="center" wrapText="1"/>
    </xf>
    <xf numFmtId="0" fontId="10" fillId="2" borderId="287" xfId="0" applyFont="1" applyFill="1" applyBorder="1" applyAlignment="1">
      <alignment horizontal="left" vertical="center" wrapText="1" indent="1"/>
    </xf>
    <xf numFmtId="0" fontId="11" fillId="0" borderId="288" xfId="0" applyFont="1" applyFill="1" applyBorder="1" applyAlignment="1">
      <alignment vertical="center" wrapText="1"/>
    </xf>
    <xf numFmtId="0" fontId="11" fillId="0" borderId="245" xfId="0" applyFont="1" applyFill="1" applyBorder="1" applyAlignment="1">
      <alignment vertical="center" wrapText="1"/>
    </xf>
    <xf numFmtId="0" fontId="11" fillId="0" borderId="15" xfId="0" applyFont="1" applyFill="1" applyBorder="1" applyAlignment="1">
      <alignment vertical="center" wrapText="1"/>
    </xf>
    <xf numFmtId="0" fontId="11" fillId="9" borderId="7" xfId="0" applyFont="1" applyFill="1" applyBorder="1" applyAlignment="1">
      <alignment vertical="center" wrapText="1"/>
    </xf>
    <xf numFmtId="10" fontId="10" fillId="9" borderId="19" xfId="7" applyNumberFormat="1" applyFont="1" applyFill="1" applyBorder="1" applyAlignment="1">
      <alignment horizontal="center" vertical="center"/>
    </xf>
    <xf numFmtId="0" fontId="10" fillId="9" borderId="22" xfId="0" applyFont="1" applyFill="1" applyBorder="1" applyAlignment="1">
      <alignment horizontal="center" vertical="center" wrapText="1"/>
    </xf>
    <xf numFmtId="174" fontId="11" fillId="0" borderId="0" xfId="0" applyNumberFormat="1" applyFont="1" applyFill="1" applyBorder="1" applyAlignment="1">
      <alignment horizontal="right" vertical="center" indent="1"/>
    </xf>
    <xf numFmtId="174" fontId="0" fillId="0" borderId="0" xfId="0" applyNumberFormat="1" applyBorder="1" applyAlignment="1">
      <alignment vertical="center"/>
    </xf>
    <xf numFmtId="174" fontId="0" fillId="0" borderId="0" xfId="0" applyNumberFormat="1" applyFill="1" applyBorder="1" applyAlignment="1">
      <alignment vertical="center"/>
    </xf>
    <xf numFmtId="14" fontId="0" fillId="0" borderId="39" xfId="0" applyNumberFormat="1" applyFill="1" applyBorder="1" applyAlignment="1">
      <alignment horizontal="left" indent="1"/>
    </xf>
    <xf numFmtId="0" fontId="0" fillId="0" borderId="33" xfId="0" applyFill="1" applyBorder="1" applyAlignment="1">
      <alignment horizontal="left" indent="1"/>
    </xf>
    <xf numFmtId="8" fontId="0" fillId="0" borderId="36" xfId="3" applyNumberFormat="1" applyFont="1" applyFill="1" applyBorder="1"/>
    <xf numFmtId="14" fontId="0" fillId="0" borderId="27" xfId="0" applyNumberFormat="1" applyFill="1" applyBorder="1" applyAlignment="1">
      <alignment horizontal="left" indent="1"/>
    </xf>
    <xf numFmtId="0" fontId="0" fillId="0" borderId="5" xfId="0" applyFill="1" applyBorder="1" applyAlignment="1">
      <alignment horizontal="left" indent="1"/>
    </xf>
    <xf numFmtId="8" fontId="0" fillId="0" borderId="5" xfId="3" applyNumberFormat="1" applyFont="1" applyFill="1" applyBorder="1"/>
    <xf numFmtId="0" fontId="14" fillId="0" borderId="0" xfId="0" applyFont="1" applyFill="1"/>
    <xf numFmtId="0" fontId="11" fillId="0" borderId="0" xfId="0" applyFont="1" applyFill="1" applyAlignment="1">
      <alignment vertical="top" wrapText="1"/>
    </xf>
    <xf numFmtId="0" fontId="43" fillId="0" borderId="0" xfId="195" applyFont="1" applyFill="1" applyAlignment="1">
      <alignment horizontal="right"/>
    </xf>
    <xf numFmtId="170" fontId="43" fillId="5" borderId="290" xfId="195" applyNumberFormat="1" applyFont="1" applyFill="1" applyBorder="1"/>
    <xf numFmtId="4" fontId="38" fillId="9" borderId="290" xfId="195" applyNumberFormat="1" applyFont="1" applyFill="1" applyBorder="1" applyAlignment="1">
      <alignment horizontal="center" vertical="center"/>
    </xf>
    <xf numFmtId="4" fontId="81" fillId="9" borderId="290" xfId="195" applyNumberFormat="1" applyFont="1" applyFill="1" applyBorder="1"/>
    <xf numFmtId="4" fontId="38" fillId="9" borderId="246" xfId="195" applyNumberFormat="1" applyFont="1" applyFill="1" applyBorder="1" applyAlignment="1">
      <alignment horizontal="center" vertical="center"/>
    </xf>
    <xf numFmtId="4" fontId="81" fillId="9" borderId="246" xfId="195" applyNumberFormat="1" applyFont="1" applyFill="1" applyBorder="1"/>
    <xf numFmtId="4" fontId="81" fillId="9" borderId="8" xfId="195" applyNumberFormat="1" applyFont="1" applyFill="1" applyBorder="1"/>
    <xf numFmtId="9" fontId="81" fillId="0" borderId="290" xfId="195" applyNumberFormat="1" applyFont="1" applyBorder="1" applyAlignment="1">
      <alignment horizontal="center" vertical="center"/>
    </xf>
    <xf numFmtId="4" fontId="81" fillId="9" borderId="293" xfId="195" applyNumberFormat="1" applyFont="1" applyFill="1" applyBorder="1"/>
    <xf numFmtId="9" fontId="81" fillId="0" borderId="246" xfId="195" applyNumberFormat="1" applyFont="1" applyBorder="1" applyAlignment="1">
      <alignment horizontal="center" vertical="center"/>
    </xf>
    <xf numFmtId="4" fontId="81" fillId="9" borderId="248" xfId="195" applyNumberFormat="1" applyFont="1" applyFill="1" applyBorder="1"/>
    <xf numFmtId="9" fontId="81" fillId="0" borderId="8" xfId="195" applyNumberFormat="1" applyFont="1" applyBorder="1" applyAlignment="1">
      <alignment horizontal="center" vertical="center"/>
    </xf>
    <xf numFmtId="4" fontId="81" fillId="9" borderId="9" xfId="195" applyNumberFormat="1" applyFont="1" applyFill="1" applyBorder="1"/>
    <xf numFmtId="170" fontId="81" fillId="5" borderId="293" xfId="195" applyNumberFormat="1" applyFont="1" applyFill="1" applyBorder="1"/>
    <xf numFmtId="170" fontId="43" fillId="5" borderId="246" xfId="195" applyNumberFormat="1" applyFont="1" applyFill="1" applyBorder="1"/>
    <xf numFmtId="170" fontId="81" fillId="5" borderId="248" xfId="195" applyNumberFormat="1" applyFont="1" applyFill="1" applyBorder="1"/>
    <xf numFmtId="170" fontId="43" fillId="5" borderId="8" xfId="195" applyNumberFormat="1" applyFont="1" applyFill="1" applyBorder="1"/>
    <xf numFmtId="170" fontId="81" fillId="5" borderId="9" xfId="195" applyNumberFormat="1" applyFont="1" applyFill="1" applyBorder="1"/>
    <xf numFmtId="0" fontId="67" fillId="0" borderId="288" xfId="195" applyFont="1" applyFill="1" applyBorder="1" applyAlignment="1">
      <alignment wrapText="1"/>
    </xf>
    <xf numFmtId="0" fontId="67" fillId="0" borderId="245" xfId="195" applyFont="1" applyFill="1" applyBorder="1" applyAlignment="1">
      <alignment wrapText="1"/>
    </xf>
    <xf numFmtId="2" fontId="60" fillId="0" borderId="5" xfId="195" applyNumberFormat="1" applyFont="1" applyFill="1" applyBorder="1"/>
    <xf numFmtId="170" fontId="60" fillId="70" borderId="246" xfId="171" applyNumberFormat="1" applyFont="1" applyFill="1" applyBorder="1" applyAlignment="1">
      <alignment vertical="center"/>
    </xf>
    <xf numFmtId="170" fontId="11" fillId="70" borderId="246" xfId="171" applyNumberFormat="1" applyFont="1" applyFill="1" applyBorder="1" applyAlignment="1">
      <alignment vertical="center"/>
    </xf>
    <xf numFmtId="170" fontId="60" fillId="0" borderId="246" xfId="171" applyNumberFormat="1" applyFont="1" applyBorder="1" applyAlignment="1">
      <alignment vertical="center"/>
    </xf>
    <xf numFmtId="170" fontId="121" fillId="0" borderId="246" xfId="171" applyNumberFormat="1" applyFont="1" applyBorder="1" applyAlignment="1">
      <alignment vertical="center"/>
    </xf>
    <xf numFmtId="7" fontId="60" fillId="78" borderId="246" xfId="171" applyNumberFormat="1" applyFont="1" applyFill="1" applyBorder="1" applyAlignment="1" applyProtection="1">
      <alignment horizontal="center" vertical="center"/>
      <protection locked="0"/>
    </xf>
    <xf numFmtId="44" fontId="60" fillId="0" borderId="246" xfId="172" applyFont="1" applyFill="1" applyBorder="1" applyAlignment="1">
      <alignment vertical="center"/>
    </xf>
    <xf numFmtId="44" fontId="60" fillId="0" borderId="246" xfId="175" applyFont="1" applyFill="1" applyBorder="1" applyAlignment="1">
      <alignment vertical="center"/>
    </xf>
    <xf numFmtId="44" fontId="121" fillId="0" borderId="246" xfId="172" applyFont="1" applyFill="1" applyBorder="1" applyAlignment="1">
      <alignment vertical="center"/>
    </xf>
    <xf numFmtId="169" fontId="60" fillId="67" borderId="246" xfId="171" applyNumberFormat="1" applyFont="1" applyFill="1" applyBorder="1" applyAlignment="1">
      <alignment vertical="center"/>
    </xf>
    <xf numFmtId="44" fontId="60" fillId="67" borderId="246" xfId="172" applyFont="1" applyFill="1" applyBorder="1" applyAlignment="1">
      <alignment vertical="center"/>
    </xf>
    <xf numFmtId="44" fontId="121" fillId="0" borderId="246" xfId="175" applyFont="1" applyFill="1" applyBorder="1" applyAlignment="1">
      <alignment vertical="center"/>
    </xf>
    <xf numFmtId="170" fontId="105" fillId="70" borderId="5" xfId="171" applyNumberFormat="1" applyFont="1" applyFill="1" applyBorder="1" applyAlignment="1">
      <alignment vertical="center"/>
    </xf>
    <xf numFmtId="201" fontId="11" fillId="0" borderId="40" xfId="164" applyNumberFormat="1" applyFont="1" applyFill="1" applyBorder="1" applyAlignment="1">
      <alignment vertical="center"/>
    </xf>
    <xf numFmtId="201" fontId="81" fillId="0" borderId="40" xfId="165" applyNumberFormat="1" applyFont="1" applyFill="1" applyBorder="1" applyAlignment="1">
      <alignment vertical="center"/>
    </xf>
    <xf numFmtId="201" fontId="11" fillId="0" borderId="31" xfId="164" applyNumberFormat="1" applyFont="1" applyFill="1" applyBorder="1" applyAlignment="1">
      <alignment vertical="center"/>
    </xf>
    <xf numFmtId="201" fontId="81" fillId="0" borderId="31" xfId="165" applyNumberFormat="1" applyFont="1" applyFill="1" applyBorder="1" applyAlignment="1">
      <alignment vertical="center"/>
    </xf>
    <xf numFmtId="0" fontId="81" fillId="0" borderId="31" xfId="165" applyFont="1" applyFill="1" applyBorder="1"/>
    <xf numFmtId="0" fontId="81" fillId="0" borderId="31" xfId="165" applyFont="1" applyFill="1" applyBorder="1" applyAlignment="1">
      <alignment vertical="center"/>
    </xf>
    <xf numFmtId="0" fontId="81" fillId="0" borderId="100" xfId="165" applyFont="1" applyFill="1" applyBorder="1"/>
    <xf numFmtId="0" fontId="81" fillId="0" borderId="100" xfId="165" applyFont="1" applyFill="1" applyBorder="1" applyAlignment="1">
      <alignment vertical="center"/>
    </xf>
    <xf numFmtId="0" fontId="92" fillId="72" borderId="296" xfId="171" applyFont="1" applyFill="1" applyBorder="1" applyAlignment="1">
      <alignment horizontal="center" vertical="top" wrapText="1"/>
    </xf>
    <xf numFmtId="0" fontId="123" fillId="67" borderId="291" xfId="171" applyFont="1" applyFill="1" applyBorder="1" applyAlignment="1">
      <alignment horizontal="center" vertical="top" wrapText="1"/>
    </xf>
    <xf numFmtId="0" fontId="92" fillId="67" borderId="297" xfId="171" applyFont="1" applyFill="1" applyBorder="1" applyAlignment="1">
      <alignment horizontal="center" wrapText="1"/>
    </xf>
    <xf numFmtId="0" fontId="105" fillId="0" borderId="5" xfId="174" applyFont="1" applyBorder="1" applyAlignment="1">
      <alignment horizontal="center"/>
    </xf>
    <xf numFmtId="174" fontId="11" fillId="0" borderId="176" xfId="0" applyNumberFormat="1" applyFont="1" applyFill="1" applyBorder="1" applyAlignment="1">
      <alignment horizontal="right" vertical="center" indent="1"/>
    </xf>
    <xf numFmtId="174" fontId="0" fillId="0" borderId="292" xfId="0" applyNumberFormat="1" applyBorder="1" applyAlignment="1">
      <alignment vertical="center"/>
    </xf>
    <xf numFmtId="174" fontId="0" fillId="0" borderId="292" xfId="0" applyNumberFormat="1" applyFill="1" applyBorder="1" applyAlignment="1">
      <alignment vertical="center"/>
    </xf>
    <xf numFmtId="0" fontId="10" fillId="9" borderId="292" xfId="0" applyFont="1" applyFill="1" applyBorder="1" applyAlignment="1">
      <alignment vertical="center"/>
    </xf>
    <xf numFmtId="0" fontId="0" fillId="0" borderId="289" xfId="0" applyBorder="1"/>
    <xf numFmtId="0" fontId="0" fillId="9" borderId="292" xfId="0" applyFill="1" applyBorder="1"/>
    <xf numFmtId="0" fontId="10" fillId="9" borderId="298" xfId="0" applyFont="1" applyFill="1" applyBorder="1" applyAlignment="1">
      <alignment horizontal="center" vertical="center" wrapText="1"/>
    </xf>
    <xf numFmtId="207" fontId="11" fillId="0" borderId="0" xfId="0" applyNumberFormat="1" applyFont="1" applyFill="1" applyBorder="1" applyAlignment="1">
      <alignment horizontal="right" vertical="center"/>
    </xf>
    <xf numFmtId="0" fontId="10" fillId="9" borderId="216" xfId="0" applyFont="1" applyFill="1" applyBorder="1" applyAlignment="1">
      <alignment horizontal="center" vertical="center" wrapText="1"/>
    </xf>
    <xf numFmtId="0" fontId="0" fillId="0" borderId="66" xfId="0" applyBorder="1" applyAlignment="1">
      <alignment vertical="center"/>
    </xf>
    <xf numFmtId="8" fontId="0" fillId="0" borderId="161" xfId="3" applyNumberFormat="1" applyFont="1" applyBorder="1"/>
    <xf numFmtId="0" fontId="0" fillId="0" borderId="293" xfId="0" applyBorder="1"/>
    <xf numFmtId="0" fontId="0" fillId="0" borderId="301" xfId="0" applyBorder="1"/>
    <xf numFmtId="0" fontId="0" fillId="0" borderId="282" xfId="0" applyBorder="1"/>
    <xf numFmtId="0" fontId="0" fillId="0" borderId="300" xfId="0" applyBorder="1"/>
    <xf numFmtId="0" fontId="0" fillId="9" borderId="287" xfId="0" applyFill="1" applyBorder="1" applyAlignment="1">
      <alignment vertical="center"/>
    </xf>
    <xf numFmtId="0" fontId="0" fillId="9" borderId="303" xfId="0" applyFill="1" applyBorder="1" applyAlignment="1">
      <alignment vertical="center"/>
    </xf>
    <xf numFmtId="0" fontId="10" fillId="9" borderId="292" xfId="0" applyFont="1" applyFill="1" applyBorder="1" applyAlignment="1">
      <alignment horizontal="center" vertical="center" wrapText="1"/>
    </xf>
    <xf numFmtId="0" fontId="10" fillId="9" borderId="299" xfId="0" applyFont="1" applyFill="1" applyBorder="1" applyAlignment="1">
      <alignment vertical="center"/>
    </xf>
    <xf numFmtId="0" fontId="0" fillId="9" borderId="287" xfId="0" applyFill="1" applyBorder="1"/>
    <xf numFmtId="0" fontId="10" fillId="9" borderId="299" xfId="0" applyFont="1" applyFill="1" applyBorder="1" applyAlignment="1">
      <alignment horizontal="center" vertical="center"/>
    </xf>
    <xf numFmtId="0" fontId="0" fillId="9" borderId="299" xfId="0" applyFill="1" applyBorder="1"/>
    <xf numFmtId="0" fontId="10" fillId="9" borderId="287" xfId="0" applyFont="1" applyFill="1" applyBorder="1" applyAlignment="1">
      <alignment vertical="center"/>
    </xf>
    <xf numFmtId="0" fontId="10" fillId="9" borderId="287" xfId="0" applyFont="1" applyFill="1" applyBorder="1" applyAlignment="1">
      <alignment horizontal="center" vertical="center"/>
    </xf>
    <xf numFmtId="0" fontId="10" fillId="9" borderId="303" xfId="0" applyFont="1" applyFill="1" applyBorder="1" applyAlignment="1">
      <alignment vertical="center"/>
    </xf>
    <xf numFmtId="0" fontId="10" fillId="9" borderId="303" xfId="0" applyFont="1" applyFill="1" applyBorder="1" applyAlignment="1">
      <alignment horizontal="center" vertical="center"/>
    </xf>
    <xf numFmtId="0" fontId="0" fillId="9" borderId="303" xfId="0" applyFill="1" applyBorder="1"/>
    <xf numFmtId="0" fontId="14" fillId="9" borderId="3" xfId="0" applyFont="1" applyFill="1" applyBorder="1" applyAlignment="1">
      <alignment horizontal="left" vertical="center" wrapText="1" indent="1"/>
    </xf>
    <xf numFmtId="0" fontId="11" fillId="0" borderId="36" xfId="0" applyFont="1" applyFill="1" applyBorder="1" applyAlignment="1">
      <alignment horizontal="left" vertical="center" wrapText="1" indent="1"/>
    </xf>
    <xf numFmtId="0" fontId="11" fillId="0" borderId="36" xfId="0" applyFont="1" applyFill="1" applyBorder="1" applyAlignment="1">
      <alignment horizontal="center" vertical="center" wrapText="1"/>
    </xf>
    <xf numFmtId="0" fontId="11" fillId="0" borderId="47" xfId="0" applyFont="1" applyFill="1" applyBorder="1" applyAlignment="1">
      <alignment horizontal="left" vertical="center" wrapText="1" indent="1"/>
    </xf>
    <xf numFmtId="0" fontId="11" fillId="0" borderId="5" xfId="0" applyFont="1" applyFill="1" applyBorder="1" applyAlignment="1">
      <alignment horizontal="left" vertical="center" wrapText="1" indent="1"/>
    </xf>
    <xf numFmtId="0" fontId="11" fillId="0" borderId="5" xfId="0" applyFont="1" applyFill="1" applyBorder="1" applyAlignment="1">
      <alignment horizontal="center" vertical="center" wrapText="1"/>
    </xf>
    <xf numFmtId="0" fontId="11" fillId="0" borderId="6" xfId="0" applyFont="1" applyFill="1" applyBorder="1" applyAlignment="1">
      <alignment horizontal="left" vertical="center" wrapText="1" indent="1"/>
    </xf>
    <xf numFmtId="0" fontId="0" fillId="0" borderId="0" xfId="0" applyFill="1" applyBorder="1" applyAlignment="1">
      <alignment horizontal="left"/>
    </xf>
    <xf numFmtId="0" fontId="11" fillId="0" borderId="137" xfId="0" applyFont="1" applyFill="1" applyBorder="1"/>
    <xf numFmtId="0" fontId="0" fillId="0" borderId="137" xfId="0" applyFill="1" applyBorder="1" applyAlignment="1">
      <alignment vertical="center"/>
    </xf>
    <xf numFmtId="0" fontId="0" fillId="0" borderId="137" xfId="0" applyFill="1" applyBorder="1" applyAlignment="1">
      <alignment horizontal="left"/>
    </xf>
    <xf numFmtId="20" fontId="0" fillId="0" borderId="36" xfId="0" applyNumberFormat="1" applyFill="1" applyBorder="1" applyAlignment="1">
      <alignment horizontal="center" vertical="center"/>
    </xf>
    <xf numFmtId="20" fontId="0" fillId="0" borderId="47" xfId="0" applyNumberFormat="1" applyFill="1" applyBorder="1" applyAlignment="1">
      <alignment horizontal="center" vertical="center"/>
    </xf>
    <xf numFmtId="0" fontId="0" fillId="0" borderId="54" xfId="0" applyFill="1" applyBorder="1" applyAlignment="1">
      <alignment horizontal="center" vertical="center" wrapText="1"/>
    </xf>
    <xf numFmtId="0" fontId="0" fillId="0" borderId="36" xfId="0" applyFill="1" applyBorder="1" applyAlignment="1">
      <alignment horizontal="center" vertical="center"/>
    </xf>
    <xf numFmtId="0" fontId="0" fillId="0" borderId="36" xfId="0" applyFill="1" applyBorder="1" applyAlignment="1">
      <alignment horizontal="center" vertical="center" wrapText="1"/>
    </xf>
    <xf numFmtId="0" fontId="0" fillId="0" borderId="47" xfId="0" applyFill="1" applyBorder="1" applyAlignment="1">
      <alignment horizontal="center" vertical="center"/>
    </xf>
    <xf numFmtId="0" fontId="11" fillId="0" borderId="173" xfId="0" applyFont="1" applyFill="1" applyBorder="1" applyAlignment="1">
      <alignment horizontal="center" vertical="center" wrapText="1"/>
    </xf>
    <xf numFmtId="0" fontId="11" fillId="0" borderId="174" xfId="0" applyFont="1" applyFill="1" applyBorder="1" applyAlignment="1">
      <alignment horizontal="center" vertical="center" wrapText="1"/>
    </xf>
    <xf numFmtId="0" fontId="11" fillId="0" borderId="149" xfId="0" applyFont="1" applyFill="1" applyBorder="1" applyAlignment="1">
      <alignment horizontal="center" vertical="center"/>
    </xf>
    <xf numFmtId="0" fontId="0" fillId="0" borderId="161" xfId="0" applyFill="1" applyBorder="1" applyAlignment="1">
      <alignment horizontal="center" vertical="center"/>
    </xf>
    <xf numFmtId="20" fontId="0" fillId="0" borderId="149" xfId="0" applyNumberFormat="1" applyFill="1" applyBorder="1" applyAlignment="1">
      <alignment horizontal="center" vertical="center"/>
    </xf>
    <xf numFmtId="20" fontId="0" fillId="0" borderId="161" xfId="0" applyNumberFormat="1" applyFill="1" applyBorder="1" applyAlignment="1">
      <alignment horizontal="center" vertical="center"/>
    </xf>
    <xf numFmtId="0" fontId="0" fillId="0" borderId="138" xfId="0" applyFill="1" applyBorder="1" applyAlignment="1">
      <alignment horizontal="center" vertical="center" wrapText="1"/>
    </xf>
    <xf numFmtId="0" fontId="0" fillId="0" borderId="149" xfId="0" applyFill="1" applyBorder="1" applyAlignment="1">
      <alignment horizontal="center" vertical="center"/>
    </xf>
    <xf numFmtId="0" fontId="0" fillId="0" borderId="149" xfId="0"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49" xfId="0" applyFont="1" applyFill="1" applyBorder="1" applyAlignment="1">
      <alignment horizontal="center" vertical="center" wrapText="1"/>
    </xf>
    <xf numFmtId="20" fontId="0" fillId="0" borderId="5" xfId="0" applyNumberFormat="1" applyFill="1" applyBorder="1" applyAlignment="1">
      <alignment horizontal="center" vertical="center"/>
    </xf>
    <xf numFmtId="20" fontId="0" fillId="0" borderId="6" xfId="0" applyNumberFormat="1" applyFill="1" applyBorder="1" applyAlignment="1">
      <alignment horizontal="center" vertical="center"/>
    </xf>
    <xf numFmtId="0" fontId="0" fillId="0" borderId="41" xfId="0" applyFill="1" applyBorder="1" applyAlignment="1">
      <alignment horizontal="center" vertical="center" wrapText="1"/>
    </xf>
    <xf numFmtId="0" fontId="0" fillId="0" borderId="5" xfId="0" applyFill="1" applyBorder="1" applyAlignment="1">
      <alignment horizontal="center" vertical="center"/>
    </xf>
    <xf numFmtId="0" fontId="0" fillId="0" borderId="5" xfId="0" applyFill="1" applyBorder="1" applyAlignment="1">
      <alignment horizontal="center" vertical="center" wrapText="1"/>
    </xf>
    <xf numFmtId="0" fontId="0" fillId="0" borderId="6" xfId="0" applyFill="1" applyBorder="1" applyAlignment="1">
      <alignment horizontal="center" vertical="center"/>
    </xf>
    <xf numFmtId="0" fontId="11" fillId="0" borderId="4"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9"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11" fillId="0" borderId="0" xfId="0" applyFont="1" applyAlignment="1">
      <alignment vertical="top" wrapText="1"/>
    </xf>
    <xf numFmtId="0" fontId="11" fillId="0" borderId="19" xfId="0" applyFont="1" applyFill="1" applyBorder="1" applyAlignment="1">
      <alignment horizontal="left" vertical="center" indent="1"/>
    </xf>
    <xf numFmtId="3" fontId="0" fillId="0" borderId="7" xfId="0" applyNumberFormat="1" applyFill="1" applyBorder="1" applyAlignment="1">
      <alignment vertical="center"/>
    </xf>
    <xf numFmtId="2" fontId="0" fillId="0" borderId="9" xfId="0" applyNumberFormat="1" applyFill="1" applyBorder="1" applyAlignment="1">
      <alignment vertical="center"/>
    </xf>
    <xf numFmtId="4" fontId="0" fillId="0" borderId="7" xfId="0" applyNumberFormat="1" applyFill="1" applyBorder="1" applyAlignment="1">
      <alignment vertical="center"/>
    </xf>
    <xf numFmtId="4" fontId="0" fillId="0" borderId="8" xfId="0" applyNumberFormat="1" applyFill="1" applyBorder="1" applyAlignment="1">
      <alignment vertical="center"/>
    </xf>
    <xf numFmtId="0" fontId="16" fillId="0" borderId="61" xfId="0" applyFont="1" applyBorder="1" applyAlignment="1">
      <alignment vertical="center" wrapText="1"/>
    </xf>
    <xf numFmtId="0" fontId="16" fillId="12" borderId="84" xfId="0" applyFont="1" applyFill="1" applyBorder="1" applyAlignment="1">
      <alignment vertical="center" wrapText="1"/>
    </xf>
    <xf numFmtId="0" fontId="11" fillId="0" borderId="4" xfId="0" applyFont="1" applyFill="1" applyBorder="1" applyAlignment="1">
      <alignment vertical="center" wrapText="1"/>
    </xf>
    <xf numFmtId="0" fontId="11" fillId="0" borderId="150" xfId="0" applyFont="1" applyFill="1" applyBorder="1" applyAlignment="1">
      <alignment horizontal="center" vertical="center"/>
    </xf>
    <xf numFmtId="2" fontId="11" fillId="0" borderId="249" xfId="0" applyNumberFormat="1" applyFont="1" applyFill="1" applyBorder="1" applyAlignment="1">
      <alignment vertical="center"/>
    </xf>
    <xf numFmtId="2" fontId="14" fillId="2" borderId="299" xfId="0" applyNumberFormat="1" applyFont="1" applyFill="1" applyBorder="1" applyAlignment="1">
      <alignment vertical="center"/>
    </xf>
    <xf numFmtId="0" fontId="11" fillId="0" borderId="40" xfId="0" applyFont="1" applyFill="1" applyBorder="1" applyAlignment="1">
      <alignment horizontal="left" vertical="center" indent="1"/>
    </xf>
    <xf numFmtId="0" fontId="11" fillId="0" borderId="105" xfId="0" applyFont="1" applyFill="1" applyBorder="1" applyAlignment="1">
      <alignment horizontal="left" vertical="center" indent="1"/>
    </xf>
    <xf numFmtId="0" fontId="11" fillId="0" borderId="31" xfId="0" applyFont="1" applyFill="1" applyBorder="1" applyAlignment="1">
      <alignment horizontal="left" vertical="center" indent="1"/>
    </xf>
    <xf numFmtId="0" fontId="11" fillId="0" borderId="241" xfId="0" applyFont="1" applyFill="1" applyBorder="1" applyAlignment="1">
      <alignment horizontal="left" vertical="center" indent="1"/>
    </xf>
    <xf numFmtId="0" fontId="11" fillId="0" borderId="100" xfId="0" applyFont="1" applyFill="1" applyBorder="1" applyAlignment="1">
      <alignment horizontal="left" vertical="center" indent="1"/>
    </xf>
    <xf numFmtId="8" fontId="11" fillId="0" borderId="36" xfId="3" applyNumberFormat="1" applyFont="1" applyFill="1" applyBorder="1"/>
    <xf numFmtId="8" fontId="11" fillId="0" borderId="5" xfId="3" applyNumberFormat="1" applyFont="1" applyFill="1" applyBorder="1"/>
    <xf numFmtId="0" fontId="16" fillId="12" borderId="67" xfId="0" applyFont="1" applyFill="1" applyBorder="1" applyAlignment="1">
      <alignment vertical="center" wrapText="1"/>
    </xf>
    <xf numFmtId="0" fontId="11" fillId="0" borderId="67" xfId="0" applyFont="1" applyFill="1" applyBorder="1" applyAlignment="1">
      <alignment vertical="center" wrapText="1"/>
    </xf>
    <xf numFmtId="0" fontId="18" fillId="0" borderId="78" xfId="0" applyFont="1" applyFill="1" applyBorder="1" applyAlignment="1">
      <alignment vertical="center" wrapText="1"/>
    </xf>
    <xf numFmtId="0" fontId="16" fillId="12" borderId="0" xfId="0" applyFont="1" applyFill="1" applyBorder="1" applyAlignment="1">
      <alignment vertical="center" wrapText="1"/>
    </xf>
    <xf numFmtId="0" fontId="0" fillId="0" borderId="253" xfId="0" applyFill="1" applyBorder="1" applyAlignment="1">
      <alignment vertical="center"/>
    </xf>
    <xf numFmtId="3" fontId="0" fillId="0" borderId="250" xfId="0" applyNumberFormat="1" applyFill="1" applyBorder="1" applyAlignment="1">
      <alignment vertical="center"/>
    </xf>
    <xf numFmtId="3" fontId="14" fillId="0" borderId="241" xfId="0" applyNumberFormat="1" applyFont="1" applyFill="1" applyBorder="1" applyAlignment="1">
      <alignment vertical="center"/>
    </xf>
    <xf numFmtId="3" fontId="14" fillId="0" borderId="252" xfId="0" applyNumberFormat="1" applyFont="1" applyFill="1" applyBorder="1" applyAlignment="1">
      <alignment vertical="center"/>
    </xf>
    <xf numFmtId="0" fontId="11" fillId="0" borderId="241" xfId="0" applyFont="1" applyFill="1" applyBorder="1" applyAlignment="1">
      <alignment vertical="center"/>
    </xf>
    <xf numFmtId="0" fontId="0" fillId="0" borderId="241" xfId="0" applyBorder="1"/>
    <xf numFmtId="0" fontId="0" fillId="0" borderId="241" xfId="0" applyFill="1" applyBorder="1"/>
    <xf numFmtId="170" fontId="11" fillId="0" borderId="149" xfId="6" applyNumberFormat="1" applyFont="1" applyFill="1" applyBorder="1" applyAlignment="1">
      <alignment horizontal="center" vertical="center"/>
    </xf>
    <xf numFmtId="170" fontId="11" fillId="0" borderId="246" xfId="0" applyNumberFormat="1" applyFont="1" applyFill="1" applyBorder="1" applyAlignment="1">
      <alignment vertical="center"/>
    </xf>
    <xf numFmtId="170" fontId="11" fillId="0" borderId="250" xfId="0" applyNumberFormat="1" applyFont="1" applyFill="1" applyBorder="1" applyAlignment="1">
      <alignment vertical="center"/>
    </xf>
    <xf numFmtId="170" fontId="10" fillId="0" borderId="241" xfId="0" applyNumberFormat="1" applyFont="1" applyFill="1" applyBorder="1" applyAlignment="1">
      <alignment vertical="center"/>
    </xf>
    <xf numFmtId="170" fontId="10" fillId="0" borderId="263" xfId="0" applyNumberFormat="1" applyFont="1" applyFill="1" applyBorder="1" applyAlignment="1">
      <alignment vertical="center"/>
    </xf>
    <xf numFmtId="170" fontId="0" fillId="0" borderId="241" xfId="0" applyNumberFormat="1" applyFill="1" applyBorder="1" applyAlignment="1">
      <alignment vertical="center"/>
    </xf>
    <xf numFmtId="10" fontId="15" fillId="9" borderId="229" xfId="2" applyNumberFormat="1" applyFont="1" applyFill="1" applyBorder="1" applyAlignment="1">
      <alignment horizontal="center" vertical="center" wrapText="1"/>
    </xf>
    <xf numFmtId="10" fontId="26" fillId="9" borderId="229" xfId="2" applyNumberFormat="1" applyFont="1" applyFill="1" applyBorder="1" applyAlignment="1">
      <alignment horizontal="center" vertical="center" wrapText="1"/>
    </xf>
    <xf numFmtId="0" fontId="94" fillId="0" borderId="0" xfId="171" applyFont="1" applyBorder="1"/>
    <xf numFmtId="0" fontId="60" fillId="0" borderId="0" xfId="171" applyFont="1" applyBorder="1"/>
    <xf numFmtId="0" fontId="100" fillId="0" borderId="0" xfId="171" applyFont="1" applyBorder="1" applyAlignment="1">
      <alignment vertical="center"/>
    </xf>
    <xf numFmtId="0" fontId="101" fillId="0" borderId="0" xfId="171" applyFont="1" applyBorder="1" applyAlignment="1">
      <alignment horizontal="right"/>
    </xf>
    <xf numFmtId="0" fontId="26" fillId="0" borderId="0" xfId="171" applyFont="1" applyBorder="1" applyAlignment="1">
      <alignment horizontal="right"/>
    </xf>
    <xf numFmtId="49" fontId="103" fillId="0" borderId="243" xfId="172" applyNumberFormat="1" applyFont="1" applyFill="1" applyBorder="1" applyAlignment="1" applyProtection="1">
      <alignment horizontal="center" vertical="center"/>
      <protection locked="0"/>
    </xf>
    <xf numFmtId="49" fontId="10" fillId="10" borderId="243" xfId="172" applyNumberFormat="1" applyFont="1" applyFill="1" applyBorder="1" applyAlignment="1">
      <alignment horizontal="center" vertical="center"/>
    </xf>
    <xf numFmtId="49" fontId="103" fillId="10" borderId="243" xfId="172" applyNumberFormat="1" applyFont="1" applyFill="1" applyBorder="1" applyAlignment="1" applyProtection="1">
      <alignment horizontal="center" vertical="center"/>
      <protection locked="0"/>
    </xf>
    <xf numFmtId="0" fontId="60" fillId="0" borderId="0" xfId="171" applyFont="1" applyBorder="1" applyAlignment="1">
      <alignment vertical="center"/>
    </xf>
    <xf numFmtId="0" fontId="60" fillId="0" borderId="246" xfId="171" applyFont="1" applyBorder="1" applyAlignment="1">
      <alignment vertical="center"/>
    </xf>
    <xf numFmtId="0" fontId="104" fillId="0" borderId="246" xfId="171" applyFont="1" applyBorder="1" applyAlignment="1">
      <alignment vertical="center"/>
    </xf>
    <xf numFmtId="0" fontId="105" fillId="0" borderId="246" xfId="171" applyFont="1" applyBorder="1" applyAlignment="1">
      <alignment horizontal="center" vertical="center"/>
    </xf>
    <xf numFmtId="0" fontId="105" fillId="10" borderId="246" xfId="171" applyFont="1" applyFill="1" applyBorder="1" applyAlignment="1">
      <alignment horizontal="center" vertical="center"/>
    </xf>
    <xf numFmtId="0" fontId="60" fillId="10" borderId="246" xfId="171" applyFont="1" applyFill="1" applyBorder="1" applyAlignment="1">
      <alignment vertical="center"/>
    </xf>
    <xf numFmtId="0" fontId="105" fillId="4" borderId="246" xfId="171" applyFont="1" applyFill="1" applyBorder="1" applyAlignment="1">
      <alignment horizontal="center" vertical="center"/>
    </xf>
    <xf numFmtId="0" fontId="38" fillId="4" borderId="246" xfId="171" applyFont="1" applyFill="1" applyBorder="1" applyAlignment="1">
      <alignment vertical="center"/>
    </xf>
    <xf numFmtId="0" fontId="104" fillId="70" borderId="246" xfId="171" applyFont="1" applyFill="1" applyBorder="1" applyAlignment="1">
      <alignment vertical="center"/>
    </xf>
    <xf numFmtId="0" fontId="60" fillId="70" borderId="246" xfId="171" applyFont="1" applyFill="1" applyBorder="1" applyAlignment="1">
      <alignment vertical="center"/>
    </xf>
    <xf numFmtId="0" fontId="105" fillId="70" borderId="246" xfId="171" applyFont="1" applyFill="1" applyBorder="1" applyAlignment="1">
      <alignment horizontal="center" vertical="center"/>
    </xf>
    <xf numFmtId="0" fontId="38" fillId="70" borderId="246" xfId="171" applyFont="1" applyFill="1" applyBorder="1" applyAlignment="1">
      <alignment vertical="center"/>
    </xf>
    <xf numFmtId="0" fontId="92" fillId="0" borderId="246" xfId="171" applyFont="1" applyBorder="1" applyAlignment="1">
      <alignment horizontal="center" vertical="center"/>
    </xf>
    <xf numFmtId="0" fontId="92" fillId="0" borderId="246" xfId="171" applyFont="1" applyBorder="1" applyAlignment="1">
      <alignment vertical="center"/>
    </xf>
    <xf numFmtId="0" fontId="105" fillId="5" borderId="246" xfId="171" applyFont="1" applyFill="1" applyBorder="1" applyAlignment="1">
      <alignment horizontal="center" vertical="center"/>
    </xf>
    <xf numFmtId="0" fontId="40" fillId="5" borderId="246" xfId="171" applyFont="1" applyFill="1" applyBorder="1" applyAlignment="1">
      <alignment vertical="center"/>
    </xf>
    <xf numFmtId="7" fontId="60" fillId="0" borderId="0" xfId="171" applyNumberFormat="1" applyFont="1" applyBorder="1"/>
    <xf numFmtId="0" fontId="92" fillId="0" borderId="246" xfId="171" applyFont="1" applyBorder="1" applyAlignment="1">
      <alignment horizontal="left" vertical="center"/>
    </xf>
    <xf numFmtId="0" fontId="60" fillId="0" borderId="246" xfId="171" applyFont="1" applyBorder="1" applyAlignment="1">
      <alignment horizontal="left" vertical="center"/>
    </xf>
    <xf numFmtId="0" fontId="92" fillId="0" borderId="243" xfId="171" applyFont="1" applyBorder="1" applyAlignment="1">
      <alignment horizontal="center" vertical="center"/>
    </xf>
    <xf numFmtId="7" fontId="92" fillId="5" borderId="246" xfId="172" applyNumberFormat="1" applyFont="1" applyFill="1" applyBorder="1" applyAlignment="1">
      <alignment horizontal="right" vertical="center"/>
    </xf>
    <xf numFmtId="0" fontId="92" fillId="0" borderId="243" xfId="171" applyFont="1" applyBorder="1" applyAlignment="1">
      <alignment horizontal="left" vertical="center"/>
    </xf>
    <xf numFmtId="0" fontId="60" fillId="0" borderId="246" xfId="171" applyFont="1" applyBorder="1" applyAlignment="1">
      <alignment vertical="center" wrapText="1"/>
    </xf>
    <xf numFmtId="0" fontId="92" fillId="0" borderId="250" xfId="171" applyFont="1" applyBorder="1" applyAlignment="1">
      <alignment vertical="center"/>
    </xf>
    <xf numFmtId="0" fontId="60" fillId="0" borderId="254" xfId="171" applyFont="1" applyBorder="1" applyAlignment="1">
      <alignment vertical="center"/>
    </xf>
    <xf numFmtId="0" fontId="10" fillId="0" borderId="0" xfId="0" applyFont="1" applyBorder="1"/>
    <xf numFmtId="0" fontId="11" fillId="0" borderId="0" xfId="0" applyFont="1" applyBorder="1"/>
    <xf numFmtId="0" fontId="92" fillId="72" borderId="149" xfId="171" applyFont="1" applyFill="1" applyBorder="1" applyAlignment="1">
      <alignment horizontal="center" vertical="top" wrapText="1"/>
    </xf>
    <xf numFmtId="0" fontId="92" fillId="72" borderId="291" xfId="171" applyFont="1" applyFill="1" applyBorder="1" applyAlignment="1">
      <alignment horizontal="center" vertical="top" wrapText="1"/>
    </xf>
    <xf numFmtId="169" fontId="11" fillId="9" borderId="3" xfId="2" applyNumberFormat="1" applyFont="1" applyFill="1" applyBorder="1" applyAlignment="1">
      <alignment horizontal="right" vertical="center" wrapText="1" indent="2"/>
    </xf>
    <xf numFmtId="170" fontId="92" fillId="5" borderId="287" xfId="171" applyNumberFormat="1" applyFont="1" applyFill="1" applyBorder="1" applyAlignment="1">
      <alignment horizontal="center" vertical="center"/>
    </xf>
    <xf numFmtId="170" fontId="92" fillId="5" borderId="303" xfId="171" applyNumberFormat="1" applyFont="1" applyFill="1" applyBorder="1" applyAlignment="1">
      <alignment horizontal="center" vertical="center"/>
    </xf>
    <xf numFmtId="169" fontId="92" fillId="5" borderId="303" xfId="171" applyNumberFormat="1" applyFont="1" applyFill="1" applyBorder="1" applyAlignment="1">
      <alignment horizontal="center" vertical="center"/>
    </xf>
    <xf numFmtId="169" fontId="92" fillId="5" borderId="299" xfId="171" applyNumberFormat="1" applyFont="1" applyFill="1" applyBorder="1" applyAlignment="1">
      <alignment horizontal="center" vertical="center"/>
    </xf>
    <xf numFmtId="170" fontId="60" fillId="0" borderId="5" xfId="171" applyNumberFormat="1" applyFont="1" applyFill="1" applyBorder="1" applyAlignment="1">
      <alignment horizontal="center"/>
    </xf>
    <xf numFmtId="0" fontId="92" fillId="72" borderId="285" xfId="171" applyFont="1" applyFill="1" applyBorder="1" applyAlignment="1">
      <alignment horizontal="center" vertical="top" wrapText="1"/>
    </xf>
    <xf numFmtId="0" fontId="92" fillId="72" borderId="138" xfId="171" applyFont="1" applyFill="1" applyBorder="1" applyAlignment="1">
      <alignment horizontal="center" vertical="top" wrapText="1"/>
    </xf>
    <xf numFmtId="0" fontId="92" fillId="72" borderId="150" xfId="171" applyFont="1" applyFill="1" applyBorder="1" applyAlignment="1">
      <alignment horizontal="center" vertical="top" wrapText="1"/>
    </xf>
    <xf numFmtId="0" fontId="60" fillId="0" borderId="0" xfId="171" applyFont="1" applyFill="1" applyAlignment="1">
      <alignment horizontal="center"/>
    </xf>
    <xf numFmtId="0" fontId="92" fillId="0" borderId="0" xfId="171" applyFont="1" applyFill="1" applyAlignment="1">
      <alignment horizontal="center"/>
    </xf>
    <xf numFmtId="0" fontId="92" fillId="0" borderId="0" xfId="171" applyFont="1" applyFill="1" applyAlignment="1">
      <alignment horizontal="right"/>
    </xf>
    <xf numFmtId="170" fontId="60" fillId="0" borderId="0" xfId="171" applyNumberFormat="1" applyFont="1" applyFill="1" applyAlignment="1">
      <alignment horizontal="center"/>
    </xf>
    <xf numFmtId="170" fontId="105" fillId="0" borderId="0" xfId="171" applyNumberFormat="1" applyFont="1" applyFill="1" applyAlignment="1">
      <alignment horizontal="center"/>
    </xf>
    <xf numFmtId="0" fontId="60" fillId="0" borderId="5" xfId="174" applyFont="1" applyFill="1" applyBorder="1" applyAlignment="1">
      <alignment horizontal="center"/>
    </xf>
    <xf numFmtId="14" fontId="60" fillId="0" borderId="5" xfId="174" applyNumberFormat="1" applyFont="1" applyFill="1" applyBorder="1" applyAlignment="1">
      <alignment horizontal="center"/>
    </xf>
    <xf numFmtId="14" fontId="11" fillId="0" borderId="5" xfId="174" applyNumberFormat="1" applyFont="1" applyFill="1" applyBorder="1" applyAlignment="1">
      <alignment horizontal="center"/>
    </xf>
    <xf numFmtId="170" fontId="92" fillId="5" borderId="2" xfId="171" applyNumberFormat="1" applyFont="1" applyFill="1" applyBorder="1" applyAlignment="1">
      <alignment horizontal="center" vertical="center"/>
    </xf>
    <xf numFmtId="170" fontId="92" fillId="5" borderId="10" xfId="171" applyNumberFormat="1" applyFont="1" applyFill="1" applyBorder="1" applyAlignment="1">
      <alignment horizontal="center" vertical="center"/>
    </xf>
    <xf numFmtId="169" fontId="92" fillId="5" borderId="10" xfId="171" applyNumberFormat="1" applyFont="1" applyFill="1" applyBorder="1" applyAlignment="1">
      <alignment horizontal="center" vertical="center"/>
    </xf>
    <xf numFmtId="0" fontId="11" fillId="0" borderId="246" xfId="0" applyFont="1" applyFill="1" applyBorder="1" applyAlignment="1">
      <alignment vertical="center" wrapText="1"/>
    </xf>
    <xf numFmtId="0" fontId="10" fillId="9" borderId="260" xfId="0" applyFont="1" applyFill="1" applyBorder="1"/>
    <xf numFmtId="0" fontId="10" fillId="9" borderId="246" xfId="0" applyFont="1" applyFill="1" applyBorder="1"/>
    <xf numFmtId="0" fontId="11" fillId="0" borderId="5" xfId="0" applyFont="1" applyFill="1" applyBorder="1"/>
    <xf numFmtId="0" fontId="0" fillId="0" borderId="5" xfId="0" applyFill="1" applyBorder="1"/>
    <xf numFmtId="44" fontId="142" fillId="0" borderId="0" xfId="171" applyNumberFormat="1" applyFont="1" applyAlignment="1">
      <alignment horizontal="center" vertical="center"/>
    </xf>
    <xf numFmtId="170" fontId="141" fillId="0" borderId="0" xfId="171" applyNumberFormat="1" applyFont="1" applyAlignment="1">
      <alignment horizontal="center"/>
    </xf>
    <xf numFmtId="185" fontId="140" fillId="0" borderId="0" xfId="173" applyNumberFormat="1" applyFont="1" applyFill="1" applyAlignment="1">
      <alignment horizontal="center"/>
    </xf>
    <xf numFmtId="0" fontId="141" fillId="0" borderId="0" xfId="171" applyFont="1" applyAlignment="1">
      <alignment horizontal="center"/>
    </xf>
    <xf numFmtId="169" fontId="141" fillId="0" borderId="0" xfId="171" applyNumberFormat="1" applyFont="1" applyAlignment="1">
      <alignment horizontal="center"/>
    </xf>
    <xf numFmtId="8" fontId="141" fillId="0" borderId="0" xfId="171" applyNumberFormat="1" applyFont="1" applyAlignment="1">
      <alignment horizontal="center"/>
    </xf>
    <xf numFmtId="0" fontId="60" fillId="4" borderId="5" xfId="174" applyFont="1" applyFill="1" applyBorder="1" applyAlignment="1">
      <alignment horizontal="center"/>
    </xf>
    <xf numFmtId="14" fontId="60" fillId="4" borderId="5" xfId="174" applyNumberFormat="1" applyFont="1" applyFill="1" applyBorder="1" applyAlignment="1">
      <alignment horizontal="center"/>
    </xf>
    <xf numFmtId="170" fontId="60" fillId="4" borderId="5" xfId="171" applyNumberFormat="1" applyFont="1" applyFill="1" applyBorder="1" applyAlignment="1">
      <alignment horizontal="center"/>
    </xf>
    <xf numFmtId="44" fontId="135" fillId="0" borderId="6" xfId="172" applyFont="1" applyFill="1" applyBorder="1" applyAlignment="1">
      <alignment horizontal="center" vertical="center"/>
    </xf>
    <xf numFmtId="169" fontId="135" fillId="0" borderId="5" xfId="171" applyNumberFormat="1" applyFont="1" applyBorder="1" applyAlignment="1">
      <alignment horizontal="center"/>
    </xf>
    <xf numFmtId="169" fontId="135" fillId="0" borderId="246" xfId="171" applyNumberFormat="1" applyFont="1" applyBorder="1" applyAlignment="1">
      <alignment horizontal="center"/>
    </xf>
    <xf numFmtId="169" fontId="135" fillId="0" borderId="5" xfId="171" applyNumberFormat="1" applyFont="1" applyFill="1" applyBorder="1" applyAlignment="1">
      <alignment horizontal="center"/>
    </xf>
    <xf numFmtId="169" fontId="135" fillId="0" borderId="250" xfId="171" applyNumberFormat="1" applyFont="1" applyBorder="1" applyAlignment="1">
      <alignment horizontal="center"/>
    </xf>
    <xf numFmtId="169" fontId="135" fillId="4" borderId="5" xfId="171" applyNumberFormat="1" applyFont="1" applyFill="1" applyBorder="1" applyAlignment="1">
      <alignment horizontal="center"/>
    </xf>
    <xf numFmtId="169" fontId="135" fillId="4" borderId="250" xfId="171" applyNumberFormat="1" applyFont="1" applyFill="1" applyBorder="1" applyAlignment="1">
      <alignment horizontal="center"/>
    </xf>
    <xf numFmtId="170" fontId="26" fillId="0" borderId="0" xfId="171" applyNumberFormat="1" applyFont="1" applyBorder="1" applyAlignment="1">
      <alignment vertical="center"/>
    </xf>
    <xf numFmtId="170" fontId="92" fillId="5" borderId="292" xfId="171" applyNumberFormat="1" applyFont="1" applyFill="1" applyBorder="1" applyAlignment="1">
      <alignment horizontal="center" vertical="center"/>
    </xf>
    <xf numFmtId="169" fontId="92" fillId="5" borderId="292" xfId="171" applyNumberFormat="1" applyFont="1" applyFill="1" applyBorder="1" applyAlignment="1">
      <alignment horizontal="center" vertical="center"/>
    </xf>
    <xf numFmtId="201" fontId="135" fillId="0" borderId="31" xfId="164" applyNumberFormat="1" applyFont="1" applyFill="1" applyBorder="1" applyAlignment="1">
      <alignment vertical="center"/>
    </xf>
    <xf numFmtId="201" fontId="144" fillId="0" borderId="31" xfId="165" applyNumberFormat="1" applyFont="1" applyFill="1" applyBorder="1" applyAlignment="1">
      <alignment vertical="center"/>
    </xf>
    <xf numFmtId="170" fontId="60" fillId="0" borderId="0" xfId="171" applyNumberFormat="1" applyFont="1" applyBorder="1"/>
    <xf numFmtId="44" fontId="60" fillId="0" borderId="0" xfId="171" applyNumberFormat="1" applyFont="1" applyBorder="1"/>
    <xf numFmtId="44" fontId="0" fillId="0" borderId="246" xfId="0" applyNumberFormat="1" applyBorder="1" applyAlignment="1">
      <alignment horizontal="center" vertical="center"/>
    </xf>
    <xf numFmtId="0" fontId="92" fillId="10" borderId="12" xfId="171" applyFont="1" applyFill="1" applyBorder="1" applyAlignment="1">
      <alignment horizontal="center" vertical="top" wrapText="1"/>
    </xf>
    <xf numFmtId="49" fontId="10" fillId="9" borderId="224" xfId="0" applyNumberFormat="1" applyFont="1" applyFill="1" applyBorder="1" applyAlignment="1">
      <alignment horizontal="center" wrapText="1"/>
    </xf>
    <xf numFmtId="0" fontId="0" fillId="9" borderId="176" xfId="0" applyFill="1" applyBorder="1" applyAlignment="1">
      <alignment horizontal="center" wrapText="1"/>
    </xf>
    <xf numFmtId="49" fontId="10" fillId="9" borderId="262" xfId="0" applyNumberFormat="1" applyFont="1" applyFill="1" applyBorder="1" applyAlignment="1">
      <alignment horizontal="center" wrapText="1"/>
    </xf>
    <xf numFmtId="0" fontId="0" fillId="0" borderId="0" xfId="0" applyAlignment="1"/>
    <xf numFmtId="0" fontId="0" fillId="0" borderId="0" xfId="0" applyAlignment="1">
      <alignment vertical="center"/>
    </xf>
    <xf numFmtId="201" fontId="60" fillId="0" borderId="40" xfId="164" applyFont="1" applyFill="1" applyBorder="1" applyAlignment="1">
      <alignment vertical="center"/>
    </xf>
    <xf numFmtId="201" fontId="11" fillId="0" borderId="40" xfId="164" applyFont="1" applyFill="1" applyBorder="1" applyAlignment="1">
      <alignment vertical="center"/>
    </xf>
    <xf numFmtId="201" fontId="135" fillId="0" borderId="31" xfId="164" applyFont="1" applyFill="1" applyBorder="1" applyAlignment="1">
      <alignment vertical="center"/>
    </xf>
    <xf numFmtId="201" fontId="60" fillId="0" borderId="31" xfId="164" applyFont="1" applyFill="1" applyBorder="1" applyAlignment="1">
      <alignment vertical="center"/>
    </xf>
    <xf numFmtId="201" fontId="11" fillId="0" borderId="31" xfId="164" applyFont="1" applyFill="1" applyBorder="1" applyAlignment="1">
      <alignment vertical="center"/>
    </xf>
    <xf numFmtId="201" fontId="60" fillId="0" borderId="241" xfId="164" applyFont="1" applyFill="1" applyBorder="1" applyAlignment="1">
      <alignment vertical="center"/>
    </xf>
    <xf numFmtId="201" fontId="11" fillId="0" borderId="241" xfId="164" applyFont="1" applyFill="1" applyBorder="1" applyAlignment="1">
      <alignment vertical="center"/>
    </xf>
    <xf numFmtId="201" fontId="11" fillId="0" borderId="31" xfId="164" applyFont="1" applyFill="1" applyBorder="1"/>
    <xf numFmtId="201" fontId="11" fillId="0" borderId="100" xfId="164" applyFont="1" applyFill="1" applyBorder="1"/>
    <xf numFmtId="0" fontId="60" fillId="0" borderId="0" xfId="165" applyFont="1" applyFill="1"/>
    <xf numFmtId="44" fontId="60" fillId="0" borderId="246" xfId="171" applyNumberFormat="1" applyFont="1" applyFill="1" applyBorder="1" applyAlignment="1">
      <alignment horizontal="right" vertical="center" indent="1"/>
    </xf>
    <xf numFmtId="7" fontId="60" fillId="0" borderId="246" xfId="171" applyNumberFormat="1" applyFont="1" applyFill="1" applyBorder="1" applyAlignment="1">
      <alignment horizontal="center" vertical="center"/>
    </xf>
    <xf numFmtId="170" fontId="60" fillId="0" borderId="246" xfId="171" applyNumberFormat="1" applyFont="1" applyFill="1" applyBorder="1" applyAlignment="1">
      <alignment horizontal="center" vertical="center"/>
    </xf>
    <xf numFmtId="169" fontId="60" fillId="0" borderId="246" xfId="171" applyNumberFormat="1" applyFont="1" applyFill="1" applyBorder="1" applyAlignment="1">
      <alignment horizontal="center" vertical="center"/>
    </xf>
    <xf numFmtId="44" fontId="60" fillId="0" borderId="246" xfId="171" applyNumberFormat="1" applyFont="1" applyFill="1" applyBorder="1" applyAlignment="1">
      <alignment horizontal="center" vertical="center"/>
    </xf>
    <xf numFmtId="7" fontId="108" fillId="0" borderId="246" xfId="171" applyNumberFormat="1" applyFont="1" applyFill="1" applyBorder="1" applyAlignment="1">
      <alignment horizontal="center" vertical="center"/>
    </xf>
    <xf numFmtId="170" fontId="60" fillId="0" borderId="5" xfId="171" applyNumberFormat="1" applyFont="1" applyFill="1" applyBorder="1" applyAlignment="1">
      <alignment vertical="center"/>
    </xf>
    <xf numFmtId="0" fontId="141" fillId="0" borderId="0" xfId="171" applyFont="1" applyFill="1" applyAlignment="1">
      <alignment horizontal="right"/>
    </xf>
    <xf numFmtId="0" fontId="140" fillId="0" borderId="0" xfId="171" applyFont="1" applyFill="1" applyBorder="1" applyAlignment="1">
      <alignment horizontal="center" vertical="center"/>
    </xf>
    <xf numFmtId="0" fontId="10" fillId="9" borderId="2" xfId="0" applyFont="1" applyFill="1" applyBorder="1" applyAlignment="1">
      <alignment horizontal="center" vertical="center"/>
    </xf>
    <xf numFmtId="0" fontId="10" fillId="9" borderId="298" xfId="0" applyFont="1" applyFill="1" applyBorder="1" applyAlignment="1">
      <alignment horizontal="center" vertical="center"/>
    </xf>
    <xf numFmtId="0" fontId="10" fillId="9" borderId="302" xfId="0" applyFont="1" applyFill="1" applyBorder="1" applyAlignment="1">
      <alignment horizontal="center" vertical="center"/>
    </xf>
    <xf numFmtId="207" fontId="0" fillId="0" borderId="0" xfId="0" applyNumberFormat="1" applyFill="1" applyAlignment="1">
      <alignment vertical="center"/>
    </xf>
    <xf numFmtId="0" fontId="11" fillId="0" borderId="255" xfId="0" applyFont="1" applyFill="1" applyBorder="1" applyAlignment="1">
      <alignment vertical="center" wrapText="1"/>
    </xf>
    <xf numFmtId="8" fontId="11" fillId="0" borderId="257" xfId="0" applyNumberFormat="1" applyFont="1" applyFill="1" applyBorder="1" applyAlignment="1">
      <alignment horizontal="right" vertical="center"/>
    </xf>
    <xf numFmtId="0" fontId="11" fillId="0" borderId="214" xfId="0" applyFont="1" applyFill="1" applyBorder="1" applyAlignment="1">
      <alignment vertical="center" wrapText="1"/>
    </xf>
    <xf numFmtId="0" fontId="11" fillId="0" borderId="68" xfId="0" applyFont="1" applyFill="1" applyBorder="1" applyAlignment="1">
      <alignment horizontal="left" vertical="center"/>
    </xf>
    <xf numFmtId="170" fontId="11" fillId="0" borderId="253" xfId="6" applyNumberFormat="1" applyFont="1" applyFill="1" applyBorder="1" applyAlignment="1">
      <alignment vertical="center"/>
    </xf>
    <xf numFmtId="170" fontId="11" fillId="0" borderId="250" xfId="6" applyNumberFormat="1" applyFont="1" applyFill="1" applyBorder="1" applyAlignment="1">
      <alignment vertical="center"/>
    </xf>
    <xf numFmtId="170" fontId="11" fillId="0" borderId="254" xfId="6" applyNumberFormat="1" applyFont="1" applyFill="1" applyBorder="1" applyAlignment="1">
      <alignment vertical="center"/>
    </xf>
    <xf numFmtId="170" fontId="10" fillId="0" borderId="241" xfId="6" applyNumberFormat="1" applyFont="1" applyFill="1" applyBorder="1" applyAlignment="1">
      <alignment vertical="center"/>
    </xf>
    <xf numFmtId="170" fontId="14" fillId="0" borderId="241" xfId="0" applyNumberFormat="1" applyFont="1" applyFill="1" applyBorder="1" applyAlignment="1">
      <alignment vertical="center"/>
    </xf>
    <xf numFmtId="3" fontId="14" fillId="2" borderId="171" xfId="0" applyNumberFormat="1" applyFont="1" applyFill="1" applyBorder="1" applyAlignment="1">
      <alignment vertical="center"/>
    </xf>
    <xf numFmtId="0" fontId="10" fillId="9" borderId="48" xfId="0" applyFont="1" applyFill="1" applyBorder="1"/>
    <xf numFmtId="170" fontId="0" fillId="0" borderId="48" xfId="0" applyNumberFormat="1" applyFill="1" applyBorder="1"/>
    <xf numFmtId="4" fontId="0" fillId="0" borderId="48" xfId="0" applyNumberFormat="1" applyFill="1" applyBorder="1"/>
    <xf numFmtId="0" fontId="0" fillId="9" borderId="48" xfId="0" applyFill="1" applyBorder="1" applyAlignment="1"/>
    <xf numFmtId="0" fontId="0" fillId="0" borderId="48" xfId="0" applyFill="1" applyBorder="1" applyAlignment="1"/>
    <xf numFmtId="0" fontId="10" fillId="9" borderId="290" xfId="0" applyFont="1" applyFill="1" applyBorder="1"/>
    <xf numFmtId="170" fontId="0" fillId="0" borderId="290" xfId="0" applyNumberFormat="1" applyFill="1" applyBorder="1"/>
    <xf numFmtId="4" fontId="0" fillId="0" borderId="290" xfId="0" applyNumberFormat="1" applyFill="1" applyBorder="1"/>
    <xf numFmtId="0" fontId="0" fillId="9" borderId="290" xfId="0" applyFill="1" applyBorder="1" applyAlignment="1"/>
    <xf numFmtId="0" fontId="0" fillId="0" borderId="290" xfId="0" applyFill="1" applyBorder="1" applyAlignment="1"/>
    <xf numFmtId="0" fontId="10" fillId="2" borderId="284" xfId="0" applyFont="1" applyFill="1" applyBorder="1" applyAlignment="1">
      <alignment horizontal="center" vertical="center" wrapText="1"/>
    </xf>
    <xf numFmtId="0" fontId="13" fillId="9" borderId="292" xfId="2" applyFont="1" applyFill="1" applyBorder="1" applyAlignment="1">
      <alignment horizontal="center" vertical="center" wrapText="1"/>
    </xf>
    <xf numFmtId="2" fontId="0" fillId="0" borderId="0" xfId="0" applyNumberFormat="1" applyFill="1" applyBorder="1" applyAlignment="1">
      <alignment vertical="center"/>
    </xf>
    <xf numFmtId="2" fontId="14" fillId="0" borderId="0" xfId="0" applyNumberFormat="1" applyFont="1" applyFill="1" applyBorder="1" applyAlignment="1">
      <alignment vertical="center"/>
    </xf>
    <xf numFmtId="170" fontId="11" fillId="0" borderId="292" xfId="6" applyNumberFormat="1" applyFont="1" applyFill="1" applyBorder="1" applyAlignment="1">
      <alignment horizontal="center" vertical="center" wrapText="1"/>
    </xf>
    <xf numFmtId="170" fontId="10" fillId="0" borderId="292" xfId="3" applyNumberFormat="1" applyFont="1" applyBorder="1" applyAlignment="1">
      <alignment horizontal="center" vertical="center" wrapText="1"/>
    </xf>
    <xf numFmtId="4" fontId="0" fillId="0" borderId="248" xfId="0" applyNumberFormat="1" applyFill="1" applyBorder="1" applyAlignment="1">
      <alignment horizontal="center" vertical="center"/>
    </xf>
    <xf numFmtId="0" fontId="10" fillId="0" borderId="22" xfId="0" applyFont="1" applyFill="1" applyBorder="1" applyAlignment="1">
      <alignment horizontal="center" vertical="center" wrapText="1"/>
    </xf>
    <xf numFmtId="9" fontId="81" fillId="0" borderId="243" xfId="195" applyNumberFormat="1" applyFont="1" applyBorder="1" applyAlignment="1">
      <alignment horizontal="center" vertical="center"/>
    </xf>
    <xf numFmtId="170" fontId="43" fillId="5" borderId="243" xfId="195" applyNumberFormat="1" applyFont="1" applyFill="1" applyBorder="1"/>
    <xf numFmtId="170" fontId="81" fillId="5" borderId="249" xfId="195" applyNumberFormat="1" applyFont="1" applyFill="1" applyBorder="1"/>
    <xf numFmtId="4" fontId="81" fillId="9" borderId="243" xfId="195" applyNumberFormat="1" applyFont="1" applyFill="1" applyBorder="1"/>
    <xf numFmtId="4" fontId="81" fillId="9" borderId="249" xfId="195" applyNumberFormat="1" applyFont="1" applyFill="1" applyBorder="1"/>
    <xf numFmtId="173" fontId="10" fillId="0" borderId="0" xfId="0" applyNumberFormat="1" applyFont="1" applyFill="1" applyBorder="1" applyAlignment="1">
      <alignment horizontal="center"/>
    </xf>
    <xf numFmtId="49" fontId="10" fillId="9" borderId="284" xfId="0" applyNumberFormat="1" applyFont="1" applyFill="1" applyBorder="1" applyAlignment="1">
      <alignment horizontal="center" wrapText="1"/>
    </xf>
    <xf numFmtId="0" fontId="61" fillId="0" borderId="68" xfId="0" applyFont="1" applyFill="1" applyBorder="1" applyAlignment="1">
      <alignment horizontal="left" vertical="center"/>
    </xf>
    <xf numFmtId="8" fontId="11" fillId="10" borderId="203" xfId="0" applyNumberFormat="1" applyFont="1" applyFill="1" applyBorder="1" applyAlignment="1" applyProtection="1">
      <alignment horizontal="right" vertical="center" indent="1"/>
      <protection locked="0"/>
    </xf>
    <xf numFmtId="169" fontId="11" fillId="10" borderId="204" xfId="0" applyNumberFormat="1" applyFont="1" applyFill="1" applyBorder="1" applyAlignment="1" applyProtection="1">
      <alignment horizontal="right" vertical="center" indent="1"/>
      <protection locked="0"/>
    </xf>
    <xf numFmtId="8" fontId="11" fillId="10" borderId="204" xfId="0" applyNumberFormat="1" applyFont="1" applyFill="1" applyBorder="1" applyAlignment="1" applyProtection="1">
      <alignment horizontal="right" vertical="center" indent="1"/>
      <protection locked="0"/>
    </xf>
    <xf numFmtId="0" fontId="11" fillId="10" borderId="205" xfId="0" applyFont="1" applyFill="1" applyBorder="1" applyProtection="1">
      <protection locked="0"/>
    </xf>
    <xf numFmtId="177" fontId="11" fillId="0" borderId="304" xfId="0" applyNumberFormat="1" applyFont="1" applyFill="1" applyBorder="1" applyAlignment="1">
      <alignment vertical="center"/>
    </xf>
    <xf numFmtId="0" fontId="11" fillId="0" borderId="305" xfId="0" applyFont="1" applyFill="1" applyBorder="1" applyAlignment="1">
      <alignment vertical="center" wrapText="1"/>
    </xf>
    <xf numFmtId="2" fontId="11" fillId="0" borderId="306" xfId="7" applyNumberFormat="1" applyFont="1" applyFill="1" applyBorder="1" applyAlignment="1">
      <alignment vertical="center"/>
    </xf>
    <xf numFmtId="0" fontId="16" fillId="12" borderId="305" xfId="0" applyFont="1" applyFill="1" applyBorder="1" applyAlignment="1">
      <alignment vertical="center" wrapText="1"/>
    </xf>
    <xf numFmtId="0" fontId="61" fillId="0" borderId="68" xfId="0" applyFont="1" applyBorder="1" applyAlignment="1">
      <alignment horizontal="left" vertical="center"/>
    </xf>
    <xf numFmtId="8" fontId="11" fillId="10" borderId="70" xfId="0" applyNumberFormat="1" applyFont="1" applyFill="1" applyBorder="1" applyAlignment="1">
      <alignment horizontal="right" vertical="center" indent="1"/>
    </xf>
    <xf numFmtId="8" fontId="61" fillId="0" borderId="69" xfId="0" applyNumberFormat="1" applyFont="1" applyFill="1" applyBorder="1" applyAlignment="1">
      <alignment horizontal="right" vertical="center"/>
    </xf>
    <xf numFmtId="0" fontId="61" fillId="0" borderId="0" xfId="0" applyFont="1" applyFill="1"/>
    <xf numFmtId="8" fontId="61" fillId="0" borderId="70" xfId="0" applyNumberFormat="1" applyFont="1" applyBorder="1" applyAlignment="1">
      <alignment horizontal="right" vertical="center" indent="1"/>
    </xf>
    <xf numFmtId="0" fontId="61" fillId="0" borderId="256" xfId="0" applyFont="1" applyBorder="1" applyAlignment="1">
      <alignment horizontal="left" vertical="center"/>
    </xf>
    <xf numFmtId="0" fontId="16" fillId="0" borderId="0" xfId="0" applyFont="1" applyBorder="1" applyProtection="1">
      <protection locked="0"/>
    </xf>
    <xf numFmtId="0" fontId="61" fillId="0" borderId="0" xfId="0" applyFont="1" applyFill="1" applyBorder="1"/>
    <xf numFmtId="177" fontId="61" fillId="0" borderId="304" xfId="0" applyNumberFormat="1" applyFont="1" applyFill="1" applyBorder="1" applyAlignment="1">
      <alignment vertical="center"/>
    </xf>
    <xf numFmtId="177" fontId="61" fillId="0" borderId="75" xfId="0" applyNumberFormat="1" applyFont="1" applyFill="1" applyBorder="1" applyAlignment="1">
      <alignment vertical="center"/>
    </xf>
    <xf numFmtId="8" fontId="11" fillId="10" borderId="199" xfId="0" applyNumberFormat="1" applyFont="1" applyFill="1" applyBorder="1" applyAlignment="1">
      <alignment horizontal="right" vertical="center" indent="1"/>
    </xf>
    <xf numFmtId="178" fontId="11" fillId="12" borderId="0" xfId="9" applyNumberFormat="1" applyFont="1" applyFill="1" applyBorder="1" applyAlignment="1">
      <alignment horizontal="left" vertical="center"/>
    </xf>
    <xf numFmtId="8" fontId="11" fillId="10" borderId="66" xfId="0" applyNumberFormat="1" applyFont="1" applyFill="1" applyBorder="1" applyAlignment="1">
      <alignment horizontal="right" vertical="center" indent="1"/>
    </xf>
    <xf numFmtId="8" fontId="11" fillId="0" borderId="66" xfId="0" applyNumberFormat="1" applyFont="1" applyFill="1" applyBorder="1" applyAlignment="1">
      <alignment horizontal="right" vertical="center" indent="1"/>
    </xf>
    <xf numFmtId="0" fontId="26" fillId="0" borderId="0" xfId="0" applyFont="1"/>
    <xf numFmtId="0" fontId="26" fillId="0" borderId="0" xfId="0" applyFont="1" applyFill="1"/>
    <xf numFmtId="8" fontId="11" fillId="10" borderId="70" xfId="0" applyNumberFormat="1" applyFont="1" applyFill="1" applyBorder="1" applyAlignment="1" applyProtection="1">
      <alignment horizontal="right" vertical="center" indent="1"/>
      <protection locked="0"/>
    </xf>
    <xf numFmtId="179" fontId="11" fillId="0" borderId="307" xfId="10" applyNumberFormat="1" applyFont="1" applyFill="1" applyBorder="1" applyAlignment="1">
      <alignment horizontal="right" vertical="center"/>
    </xf>
    <xf numFmtId="0" fontId="135" fillId="0" borderId="0" xfId="0" applyFont="1" applyFill="1"/>
    <xf numFmtId="0" fontId="64" fillId="0" borderId="0" xfId="0" applyFont="1"/>
    <xf numFmtId="0" fontId="64" fillId="0" borderId="0" xfId="171" applyFont="1"/>
    <xf numFmtId="0" fontId="64" fillId="0" borderId="0" xfId="195" applyFont="1" applyFill="1" applyBorder="1" applyAlignment="1" applyProtection="1">
      <alignment horizontal="center" vertical="center"/>
      <protection locked="0"/>
    </xf>
    <xf numFmtId="0" fontId="64" fillId="0" borderId="0" xfId="195" applyFont="1" applyAlignment="1">
      <alignment horizontal="left" vertical="top" wrapText="1"/>
    </xf>
    <xf numFmtId="0" fontId="64" fillId="0" borderId="0" xfId="195" applyFont="1"/>
    <xf numFmtId="169" fontId="148" fillId="5" borderId="4" xfId="195" applyNumberFormat="1" applyFont="1" applyFill="1" applyBorder="1" applyAlignment="1">
      <alignment horizontal="center" vertical="center"/>
    </xf>
    <xf numFmtId="2" fontId="64" fillId="0" borderId="5" xfId="195" applyNumberFormat="1" applyFont="1" applyFill="1" applyBorder="1"/>
    <xf numFmtId="169" fontId="148" fillId="5" borderId="5" xfId="195" applyNumberFormat="1" applyFont="1" applyFill="1" applyBorder="1" applyAlignment="1">
      <alignment horizontal="center" vertical="center"/>
    </xf>
    <xf numFmtId="0" fontId="149" fillId="0" borderId="245" xfId="195" applyFont="1" applyFill="1" applyBorder="1" applyAlignment="1">
      <alignment wrapText="1"/>
    </xf>
    <xf numFmtId="0" fontId="149" fillId="0" borderId="15" xfId="195" applyFont="1" applyFill="1" applyBorder="1" applyAlignment="1">
      <alignment wrapText="1"/>
    </xf>
    <xf numFmtId="0" fontId="149" fillId="0" borderId="7" xfId="195" applyFont="1" applyFill="1" applyBorder="1" applyAlignment="1">
      <alignment wrapText="1"/>
    </xf>
    <xf numFmtId="0" fontId="64" fillId="0" borderId="241" xfId="0" applyFont="1" applyFill="1" applyBorder="1" applyAlignment="1">
      <alignment horizontal="left" vertical="center" indent="1"/>
    </xf>
    <xf numFmtId="0" fontId="64" fillId="0" borderId="31" xfId="0" applyFont="1" applyFill="1" applyBorder="1" applyAlignment="1">
      <alignment horizontal="left" vertical="center" indent="1"/>
    </xf>
    <xf numFmtId="1" fontId="64" fillId="0" borderId="172" xfId="0" applyNumberFormat="1" applyFont="1" applyFill="1" applyBorder="1" applyAlignment="1">
      <alignment horizontal="center" vertical="center"/>
    </xf>
    <xf numFmtId="0" fontId="153" fillId="0" borderId="0" xfId="0" applyFont="1"/>
    <xf numFmtId="0" fontId="153" fillId="0" borderId="0" xfId="9" applyFont="1" applyAlignment="1">
      <alignment vertical="center"/>
    </xf>
    <xf numFmtId="0" fontId="64" fillId="0" borderId="137" xfId="0" applyFont="1" applyFill="1" applyBorder="1" applyAlignment="1">
      <alignment horizontal="center" vertical="center"/>
    </xf>
    <xf numFmtId="0" fontId="64" fillId="0" borderId="0" xfId="0" applyFont="1" applyAlignment="1">
      <alignment vertical="center"/>
    </xf>
    <xf numFmtId="0" fontId="153" fillId="0" borderId="0" xfId="0" applyFont="1" applyAlignment="1">
      <alignment vertical="center"/>
    </xf>
    <xf numFmtId="0" fontId="155" fillId="9" borderId="33" xfId="0" applyFont="1" applyFill="1" applyBorder="1" applyAlignment="1">
      <alignment horizontal="center" vertical="center" wrapText="1"/>
    </xf>
    <xf numFmtId="3" fontId="64" fillId="0" borderId="41" xfId="0" applyNumberFormat="1" applyFont="1" applyFill="1" applyBorder="1" applyAlignment="1">
      <alignment horizontal="center" vertical="center"/>
    </xf>
    <xf numFmtId="3" fontId="64" fillId="9" borderId="5" xfId="0" applyNumberFormat="1" applyFont="1" applyFill="1" applyBorder="1" applyAlignment="1">
      <alignment horizontal="center" vertical="center"/>
    </xf>
    <xf numFmtId="170" fontId="64" fillId="9" borderId="5" xfId="0" applyNumberFormat="1" applyFont="1" applyFill="1" applyBorder="1" applyAlignment="1">
      <alignment horizontal="center" vertical="center"/>
    </xf>
    <xf numFmtId="170" fontId="64" fillId="0" borderId="41" xfId="0" applyNumberFormat="1" applyFont="1" applyFill="1" applyBorder="1" applyAlignment="1">
      <alignment horizontal="center" vertical="center"/>
    </xf>
    <xf numFmtId="170" fontId="64" fillId="9" borderId="5" xfId="6" applyNumberFormat="1" applyFont="1" applyFill="1" applyBorder="1" applyAlignment="1">
      <alignment horizontal="center" vertical="center"/>
    </xf>
    <xf numFmtId="177" fontId="154" fillId="0" borderId="75" xfId="0" applyNumberFormat="1" applyFont="1" applyFill="1" applyBorder="1" applyAlignment="1">
      <alignment vertical="center"/>
    </xf>
    <xf numFmtId="0" fontId="154" fillId="0" borderId="68" xfId="0" applyFont="1" applyBorder="1" applyAlignment="1">
      <alignment horizontal="left" vertical="center"/>
    </xf>
    <xf numFmtId="8" fontId="154" fillId="0" borderId="69" xfId="0" applyNumberFormat="1" applyFont="1" applyFill="1" applyBorder="1" applyAlignment="1">
      <alignment horizontal="right" vertical="center"/>
    </xf>
    <xf numFmtId="8" fontId="154" fillId="0" borderId="70" xfId="0" applyNumberFormat="1" applyFont="1" applyFill="1" applyBorder="1" applyAlignment="1">
      <alignment horizontal="right" vertical="center" indent="1"/>
    </xf>
    <xf numFmtId="0" fontId="154" fillId="0" borderId="0" xfId="0" applyFont="1" applyFill="1"/>
    <xf numFmtId="0" fontId="154" fillId="0" borderId="305" xfId="0" applyFont="1" applyFill="1" applyBorder="1" applyAlignment="1">
      <alignment vertical="center" wrapText="1"/>
    </xf>
    <xf numFmtId="2" fontId="154" fillId="0" borderId="68" xfId="7" applyNumberFormat="1" applyFont="1" applyFill="1" applyBorder="1" applyAlignment="1">
      <alignment vertical="center"/>
    </xf>
    <xf numFmtId="184" fontId="154" fillId="12" borderId="76" xfId="10" applyNumberFormat="1" applyFont="1" applyFill="1" applyBorder="1" applyAlignment="1">
      <alignment horizontal="right" vertical="center"/>
    </xf>
    <xf numFmtId="8" fontId="154" fillId="0" borderId="70" xfId="0" applyNumberFormat="1" applyFont="1" applyBorder="1" applyAlignment="1">
      <alignment horizontal="right" vertical="center" indent="1"/>
    </xf>
    <xf numFmtId="8" fontId="153" fillId="0" borderId="0" xfId="0" applyNumberFormat="1" applyFont="1" applyFill="1" applyBorder="1" applyAlignment="1">
      <alignment horizontal="right" vertical="center" indent="1"/>
    </xf>
    <xf numFmtId="9" fontId="153" fillId="0" borderId="0" xfId="7" applyFont="1" applyFill="1" applyBorder="1" applyAlignment="1">
      <alignment vertical="top" wrapText="1"/>
    </xf>
    <xf numFmtId="0" fontId="154" fillId="0" borderId="67" xfId="0" applyFont="1" applyFill="1" applyBorder="1" applyAlignment="1">
      <alignment vertical="center" wrapText="1"/>
    </xf>
    <xf numFmtId="0" fontId="154" fillId="0" borderId="68" xfId="0" applyFont="1" applyFill="1" applyBorder="1" applyAlignment="1">
      <alignment horizontal="left" vertical="center"/>
    </xf>
    <xf numFmtId="184" fontId="154" fillId="0" borderId="76" xfId="10" applyNumberFormat="1" applyFont="1" applyFill="1" applyBorder="1" applyAlignment="1">
      <alignment horizontal="right" vertical="center"/>
    </xf>
    <xf numFmtId="173" fontId="155" fillId="0" borderId="222" xfId="0" applyNumberFormat="1" applyFont="1" applyFill="1" applyBorder="1" applyAlignment="1">
      <alignment horizontal="center"/>
    </xf>
    <xf numFmtId="173" fontId="155" fillId="0" borderId="222" xfId="0" applyNumberFormat="1" applyFont="1" applyFill="1" applyBorder="1" applyAlignment="1">
      <alignment horizontal="center" vertical="center" wrapText="1"/>
    </xf>
    <xf numFmtId="173" fontId="155" fillId="0" borderId="222" xfId="6" applyNumberFormat="1" applyFont="1" applyFill="1" applyBorder="1" applyAlignment="1">
      <alignment horizontal="center" vertical="center"/>
    </xf>
    <xf numFmtId="173" fontId="155" fillId="0" borderId="222" xfId="0" applyNumberFormat="1" applyFont="1" applyFill="1" applyBorder="1" applyAlignment="1">
      <alignment horizontal="center" vertical="center"/>
    </xf>
    <xf numFmtId="0" fontId="156" fillId="9" borderId="33" xfId="0" applyFont="1" applyFill="1" applyBorder="1" applyAlignment="1">
      <alignment horizontal="center" vertical="center" wrapText="1"/>
    </xf>
    <xf numFmtId="0" fontId="154" fillId="9" borderId="44" xfId="0" applyFont="1" applyFill="1" applyBorder="1" applyAlignment="1">
      <alignment horizontal="center" vertical="center" wrapText="1"/>
    </xf>
    <xf numFmtId="173" fontId="154" fillId="0" borderId="2" xfId="106" applyNumberFormat="1" applyFont="1" applyFill="1" applyBorder="1" applyAlignment="1">
      <alignment horizontal="center" vertical="center"/>
    </xf>
    <xf numFmtId="0" fontId="64" fillId="0" borderId="28" xfId="0" applyFont="1" applyFill="1" applyBorder="1" applyAlignment="1">
      <alignment horizontal="center" vertical="center"/>
    </xf>
    <xf numFmtId="173" fontId="10" fillId="0" borderId="292" xfId="0" applyNumberFormat="1" applyFont="1" applyFill="1" applyBorder="1" applyAlignment="1">
      <alignment horizontal="center" vertical="center"/>
    </xf>
    <xf numFmtId="173" fontId="10" fillId="0" borderId="222" xfId="0" applyNumberFormat="1" applyFont="1" applyFill="1" applyBorder="1" applyAlignment="1">
      <alignment horizontal="center" vertical="center"/>
    </xf>
    <xf numFmtId="49" fontId="64" fillId="0" borderId="5" xfId="0" applyNumberFormat="1" applyFont="1" applyFill="1" applyBorder="1" applyAlignment="1">
      <alignment horizontal="center" vertical="center"/>
    </xf>
    <xf numFmtId="49" fontId="64" fillId="0" borderId="246" xfId="0" applyNumberFormat="1" applyFont="1" applyFill="1" applyBorder="1" applyAlignment="1">
      <alignment horizontal="center" vertical="center"/>
    </xf>
    <xf numFmtId="170" fontId="64" fillId="0" borderId="5" xfId="0" applyNumberFormat="1" applyFont="1" applyFill="1" applyBorder="1" applyAlignment="1">
      <alignment horizontal="center" vertical="center"/>
    </xf>
    <xf numFmtId="170" fontId="64" fillId="0" borderId="246" xfId="0" applyNumberFormat="1" applyFont="1" applyFill="1" applyBorder="1" applyAlignment="1">
      <alignment horizontal="center" vertical="center"/>
    </xf>
    <xf numFmtId="174" fontId="64" fillId="0" borderId="161" xfId="3" applyNumberFormat="1" applyFont="1" applyFill="1" applyBorder="1" applyAlignment="1">
      <alignment horizontal="center" vertical="center"/>
    </xf>
    <xf numFmtId="0" fontId="153" fillId="0" borderId="0" xfId="0" applyFont="1" applyAlignment="1">
      <alignment horizontal="center" vertical="center"/>
    </xf>
    <xf numFmtId="0" fontId="11" fillId="0" borderId="149" xfId="2" applyFont="1" applyFill="1" applyBorder="1" applyAlignment="1">
      <alignment horizontal="left" vertical="center" wrapText="1" indent="1"/>
    </xf>
    <xf numFmtId="8" fontId="0" fillId="0" borderId="30" xfId="3" applyNumberFormat="1" applyFont="1" applyFill="1" applyBorder="1"/>
    <xf numFmtId="8" fontId="0" fillId="0" borderId="23" xfId="3" applyNumberFormat="1" applyFont="1" applyFill="1" applyBorder="1"/>
    <xf numFmtId="8" fontId="0" fillId="0" borderId="250" xfId="3" applyNumberFormat="1" applyFont="1" applyFill="1" applyBorder="1"/>
    <xf numFmtId="8" fontId="10" fillId="0" borderId="19" xfId="3" applyNumberFormat="1" applyFont="1" applyFill="1" applyBorder="1"/>
    <xf numFmtId="0" fontId="156" fillId="9" borderId="2" xfId="0" applyFont="1" applyFill="1" applyBorder="1" applyAlignment="1">
      <alignment horizontal="center" vertical="center"/>
    </xf>
    <xf numFmtId="0" fontId="156" fillId="9" borderId="298" xfId="0" applyFont="1" applyFill="1" applyBorder="1" applyAlignment="1">
      <alignment horizontal="center" vertical="center"/>
    </xf>
    <xf numFmtId="207" fontId="154" fillId="0" borderId="0" xfId="0" applyNumberFormat="1" applyFont="1" applyFill="1" applyAlignment="1">
      <alignment vertical="center"/>
    </xf>
    <xf numFmtId="0" fontId="154" fillId="0" borderId="0" xfId="0" applyFont="1" applyAlignment="1">
      <alignment vertical="center"/>
    </xf>
    <xf numFmtId="0" fontId="154" fillId="9" borderId="303" xfId="0" applyFont="1" applyFill="1" applyBorder="1" applyAlignment="1">
      <alignment vertical="center"/>
    </xf>
    <xf numFmtId="0" fontId="154" fillId="9" borderId="298" xfId="0" applyFont="1" applyFill="1" applyBorder="1" applyAlignment="1">
      <alignment vertical="center"/>
    </xf>
    <xf numFmtId="0" fontId="64" fillId="0" borderId="36" xfId="0" applyFont="1" applyBorder="1"/>
    <xf numFmtId="0" fontId="64" fillId="0" borderId="5" xfId="0" applyFont="1" applyBorder="1"/>
    <xf numFmtId="0" fontId="64" fillId="0" borderId="246" xfId="0" applyFont="1" applyBorder="1"/>
    <xf numFmtId="0" fontId="64" fillId="0" borderId="8" xfId="0" applyFont="1" applyBorder="1"/>
    <xf numFmtId="169" fontId="154" fillId="0" borderId="36" xfId="0" applyNumberFormat="1" applyFont="1" applyBorder="1"/>
    <xf numFmtId="169" fontId="154" fillId="0" borderId="5" xfId="0" applyNumberFormat="1" applyFont="1" applyBorder="1"/>
    <xf numFmtId="169" fontId="154" fillId="0" borderId="246" xfId="0" applyNumberFormat="1" applyFont="1" applyBorder="1"/>
    <xf numFmtId="169" fontId="154" fillId="0" borderId="8" xfId="0" applyNumberFormat="1" applyFont="1" applyBorder="1"/>
    <xf numFmtId="8" fontId="154" fillId="0" borderId="30" xfId="3" applyNumberFormat="1" applyFont="1" applyFill="1" applyBorder="1"/>
    <xf numFmtId="8" fontId="154" fillId="0" borderId="23" xfId="3" applyNumberFormat="1" applyFont="1" applyFill="1" applyBorder="1"/>
    <xf numFmtId="8" fontId="154" fillId="0" borderId="250" xfId="3" applyNumberFormat="1" applyFont="1" applyFill="1" applyBorder="1"/>
    <xf numFmtId="8" fontId="156" fillId="0" borderId="19" xfId="3" applyNumberFormat="1" applyFont="1" applyFill="1" applyBorder="1"/>
    <xf numFmtId="0" fontId="155" fillId="9" borderId="2" xfId="0" applyFont="1" applyFill="1" applyBorder="1" applyAlignment="1">
      <alignment horizontal="center" vertical="center"/>
    </xf>
    <xf numFmtId="0" fontId="155" fillId="9" borderId="303" xfId="0" applyFont="1" applyFill="1" applyBorder="1" applyAlignment="1">
      <alignment horizontal="center" vertical="center"/>
    </xf>
    <xf numFmtId="207" fontId="64" fillId="0" borderId="0" xfId="0" applyNumberFormat="1" applyFont="1" applyFill="1" applyAlignment="1">
      <alignment vertical="center"/>
    </xf>
    <xf numFmtId="0" fontId="64" fillId="9" borderId="303" xfId="0" applyFont="1" applyFill="1" applyBorder="1" applyAlignment="1">
      <alignment vertical="center"/>
    </xf>
    <xf numFmtId="0" fontId="64" fillId="9" borderId="298" xfId="0" applyFont="1" applyFill="1" applyBorder="1" applyAlignment="1">
      <alignment vertical="center"/>
    </xf>
    <xf numFmtId="0" fontId="0" fillId="9" borderId="298" xfId="0" applyFill="1" applyBorder="1"/>
    <xf numFmtId="0" fontId="11" fillId="9" borderId="287" xfId="0" applyFont="1" applyFill="1" applyBorder="1" applyAlignment="1">
      <alignment vertical="top" wrapText="1"/>
    </xf>
    <xf numFmtId="0" fontId="64" fillId="0" borderId="0" xfId="0" applyFont="1" applyFill="1" applyAlignment="1">
      <alignment vertical="center"/>
    </xf>
    <xf numFmtId="0" fontId="155" fillId="9" borderId="287" xfId="0" applyFont="1" applyFill="1" applyBorder="1" applyAlignment="1">
      <alignment vertical="center"/>
    </xf>
    <xf numFmtId="0" fontId="64" fillId="0" borderId="289" xfId="0" applyFont="1" applyBorder="1"/>
    <xf numFmtId="0" fontId="64" fillId="0" borderId="250" xfId="0" applyFont="1" applyBorder="1"/>
    <xf numFmtId="0" fontId="64" fillId="0" borderId="19" xfId="0" applyFont="1" applyBorder="1"/>
    <xf numFmtId="0" fontId="64" fillId="9" borderId="287" xfId="0" applyFont="1" applyFill="1" applyBorder="1"/>
    <xf numFmtId="0" fontId="156" fillId="9" borderId="300" xfId="0" applyFont="1" applyFill="1" applyBorder="1" applyAlignment="1">
      <alignment horizontal="center" vertical="center"/>
    </xf>
    <xf numFmtId="0" fontId="154" fillId="0" borderId="0" xfId="0" applyFont="1" applyFill="1" applyAlignment="1">
      <alignment vertical="center"/>
    </xf>
    <xf numFmtId="0" fontId="156" fillId="9" borderId="287" xfId="0" applyFont="1" applyFill="1" applyBorder="1" applyAlignment="1">
      <alignment vertical="center"/>
    </xf>
    <xf numFmtId="0" fontId="154" fillId="0" borderId="0" xfId="0" applyFont="1"/>
    <xf numFmtId="0" fontId="156" fillId="9" borderId="287" xfId="0" applyFont="1" applyFill="1" applyBorder="1" applyAlignment="1">
      <alignment horizontal="center" vertical="center"/>
    </xf>
    <xf numFmtId="0" fontId="154" fillId="0" borderId="250" xfId="0" applyFont="1" applyBorder="1"/>
    <xf numFmtId="0" fontId="154" fillId="0" borderId="19" xfId="0" applyFont="1" applyBorder="1"/>
    <xf numFmtId="0" fontId="154" fillId="9" borderId="287" xfId="0" applyFont="1" applyFill="1" applyBorder="1"/>
    <xf numFmtId="169" fontId="154" fillId="0" borderId="150" xfId="3" applyNumberFormat="1" applyFont="1" applyBorder="1"/>
    <xf numFmtId="169" fontId="154" fillId="0" borderId="289" xfId="0" applyNumberFormat="1" applyFont="1" applyBorder="1"/>
    <xf numFmtId="0" fontId="155" fillId="9" borderId="298" xfId="0" applyFont="1" applyFill="1" applyBorder="1" applyAlignment="1">
      <alignment horizontal="center" vertical="center" wrapText="1"/>
    </xf>
    <xf numFmtId="207" fontId="64" fillId="0" borderId="0" xfId="0" applyNumberFormat="1" applyFont="1" applyFill="1" applyBorder="1" applyAlignment="1">
      <alignment horizontal="right" vertical="center"/>
    </xf>
    <xf numFmtId="0" fontId="155" fillId="9" borderId="299" xfId="0" applyFont="1" applyFill="1" applyBorder="1" applyAlignment="1">
      <alignment vertical="center"/>
    </xf>
    <xf numFmtId="0" fontId="155" fillId="9" borderId="299" xfId="0" applyFont="1" applyFill="1" applyBorder="1" applyAlignment="1">
      <alignment horizontal="center" vertical="center"/>
    </xf>
    <xf numFmtId="0" fontId="64" fillId="9" borderId="299" xfId="0" applyFont="1" applyFill="1" applyBorder="1"/>
    <xf numFmtId="0" fontId="156" fillId="9" borderId="298" xfId="0" applyFont="1" applyFill="1" applyBorder="1" applyAlignment="1">
      <alignment horizontal="center" vertical="center" wrapText="1"/>
    </xf>
    <xf numFmtId="207" fontId="154" fillId="0" borderId="0" xfId="0" applyNumberFormat="1" applyFont="1" applyFill="1" applyBorder="1" applyAlignment="1">
      <alignment horizontal="right" vertical="center"/>
    </xf>
    <xf numFmtId="0" fontId="156" fillId="9" borderId="299" xfId="0" applyFont="1" applyFill="1" applyBorder="1" applyAlignment="1">
      <alignment vertical="center"/>
    </xf>
    <xf numFmtId="0" fontId="156" fillId="9" borderId="299" xfId="0" applyFont="1" applyFill="1" applyBorder="1" applyAlignment="1">
      <alignment horizontal="center" vertical="center"/>
    </xf>
    <xf numFmtId="0" fontId="154" fillId="9" borderId="299" xfId="0" applyFont="1" applyFill="1" applyBorder="1"/>
    <xf numFmtId="169" fontId="64" fillId="0" borderId="289" xfId="0" applyNumberFormat="1" applyFont="1" applyBorder="1"/>
    <xf numFmtId="8" fontId="64" fillId="0" borderId="150" xfId="3" applyNumberFormat="1" applyFont="1" applyFill="1" applyBorder="1"/>
    <xf numFmtId="8" fontId="64" fillId="0" borderId="250" xfId="3" applyNumberFormat="1" applyFont="1" applyFill="1" applyBorder="1"/>
    <xf numFmtId="8" fontId="155" fillId="0" borderId="19" xfId="3" applyNumberFormat="1" applyFont="1" applyFill="1" applyBorder="1"/>
    <xf numFmtId="8" fontId="154" fillId="0" borderId="150" xfId="3" applyNumberFormat="1" applyFont="1" applyFill="1" applyBorder="1"/>
    <xf numFmtId="8" fontId="64" fillId="0" borderId="30" xfId="3" applyNumberFormat="1" applyFont="1" applyFill="1" applyBorder="1"/>
    <xf numFmtId="8" fontId="64" fillId="0" borderId="23" xfId="3" applyNumberFormat="1" applyFont="1" applyFill="1" applyBorder="1"/>
    <xf numFmtId="169" fontId="154" fillId="0" borderId="250" xfId="3" applyNumberFormat="1" applyFont="1" applyBorder="1"/>
    <xf numFmtId="169" fontId="156" fillId="0" borderId="19" xfId="3" applyNumberFormat="1" applyFont="1" applyBorder="1"/>
    <xf numFmtId="169" fontId="154" fillId="0" borderId="250" xfId="0" applyNumberFormat="1" applyFont="1" applyBorder="1"/>
    <xf numFmtId="169" fontId="154" fillId="0" borderId="19" xfId="0" applyNumberFormat="1" applyFont="1" applyBorder="1"/>
    <xf numFmtId="3" fontId="64" fillId="9" borderId="5" xfId="6" applyNumberFormat="1" applyFont="1" applyFill="1" applyBorder="1" applyAlignment="1">
      <alignment horizontal="center" vertical="center"/>
    </xf>
    <xf numFmtId="173" fontId="64" fillId="0" borderId="2" xfId="106" applyNumberFormat="1" applyFont="1" applyFill="1" applyBorder="1" applyAlignment="1">
      <alignment horizontal="center" vertical="center"/>
    </xf>
    <xf numFmtId="173" fontId="64" fillId="0" borderId="270" xfId="106" applyNumberFormat="1" applyFont="1" applyFill="1" applyBorder="1" applyAlignment="1">
      <alignment horizontal="center" vertical="center"/>
    </xf>
    <xf numFmtId="166" fontId="64" fillId="0" borderId="2" xfId="106" applyNumberFormat="1" applyFont="1" applyFill="1" applyBorder="1" applyAlignment="1">
      <alignment horizontal="center" vertical="center"/>
    </xf>
    <xf numFmtId="8" fontId="64" fillId="0" borderId="0" xfId="0" applyNumberFormat="1" applyFont="1" applyFill="1" applyBorder="1" applyAlignment="1">
      <alignment horizontal="right" vertical="center" indent="1"/>
    </xf>
    <xf numFmtId="2" fontId="157" fillId="0" borderId="0" xfId="0" applyNumberFormat="1" applyFont="1" applyFill="1" applyBorder="1" applyAlignment="1"/>
    <xf numFmtId="0" fontId="154" fillId="0" borderId="0" xfId="0" applyFont="1" applyAlignment="1">
      <alignment horizontal="center"/>
    </xf>
    <xf numFmtId="49" fontId="156" fillId="9" borderId="190" xfId="0" applyNumberFormat="1" applyFont="1" applyFill="1" applyBorder="1" applyAlignment="1">
      <alignment horizontal="center"/>
    </xf>
    <xf numFmtId="49" fontId="156" fillId="9" borderId="172" xfId="0" applyNumberFormat="1" applyFont="1" applyFill="1" applyBorder="1" applyAlignment="1">
      <alignment horizontal="center"/>
    </xf>
    <xf numFmtId="0" fontId="156" fillId="9" borderId="238" xfId="0" applyFont="1" applyFill="1" applyBorder="1" applyAlignment="1">
      <alignment horizontal="center" vertical="center" wrapText="1"/>
    </xf>
    <xf numFmtId="0" fontId="156" fillId="9" borderId="238" xfId="0" applyFont="1" applyFill="1" applyBorder="1" applyAlignment="1">
      <alignment wrapText="1"/>
    </xf>
    <xf numFmtId="49" fontId="156" fillId="9" borderId="116" xfId="0" applyNumberFormat="1" applyFont="1" applyFill="1" applyBorder="1" applyAlignment="1">
      <alignment horizontal="center"/>
    </xf>
    <xf numFmtId="1" fontId="156" fillId="0" borderId="53" xfId="0" applyNumberFormat="1" applyFont="1" applyFill="1" applyBorder="1" applyAlignment="1" applyProtection="1">
      <alignment horizontal="center"/>
      <protection locked="0"/>
    </xf>
    <xf numFmtId="1" fontId="154" fillId="0" borderId="151" xfId="0" applyNumberFormat="1" applyFont="1" applyFill="1" applyBorder="1" applyAlignment="1" applyProtection="1">
      <alignment horizontal="center"/>
      <protection locked="0"/>
    </xf>
    <xf numFmtId="49" fontId="156" fillId="9" borderId="100" xfId="0" applyNumberFormat="1" applyFont="1" applyFill="1" applyBorder="1" applyAlignment="1">
      <alignment horizontal="center"/>
    </xf>
    <xf numFmtId="204" fontId="156" fillId="0" borderId="100" xfId="3" applyNumberFormat="1" applyFont="1" applyFill="1" applyBorder="1" applyAlignment="1">
      <alignment horizontal="center"/>
    </xf>
    <xf numFmtId="0" fontId="154" fillId="0" borderId="0" xfId="0" applyFont="1" applyBorder="1" applyAlignment="1">
      <alignment horizontal="center" vertical="center" wrapText="1"/>
    </xf>
    <xf numFmtId="173" fontId="154" fillId="0" borderId="0" xfId="6" applyNumberFormat="1" applyFont="1" applyFill="1" applyBorder="1" applyAlignment="1">
      <alignment horizontal="center" vertical="center"/>
    </xf>
    <xf numFmtId="0" fontId="156" fillId="2" borderId="1" xfId="0" applyFont="1" applyFill="1" applyBorder="1" applyAlignment="1">
      <alignment horizontal="center" vertical="center" wrapText="1"/>
    </xf>
    <xf numFmtId="0" fontId="156" fillId="2" borderId="2" xfId="0" applyFont="1" applyFill="1" applyBorder="1" applyAlignment="1">
      <alignment horizontal="center" vertical="center" wrapText="1"/>
    </xf>
    <xf numFmtId="0" fontId="156" fillId="2" borderId="2" xfId="0" applyFont="1" applyFill="1" applyBorder="1" applyAlignment="1">
      <alignment horizontal="left" vertical="center" wrapText="1" indent="1"/>
    </xf>
    <xf numFmtId="0" fontId="156" fillId="2" borderId="191" xfId="0" applyFont="1" applyFill="1" applyBorder="1" applyAlignment="1">
      <alignment horizontal="left" vertical="center" wrapText="1" indent="1"/>
    </xf>
    <xf numFmtId="0" fontId="156" fillId="2" borderId="3" xfId="0" applyFont="1" applyFill="1" applyBorder="1" applyAlignment="1">
      <alignment horizontal="center" vertical="center" wrapText="1"/>
    </xf>
    <xf numFmtId="0" fontId="156" fillId="2" borderId="166" xfId="0" applyFont="1" applyFill="1" applyBorder="1" applyAlignment="1">
      <alignment horizontal="center" vertical="center" wrapText="1"/>
    </xf>
    <xf numFmtId="0" fontId="154" fillId="0" borderId="15" xfId="0" applyFont="1" applyFill="1" applyBorder="1" applyAlignment="1">
      <alignment horizontal="center" vertical="center" wrapText="1"/>
    </xf>
    <xf numFmtId="0" fontId="154" fillId="0" borderId="12" xfId="0" applyFont="1" applyFill="1" applyBorder="1" applyAlignment="1">
      <alignment horizontal="center" vertical="center" wrapText="1"/>
    </xf>
    <xf numFmtId="14" fontId="154" fillId="0" borderId="12" xfId="0" applyNumberFormat="1" applyFont="1" applyFill="1" applyBorder="1" applyAlignment="1">
      <alignment horizontal="center" vertical="center" wrapText="1"/>
    </xf>
    <xf numFmtId="0" fontId="154" fillId="0" borderId="12" xfId="0" applyFont="1" applyFill="1" applyBorder="1" applyAlignment="1">
      <alignment horizontal="left" vertical="center" wrapText="1" indent="1"/>
    </xf>
    <xf numFmtId="0" fontId="154" fillId="0" borderId="29" xfId="0" applyFont="1" applyFill="1" applyBorder="1" applyAlignment="1">
      <alignment horizontal="left" vertical="center" wrapText="1" indent="1"/>
    </xf>
    <xf numFmtId="166" fontId="154" fillId="0" borderId="16" xfId="0" applyNumberFormat="1" applyFont="1" applyFill="1" applyBorder="1" applyAlignment="1">
      <alignment horizontal="center" vertical="center"/>
    </xf>
    <xf numFmtId="1" fontId="154" fillId="0" borderId="172" xfId="0" applyNumberFormat="1" applyFont="1" applyFill="1" applyBorder="1" applyAlignment="1">
      <alignment horizontal="center" vertical="center"/>
    </xf>
    <xf numFmtId="1" fontId="154" fillId="0" borderId="53" xfId="0" applyNumberFormat="1" applyFont="1" applyFill="1" applyBorder="1" applyAlignment="1">
      <alignment horizontal="center" vertical="center"/>
    </xf>
    <xf numFmtId="1" fontId="154" fillId="0" borderId="31" xfId="0" applyNumberFormat="1" applyFont="1" applyFill="1" applyBorder="1" applyAlignment="1">
      <alignment horizontal="center" vertical="center"/>
    </xf>
    <xf numFmtId="0" fontId="154" fillId="0" borderId="31" xfId="0" applyFont="1" applyFill="1" applyBorder="1"/>
    <xf numFmtId="0" fontId="154" fillId="0" borderId="31" xfId="0" applyFont="1" applyBorder="1"/>
    <xf numFmtId="0" fontId="158" fillId="0" borderId="15" xfId="0" applyFont="1" applyFill="1" applyBorder="1" applyAlignment="1">
      <alignment horizontal="center" vertical="center" wrapText="1"/>
    </xf>
    <xf numFmtId="0" fontId="154" fillId="0" borderId="53" xfId="0" applyFont="1" applyBorder="1"/>
    <xf numFmtId="0" fontId="156" fillId="2" borderId="25" xfId="0" applyFont="1" applyFill="1" applyBorder="1" applyAlignment="1">
      <alignment vertical="center" wrapText="1"/>
    </xf>
    <xf numFmtId="0" fontId="156" fillId="2" borderId="21" xfId="0" applyFont="1" applyFill="1" applyBorder="1" applyAlignment="1">
      <alignment vertical="center" wrapText="1"/>
    </xf>
    <xf numFmtId="0" fontId="156" fillId="2" borderId="169" xfId="0" applyFont="1" applyFill="1" applyBorder="1" applyAlignment="1">
      <alignment horizontal="center" vertical="center" wrapText="1"/>
    </xf>
    <xf numFmtId="166" fontId="156" fillId="2" borderId="169" xfId="0" applyNumberFormat="1" applyFont="1" applyFill="1" applyBorder="1" applyAlignment="1">
      <alignment horizontal="center" vertical="center" wrapText="1"/>
    </xf>
    <xf numFmtId="0" fontId="154" fillId="9" borderId="169" xfId="0" applyFont="1" applyFill="1" applyBorder="1"/>
    <xf numFmtId="0" fontId="156" fillId="0" borderId="0" xfId="0" applyFont="1"/>
    <xf numFmtId="0" fontId="158" fillId="0" borderId="0" xfId="57" applyFont="1"/>
    <xf numFmtId="49" fontId="153" fillId="0" borderId="0" xfId="195" applyNumberFormat="1" applyFont="1" applyFill="1" applyBorder="1" applyAlignment="1" applyProtection="1">
      <alignment horizontal="center"/>
      <protection locked="0"/>
    </xf>
    <xf numFmtId="10" fontId="64" fillId="9" borderId="239" xfId="57" applyNumberFormat="1" applyFont="1" applyFill="1" applyBorder="1" applyAlignment="1">
      <alignment horizontal="center" vertical="center"/>
    </xf>
    <xf numFmtId="49" fontId="153" fillId="0" borderId="0" xfId="0" applyNumberFormat="1" applyFont="1" applyFill="1" applyAlignment="1">
      <alignment horizontal="center" vertical="center"/>
    </xf>
    <xf numFmtId="10" fontId="64" fillId="9" borderId="229" xfId="57" applyNumberFormat="1" applyFont="1" applyFill="1" applyBorder="1" applyAlignment="1">
      <alignment vertical="center"/>
    </xf>
    <xf numFmtId="2" fontId="64" fillId="0" borderId="0" xfId="0" applyNumberFormat="1" applyFont="1" applyAlignment="1">
      <alignment horizontal="center" vertical="center"/>
    </xf>
    <xf numFmtId="10" fontId="64" fillId="0" borderId="236" xfId="57" applyNumberFormat="1" applyFont="1" applyBorder="1" applyAlignment="1">
      <alignment horizontal="center"/>
    </xf>
    <xf numFmtId="10" fontId="64" fillId="0" borderId="229" xfId="57" applyNumberFormat="1" applyFont="1" applyBorder="1" applyAlignment="1">
      <alignment horizontal="center"/>
    </xf>
    <xf numFmtId="10" fontId="64" fillId="0" borderId="229" xfId="57" applyNumberFormat="1" applyFont="1" applyFill="1" applyBorder="1" applyAlignment="1">
      <alignment horizontal="center"/>
    </xf>
    <xf numFmtId="0" fontId="153" fillId="0" borderId="0" xfId="2" applyFont="1" applyAlignment="1">
      <alignment vertical="center" wrapText="1"/>
    </xf>
    <xf numFmtId="10" fontId="64" fillId="0" borderId="175" xfId="57" applyNumberFormat="1" applyFont="1" applyBorder="1" applyAlignment="1">
      <alignment horizontal="center"/>
    </xf>
    <xf numFmtId="10" fontId="64" fillId="0" borderId="175" xfId="57" applyNumberFormat="1" applyFont="1" applyFill="1" applyBorder="1" applyAlignment="1">
      <alignment horizontal="center"/>
    </xf>
    <xf numFmtId="0" fontId="153" fillId="0" borderId="0" xfId="2" applyFont="1" applyBorder="1" applyAlignment="1">
      <alignment vertical="center" wrapText="1"/>
    </xf>
    <xf numFmtId="10" fontId="155" fillId="9" borderId="224" xfId="7" applyNumberFormat="1" applyFont="1" applyFill="1" applyBorder="1" applyAlignment="1">
      <alignment horizontal="center" vertical="center" wrapText="1"/>
    </xf>
    <xf numFmtId="10" fontId="155" fillId="9" borderId="262" xfId="7" applyNumberFormat="1" applyFont="1" applyFill="1" applyBorder="1" applyAlignment="1">
      <alignment horizontal="center" vertical="center" wrapText="1"/>
    </xf>
    <xf numFmtId="49" fontId="153" fillId="0" borderId="0" xfId="2" applyNumberFormat="1" applyFont="1" applyBorder="1" applyAlignment="1">
      <alignment horizontal="center" vertical="center" wrapText="1"/>
    </xf>
    <xf numFmtId="10" fontId="64" fillId="0" borderId="229" xfId="2" applyNumberFormat="1" applyFont="1" applyFill="1" applyBorder="1" applyAlignment="1">
      <alignment horizontal="center" vertical="center" wrapText="1"/>
    </xf>
    <xf numFmtId="0" fontId="153" fillId="0" borderId="0" xfId="2" applyFont="1" applyBorder="1" applyAlignment="1">
      <alignment horizontal="left" vertical="center" wrapText="1" indent="1"/>
    </xf>
    <xf numFmtId="10" fontId="153" fillId="0" borderId="229" xfId="2" applyNumberFormat="1" applyFont="1" applyFill="1" applyBorder="1" applyAlignment="1">
      <alignment horizontal="center" vertical="center" wrapText="1"/>
    </xf>
    <xf numFmtId="0" fontId="154" fillId="0" borderId="0" xfId="0" applyFont="1" applyFill="1" applyAlignment="1">
      <alignment horizontal="left"/>
    </xf>
    <xf numFmtId="0" fontId="153" fillId="0" borderId="0" xfId="8" quotePrefix="1" applyFont="1"/>
    <xf numFmtId="10" fontId="148" fillId="9" borderId="0" xfId="113" applyNumberFormat="1"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11" fillId="0" borderId="0" xfId="0" applyFont="1" applyAlignment="1">
      <alignment horizontal="left" vertical="top" wrapText="1"/>
    </xf>
    <xf numFmtId="0" fontId="11" fillId="0" borderId="0" xfId="0" applyFont="1" applyAlignment="1">
      <alignment horizontal="left" vertical="top"/>
    </xf>
    <xf numFmtId="0" fontId="16" fillId="0" borderId="0" xfId="0" applyFont="1" applyFill="1" applyBorder="1" applyAlignment="1">
      <alignment horizontal="center"/>
    </xf>
    <xf numFmtId="0" fontId="145" fillId="0" borderId="0" xfId="0" applyFont="1" applyAlignment="1">
      <alignment wrapText="1"/>
    </xf>
    <xf numFmtId="0" fontId="0" fillId="0" borderId="0" xfId="0" applyAlignment="1">
      <alignment wrapText="1"/>
    </xf>
    <xf numFmtId="0" fontId="21" fillId="0" borderId="0" xfId="0" applyFont="1" applyFill="1" applyAlignment="1">
      <alignment horizontal="center" vertical="center"/>
    </xf>
    <xf numFmtId="0" fontId="10" fillId="9" borderId="12" xfId="0" applyFont="1" applyFill="1" applyBorder="1" applyAlignment="1">
      <alignment horizontal="center" vertical="center"/>
    </xf>
    <xf numFmtId="0" fontId="10" fillId="9" borderId="11" xfId="0" applyFont="1" applyFill="1" applyBorder="1" applyAlignment="1">
      <alignment horizontal="center" vertical="center"/>
    </xf>
    <xf numFmtId="0" fontId="10" fillId="9" borderId="12" xfId="0" applyFont="1" applyFill="1" applyBorder="1" applyAlignment="1">
      <alignment horizontal="center" vertical="center" wrapText="1"/>
    </xf>
    <xf numFmtId="0" fontId="10" fillId="9" borderId="48" xfId="0" applyFont="1" applyFill="1" applyBorder="1" applyAlignment="1">
      <alignment horizontal="center" vertical="center" wrapText="1"/>
    </xf>
    <xf numFmtId="0" fontId="10" fillId="9" borderId="149" xfId="0" applyFont="1" applyFill="1" applyBorder="1" applyAlignment="1">
      <alignment horizontal="center" vertical="center" wrapText="1"/>
    </xf>
    <xf numFmtId="0" fontId="10" fillId="9" borderId="250" xfId="0" applyFont="1" applyFill="1" applyBorder="1" applyAlignment="1">
      <alignment horizontal="center" vertical="center" wrapText="1"/>
    </xf>
    <xf numFmtId="0" fontId="0" fillId="0" borderId="254" xfId="0" applyBorder="1" applyAlignment="1">
      <alignment wrapText="1"/>
    </xf>
    <xf numFmtId="0" fontId="0" fillId="0" borderId="253" xfId="0" applyBorder="1" applyAlignment="1">
      <alignment wrapText="1"/>
    </xf>
    <xf numFmtId="49" fontId="12" fillId="0" borderId="0" xfId="0" applyNumberFormat="1" applyFont="1" applyFill="1" applyAlignment="1">
      <alignment horizontal="center" vertical="center"/>
    </xf>
    <xf numFmtId="0" fontId="10" fillId="9" borderId="149" xfId="0" applyFont="1" applyFill="1" applyBorder="1" applyAlignment="1">
      <alignment horizontal="center" vertical="center"/>
    </xf>
    <xf numFmtId="0" fontId="10" fillId="9" borderId="11" xfId="0" applyFont="1" applyFill="1" applyBorder="1" applyAlignment="1">
      <alignment horizontal="center" vertical="center" wrapText="1"/>
    </xf>
    <xf numFmtId="0" fontId="12" fillId="0" borderId="0" xfId="0" applyNumberFormat="1" applyFont="1" applyFill="1" applyAlignment="1">
      <alignment horizontal="center" vertical="center" wrapText="1"/>
    </xf>
    <xf numFmtId="49" fontId="10" fillId="5" borderId="0" xfId="0" applyNumberFormat="1" applyFont="1" applyFill="1" applyAlignment="1">
      <alignment horizontal="center" vertical="center" wrapText="1"/>
    </xf>
    <xf numFmtId="49" fontId="14" fillId="5" borderId="0" xfId="0" applyNumberFormat="1" applyFont="1" applyFill="1" applyAlignment="1">
      <alignment horizontal="center" vertical="center" wrapText="1"/>
    </xf>
    <xf numFmtId="0" fontId="11" fillId="0" borderId="5" xfId="0" applyFont="1" applyBorder="1" applyAlignment="1">
      <alignment horizontal="left" vertical="center" wrapText="1"/>
    </xf>
    <xf numFmtId="0" fontId="11" fillId="0" borderId="5" xfId="0" applyFont="1" applyBorder="1" applyAlignment="1">
      <alignment vertical="top" wrapText="1"/>
    </xf>
    <xf numFmtId="0" fontId="11" fillId="0" borderId="23" xfId="0" applyFont="1" applyBorder="1" applyAlignment="1">
      <alignment vertical="top" wrapText="1"/>
    </xf>
    <xf numFmtId="0" fontId="11" fillId="0" borderId="24" xfId="0" applyFont="1" applyBorder="1" applyAlignment="1">
      <alignment vertical="top" wrapText="1"/>
    </xf>
    <xf numFmtId="0" fontId="11" fillId="0" borderId="41" xfId="0" applyFont="1" applyBorder="1" applyAlignment="1">
      <alignment vertical="top" wrapText="1"/>
    </xf>
    <xf numFmtId="0" fontId="11" fillId="0" borderId="5" xfId="0" applyFont="1" applyBorder="1" applyAlignment="1">
      <alignment horizontal="left" vertical="top" wrapText="1"/>
    </xf>
    <xf numFmtId="0" fontId="11" fillId="0" borderId="5" xfId="0" applyFont="1" applyBorder="1" applyAlignment="1">
      <alignment horizontal="left" wrapText="1"/>
    </xf>
    <xf numFmtId="0" fontId="38" fillId="16" borderId="5" xfId="0" applyFont="1" applyFill="1" applyBorder="1" applyAlignment="1">
      <alignment horizontal="left" vertical="top" wrapText="1"/>
    </xf>
    <xf numFmtId="0" fontId="11" fillId="0" borderId="5" xfId="0" applyFont="1" applyBorder="1" applyAlignment="1">
      <alignment wrapText="1"/>
    </xf>
    <xf numFmtId="0" fontId="40" fillId="10" borderId="5" xfId="0" applyFont="1" applyFill="1" applyBorder="1" applyAlignment="1">
      <alignment horizontal="left"/>
    </xf>
    <xf numFmtId="0" fontId="38" fillId="16" borderId="29" xfId="0" applyFont="1" applyFill="1" applyBorder="1" applyAlignment="1">
      <alignment horizontal="left" vertical="top" wrapText="1"/>
    </xf>
    <xf numFmtId="0" fontId="38" fillId="16" borderId="28" xfId="0" applyFont="1" applyFill="1" applyBorder="1" applyAlignment="1">
      <alignment horizontal="left" vertical="top" wrapText="1"/>
    </xf>
    <xf numFmtId="0" fontId="40" fillId="10" borderId="5" xfId="0" applyFont="1" applyFill="1" applyBorder="1" applyAlignment="1">
      <alignment wrapText="1"/>
    </xf>
    <xf numFmtId="0" fontId="40" fillId="16" borderId="5" xfId="0" applyFont="1" applyFill="1" applyBorder="1" applyAlignment="1">
      <alignment horizontal="left" wrapText="1"/>
    </xf>
    <xf numFmtId="0" fontId="11" fillId="0" borderId="5" xfId="0" applyFont="1" applyFill="1" applyBorder="1" applyAlignment="1">
      <alignment horizontal="left" vertical="top" wrapText="1"/>
    </xf>
    <xf numFmtId="0" fontId="12" fillId="0" borderId="0" xfId="0" applyFont="1" applyFill="1" applyAlignment="1">
      <alignment horizontal="center" vertical="center"/>
    </xf>
    <xf numFmtId="49" fontId="12" fillId="0" borderId="0" xfId="0" applyNumberFormat="1" applyFont="1" applyFill="1" applyBorder="1" applyAlignment="1">
      <alignment horizontal="center" vertical="center"/>
    </xf>
    <xf numFmtId="0" fontId="36" fillId="0" borderId="124" xfId="11" applyBorder="1" applyAlignment="1">
      <alignment horizontal="left"/>
    </xf>
    <xf numFmtId="0" fontId="36" fillId="0" borderId="125" xfId="11" applyBorder="1" applyAlignment="1">
      <alignment horizontal="left"/>
    </xf>
    <xf numFmtId="0" fontId="36" fillId="0" borderId="126" xfId="11" applyBorder="1" applyAlignment="1">
      <alignment horizontal="left"/>
    </xf>
    <xf numFmtId="3" fontId="63" fillId="48" borderId="127" xfId="11" applyNumberFormat="1" applyFont="1" applyFill="1" applyBorder="1" applyAlignment="1">
      <alignment horizontal="center" vertical="center"/>
    </xf>
    <xf numFmtId="3" fontId="63" fillId="48" borderId="128" xfId="11" applyNumberFormat="1" applyFont="1" applyFill="1" applyBorder="1" applyAlignment="1">
      <alignment horizontal="center" vertical="center"/>
    </xf>
    <xf numFmtId="3" fontId="36" fillId="0" borderId="121" xfId="11" applyNumberFormat="1" applyBorder="1" applyAlignment="1">
      <alignment horizontal="center" vertical="center"/>
    </xf>
    <xf numFmtId="3" fontId="36" fillId="0" borderId="123" xfId="11" applyNumberFormat="1" applyBorder="1" applyAlignment="1">
      <alignment horizontal="center" vertical="center"/>
    </xf>
    <xf numFmtId="0" fontId="58" fillId="0" borderId="124" xfId="11" applyFont="1" applyBorder="1" applyAlignment="1">
      <alignment horizontal="left"/>
    </xf>
    <xf numFmtId="0" fontId="58" fillId="0" borderId="125" xfId="11" applyFont="1" applyBorder="1" applyAlignment="1">
      <alignment horizontal="left"/>
    </xf>
    <xf numFmtId="0" fontId="58" fillId="0" borderId="126" xfId="11" applyFont="1" applyBorder="1" applyAlignment="1">
      <alignment horizontal="left"/>
    </xf>
    <xf numFmtId="3" fontId="36" fillId="0" borderId="121" xfId="11" applyNumberFormat="1" applyBorder="1" applyAlignment="1">
      <alignment horizontal="center" vertical="center" wrapText="1"/>
    </xf>
    <xf numFmtId="3" fontId="36" fillId="0" borderId="123" xfId="11" applyNumberFormat="1" applyBorder="1" applyAlignment="1">
      <alignment horizontal="center" vertical="center" wrapText="1"/>
    </xf>
    <xf numFmtId="0" fontId="63" fillId="48" borderId="118" xfId="11" applyFont="1" applyFill="1" applyBorder="1" applyAlignment="1">
      <alignment horizontal="center" vertical="center" wrapText="1"/>
    </xf>
    <xf numFmtId="0" fontId="63" fillId="48" borderId="119" xfId="11" applyFont="1" applyFill="1" applyBorder="1" applyAlignment="1">
      <alignment horizontal="center" vertical="center" wrapText="1"/>
    </xf>
    <xf numFmtId="49" fontId="12" fillId="0" borderId="0" xfId="0" applyNumberFormat="1" applyFont="1" applyFill="1" applyAlignment="1">
      <alignment horizontal="center"/>
    </xf>
    <xf numFmtId="0" fontId="0" fillId="0" borderId="0" xfId="0" applyAlignment="1">
      <alignment horizontal="center"/>
    </xf>
    <xf numFmtId="0" fontId="12" fillId="0" borderId="0" xfId="0" applyFont="1" applyAlignment="1">
      <alignment horizontal="center"/>
    </xf>
    <xf numFmtId="0" fontId="0" fillId="9" borderId="188" xfId="0" applyFill="1" applyBorder="1" applyAlignment="1">
      <alignment horizontal="center"/>
    </xf>
    <xf numFmtId="0" fontId="0" fillId="0" borderId="176" xfId="0" applyBorder="1" applyAlignment="1">
      <alignment horizontal="center"/>
    </xf>
    <xf numFmtId="0" fontId="0" fillId="0" borderId="0" xfId="0" applyAlignment="1">
      <alignment horizontal="left" vertical="center"/>
    </xf>
    <xf numFmtId="0" fontId="12" fillId="0" borderId="0" xfId="0" applyFont="1" applyFill="1" applyBorder="1" applyAlignment="1">
      <alignment horizontal="center"/>
    </xf>
    <xf numFmtId="2" fontId="12" fillId="0" borderId="0" xfId="0" applyNumberFormat="1" applyFont="1" applyFill="1" applyBorder="1" applyAlignment="1">
      <alignment horizontal="center"/>
    </xf>
    <xf numFmtId="0" fontId="37" fillId="15" borderId="33" xfId="0" applyFont="1" applyFill="1" applyBorder="1" applyAlignment="1">
      <alignment horizontal="center" vertical="center" textRotation="90" wrapText="1"/>
    </xf>
    <xf numFmtId="0" fontId="37" fillId="15" borderId="48" xfId="0" applyFont="1" applyFill="1" applyBorder="1" applyAlignment="1">
      <alignment horizontal="center" vertical="center" textRotation="90" wrapText="1"/>
    </xf>
    <xf numFmtId="0" fontId="37" fillId="15" borderId="44" xfId="0" applyFont="1" applyFill="1" applyBorder="1" applyAlignment="1">
      <alignment horizontal="center" vertical="center" textRotation="90" wrapText="1"/>
    </xf>
    <xf numFmtId="0" fontId="25" fillId="15" borderId="8" xfId="0" applyFont="1" applyFill="1" applyBorder="1" applyAlignment="1">
      <alignment horizontal="left" vertical="center" wrapText="1" indent="1"/>
    </xf>
    <xf numFmtId="0" fontId="25" fillId="15" borderId="5" xfId="0" applyFont="1" applyFill="1" applyBorder="1" applyAlignment="1">
      <alignment horizontal="left" vertical="center" wrapText="1" indent="1"/>
    </xf>
    <xf numFmtId="0" fontId="25" fillId="15" borderId="36" xfId="0" applyFont="1" applyFill="1" applyBorder="1" applyAlignment="1">
      <alignment horizontal="left" vertical="center" wrapText="1" indent="1"/>
    </xf>
    <xf numFmtId="0" fontId="37" fillId="14" borderId="10" xfId="0" applyFont="1" applyFill="1" applyBorder="1" applyAlignment="1">
      <alignment horizontal="center" vertical="center" wrapText="1"/>
    </xf>
    <xf numFmtId="0" fontId="37" fillId="14" borderId="21" xfId="0" applyFont="1" applyFill="1" applyBorder="1" applyAlignment="1">
      <alignment horizontal="center" vertical="center" wrapText="1"/>
    </xf>
    <xf numFmtId="0" fontId="37" fillId="14" borderId="32" xfId="0" applyFont="1" applyFill="1" applyBorder="1" applyAlignment="1">
      <alignment horizontal="center" vertical="center" wrapText="1"/>
    </xf>
    <xf numFmtId="0" fontId="25" fillId="15" borderId="246" xfId="0" applyFont="1" applyFill="1" applyBorder="1" applyAlignment="1">
      <alignment horizontal="left" vertical="center" wrapText="1" indent="1"/>
    </xf>
    <xf numFmtId="0" fontId="25" fillId="15" borderId="6" xfId="0" applyFont="1" applyFill="1" applyBorder="1" applyAlignment="1">
      <alignment horizontal="left" vertical="center" wrapText="1" indent="1"/>
    </xf>
    <xf numFmtId="0" fontId="25" fillId="15" borderId="9" xfId="0" applyFont="1" applyFill="1" applyBorder="1" applyAlignment="1">
      <alignment horizontal="left" vertical="center" wrapText="1" indent="1"/>
    </xf>
    <xf numFmtId="0" fontId="25" fillId="15" borderId="260" xfId="0" applyFont="1" applyFill="1" applyBorder="1" applyAlignment="1">
      <alignment horizontal="left" vertical="center" wrapText="1" indent="1"/>
    </xf>
    <xf numFmtId="0" fontId="25" fillId="15" borderId="47" xfId="0" applyFont="1" applyFill="1" applyBorder="1" applyAlignment="1">
      <alignment horizontal="left" vertical="center" wrapText="1" indent="1"/>
    </xf>
    <xf numFmtId="0" fontId="37" fillId="14" borderId="259" xfId="0" applyFont="1" applyFill="1" applyBorder="1" applyAlignment="1">
      <alignment horizontal="center" vertical="center" wrapText="1"/>
    </xf>
    <xf numFmtId="0" fontId="37" fillId="14" borderId="49" xfId="0" applyFont="1" applyFill="1" applyBorder="1" applyAlignment="1">
      <alignment horizontal="center" vertical="center" wrapText="1"/>
    </xf>
    <xf numFmtId="0" fontId="37" fillId="4" borderId="33" xfId="0" applyFont="1" applyFill="1" applyBorder="1" applyAlignment="1">
      <alignment horizontal="center" vertical="center" textRotation="90" wrapText="1"/>
    </xf>
    <xf numFmtId="0" fontId="37" fillId="4" borderId="48" xfId="0" applyFont="1" applyFill="1" applyBorder="1" applyAlignment="1">
      <alignment horizontal="center" vertical="center" textRotation="90" wrapText="1"/>
    </xf>
    <xf numFmtId="0" fontId="37" fillId="4" borderId="44" xfId="0" applyFont="1" applyFill="1" applyBorder="1" applyAlignment="1">
      <alignment horizontal="center" vertical="center" textRotation="90" wrapText="1"/>
    </xf>
    <xf numFmtId="0" fontId="25" fillId="4" borderId="36" xfId="0" applyFont="1" applyFill="1" applyBorder="1" applyAlignment="1">
      <alignment horizontal="left" vertical="center" wrapText="1" indent="1"/>
    </xf>
    <xf numFmtId="0" fontId="25" fillId="4" borderId="5" xfId="0" applyFont="1" applyFill="1" applyBorder="1" applyAlignment="1">
      <alignment horizontal="left" vertical="center" wrapText="1" indent="1"/>
    </xf>
    <xf numFmtId="0" fontId="25" fillId="4" borderId="19" xfId="0" applyFont="1" applyFill="1" applyBorder="1" applyAlignment="1">
      <alignment horizontal="left" vertical="center" wrapText="1" indent="1"/>
    </xf>
    <xf numFmtId="0" fontId="25" fillId="4" borderId="20" xfId="0" applyFont="1" applyFill="1" applyBorder="1" applyAlignment="1">
      <alignment horizontal="left" vertical="center" wrapText="1" indent="1"/>
    </xf>
    <xf numFmtId="0" fontId="25" fillId="4" borderId="97" xfId="0" applyFont="1" applyFill="1" applyBorder="1" applyAlignment="1">
      <alignment horizontal="left" vertical="center" wrapText="1" indent="1"/>
    </xf>
    <xf numFmtId="0" fontId="25" fillId="4" borderId="23" xfId="0" applyFont="1" applyFill="1" applyBorder="1" applyAlignment="1">
      <alignment horizontal="left" vertical="center" wrapText="1" indent="1"/>
    </xf>
    <xf numFmtId="0" fontId="25" fillId="4" borderId="24" xfId="0" applyFont="1" applyFill="1" applyBorder="1" applyAlignment="1">
      <alignment horizontal="left" vertical="center" wrapText="1" indent="1"/>
    </xf>
    <xf numFmtId="0" fontId="25" fillId="4" borderId="254" xfId="0" applyFont="1" applyFill="1" applyBorder="1" applyAlignment="1">
      <alignment horizontal="left" vertical="center" wrapText="1" indent="1"/>
    </xf>
    <xf numFmtId="0" fontId="25" fillId="4" borderId="98" xfId="0" applyFont="1" applyFill="1" applyBorder="1" applyAlignment="1">
      <alignment horizontal="left" vertical="center" wrapText="1" indent="1"/>
    </xf>
    <xf numFmtId="0" fontId="25" fillId="4" borderId="37" xfId="0" applyFont="1" applyFill="1" applyBorder="1" applyAlignment="1">
      <alignment horizontal="left" vertical="center" wrapText="1" indent="1"/>
    </xf>
    <xf numFmtId="0" fontId="25" fillId="4" borderId="55" xfId="0" applyFont="1" applyFill="1" applyBorder="1" applyAlignment="1">
      <alignment horizontal="left" vertical="center" wrapText="1" indent="1"/>
    </xf>
    <xf numFmtId="0" fontId="25" fillId="4" borderId="261" xfId="0" applyFont="1" applyFill="1" applyBorder="1" applyAlignment="1">
      <alignment horizontal="left" vertical="center" wrapText="1" indent="1"/>
    </xf>
    <xf numFmtId="0" fontId="25" fillId="4" borderId="99" xfId="0" applyFont="1" applyFill="1" applyBorder="1" applyAlignment="1">
      <alignment horizontal="left" vertical="center" wrapText="1" indent="1"/>
    </xf>
    <xf numFmtId="0" fontId="25" fillId="6" borderId="19" xfId="0" applyFont="1" applyFill="1" applyBorder="1" applyAlignment="1">
      <alignment horizontal="left" vertical="center" wrapText="1" indent="1"/>
    </xf>
    <xf numFmtId="0" fontId="25" fillId="6" borderId="20" xfId="0" applyFont="1" applyFill="1" applyBorder="1" applyAlignment="1">
      <alignment horizontal="left" vertical="center" wrapText="1" indent="1"/>
    </xf>
    <xf numFmtId="0" fontId="25" fillId="6" borderId="18" xfId="0" applyFont="1" applyFill="1" applyBorder="1" applyAlignment="1">
      <alignment horizontal="left" vertical="center" wrapText="1" indent="1"/>
    </xf>
    <xf numFmtId="0" fontId="25" fillId="6" borderId="23" xfId="0" applyFont="1" applyFill="1" applyBorder="1" applyAlignment="1">
      <alignment horizontal="left" vertical="center" wrapText="1" indent="1"/>
    </xf>
    <xf numFmtId="0" fontId="25" fillId="6" borderId="24" xfId="0" applyFont="1" applyFill="1" applyBorder="1" applyAlignment="1">
      <alignment horizontal="left" vertical="center" wrapText="1" indent="1"/>
    </xf>
    <xf numFmtId="0" fontId="25" fillId="6" borderId="41" xfId="0" applyFont="1" applyFill="1" applyBorder="1" applyAlignment="1">
      <alignment horizontal="left" vertical="center" wrapText="1" indent="1"/>
    </xf>
    <xf numFmtId="0" fontId="25" fillId="6" borderId="37" xfId="0" applyFont="1" applyFill="1" applyBorder="1" applyAlignment="1">
      <alignment horizontal="left" vertical="center" wrapText="1" indent="1"/>
    </xf>
    <xf numFmtId="0" fontId="25" fillId="6" borderId="55" xfId="0" applyFont="1" applyFill="1" applyBorder="1" applyAlignment="1">
      <alignment horizontal="left" vertical="center" wrapText="1" indent="1"/>
    </xf>
    <xf numFmtId="0" fontId="25" fillId="6" borderId="54" xfId="0" applyFont="1" applyFill="1" applyBorder="1" applyAlignment="1">
      <alignment horizontal="left" vertical="center" wrapText="1" indent="1"/>
    </xf>
    <xf numFmtId="0" fontId="25" fillId="4" borderId="260" xfId="0" applyFont="1" applyFill="1" applyBorder="1" applyAlignment="1">
      <alignment horizontal="left" vertical="center" wrapText="1" indent="1"/>
    </xf>
    <xf numFmtId="0" fontId="25" fillId="4" borderId="47" xfId="0" applyFont="1" applyFill="1" applyBorder="1" applyAlignment="1">
      <alignment horizontal="left" vertical="center" wrapText="1" indent="1"/>
    </xf>
    <xf numFmtId="0" fontId="25" fillId="4" borderId="246" xfId="0" applyFont="1" applyFill="1" applyBorder="1" applyAlignment="1">
      <alignment horizontal="left" vertical="center" wrapText="1" indent="1"/>
    </xf>
    <xf numFmtId="0" fontId="25" fillId="4" borderId="6" xfId="0" applyFont="1" applyFill="1" applyBorder="1" applyAlignment="1">
      <alignment horizontal="left" vertical="center" wrapText="1" indent="1"/>
    </xf>
    <xf numFmtId="0" fontId="25" fillId="4" borderId="8" xfId="0" applyFont="1" applyFill="1" applyBorder="1" applyAlignment="1">
      <alignment horizontal="left" vertical="center" wrapText="1" indent="1"/>
    </xf>
    <xf numFmtId="0" fontId="25" fillId="4" borderId="9" xfId="0" applyFont="1" applyFill="1" applyBorder="1" applyAlignment="1">
      <alignment horizontal="left" vertical="center" wrapText="1" indent="1"/>
    </xf>
    <xf numFmtId="0" fontId="0" fillId="15" borderId="5" xfId="0" applyFill="1" applyBorder="1" applyAlignment="1">
      <alignment horizontal="left" vertical="center" indent="1"/>
    </xf>
    <xf numFmtId="0" fontId="0" fillId="15" borderId="246" xfId="0" applyFill="1" applyBorder="1" applyAlignment="1">
      <alignment horizontal="left" vertical="center" indent="1"/>
    </xf>
    <xf numFmtId="0" fontId="0" fillId="15" borderId="6" xfId="0" applyFill="1" applyBorder="1" applyAlignment="1">
      <alignment horizontal="left" vertical="center" indent="1"/>
    </xf>
    <xf numFmtId="0" fontId="25" fillId="15" borderId="5" xfId="0" applyFont="1" applyFill="1" applyBorder="1" applyAlignment="1">
      <alignment horizontal="left" vertical="center" indent="1"/>
    </xf>
    <xf numFmtId="0" fontId="37" fillId="15" borderId="36" xfId="0" applyFont="1" applyFill="1" applyBorder="1" applyAlignment="1">
      <alignment horizontal="center" vertical="center" textRotation="90" wrapText="1"/>
    </xf>
    <xf numFmtId="0" fontId="37" fillId="15" borderId="5" xfId="0" applyFont="1" applyFill="1" applyBorder="1" applyAlignment="1">
      <alignment horizontal="center" vertical="center" textRotation="90" wrapText="1"/>
    </xf>
    <xf numFmtId="0" fontId="37" fillId="15" borderId="8" xfId="0" applyFont="1" applyFill="1" applyBorder="1" applyAlignment="1">
      <alignment horizontal="center" vertical="center" textRotation="90" wrapText="1"/>
    </xf>
    <xf numFmtId="0" fontId="25" fillId="15" borderId="8" xfId="0" applyFont="1" applyFill="1" applyBorder="1" applyAlignment="1">
      <alignment horizontal="left" vertical="center" indent="1"/>
    </xf>
    <xf numFmtId="0" fontId="0" fillId="15" borderId="8" xfId="0" applyFill="1" applyBorder="1" applyAlignment="1">
      <alignment horizontal="left" vertical="center" indent="1"/>
    </xf>
    <xf numFmtId="0" fontId="0" fillId="15" borderId="9" xfId="0" applyFill="1" applyBorder="1" applyAlignment="1">
      <alignment horizontal="left" vertical="center" indent="1"/>
    </xf>
    <xf numFmtId="0" fontId="25" fillId="15" borderId="23" xfId="0" applyFont="1" applyFill="1" applyBorder="1" applyAlignment="1">
      <alignment horizontal="left" vertical="center" wrapText="1" indent="1"/>
    </xf>
    <xf numFmtId="0" fontId="25" fillId="15" borderId="24" xfId="0" applyFont="1" applyFill="1" applyBorder="1" applyAlignment="1">
      <alignment horizontal="left" vertical="center" wrapText="1" indent="1"/>
    </xf>
    <xf numFmtId="0" fontId="25" fillId="15" borderId="41" xfId="0" applyFont="1" applyFill="1" applyBorder="1" applyAlignment="1">
      <alignment horizontal="left" vertical="center" wrapText="1" indent="1"/>
    </xf>
    <xf numFmtId="0" fontId="25" fillId="15" borderId="254" xfId="0" applyFont="1" applyFill="1" applyBorder="1" applyAlignment="1">
      <alignment horizontal="left" vertical="center" wrapText="1" indent="1"/>
    </xf>
    <xf numFmtId="0" fontId="25" fillId="15" borderId="98" xfId="0" applyFont="1" applyFill="1" applyBorder="1" applyAlignment="1">
      <alignment horizontal="left" vertical="center" wrapText="1" indent="1"/>
    </xf>
    <xf numFmtId="0" fontId="0" fillId="9" borderId="176" xfId="0" applyFill="1" applyBorder="1" applyAlignment="1">
      <alignment horizontal="center"/>
    </xf>
    <xf numFmtId="0" fontId="157" fillId="0" borderId="0" xfId="0" applyFont="1" applyAlignment="1">
      <alignment horizontal="center"/>
    </xf>
    <xf numFmtId="2" fontId="157" fillId="0" borderId="0" xfId="0" applyNumberFormat="1" applyFont="1" applyFill="1" applyBorder="1" applyAlignment="1">
      <alignment horizontal="center"/>
    </xf>
    <xf numFmtId="49" fontId="156" fillId="5" borderId="0" xfId="0" applyNumberFormat="1" applyFont="1" applyFill="1" applyAlignment="1">
      <alignment horizontal="center" vertical="center" wrapText="1"/>
    </xf>
    <xf numFmtId="49" fontId="12" fillId="0" borderId="0" xfId="0" applyNumberFormat="1" applyFont="1" applyAlignment="1">
      <alignment horizontal="center"/>
    </xf>
    <xf numFmtId="0" fontId="11" fillId="5" borderId="0" xfId="0" applyFont="1" applyFill="1" applyAlignment="1">
      <alignment horizontal="center" vertical="center" wrapText="1"/>
    </xf>
    <xf numFmtId="0" fontId="12" fillId="0" borderId="0" xfId="9" applyFont="1" applyAlignment="1">
      <alignment horizontal="center"/>
    </xf>
    <xf numFmtId="49" fontId="12" fillId="0" borderId="0" xfId="9" applyNumberFormat="1" applyFont="1" applyAlignment="1">
      <alignment horizontal="center"/>
    </xf>
    <xf numFmtId="0" fontId="10" fillId="5" borderId="0" xfId="9" applyFont="1" applyFill="1" applyAlignment="1">
      <alignment horizontal="center" vertical="center" wrapText="1"/>
    </xf>
    <xf numFmtId="0" fontId="11" fillId="0" borderId="0" xfId="9" applyAlignment="1">
      <alignment horizontal="center" vertical="center"/>
    </xf>
    <xf numFmtId="0" fontId="0" fillId="0" borderId="0" xfId="0" applyAlignment="1">
      <alignment horizontal="center" vertical="center"/>
    </xf>
    <xf numFmtId="0" fontId="10" fillId="2" borderId="40"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0" fillId="9" borderId="172" xfId="0" applyFont="1" applyFill="1" applyBorder="1" applyAlignment="1">
      <alignment wrapText="1"/>
    </xf>
    <xf numFmtId="0" fontId="10" fillId="9" borderId="100" xfId="0" applyFont="1" applyFill="1" applyBorder="1" applyAlignment="1">
      <alignment wrapText="1"/>
    </xf>
    <xf numFmtId="0" fontId="11" fillId="0" borderId="0" xfId="0" applyFont="1" applyAlignment="1">
      <alignment horizontal="left" vertical="center" wrapText="1"/>
    </xf>
    <xf numFmtId="0" fontId="0" fillId="0" borderId="0" xfId="0" applyAlignment="1">
      <alignment horizontal="left" vertical="center" wrapText="1"/>
    </xf>
    <xf numFmtId="0" fontId="11" fillId="0" borderId="0" xfId="0" applyFont="1" applyAlignment="1">
      <alignment horizontal="left" wrapText="1"/>
    </xf>
    <xf numFmtId="0" fontId="10" fillId="2" borderId="129" xfId="0" applyFont="1" applyFill="1" applyBorder="1" applyAlignment="1">
      <alignment horizontal="center" vertical="center" wrapText="1"/>
    </xf>
    <xf numFmtId="0" fontId="10" fillId="2" borderId="35"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47" xfId="0" applyFont="1" applyFill="1" applyBorder="1" applyAlignment="1">
      <alignment horizontal="center" vertical="center" wrapText="1"/>
    </xf>
    <xf numFmtId="0" fontId="10" fillId="2" borderId="9" xfId="0" applyFont="1" applyFill="1" applyBorder="1" applyAlignment="1">
      <alignment horizontal="center" vertical="center"/>
    </xf>
    <xf numFmtId="0" fontId="10" fillId="2" borderId="165"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5" xfId="0" applyFont="1" applyFill="1" applyBorder="1" applyAlignment="1">
      <alignment horizontal="center" vertical="center"/>
    </xf>
    <xf numFmtId="2" fontId="12" fillId="0" borderId="0" xfId="0" applyNumberFormat="1" applyFont="1" applyFill="1" applyAlignment="1">
      <alignment horizontal="center"/>
    </xf>
    <xf numFmtId="0" fontId="10" fillId="2" borderId="188" xfId="0" applyFont="1" applyFill="1" applyBorder="1" applyAlignment="1">
      <alignment horizontal="center" vertical="center" wrapText="1"/>
    </xf>
    <xf numFmtId="0" fontId="11" fillId="0" borderId="176" xfId="0" applyFont="1" applyBorder="1" applyAlignment="1">
      <alignment horizontal="center" vertical="center" wrapText="1"/>
    </xf>
    <xf numFmtId="0" fontId="11" fillId="0" borderId="27" xfId="0" applyFont="1" applyBorder="1" applyAlignment="1">
      <alignment horizontal="left" vertical="center"/>
    </xf>
    <xf numFmtId="0" fontId="0" fillId="0" borderId="24" xfId="0" applyBorder="1" applyAlignment="1">
      <alignment horizontal="left" vertical="center"/>
    </xf>
    <xf numFmtId="0" fontId="0" fillId="0" borderId="41" xfId="0" applyBorder="1" applyAlignment="1">
      <alignment horizontal="left" vertical="center"/>
    </xf>
    <xf numFmtId="0" fontId="0" fillId="0" borderId="23" xfId="0" applyBorder="1" applyAlignment="1">
      <alignment horizontal="left" vertical="center"/>
    </xf>
    <xf numFmtId="0" fontId="0" fillId="0" borderId="27" xfId="0" applyBorder="1" applyAlignment="1">
      <alignment horizontal="left" vertical="center"/>
    </xf>
    <xf numFmtId="0" fontId="14" fillId="0" borderId="25" xfId="0" applyFont="1" applyBorder="1" applyAlignment="1">
      <alignment horizontal="left" vertical="center"/>
    </xf>
    <xf numFmtId="0" fontId="14" fillId="0" borderId="21" xfId="0" applyFont="1" applyBorder="1" applyAlignment="1">
      <alignment horizontal="left" vertical="center"/>
    </xf>
    <xf numFmtId="0" fontId="14" fillId="0" borderId="32" xfId="0" applyFont="1" applyBorder="1" applyAlignment="1">
      <alignment horizontal="left" vertical="center"/>
    </xf>
    <xf numFmtId="0" fontId="14" fillId="0" borderId="10" xfId="0" applyFont="1" applyBorder="1" applyAlignment="1">
      <alignment horizontal="left" vertical="center"/>
    </xf>
    <xf numFmtId="0" fontId="0" fillId="0" borderId="39" xfId="0" applyBorder="1" applyAlignment="1">
      <alignment horizontal="left" vertical="center"/>
    </xf>
    <xf numFmtId="0" fontId="0" fillId="0" borderId="55" xfId="0" applyBorder="1" applyAlignment="1">
      <alignment horizontal="left" vertical="center"/>
    </xf>
    <xf numFmtId="0" fontId="0" fillId="0" borderId="54" xfId="0" applyBorder="1" applyAlignment="1">
      <alignment horizontal="left" vertical="center"/>
    </xf>
    <xf numFmtId="0" fontId="0" fillId="0" borderId="37" xfId="0" applyBorder="1" applyAlignment="1">
      <alignment horizontal="left" vertical="center"/>
    </xf>
    <xf numFmtId="0" fontId="11" fillId="5" borderId="0" xfId="0" applyFont="1" applyFill="1" applyAlignment="1">
      <alignment horizontal="left" vertical="center" wrapText="1"/>
    </xf>
    <xf numFmtId="0" fontId="0" fillId="5" borderId="0" xfId="0" applyFill="1" applyAlignment="1">
      <alignment horizontal="left" vertical="center" wrapText="1"/>
    </xf>
    <xf numFmtId="0" fontId="0" fillId="0" borderId="0" xfId="0" applyAlignment="1"/>
    <xf numFmtId="0" fontId="0" fillId="0" borderId="0" xfId="0" applyAlignment="1">
      <alignment horizontal="center" vertical="center" wrapText="1"/>
    </xf>
    <xf numFmtId="2" fontId="12" fillId="0" borderId="0" xfId="0" applyNumberFormat="1" applyFont="1" applyAlignment="1">
      <alignment horizontal="center"/>
    </xf>
    <xf numFmtId="0" fontId="11" fillId="0" borderId="180" xfId="2" applyFont="1" applyBorder="1" applyAlignment="1">
      <alignment vertical="center" wrapText="1"/>
    </xf>
    <xf numFmtId="0" fontId="11" fillId="0" borderId="181" xfId="0" applyFont="1" applyBorder="1" applyAlignment="1">
      <alignment vertical="center" wrapText="1"/>
    </xf>
    <xf numFmtId="0" fontId="11" fillId="0" borderId="1" xfId="2" applyFont="1" applyBorder="1" applyAlignment="1">
      <alignment horizontal="left" vertical="center" wrapText="1"/>
    </xf>
    <xf numFmtId="0" fontId="11" fillId="0" borderId="191" xfId="2" applyFont="1" applyBorder="1" applyAlignment="1">
      <alignment horizontal="left" vertical="center" wrapText="1"/>
    </xf>
    <xf numFmtId="0" fontId="10" fillId="0" borderId="180" xfId="2" applyFont="1" applyBorder="1" applyAlignment="1">
      <alignment horizontal="left" vertical="center" wrapText="1"/>
    </xf>
    <xf numFmtId="0" fontId="0" fillId="0" borderId="165" xfId="0" applyBorder="1" applyAlignment="1">
      <alignment vertical="center" wrapText="1"/>
    </xf>
    <xf numFmtId="0" fontId="10" fillId="2" borderId="38" xfId="0" applyFont="1" applyFill="1" applyBorder="1" applyAlignment="1">
      <alignment horizontal="center" vertical="center"/>
    </xf>
    <xf numFmtId="0" fontId="14" fillId="2" borderId="56" xfId="0" applyFont="1" applyFill="1" applyBorder="1" applyAlignment="1">
      <alignment horizontal="center" vertical="center"/>
    </xf>
    <xf numFmtId="0" fontId="14" fillId="2" borderId="57" xfId="0" applyFont="1" applyFill="1" applyBorder="1" applyAlignment="1">
      <alignment horizontal="center" vertical="center"/>
    </xf>
    <xf numFmtId="0" fontId="12" fillId="0" borderId="0" xfId="0" applyFont="1" applyAlignment="1">
      <alignment horizontal="center" vertical="center"/>
    </xf>
    <xf numFmtId="49" fontId="12" fillId="0" borderId="0" xfId="0" applyNumberFormat="1" applyFont="1" applyAlignment="1">
      <alignment horizontal="center" vertical="center"/>
    </xf>
    <xf numFmtId="0" fontId="14" fillId="2" borderId="35"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0" fillId="0" borderId="0" xfId="0" applyAlignment="1">
      <alignment vertical="center"/>
    </xf>
    <xf numFmtId="0" fontId="10" fillId="2" borderId="193" xfId="0" applyFont="1" applyFill="1" applyBorder="1" applyAlignment="1">
      <alignment horizontal="center" vertical="center"/>
    </xf>
    <xf numFmtId="0" fontId="10" fillId="2" borderId="192" xfId="0" applyFont="1" applyFill="1" applyBorder="1" applyAlignment="1">
      <alignment horizontal="center" vertical="center"/>
    </xf>
    <xf numFmtId="0" fontId="10" fillId="2" borderId="195" xfId="0" applyFont="1" applyFill="1" applyBorder="1" applyAlignment="1">
      <alignment horizontal="center" vertical="center"/>
    </xf>
    <xf numFmtId="0" fontId="21" fillId="0" borderId="0" xfId="2" applyFont="1" applyBorder="1" applyAlignment="1">
      <alignment horizontal="center" vertical="center" wrapText="1"/>
    </xf>
    <xf numFmtId="49" fontId="12" fillId="0" borderId="0" xfId="2" applyNumberFormat="1" applyFont="1" applyBorder="1" applyAlignment="1">
      <alignment horizontal="center" vertical="center" wrapText="1"/>
    </xf>
    <xf numFmtId="0" fontId="11" fillId="68" borderId="0" xfId="0" applyFont="1" applyFill="1" applyAlignment="1">
      <alignment horizontal="center" wrapText="1"/>
    </xf>
    <xf numFmtId="0" fontId="0" fillId="68" borderId="0" xfId="0" applyFill="1" applyAlignment="1">
      <alignment horizontal="center" wrapText="1"/>
    </xf>
    <xf numFmtId="0" fontId="21" fillId="0" borderId="0" xfId="0" applyFont="1" applyAlignment="1">
      <alignment horizontal="center" vertical="center" wrapText="1"/>
    </xf>
    <xf numFmtId="0" fontId="12" fillId="0" borderId="0" xfId="0" applyFont="1" applyAlignment="1">
      <alignment horizontal="center" vertical="center" wrapText="1"/>
    </xf>
    <xf numFmtId="0" fontId="12" fillId="0" borderId="0" xfId="2" applyFont="1" applyBorder="1" applyAlignment="1">
      <alignment horizontal="center" vertical="center" wrapText="1"/>
    </xf>
    <xf numFmtId="49" fontId="12" fillId="5" borderId="180" xfId="2" applyNumberFormat="1" applyFont="1" applyFill="1" applyBorder="1" applyAlignment="1">
      <alignment horizontal="center" vertical="center"/>
    </xf>
    <xf numFmtId="0" fontId="10" fillId="5" borderId="165" xfId="0" applyFont="1" applyFill="1" applyBorder="1" applyAlignment="1">
      <alignment horizontal="center" vertical="center"/>
    </xf>
    <xf numFmtId="0" fontId="10" fillId="5" borderId="181" xfId="0" applyFont="1" applyFill="1" applyBorder="1" applyAlignment="1">
      <alignment horizontal="center" vertical="center"/>
    </xf>
    <xf numFmtId="203" fontId="60" fillId="9" borderId="180" xfId="0" applyNumberFormat="1" applyFont="1" applyFill="1" applyBorder="1" applyAlignment="1">
      <alignment horizontal="center" vertical="center"/>
    </xf>
    <xf numFmtId="0" fontId="0" fillId="9" borderId="181" xfId="0" applyFill="1" applyBorder="1" applyAlignment="1">
      <alignment horizontal="center" vertical="center"/>
    </xf>
    <xf numFmtId="14" fontId="93" fillId="5" borderId="180" xfId="0" applyNumberFormat="1" applyFont="1" applyFill="1" applyBorder="1" applyAlignment="1">
      <alignment horizontal="center" vertical="center"/>
    </xf>
    <xf numFmtId="0" fontId="12" fillId="5" borderId="165" xfId="0" applyFont="1" applyFill="1" applyBorder="1" applyAlignment="1">
      <alignment horizontal="center" vertical="center"/>
    </xf>
    <xf numFmtId="0" fontId="12" fillId="5" borderId="181" xfId="0" applyFont="1" applyFill="1" applyBorder="1" applyAlignment="1">
      <alignment horizontal="center" vertical="center"/>
    </xf>
    <xf numFmtId="0" fontId="0" fillId="0" borderId="0" xfId="0" applyAlignment="1">
      <alignment vertical="center" wrapText="1"/>
    </xf>
    <xf numFmtId="2" fontId="10" fillId="65" borderId="33" xfId="11" applyNumberFormat="1" applyFont="1" applyFill="1" applyBorder="1" applyAlignment="1">
      <alignment horizontal="center" vertical="top" wrapText="1"/>
    </xf>
    <xf numFmtId="2" fontId="10" fillId="65" borderId="149" xfId="11" applyNumberFormat="1" applyFont="1" applyFill="1" applyBorder="1" applyAlignment="1">
      <alignment horizontal="center" vertical="top"/>
    </xf>
    <xf numFmtId="2" fontId="10" fillId="65" borderId="149" xfId="11" applyNumberFormat="1" applyFont="1" applyFill="1" applyBorder="1" applyAlignment="1">
      <alignment horizontal="center" vertical="top" wrapText="1"/>
    </xf>
    <xf numFmtId="44" fontId="10" fillId="65" borderId="33" xfId="11" applyNumberFormat="1" applyFont="1" applyFill="1" applyBorder="1" applyAlignment="1">
      <alignment horizontal="center" vertical="top" wrapText="1"/>
    </xf>
    <xf numFmtId="44" fontId="10" fillId="65" borderId="149" xfId="11" applyNumberFormat="1" applyFont="1" applyFill="1" applyBorder="1" applyAlignment="1">
      <alignment horizontal="center" vertical="top" wrapText="1"/>
    </xf>
    <xf numFmtId="2" fontId="10" fillId="65" borderId="37" xfId="11" applyNumberFormat="1" applyFont="1" applyFill="1" applyBorder="1" applyAlignment="1">
      <alignment horizontal="center" vertical="top" wrapText="1"/>
    </xf>
    <xf numFmtId="2" fontId="10" fillId="65" borderId="23" xfId="11" applyNumberFormat="1" applyFont="1" applyFill="1" applyBorder="1" applyAlignment="1">
      <alignment horizontal="center" vertical="top" wrapText="1"/>
    </xf>
    <xf numFmtId="0" fontId="10" fillId="65" borderId="39" xfId="11" applyFont="1" applyFill="1" applyBorder="1" applyAlignment="1">
      <alignment horizontal="center" vertical="top" wrapText="1"/>
    </xf>
    <xf numFmtId="0" fontId="10" fillId="65" borderId="27" xfId="11" applyFont="1" applyFill="1" applyBorder="1" applyAlignment="1">
      <alignment horizontal="center" vertical="top" wrapText="1"/>
    </xf>
    <xf numFmtId="0" fontId="10" fillId="65" borderId="37" xfId="11" applyFont="1" applyFill="1" applyBorder="1" applyAlignment="1">
      <alignment horizontal="center" vertical="top" wrapText="1"/>
    </xf>
    <xf numFmtId="0" fontId="10" fillId="65" borderId="23" xfId="11" applyFont="1" applyFill="1" applyBorder="1" applyAlignment="1">
      <alignment horizontal="center" vertical="top" wrapText="1"/>
    </xf>
    <xf numFmtId="0" fontId="10" fillId="65" borderId="58" xfId="11" applyFont="1" applyFill="1" applyBorder="1" applyAlignment="1">
      <alignment horizontal="center" vertical="top" wrapText="1"/>
    </xf>
    <xf numFmtId="0" fontId="10" fillId="65" borderId="13" xfId="11" applyFont="1" applyFill="1" applyBorder="1" applyAlignment="1">
      <alignment horizontal="center" vertical="top" wrapText="1"/>
    </xf>
    <xf numFmtId="0" fontId="10" fillId="65" borderId="33" xfId="11" applyFont="1" applyFill="1" applyBorder="1" applyAlignment="1">
      <alignment horizontal="center" vertical="top" wrapText="1"/>
    </xf>
    <xf numFmtId="0" fontId="10" fillId="65" borderId="149" xfId="11" applyFont="1" applyFill="1" applyBorder="1" applyAlignment="1">
      <alignment horizontal="center" vertical="top" wrapText="1"/>
    </xf>
    <xf numFmtId="0" fontId="10" fillId="65" borderId="47" xfId="11" applyFont="1" applyFill="1" applyBorder="1" applyAlignment="1">
      <alignment horizontal="center" vertical="top" wrapText="1"/>
    </xf>
    <xf numFmtId="0" fontId="10" fillId="65" borderId="6" xfId="11" applyFont="1" applyFill="1" applyBorder="1" applyAlignment="1">
      <alignment horizontal="center" vertical="top" wrapText="1"/>
    </xf>
    <xf numFmtId="0" fontId="10" fillId="65" borderId="35" xfId="11" applyFont="1" applyFill="1" applyBorder="1" applyAlignment="1">
      <alignment horizontal="center" vertical="top" wrapText="1"/>
    </xf>
    <xf numFmtId="0" fontId="10" fillId="65" borderId="36" xfId="11" applyFont="1" applyFill="1" applyBorder="1" applyAlignment="1">
      <alignment horizontal="center" vertical="top" wrapText="1"/>
    </xf>
    <xf numFmtId="2" fontId="92" fillId="5" borderId="10" xfId="0" applyNumberFormat="1" applyFont="1" applyFill="1" applyBorder="1" applyAlignment="1">
      <alignment horizontal="center" vertical="center"/>
    </xf>
    <xf numFmtId="2" fontId="92" fillId="5" borderId="21" xfId="0" applyNumberFormat="1" applyFont="1" applyFill="1" applyBorder="1" applyAlignment="1">
      <alignment horizontal="center" vertical="center"/>
    </xf>
    <xf numFmtId="2" fontId="92" fillId="5" borderId="32" xfId="0" applyNumberFormat="1" applyFont="1" applyFill="1" applyBorder="1" applyAlignment="1">
      <alignment horizontal="center" vertical="center"/>
    </xf>
    <xf numFmtId="0" fontId="10" fillId="74" borderId="251" xfId="11" applyFont="1" applyFill="1" applyBorder="1" applyAlignment="1">
      <alignment horizontal="center" vertical="center" wrapText="1"/>
    </xf>
    <xf numFmtId="0" fontId="0" fillId="0" borderId="211" xfId="0" applyBorder="1" applyAlignment="1">
      <alignment horizontal="center" vertical="center" wrapText="1"/>
    </xf>
    <xf numFmtId="0" fontId="0" fillId="0" borderId="209" xfId="0" applyBorder="1" applyAlignment="1">
      <alignment horizontal="center" vertical="center" wrapText="1"/>
    </xf>
    <xf numFmtId="0" fontId="10" fillId="5" borderId="251" xfId="2" applyFont="1" applyFill="1" applyBorder="1" applyAlignment="1">
      <alignment vertical="center" wrapText="1"/>
    </xf>
    <xf numFmtId="0" fontId="0" fillId="0" borderId="211" xfId="0" applyBorder="1" applyAlignment="1">
      <alignment vertical="center" wrapText="1"/>
    </xf>
    <xf numFmtId="0" fontId="0" fillId="0" borderId="269" xfId="0" applyBorder="1" applyAlignment="1">
      <alignment vertical="center" wrapText="1"/>
    </xf>
    <xf numFmtId="0" fontId="0" fillId="0" borderId="209" xfId="0" applyBorder="1" applyAlignment="1">
      <alignment vertical="center" wrapText="1"/>
    </xf>
    <xf numFmtId="0" fontId="10" fillId="9" borderId="167" xfId="2" applyFont="1" applyFill="1" applyBorder="1" applyAlignment="1">
      <alignment horizontal="center" vertical="top" wrapText="1"/>
    </xf>
    <xf numFmtId="0" fontId="10" fillId="9" borderId="48" xfId="0" applyFont="1" applyFill="1" applyBorder="1" applyAlignment="1">
      <alignment horizontal="center" vertical="top" wrapText="1"/>
    </xf>
    <xf numFmtId="0" fontId="0" fillId="0" borderId="149" xfId="0" applyBorder="1" applyAlignment="1">
      <alignment horizontal="center" vertical="top" wrapText="1"/>
    </xf>
    <xf numFmtId="44" fontId="10" fillId="65" borderId="34" xfId="11" applyNumberFormat="1" applyFont="1" applyFill="1" applyBorder="1" applyAlignment="1">
      <alignment horizontal="center" vertical="top" wrapText="1"/>
    </xf>
    <xf numFmtId="44" fontId="10" fillId="65" borderId="150" xfId="11" applyNumberFormat="1" applyFont="1" applyFill="1" applyBorder="1" applyAlignment="1">
      <alignment horizontal="center" vertical="top"/>
    </xf>
    <xf numFmtId="2" fontId="10" fillId="65" borderId="47" xfId="11" applyNumberFormat="1" applyFont="1" applyFill="1" applyBorder="1" applyAlignment="1">
      <alignment horizontal="center" vertical="top" wrapText="1"/>
    </xf>
    <xf numFmtId="2" fontId="10" fillId="65" borderId="6" xfId="11" applyNumberFormat="1" applyFont="1" applyFill="1" applyBorder="1" applyAlignment="1">
      <alignment horizontal="center" vertical="top" wrapText="1"/>
    </xf>
    <xf numFmtId="1" fontId="11" fillId="0" borderId="0" xfId="2" applyNumberFormat="1" applyFont="1" applyAlignment="1">
      <alignment horizontal="center" vertical="center" wrapText="1"/>
    </xf>
    <xf numFmtId="0" fontId="10" fillId="75" borderId="58" xfId="11" applyFont="1" applyFill="1" applyBorder="1" applyAlignment="1">
      <alignment horizontal="center" vertical="top" wrapText="1"/>
    </xf>
    <xf numFmtId="0" fontId="10" fillId="75" borderId="13" xfId="11" applyFont="1" applyFill="1" applyBorder="1" applyAlignment="1">
      <alignment horizontal="center" vertical="top" wrapText="1"/>
    </xf>
    <xf numFmtId="0" fontId="10" fillId="75" borderId="33" xfId="11" applyFont="1" applyFill="1" applyBorder="1" applyAlignment="1">
      <alignment horizontal="center" vertical="top" wrapText="1"/>
    </xf>
    <xf numFmtId="0" fontId="10" fillId="75" borderId="149" xfId="11" applyFont="1" applyFill="1" applyBorder="1" applyAlignment="1">
      <alignment horizontal="center" vertical="top" wrapText="1"/>
    </xf>
    <xf numFmtId="44" fontId="10" fillId="75" borderId="33" xfId="11" applyNumberFormat="1" applyFont="1" applyFill="1" applyBorder="1" applyAlignment="1">
      <alignment horizontal="center" vertical="top" wrapText="1"/>
    </xf>
    <xf numFmtId="44" fontId="10" fillId="75" borderId="149" xfId="11" applyNumberFormat="1" applyFont="1" applyFill="1" applyBorder="1" applyAlignment="1">
      <alignment horizontal="center" vertical="top" wrapText="1"/>
    </xf>
    <xf numFmtId="0" fontId="10" fillId="9" borderId="52" xfId="2" applyFont="1" applyFill="1" applyBorder="1" applyAlignment="1">
      <alignment horizontal="center" vertical="top" wrapText="1"/>
    </xf>
    <xf numFmtId="0" fontId="10" fillId="9" borderId="161" xfId="0" applyFont="1" applyFill="1" applyBorder="1" applyAlignment="1">
      <alignment horizontal="center" vertical="top" wrapText="1"/>
    </xf>
    <xf numFmtId="2" fontId="10" fillId="75" borderId="33" xfId="11" applyNumberFormat="1" applyFont="1" applyFill="1" applyBorder="1" applyAlignment="1">
      <alignment horizontal="center" vertical="top" wrapText="1"/>
    </xf>
    <xf numFmtId="2" fontId="10" fillId="75" borderId="149" xfId="11" applyNumberFormat="1" applyFont="1" applyFill="1" applyBorder="1" applyAlignment="1">
      <alignment horizontal="center" vertical="top" wrapText="1"/>
    </xf>
    <xf numFmtId="0" fontId="10" fillId="9" borderId="33" xfId="2" applyFont="1" applyFill="1" applyBorder="1" applyAlignment="1">
      <alignment horizontal="center" vertical="top" wrapText="1"/>
    </xf>
    <xf numFmtId="0" fontId="10" fillId="9" borderId="149" xfId="0" applyFont="1" applyFill="1" applyBorder="1" applyAlignment="1">
      <alignment horizontal="center" vertical="top" wrapText="1"/>
    </xf>
    <xf numFmtId="0" fontId="10" fillId="2" borderId="251" xfId="0" applyFont="1" applyFill="1" applyBorder="1" applyAlignment="1">
      <alignment horizontal="center" vertical="center" wrapText="1"/>
    </xf>
    <xf numFmtId="0" fontId="10" fillId="9" borderId="25" xfId="2" applyFont="1" applyFill="1" applyBorder="1" applyAlignment="1">
      <alignment horizontal="left" vertical="center" wrapText="1"/>
    </xf>
    <xf numFmtId="0" fontId="10" fillId="9" borderId="21" xfId="0" applyFont="1" applyFill="1" applyBorder="1" applyAlignment="1">
      <alignment vertical="center" wrapText="1"/>
    </xf>
    <xf numFmtId="0" fontId="10" fillId="9" borderId="49" xfId="0" applyFont="1" applyFill="1" applyBorder="1" applyAlignment="1">
      <alignment vertical="center" wrapText="1"/>
    </xf>
    <xf numFmtId="0" fontId="11" fillId="0" borderId="38" xfId="2" applyFont="1" applyBorder="1" applyAlignment="1">
      <alignment horizontal="left" vertical="center" wrapText="1"/>
    </xf>
    <xf numFmtId="0" fontId="11" fillId="0" borderId="56" xfId="2" applyFont="1" applyBorder="1" applyAlignment="1">
      <alignment horizontal="left" vertical="center" wrapText="1"/>
    </xf>
    <xf numFmtId="0" fontId="11" fillId="0" borderId="57" xfId="2" applyFont="1" applyBorder="1" applyAlignment="1">
      <alignment horizontal="left" vertical="center" wrapText="1"/>
    </xf>
    <xf numFmtId="169" fontId="11" fillId="9" borderId="38" xfId="2" applyNumberFormat="1" applyFont="1" applyFill="1" applyBorder="1" applyAlignment="1">
      <alignment horizontal="center" vertical="center" wrapText="1"/>
    </xf>
    <xf numFmtId="169" fontId="11" fillId="9" borderId="57" xfId="2" applyNumberFormat="1" applyFont="1" applyFill="1" applyBorder="1" applyAlignment="1">
      <alignment horizontal="center" vertical="center" wrapText="1"/>
    </xf>
    <xf numFmtId="1" fontId="11" fillId="0" borderId="65" xfId="2" applyNumberFormat="1" applyFont="1" applyBorder="1" applyAlignment="1">
      <alignment horizontal="center" vertical="center" wrapText="1"/>
    </xf>
    <xf numFmtId="1" fontId="11" fillId="0" borderId="66" xfId="2" applyNumberFormat="1" applyFont="1" applyBorder="1" applyAlignment="1">
      <alignment horizontal="center" vertical="center" wrapText="1"/>
    </xf>
    <xf numFmtId="0" fontId="10" fillId="0" borderId="25" xfId="2" applyFont="1" applyBorder="1" applyAlignment="1">
      <alignment horizontal="center" vertical="center" wrapText="1"/>
    </xf>
    <xf numFmtId="0" fontId="10" fillId="0" borderId="21" xfId="2" applyFont="1" applyBorder="1" applyAlignment="1">
      <alignment horizontal="center" vertical="center" wrapText="1"/>
    </xf>
    <xf numFmtId="0" fontId="10" fillId="0" borderId="49" xfId="2" applyFont="1" applyBorder="1" applyAlignment="1">
      <alignment horizontal="center" vertical="center" wrapText="1"/>
    </xf>
    <xf numFmtId="169" fontId="10" fillId="0" borderId="25" xfId="2" applyNumberFormat="1" applyFont="1" applyBorder="1" applyAlignment="1">
      <alignment horizontal="center" vertical="center" wrapText="1"/>
    </xf>
    <xf numFmtId="169" fontId="10" fillId="0" borderId="49" xfId="2" applyNumberFormat="1" applyFont="1" applyBorder="1" applyAlignment="1">
      <alignment horizontal="center" vertical="center" wrapText="1"/>
    </xf>
    <xf numFmtId="0" fontId="11" fillId="0" borderId="65" xfId="2" applyFont="1" applyBorder="1" applyAlignment="1">
      <alignment horizontal="left" vertical="center" wrapText="1"/>
    </xf>
    <xf numFmtId="0" fontId="11" fillId="0" borderId="0" xfId="2" applyFont="1" applyAlignment="1">
      <alignment horizontal="left" vertical="center" wrapText="1"/>
    </xf>
    <xf numFmtId="0" fontId="11" fillId="0" borderId="66" xfId="2" applyFont="1" applyBorder="1" applyAlignment="1">
      <alignment horizontal="left" vertical="center" wrapText="1"/>
    </xf>
    <xf numFmtId="169" fontId="11" fillId="9" borderId="65" xfId="2" applyNumberFormat="1" applyFont="1" applyFill="1" applyBorder="1" applyAlignment="1">
      <alignment horizontal="center" vertical="center" wrapText="1"/>
    </xf>
    <xf numFmtId="169" fontId="11" fillId="9" borderId="66" xfId="2" applyNumberFormat="1" applyFont="1" applyFill="1" applyBorder="1" applyAlignment="1">
      <alignment horizontal="center" vertical="center" wrapText="1"/>
    </xf>
    <xf numFmtId="2" fontId="11" fillId="0" borderId="132" xfId="2" applyNumberFormat="1" applyFont="1" applyBorder="1" applyAlignment="1">
      <alignment horizontal="center" vertical="center" wrapText="1"/>
    </xf>
    <xf numFmtId="2" fontId="11" fillId="0" borderId="83" xfId="2" applyNumberFormat="1" applyFont="1" applyBorder="1" applyAlignment="1">
      <alignment horizontal="center" vertical="center" wrapText="1"/>
    </xf>
    <xf numFmtId="0" fontId="10" fillId="9" borderId="33" xfId="2" applyFont="1" applyFill="1" applyBorder="1" applyAlignment="1">
      <alignment vertical="center" wrapText="1"/>
    </xf>
    <xf numFmtId="0" fontId="10" fillId="9" borderId="149" xfId="0" applyFont="1" applyFill="1" applyBorder="1" applyAlignment="1">
      <alignment vertical="center" wrapText="1"/>
    </xf>
    <xf numFmtId="0" fontId="10" fillId="9" borderId="52" xfId="2" applyFont="1" applyFill="1" applyBorder="1" applyAlignment="1">
      <alignment vertical="center" wrapText="1"/>
    </xf>
    <xf numFmtId="0" fontId="10" fillId="9" borderId="161" xfId="0" applyFont="1" applyFill="1" applyBorder="1" applyAlignment="1">
      <alignment vertical="center" wrapText="1"/>
    </xf>
    <xf numFmtId="0" fontId="10" fillId="74" borderId="235" xfId="11" applyFont="1" applyFill="1" applyBorder="1" applyAlignment="1">
      <alignment horizontal="center" vertical="center" wrapText="1"/>
    </xf>
    <xf numFmtId="0" fontId="0" fillId="0" borderId="277" xfId="0" applyBorder="1" applyAlignment="1">
      <alignment horizontal="center" vertical="center" wrapText="1"/>
    </xf>
    <xf numFmtId="0" fontId="0" fillId="0" borderId="237" xfId="0" applyBorder="1" applyAlignment="1">
      <alignment horizontal="center" vertical="center" wrapText="1"/>
    </xf>
    <xf numFmtId="0" fontId="0" fillId="0" borderId="0" xfId="0" applyAlignment="1">
      <alignment horizontal="center" wrapText="1"/>
    </xf>
    <xf numFmtId="0" fontId="11" fillId="0" borderId="180" xfId="2" applyFont="1" applyBorder="1" applyAlignment="1">
      <alignment horizontal="left" vertical="center" wrapText="1"/>
    </xf>
    <xf numFmtId="0" fontId="11" fillId="0" borderId="165" xfId="2" applyFont="1" applyBorder="1" applyAlignment="1">
      <alignment horizontal="left" vertical="center" wrapText="1"/>
    </xf>
    <xf numFmtId="0" fontId="0" fillId="0" borderId="181" xfId="0" applyBorder="1" applyAlignment="1">
      <alignment vertical="center" wrapText="1"/>
    </xf>
    <xf numFmtId="0" fontId="14" fillId="0" borderId="165" xfId="2" applyFont="1" applyBorder="1" applyAlignment="1">
      <alignment horizontal="left" vertical="center" wrapText="1"/>
    </xf>
    <xf numFmtId="0" fontId="11" fillId="0" borderId="0" xfId="2" applyFont="1" applyBorder="1" applyAlignment="1" applyProtection="1">
      <alignment horizontal="left" vertical="center" wrapText="1"/>
      <protection locked="0"/>
    </xf>
    <xf numFmtId="0" fontId="0" fillId="0" borderId="0" xfId="0" applyAlignment="1" applyProtection="1">
      <alignment vertical="center" wrapText="1"/>
      <protection locked="0"/>
    </xf>
    <xf numFmtId="0" fontId="11" fillId="0" borderId="231" xfId="2" applyFont="1" applyBorder="1" applyAlignment="1">
      <alignment horizontal="left" vertical="center" wrapText="1"/>
    </xf>
    <xf numFmtId="0" fontId="11" fillId="0" borderId="230" xfId="2" applyFont="1" applyBorder="1" applyAlignment="1">
      <alignment horizontal="left" vertical="center" wrapText="1"/>
    </xf>
    <xf numFmtId="0" fontId="0" fillId="0" borderId="232" xfId="0" applyBorder="1" applyAlignment="1">
      <alignment horizontal="left" vertical="center" wrapText="1"/>
    </xf>
    <xf numFmtId="0" fontId="11" fillId="0" borderId="0" xfId="2" applyFont="1" applyFill="1" applyBorder="1" applyAlignment="1">
      <alignment horizontal="left" vertical="center" wrapText="1"/>
    </xf>
    <xf numFmtId="0" fontId="0" fillId="0" borderId="0" xfId="0" applyFill="1" applyAlignment="1">
      <alignment vertical="center" wrapText="1"/>
    </xf>
    <xf numFmtId="0" fontId="12" fillId="0" borderId="0" xfId="2" applyFont="1" applyFill="1" applyBorder="1" applyAlignment="1">
      <alignment horizontal="center" vertical="center" wrapText="1"/>
    </xf>
    <xf numFmtId="0" fontId="11" fillId="0" borderId="15" xfId="0" applyNumberFormat="1" applyFont="1" applyFill="1" applyBorder="1" applyAlignment="1">
      <alignment horizontal="left" vertical="center" indent="1"/>
    </xf>
    <xf numFmtId="0" fontId="0" fillId="0" borderId="42" xfId="0" applyBorder="1" applyAlignment="1">
      <alignment horizontal="left" vertical="center" indent="1"/>
    </xf>
    <xf numFmtId="0" fontId="0" fillId="0" borderId="13" xfId="0" applyBorder="1" applyAlignment="1">
      <alignment horizontal="left" vertical="center" indent="1"/>
    </xf>
    <xf numFmtId="0" fontId="11" fillId="0" borderId="2" xfId="2" applyFont="1" applyBorder="1" applyAlignment="1">
      <alignment horizontal="left" vertical="center" wrapText="1"/>
    </xf>
    <xf numFmtId="0" fontId="0" fillId="0" borderId="171" xfId="0" applyBorder="1" applyAlignment="1">
      <alignment vertical="center" wrapText="1"/>
    </xf>
    <xf numFmtId="0" fontId="14" fillId="2" borderId="25" xfId="0" applyFont="1" applyFill="1" applyBorder="1" applyAlignment="1">
      <alignment horizontal="center" vertical="center"/>
    </xf>
    <xf numFmtId="0" fontId="14" fillId="2" borderId="49" xfId="0" applyFont="1" applyFill="1" applyBorder="1" applyAlignment="1">
      <alignment horizontal="center" vertical="center"/>
    </xf>
    <xf numFmtId="0" fontId="14" fillId="2" borderId="21" xfId="0" applyFont="1" applyFill="1" applyBorder="1" applyAlignment="1">
      <alignment horizontal="center" vertical="center"/>
    </xf>
    <xf numFmtId="167" fontId="14" fillId="2" borderId="25" xfId="2" applyNumberFormat="1" applyFont="1" applyFill="1" applyBorder="1" applyAlignment="1">
      <alignment horizontal="left" vertical="center" wrapText="1"/>
    </xf>
    <xf numFmtId="167" fontId="14" fillId="2" borderId="165" xfId="2" applyNumberFormat="1" applyFont="1" applyFill="1" applyBorder="1" applyAlignment="1">
      <alignment horizontal="left" vertical="center" wrapText="1"/>
    </xf>
    <xf numFmtId="167" fontId="14" fillId="2" borderId="21" xfId="2" applyNumberFormat="1" applyFont="1" applyFill="1" applyBorder="1" applyAlignment="1">
      <alignment horizontal="left" vertical="center" wrapText="1"/>
    </xf>
    <xf numFmtId="0" fontId="14" fillId="5" borderId="0" xfId="2" applyFont="1" applyFill="1" applyBorder="1" applyAlignment="1">
      <alignment horizontal="center" vertical="center" wrapText="1"/>
    </xf>
    <xf numFmtId="167" fontId="10" fillId="2" borderId="33" xfId="2" applyNumberFormat="1" applyFont="1" applyFill="1" applyBorder="1" applyAlignment="1">
      <alignment horizontal="center" vertical="center" wrapText="1"/>
    </xf>
    <xf numFmtId="167" fontId="14" fillId="2" borderId="44" xfId="2" applyNumberFormat="1" applyFont="1" applyFill="1" applyBorder="1" applyAlignment="1">
      <alignment horizontal="center" vertical="center" wrapText="1"/>
    </xf>
    <xf numFmtId="0" fontId="10" fillId="2" borderId="33" xfId="2" applyFont="1" applyFill="1" applyBorder="1" applyAlignment="1">
      <alignment horizontal="center" vertical="center" textRotation="90" wrapText="1"/>
    </xf>
    <xf numFmtId="0" fontId="14" fillId="2" borderId="44" xfId="2" applyFont="1" applyFill="1" applyBorder="1" applyAlignment="1">
      <alignment horizontal="center" vertical="center" textRotation="90" wrapText="1"/>
    </xf>
    <xf numFmtId="0" fontId="14" fillId="2" borderId="188" xfId="2" applyFont="1" applyFill="1" applyBorder="1" applyAlignment="1">
      <alignment horizontal="center" vertical="center" textRotation="90" wrapText="1"/>
    </xf>
    <xf numFmtId="0" fontId="14" fillId="2" borderId="176" xfId="2" applyFont="1" applyFill="1" applyBorder="1" applyAlignment="1">
      <alignment horizontal="center" vertical="center" textRotation="90" wrapText="1"/>
    </xf>
    <xf numFmtId="0" fontId="10" fillId="2" borderId="165" xfId="2" applyFont="1" applyFill="1" applyBorder="1" applyAlignment="1">
      <alignment horizontal="center" vertical="center" wrapText="1"/>
    </xf>
    <xf numFmtId="0" fontId="14" fillId="2" borderId="49" xfId="2" applyFont="1" applyFill="1" applyBorder="1" applyAlignment="1">
      <alignment horizontal="center" vertical="center" wrapText="1"/>
    </xf>
    <xf numFmtId="0" fontId="10" fillId="0" borderId="0" xfId="2" applyFont="1" applyFill="1" applyBorder="1" applyAlignment="1">
      <alignment horizontal="left" vertical="center" wrapText="1"/>
    </xf>
    <xf numFmtId="0" fontId="14" fillId="0" borderId="0" xfId="2" applyFont="1" applyFill="1" applyBorder="1" applyAlignment="1">
      <alignment horizontal="left" vertical="center" wrapText="1"/>
    </xf>
    <xf numFmtId="0" fontId="15" fillId="0" borderId="0" xfId="2" applyFont="1" applyBorder="1" applyAlignment="1">
      <alignment horizontal="left" vertical="center" wrapText="1"/>
    </xf>
    <xf numFmtId="167" fontId="14" fillId="2" borderId="58" xfId="2" applyNumberFormat="1" applyFont="1" applyFill="1" applyBorder="1" applyAlignment="1">
      <alignment horizontal="center" vertical="center" wrapText="1"/>
    </xf>
    <xf numFmtId="167" fontId="14" fillId="2" borderId="46" xfId="2" applyNumberFormat="1" applyFont="1" applyFill="1" applyBorder="1" applyAlignment="1">
      <alignment horizontal="center" vertical="center" wrapText="1"/>
    </xf>
    <xf numFmtId="167" fontId="14" fillId="2" borderId="33" xfId="2" applyNumberFormat="1" applyFont="1" applyFill="1" applyBorder="1" applyAlignment="1">
      <alignment horizontal="center" vertical="center" wrapText="1"/>
    </xf>
    <xf numFmtId="0" fontId="11" fillId="0" borderId="0" xfId="2" applyFont="1" applyBorder="1" applyAlignment="1">
      <alignment horizontal="left" vertical="center" wrapText="1"/>
    </xf>
    <xf numFmtId="0" fontId="0" fillId="0" borderId="66" xfId="0" applyBorder="1" applyAlignment="1">
      <alignment horizontal="left" vertical="center" wrapText="1"/>
    </xf>
    <xf numFmtId="0" fontId="0" fillId="0" borderId="181" xfId="0" applyBorder="1" applyAlignment="1">
      <alignment horizontal="left" vertical="center" wrapText="1"/>
    </xf>
    <xf numFmtId="0" fontId="21" fillId="0" borderId="0" xfId="0" applyFont="1" applyAlignment="1">
      <alignment horizontal="center" vertical="center"/>
    </xf>
    <xf numFmtId="49" fontId="43" fillId="0" borderId="0" xfId="0" applyNumberFormat="1" applyFont="1" applyAlignment="1">
      <alignment horizontal="left" vertical="top" wrapText="1"/>
    </xf>
    <xf numFmtId="0" fontId="11" fillId="0" borderId="35" xfId="2" applyFont="1" applyBorder="1" applyAlignment="1">
      <alignment horizontal="left" vertical="center" wrapText="1"/>
    </xf>
    <xf numFmtId="0" fontId="11" fillId="0" borderId="36" xfId="2" applyFont="1" applyBorder="1" applyAlignment="1">
      <alignment horizontal="left" vertical="center" wrapText="1"/>
    </xf>
    <xf numFmtId="0" fontId="10" fillId="0" borderId="46" xfId="2" applyFont="1" applyBorder="1" applyAlignment="1">
      <alignment horizontal="left" vertical="center" wrapText="1"/>
    </xf>
    <xf numFmtId="0" fontId="10" fillId="0" borderId="44" xfId="2" applyFont="1" applyBorder="1" applyAlignment="1">
      <alignment horizontal="left" vertical="center" wrapText="1"/>
    </xf>
    <xf numFmtId="0" fontId="11" fillId="0" borderId="4" xfId="2" applyFont="1" applyBorder="1" applyAlignment="1">
      <alignment horizontal="left" vertical="center" wrapText="1"/>
    </xf>
    <xf numFmtId="0" fontId="11" fillId="0" borderId="5" xfId="2" applyFont="1" applyBorder="1" applyAlignment="1">
      <alignment horizontal="left" vertical="center" wrapText="1"/>
    </xf>
    <xf numFmtId="0" fontId="11" fillId="0" borderId="17" xfId="2" applyFont="1" applyBorder="1" applyAlignment="1">
      <alignment horizontal="left" vertical="center" wrapText="1"/>
    </xf>
    <xf numFmtId="0" fontId="11" fillId="0" borderId="18" xfId="2" applyFont="1" applyBorder="1" applyAlignment="1">
      <alignment horizontal="left" vertical="center" wrapText="1"/>
    </xf>
    <xf numFmtId="0" fontId="11" fillId="0" borderId="0" xfId="2" applyFont="1" applyFill="1" applyBorder="1" applyAlignment="1">
      <alignment vertical="center" wrapText="1"/>
    </xf>
    <xf numFmtId="0" fontId="10" fillId="2" borderId="208" xfId="2" applyFont="1" applyFill="1" applyBorder="1" applyAlignment="1">
      <alignment horizontal="center" vertical="center" wrapText="1"/>
    </xf>
    <xf numFmtId="0" fontId="14" fillId="2" borderId="33" xfId="2" applyFont="1" applyFill="1" applyBorder="1" applyAlignment="1">
      <alignment horizontal="center" vertical="center" textRotation="90" wrapText="1"/>
    </xf>
    <xf numFmtId="0" fontId="10" fillId="2" borderId="33" xfId="2" applyFont="1" applyFill="1" applyBorder="1" applyAlignment="1">
      <alignment horizontal="center" vertical="center" wrapText="1"/>
    </xf>
    <xf numFmtId="0" fontId="14" fillId="2" borderId="44" xfId="2" applyFont="1" applyFill="1" applyBorder="1" applyAlignment="1">
      <alignment horizontal="center" vertical="center" wrapText="1"/>
    </xf>
    <xf numFmtId="0" fontId="14" fillId="2" borderId="33" xfId="2" applyFont="1" applyFill="1" applyBorder="1" applyAlignment="1">
      <alignment horizontal="center" vertical="center" wrapText="1"/>
    </xf>
    <xf numFmtId="0" fontId="11" fillId="0" borderId="0" xfId="2" applyFont="1" applyBorder="1" applyAlignment="1">
      <alignment vertical="center" wrapText="1"/>
    </xf>
    <xf numFmtId="49" fontId="124" fillId="0" borderId="0" xfId="9" applyNumberFormat="1" applyFont="1" applyAlignment="1">
      <alignment horizontal="center" vertical="center"/>
    </xf>
    <xf numFmtId="0" fontId="11" fillId="0" borderId="0" xfId="9"/>
    <xf numFmtId="49" fontId="10" fillId="0" borderId="206" xfId="2" applyNumberFormat="1" applyFont="1" applyBorder="1" applyAlignment="1">
      <alignment vertical="center" wrapText="1"/>
    </xf>
    <xf numFmtId="49" fontId="10" fillId="0" borderId="206" xfId="0" applyNumberFormat="1" applyFont="1" applyBorder="1" applyAlignment="1">
      <alignment vertical="center" wrapText="1"/>
    </xf>
    <xf numFmtId="49" fontId="10" fillId="5" borderId="0" xfId="9" applyNumberFormat="1" applyFont="1" applyFill="1" applyAlignment="1">
      <alignment horizontal="center" vertical="center" wrapText="1"/>
    </xf>
    <xf numFmtId="0" fontId="12" fillId="0" borderId="0" xfId="2" applyFont="1" applyAlignment="1">
      <alignment horizontal="center" vertical="center" wrapText="1"/>
    </xf>
    <xf numFmtId="192" fontId="12" fillId="0" borderId="0" xfId="2" applyNumberFormat="1" applyFont="1" applyAlignment="1">
      <alignment horizontal="center" vertical="center" wrapText="1"/>
    </xf>
    <xf numFmtId="193" fontId="10" fillId="2" borderId="25" xfId="57" applyNumberFormat="1" applyFont="1" applyFill="1" applyBorder="1" applyAlignment="1">
      <alignment horizontal="center" vertical="center"/>
    </xf>
    <xf numFmtId="193" fontId="10" fillId="2" borderId="21" xfId="57" applyNumberFormat="1" applyFont="1" applyFill="1" applyBorder="1" applyAlignment="1">
      <alignment horizontal="center" vertical="center"/>
    </xf>
    <xf numFmtId="193" fontId="10" fillId="2" borderId="165" xfId="57" applyNumberFormat="1" applyFont="1" applyFill="1" applyBorder="1" applyAlignment="1">
      <alignment horizontal="center" vertical="center"/>
    </xf>
    <xf numFmtId="9" fontId="11" fillId="0" borderId="39" xfId="2" applyNumberFormat="1" applyFont="1" applyBorder="1" applyAlignment="1">
      <alignment horizontal="center" vertical="center" wrapText="1"/>
    </xf>
    <xf numFmtId="0" fontId="11" fillId="0" borderId="55" xfId="2" applyFont="1" applyBorder="1" applyAlignment="1">
      <alignment horizontal="center" vertical="center" wrapText="1"/>
    </xf>
    <xf numFmtId="0" fontId="11" fillId="0" borderId="228" xfId="2" applyFont="1" applyBorder="1" applyAlignment="1">
      <alignment horizontal="center" vertical="center" wrapText="1"/>
    </xf>
    <xf numFmtId="169" fontId="11" fillId="9" borderId="27" xfId="58" applyNumberFormat="1" applyFont="1" applyFill="1" applyBorder="1" applyAlignment="1">
      <alignment horizontal="center" vertical="center" wrapText="1"/>
    </xf>
    <xf numFmtId="169" fontId="11" fillId="9" borderId="24" xfId="58" applyNumberFormat="1" applyFont="1" applyFill="1" applyBorder="1" applyAlignment="1">
      <alignment horizontal="center" vertical="center" wrapText="1"/>
    </xf>
    <xf numFmtId="0" fontId="11" fillId="0" borderId="0" xfId="0" applyFont="1" applyAlignment="1">
      <alignment vertical="center" wrapText="1"/>
    </xf>
    <xf numFmtId="0" fontId="10" fillId="2" borderId="17" xfId="57" applyFont="1" applyFill="1" applyBorder="1" applyAlignment="1">
      <alignment horizontal="left" vertical="center" wrapText="1"/>
    </xf>
    <xf numFmtId="0" fontId="10" fillId="2" borderId="20" xfId="57" applyFont="1" applyFill="1" applyBorder="1" applyAlignment="1">
      <alignment horizontal="left" vertical="center" wrapText="1"/>
    </xf>
    <xf numFmtId="0" fontId="10" fillId="0" borderId="0" xfId="2" applyFont="1" applyAlignment="1">
      <alignment horizontal="left" vertical="center" wrapText="1"/>
    </xf>
    <xf numFmtId="169" fontId="10" fillId="2" borderId="25" xfId="57" applyNumberFormat="1" applyFont="1" applyFill="1" applyBorder="1" applyAlignment="1">
      <alignment horizontal="center" vertical="center"/>
    </xf>
    <xf numFmtId="169" fontId="10" fillId="2" borderId="21" xfId="57" applyNumberFormat="1" applyFont="1" applyFill="1" applyBorder="1" applyAlignment="1">
      <alignment horizontal="center" vertical="center"/>
    </xf>
    <xf numFmtId="169" fontId="10" fillId="2" borderId="165" xfId="57" applyNumberFormat="1" applyFont="1" applyFill="1" applyBorder="1" applyAlignment="1">
      <alignment horizontal="center" vertical="center"/>
    </xf>
    <xf numFmtId="195" fontId="11" fillId="0" borderId="17" xfId="58" applyNumberFormat="1" applyFont="1" applyFill="1" applyBorder="1" applyAlignment="1">
      <alignment horizontal="center" vertical="center" wrapText="1"/>
    </xf>
    <xf numFmtId="195" fontId="11" fillId="0" borderId="20" xfId="58" applyNumberFormat="1" applyFont="1" applyFill="1" applyBorder="1" applyAlignment="1">
      <alignment horizontal="center" vertical="center" wrapText="1"/>
    </xf>
    <xf numFmtId="193" fontId="10" fillId="2" borderId="1" xfId="57" quotePrefix="1" applyNumberFormat="1" applyFont="1" applyFill="1" applyBorder="1" applyAlignment="1">
      <alignment horizontal="center" vertical="center"/>
    </xf>
    <xf numFmtId="193" fontId="10" fillId="2" borderId="2" xfId="57" applyNumberFormat="1" applyFont="1" applyFill="1" applyBorder="1" applyAlignment="1">
      <alignment horizontal="center" vertical="center"/>
    </xf>
    <xf numFmtId="193" fontId="10" fillId="2" borderId="191" xfId="57" applyNumberFormat="1" applyFont="1" applyFill="1" applyBorder="1" applyAlignment="1">
      <alignment horizontal="center" vertical="center"/>
    </xf>
    <xf numFmtId="10" fontId="60" fillId="0" borderId="39" xfId="57" applyNumberFormat="1" applyFont="1" applyBorder="1" applyAlignment="1">
      <alignment horizontal="center" vertical="center"/>
    </xf>
    <xf numFmtId="10" fontId="60" fillId="0" borderId="55" xfId="57" applyNumberFormat="1" applyFont="1" applyBorder="1" applyAlignment="1">
      <alignment horizontal="center" vertical="center"/>
    </xf>
    <xf numFmtId="10" fontId="60" fillId="0" borderId="228" xfId="57" applyNumberFormat="1" applyFont="1" applyBorder="1" applyAlignment="1">
      <alignment horizontal="center" vertical="center"/>
    </xf>
    <xf numFmtId="169" fontId="11" fillId="0" borderId="4" xfId="58" applyNumberFormat="1" applyFont="1" applyBorder="1" applyAlignment="1">
      <alignment horizontal="center" vertical="center" wrapText="1"/>
    </xf>
    <xf numFmtId="169" fontId="11" fillId="0" borderId="5" xfId="58" applyNumberFormat="1" applyFont="1" applyBorder="1" applyAlignment="1">
      <alignment horizontal="center" vertical="center" wrapText="1"/>
    </xf>
    <xf numFmtId="169" fontId="11" fillId="0" borderId="23" xfId="58" applyNumberFormat="1" applyFont="1" applyBorder="1" applyAlignment="1">
      <alignment horizontal="center" vertical="center" wrapText="1"/>
    </xf>
    <xf numFmtId="195" fontId="11" fillId="0" borderId="4" xfId="58" applyNumberFormat="1" applyFont="1" applyFill="1" applyBorder="1" applyAlignment="1">
      <alignment horizontal="center" vertical="center" wrapText="1"/>
    </xf>
    <xf numFmtId="195" fontId="11" fillId="0" borderId="5" xfId="58" applyNumberFormat="1" applyFont="1" applyFill="1" applyBorder="1" applyAlignment="1">
      <alignment horizontal="center" vertical="center" wrapText="1"/>
    </xf>
    <xf numFmtId="195" fontId="11" fillId="0" borderId="23" xfId="58" applyNumberFormat="1" applyFont="1" applyFill="1" applyBorder="1" applyAlignment="1">
      <alignment horizontal="center" vertical="center" wrapText="1"/>
    </xf>
    <xf numFmtId="169" fontId="10" fillId="2" borderId="1" xfId="57" applyNumberFormat="1" applyFont="1" applyFill="1" applyBorder="1" applyAlignment="1">
      <alignment horizontal="center" vertical="center"/>
    </xf>
    <xf numFmtId="169" fontId="10" fillId="2" borderId="2" xfId="57" applyNumberFormat="1" applyFont="1" applyFill="1" applyBorder="1" applyAlignment="1">
      <alignment horizontal="center" vertical="center"/>
    </xf>
    <xf numFmtId="169" fontId="10" fillId="2" borderId="191" xfId="57" applyNumberFormat="1" applyFont="1" applyFill="1" applyBorder="1" applyAlignment="1">
      <alignment horizontal="center" vertical="center"/>
    </xf>
    <xf numFmtId="0" fontId="10" fillId="2" borderId="52" xfId="2" applyFont="1" applyFill="1" applyBorder="1" applyAlignment="1">
      <alignment horizontal="center" vertical="center" wrapText="1"/>
    </xf>
    <xf numFmtId="0" fontId="10" fillId="2" borderId="59" xfId="2" applyFont="1" applyFill="1" applyBorder="1" applyAlignment="1">
      <alignment horizontal="center" vertical="center" wrapText="1"/>
    </xf>
    <xf numFmtId="167" fontId="10" fillId="2" borderId="44" xfId="2" applyNumberFormat="1" applyFont="1" applyFill="1" applyBorder="1" applyAlignment="1">
      <alignment horizontal="center" vertical="center" wrapText="1"/>
    </xf>
    <xf numFmtId="0" fontId="10" fillId="2" borderId="25" xfId="2" applyFont="1" applyFill="1" applyBorder="1" applyAlignment="1">
      <alignment horizontal="center" vertical="center" wrapText="1"/>
    </xf>
    <xf numFmtId="0" fontId="0" fillId="0" borderId="21" xfId="0" applyBorder="1" applyAlignment="1">
      <alignment horizontal="center" vertical="center" wrapText="1"/>
    </xf>
    <xf numFmtId="0" fontId="0" fillId="0" borderId="49" xfId="0" applyBorder="1" applyAlignment="1">
      <alignment horizontal="center" vertical="center" wrapText="1"/>
    </xf>
    <xf numFmtId="49" fontId="11" fillId="5" borderId="0" xfId="9" applyNumberFormat="1" applyFont="1" applyFill="1" applyAlignment="1">
      <alignment horizontal="center" vertical="center" wrapText="1"/>
    </xf>
    <xf numFmtId="167" fontId="10" fillId="2" borderId="35" xfId="2" applyNumberFormat="1" applyFont="1" applyFill="1" applyBorder="1" applyAlignment="1">
      <alignment horizontal="center" vertical="center" wrapText="1"/>
    </xf>
    <xf numFmtId="167" fontId="10" fillId="2" borderId="7" xfId="2" applyNumberFormat="1" applyFont="1" applyFill="1" applyBorder="1" applyAlignment="1">
      <alignment horizontal="center" vertical="center" wrapText="1"/>
    </xf>
    <xf numFmtId="167" fontId="10" fillId="2" borderId="36" xfId="2" applyNumberFormat="1" applyFont="1" applyFill="1" applyBorder="1" applyAlignment="1">
      <alignment horizontal="center" vertical="center" wrapText="1"/>
    </xf>
    <xf numFmtId="167" fontId="10" fillId="2" borderId="8" xfId="2" applyNumberFormat="1" applyFont="1" applyFill="1" applyBorder="1" applyAlignment="1">
      <alignment horizontal="center" vertical="center" wrapText="1"/>
    </xf>
    <xf numFmtId="0" fontId="11" fillId="0" borderId="0" xfId="9" applyAlignment="1">
      <alignment horizontal="center" vertical="center" wrapText="1"/>
    </xf>
    <xf numFmtId="49" fontId="12" fillId="0" borderId="0" xfId="2" applyNumberFormat="1" applyFont="1" applyAlignment="1">
      <alignment horizontal="center" vertical="center" wrapText="1"/>
    </xf>
    <xf numFmtId="2" fontId="12" fillId="0" borderId="0" xfId="0" applyNumberFormat="1" applyFont="1" applyAlignment="1">
      <alignment horizontal="center" vertical="center"/>
    </xf>
    <xf numFmtId="167" fontId="14" fillId="2" borderId="38" xfId="0" applyNumberFormat="1" applyFont="1" applyFill="1" applyBorder="1" applyAlignment="1">
      <alignment horizontal="center" vertical="center"/>
    </xf>
    <xf numFmtId="167" fontId="14" fillId="2" borderId="56" xfId="0" applyNumberFormat="1" applyFont="1" applyFill="1" applyBorder="1" applyAlignment="1">
      <alignment horizontal="center" vertical="center"/>
    </xf>
    <xf numFmtId="167" fontId="14" fillId="3" borderId="25" xfId="0" applyNumberFormat="1" applyFont="1" applyFill="1" applyBorder="1" applyAlignment="1">
      <alignment horizontal="right" vertical="center"/>
    </xf>
    <xf numFmtId="167" fontId="14" fillId="3" borderId="21" xfId="0" applyNumberFormat="1" applyFont="1" applyFill="1" applyBorder="1" applyAlignment="1">
      <alignment horizontal="right" vertical="center"/>
    </xf>
    <xf numFmtId="1" fontId="14" fillId="0" borderId="25" xfId="0" applyNumberFormat="1" applyFont="1" applyBorder="1" applyAlignment="1">
      <alignment horizontal="right" vertical="center" wrapText="1"/>
    </xf>
    <xf numFmtId="1" fontId="14" fillId="0" borderId="21" xfId="0" applyNumberFormat="1" applyFont="1" applyBorder="1" applyAlignment="1">
      <alignment horizontal="right" vertical="center" wrapText="1"/>
    </xf>
    <xf numFmtId="0" fontId="11" fillId="0" borderId="0" xfId="9" applyFill="1" applyBorder="1" applyAlignment="1">
      <alignment horizontal="left" vertical="center"/>
    </xf>
    <xf numFmtId="2" fontId="11" fillId="0" borderId="0" xfId="0" applyNumberFormat="1" applyFont="1" applyAlignment="1">
      <alignment horizontal="left" vertical="center"/>
    </xf>
    <xf numFmtId="0" fontId="0" fillId="0" borderId="66" xfId="0" applyBorder="1" applyAlignment="1">
      <alignment horizontal="left" vertical="center"/>
    </xf>
    <xf numFmtId="167" fontId="14" fillId="2" borderId="65" xfId="0" applyNumberFormat="1" applyFont="1" applyFill="1" applyBorder="1" applyAlignment="1">
      <alignment horizontal="center" vertical="center"/>
    </xf>
    <xf numFmtId="167" fontId="14" fillId="2" borderId="0" xfId="0" applyNumberFormat="1" applyFont="1" applyFill="1" applyBorder="1" applyAlignment="1">
      <alignment horizontal="center" vertical="center"/>
    </xf>
    <xf numFmtId="1" fontId="14" fillId="0" borderId="65" xfId="0" applyNumberFormat="1" applyFont="1" applyBorder="1" applyAlignment="1">
      <alignment horizontal="right" vertical="center" wrapText="1"/>
    </xf>
    <xf numFmtId="1" fontId="14" fillId="0" borderId="0" xfId="0" applyNumberFormat="1" applyFont="1" applyBorder="1" applyAlignment="1">
      <alignment horizontal="right" vertical="center" wrapText="1"/>
    </xf>
    <xf numFmtId="167" fontId="10" fillId="3" borderId="25" xfId="0" applyNumberFormat="1" applyFont="1" applyFill="1" applyBorder="1" applyAlignment="1">
      <alignment horizontal="right" vertical="center"/>
    </xf>
    <xf numFmtId="167" fontId="10" fillId="3" borderId="21" xfId="0" applyNumberFormat="1" applyFont="1" applyFill="1" applyBorder="1" applyAlignment="1">
      <alignment horizontal="right" vertical="center"/>
    </xf>
    <xf numFmtId="167" fontId="10" fillId="3" borderId="32" xfId="0" applyNumberFormat="1" applyFont="1" applyFill="1" applyBorder="1" applyAlignment="1">
      <alignment horizontal="right" vertical="center"/>
    </xf>
    <xf numFmtId="0" fontId="0" fillId="0" borderId="230" xfId="0" applyBorder="1" applyAlignment="1">
      <alignment horizontal="left" vertical="center" wrapText="1"/>
    </xf>
    <xf numFmtId="0" fontId="11" fillId="0" borderId="180" xfId="0" applyFont="1" applyBorder="1" applyAlignment="1">
      <alignment horizontal="left" vertical="center" wrapText="1"/>
    </xf>
    <xf numFmtId="0" fontId="11" fillId="0" borderId="0" xfId="0" applyFont="1" applyAlignment="1">
      <alignment vertical="top" wrapText="1"/>
    </xf>
    <xf numFmtId="0" fontId="0" fillId="0" borderId="0" xfId="0" applyAlignment="1">
      <alignment vertical="top" wrapText="1"/>
    </xf>
    <xf numFmtId="0" fontId="67" fillId="9" borderId="180" xfId="0" applyFont="1" applyFill="1" applyBorder="1" applyAlignment="1">
      <alignment horizontal="center" vertical="center"/>
    </xf>
    <xf numFmtId="0" fontId="67" fillId="9" borderId="211" xfId="0" applyFont="1" applyFill="1" applyBorder="1" applyAlignment="1">
      <alignment horizontal="center" vertical="center"/>
    </xf>
    <xf numFmtId="0" fontId="67" fillId="9" borderId="209" xfId="0" applyFont="1" applyFill="1" applyBorder="1" applyAlignment="1">
      <alignment horizontal="center" vertical="center"/>
    </xf>
    <xf numFmtId="0" fontId="33" fillId="9" borderId="180" xfId="14" applyFont="1" applyFill="1" applyBorder="1" applyAlignment="1">
      <alignment horizontal="left" vertical="center" wrapText="1"/>
    </xf>
    <xf numFmtId="0" fontId="0" fillId="0" borderId="0" xfId="0" applyFill="1" applyAlignment="1"/>
    <xf numFmtId="0" fontId="60" fillId="9" borderId="5" xfId="163" applyFont="1" applyFill="1" applyBorder="1" applyAlignment="1">
      <alignment horizontal="center" vertical="center"/>
    </xf>
    <xf numFmtId="0" fontId="93" fillId="64" borderId="0" xfId="163" applyFont="1" applyFill="1" applyAlignment="1">
      <alignment horizontal="center" vertical="center"/>
    </xf>
    <xf numFmtId="201" fontId="94" fillId="0" borderId="0" xfId="164" applyFont="1" applyBorder="1" applyAlignment="1">
      <alignment horizontal="center"/>
    </xf>
    <xf numFmtId="0" fontId="92" fillId="14" borderId="53" xfId="165" applyFont="1" applyFill="1" applyBorder="1" applyAlignment="1">
      <alignment horizontal="left" vertical="center" indent="1"/>
    </xf>
    <xf numFmtId="0" fontId="0" fillId="0" borderId="151" xfId="0" applyBorder="1" applyAlignment="1">
      <alignment horizontal="left" vertical="center" indent="1"/>
    </xf>
    <xf numFmtId="0" fontId="0" fillId="0" borderId="105" xfId="0" applyBorder="1" applyAlignment="1">
      <alignment horizontal="left" vertical="center" indent="1"/>
    </xf>
    <xf numFmtId="0" fontId="92" fillId="14" borderId="151" xfId="165" applyFont="1" applyFill="1" applyBorder="1" applyAlignment="1">
      <alignment horizontal="left" vertical="center" indent="1"/>
    </xf>
    <xf numFmtId="0" fontId="92" fillId="14" borderId="105" xfId="165" applyFont="1" applyFill="1" applyBorder="1" applyAlignment="1">
      <alignment horizontal="left" vertical="center" indent="1"/>
    </xf>
    <xf numFmtId="0" fontId="92" fillId="14" borderId="22" xfId="165" applyFont="1" applyFill="1" applyBorder="1" applyAlignment="1">
      <alignment horizontal="center" vertical="center"/>
    </xf>
    <xf numFmtId="0" fontId="92" fillId="14" borderId="31" xfId="165" applyFont="1" applyFill="1" applyBorder="1" applyAlignment="1">
      <alignment horizontal="left" vertical="center" indent="1"/>
    </xf>
    <xf numFmtId="0" fontId="92" fillId="14" borderId="53" xfId="165" applyFont="1" applyFill="1" applyBorder="1" applyAlignment="1" applyProtection="1">
      <alignment horizontal="left" vertical="center" indent="1"/>
    </xf>
    <xf numFmtId="0" fontId="0" fillId="0" borderId="151" xfId="0" applyBorder="1" applyAlignment="1" applyProtection="1">
      <alignment horizontal="left" vertical="center" indent="1"/>
    </xf>
    <xf numFmtId="0" fontId="0" fillId="0" borderId="105" xfId="0" applyBorder="1" applyAlignment="1" applyProtection="1">
      <alignment horizontal="left" vertical="center" indent="1"/>
    </xf>
    <xf numFmtId="0" fontId="92" fillId="14" borderId="242" xfId="165" applyFont="1" applyFill="1" applyBorder="1" applyAlignment="1">
      <alignment horizontal="left" vertical="center" wrapText="1" indent="1"/>
    </xf>
    <xf numFmtId="0" fontId="0" fillId="0" borderId="151" xfId="0" applyBorder="1" applyAlignment="1">
      <alignment horizontal="left" vertical="center" wrapText="1" indent="1"/>
    </xf>
    <xf numFmtId="0" fontId="0" fillId="0" borderId="105" xfId="0" applyBorder="1" applyAlignment="1">
      <alignment horizontal="left" vertical="center" wrapText="1" indent="1"/>
    </xf>
    <xf numFmtId="0" fontId="60" fillId="9" borderId="23" xfId="195" applyFont="1" applyFill="1" applyBorder="1" applyAlignment="1"/>
    <xf numFmtId="0" fontId="0" fillId="0" borderId="41" xfId="0" applyBorder="1" applyAlignment="1"/>
    <xf numFmtId="0" fontId="81" fillId="5" borderId="0" xfId="195" applyFont="1" applyFill="1" applyAlignment="1">
      <alignment horizontal="center"/>
    </xf>
    <xf numFmtId="0" fontId="81" fillId="9" borderId="0" xfId="195" applyFont="1" applyFill="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wrapText="1"/>
    </xf>
    <xf numFmtId="0" fontId="11" fillId="9" borderId="0" xfId="0" applyFont="1" applyFill="1" applyAlignment="1">
      <alignment horizontal="center" vertical="center" wrapText="1"/>
    </xf>
    <xf numFmtId="0" fontId="93" fillId="0" borderId="0" xfId="195" applyFont="1" applyAlignment="1">
      <alignment horizontal="center" vertical="center"/>
    </xf>
    <xf numFmtId="0" fontId="40" fillId="73" borderId="25" xfId="171" applyFont="1" applyFill="1" applyBorder="1" applyAlignment="1">
      <alignment horizontal="center" vertical="center"/>
    </xf>
    <xf numFmtId="0" fontId="40" fillId="73" borderId="21" xfId="171" applyFont="1" applyFill="1" applyBorder="1" applyAlignment="1">
      <alignment horizontal="center" vertical="center"/>
    </xf>
    <xf numFmtId="0" fontId="40" fillId="73" borderId="49" xfId="171" applyFont="1" applyFill="1" applyBorder="1" applyAlignment="1">
      <alignment horizontal="center" vertical="center"/>
    </xf>
    <xf numFmtId="0" fontId="40" fillId="4" borderId="25" xfId="171" applyFont="1" applyFill="1" applyBorder="1" applyAlignment="1">
      <alignment horizontal="center" vertical="center"/>
    </xf>
    <xf numFmtId="0" fontId="40" fillId="4" borderId="21" xfId="171" applyFont="1" applyFill="1" applyBorder="1" applyAlignment="1">
      <alignment horizontal="center" vertical="center"/>
    </xf>
    <xf numFmtId="0" fontId="40" fillId="4" borderId="49" xfId="171" applyFont="1" applyFill="1" applyBorder="1" applyAlignment="1">
      <alignment horizontal="center" vertical="center"/>
    </xf>
    <xf numFmtId="0" fontId="60" fillId="0" borderId="0" xfId="171" applyFont="1" applyAlignment="1">
      <alignment wrapText="1"/>
    </xf>
    <xf numFmtId="0" fontId="94" fillId="0" borderId="0" xfId="171" applyFont="1" applyAlignment="1">
      <alignment horizontal="left" vertical="center"/>
    </xf>
    <xf numFmtId="0" fontId="122" fillId="0" borderId="65" xfId="171" applyFont="1" applyBorder="1" applyAlignment="1">
      <alignment horizontal="left" indent="1"/>
    </xf>
    <xf numFmtId="0" fontId="122" fillId="0" borderId="0" xfId="171" applyFont="1" applyBorder="1" applyAlignment="1">
      <alignment horizontal="left" indent="1"/>
    </xf>
    <xf numFmtId="0" fontId="122" fillId="0" borderId="0" xfId="171" applyFont="1" applyAlignment="1">
      <alignment horizontal="left" indent="1"/>
    </xf>
    <xf numFmtId="0" fontId="60" fillId="0" borderId="0" xfId="171" applyFont="1" applyAlignment="1">
      <alignment horizontal="left" wrapText="1" indent="1"/>
    </xf>
    <xf numFmtId="0" fontId="92" fillId="10" borderId="12" xfId="171" applyFont="1" applyFill="1" applyBorder="1" applyAlignment="1">
      <alignment horizontal="center" vertical="top" wrapText="1"/>
    </xf>
    <xf numFmtId="0" fontId="92" fillId="10" borderId="149" xfId="171" applyFont="1" applyFill="1" applyBorder="1" applyAlignment="1">
      <alignment horizontal="center" vertical="top" wrapText="1"/>
    </xf>
    <xf numFmtId="0" fontId="92" fillId="72" borderId="38" xfId="171" applyFont="1" applyFill="1" applyBorder="1" applyAlignment="1">
      <alignment horizontal="center" vertical="top" wrapText="1"/>
    </xf>
    <xf numFmtId="0" fontId="92" fillId="72" borderId="135" xfId="171" applyFont="1" applyFill="1" applyBorder="1" applyAlignment="1">
      <alignment horizontal="center" vertical="top" wrapText="1"/>
    </xf>
    <xf numFmtId="0" fontId="92" fillId="72" borderId="33" xfId="171" applyFont="1" applyFill="1" applyBorder="1" applyAlignment="1">
      <alignment horizontal="center" vertical="top" wrapText="1"/>
    </xf>
    <xf numFmtId="0" fontId="92" fillId="72" borderId="149" xfId="171" applyFont="1" applyFill="1" applyBorder="1" applyAlignment="1">
      <alignment horizontal="center" vertical="top" wrapText="1"/>
    </xf>
    <xf numFmtId="0" fontId="92" fillId="72" borderId="294" xfId="171" applyFont="1" applyFill="1" applyBorder="1" applyAlignment="1">
      <alignment horizontal="center" vertical="top" wrapText="1"/>
    </xf>
    <xf numFmtId="0" fontId="92" fillId="72" borderId="295" xfId="171" applyFont="1" applyFill="1" applyBorder="1" applyAlignment="1">
      <alignment horizontal="center" vertical="top" wrapText="1"/>
    </xf>
    <xf numFmtId="0" fontId="92" fillId="72" borderId="291" xfId="171" applyFont="1" applyFill="1" applyBorder="1" applyAlignment="1">
      <alignment horizontal="center" vertical="top" wrapText="1"/>
    </xf>
    <xf numFmtId="0" fontId="155" fillId="14" borderId="22" xfId="165" applyFont="1" applyFill="1" applyBorder="1" applyAlignment="1">
      <alignment horizontal="center" vertical="center"/>
    </xf>
  </cellXfs>
  <cellStyles count="196">
    <cellStyle name="20 % - Akzent1 2" xfId="34" xr:uid="{00000000-0005-0000-0000-000000000000}"/>
    <cellStyle name="20 % - Akzent1 2 2" xfId="64" xr:uid="{F093A7DD-A804-4586-B3D9-E6B6B36492F3}"/>
    <cellStyle name="20 % - Akzent1 2 3" xfId="63" xr:uid="{666FFF0C-FC8F-4CA6-BA17-9B767135DCF4}"/>
    <cellStyle name="20 % - Akzent2 2" xfId="38" xr:uid="{00000000-0005-0000-0000-000001000000}"/>
    <cellStyle name="20 % - Akzent2 2 2" xfId="66" xr:uid="{A906A755-C61B-4674-92FF-166A0336B4AB}"/>
    <cellStyle name="20 % - Akzent2 2 3" xfId="65" xr:uid="{A51D7175-414B-4CB9-8164-DA943A766B37}"/>
    <cellStyle name="20 % - Akzent3 2" xfId="42" xr:uid="{00000000-0005-0000-0000-000002000000}"/>
    <cellStyle name="20 % - Akzent3 2 2" xfId="68" xr:uid="{68C4AF27-F484-4657-8114-4CA6BF617F0D}"/>
    <cellStyle name="20 % - Akzent3 2 3" xfId="67" xr:uid="{01584A5B-D032-4AEE-9612-C8FA5FF4AD77}"/>
    <cellStyle name="20 % - Akzent4 2" xfId="46" xr:uid="{00000000-0005-0000-0000-000003000000}"/>
    <cellStyle name="20 % - Akzent4 2 2" xfId="70" xr:uid="{D40BB371-C1AF-4008-ACF7-CDB371AB0569}"/>
    <cellStyle name="20 % - Akzent4 2 3" xfId="69" xr:uid="{25BBA623-346E-4142-BE90-0E0255F455BE}"/>
    <cellStyle name="20 % - Akzent5 2" xfId="50" xr:uid="{00000000-0005-0000-0000-000004000000}"/>
    <cellStyle name="20 % - Akzent5 2 2" xfId="72" xr:uid="{4AC30BCF-41C4-48B2-A182-5927E94FB8FD}"/>
    <cellStyle name="20 % - Akzent5 2 3" xfId="71" xr:uid="{D4AA8BE5-AE5B-4727-9F7A-F993057E2A7D}"/>
    <cellStyle name="20 % - Akzent6 2" xfId="54" xr:uid="{00000000-0005-0000-0000-000005000000}"/>
    <cellStyle name="20 % - Akzent6 2 2" xfId="74" xr:uid="{3BE51435-85F6-4E68-986A-276FC6136FE2}"/>
    <cellStyle name="20 % - Akzent6 2 3" xfId="73" xr:uid="{E5E186AE-721A-489A-96C7-705C97AAEB18}"/>
    <cellStyle name="40 % - Akzent1 2" xfId="35" xr:uid="{00000000-0005-0000-0000-000006000000}"/>
    <cellStyle name="40 % - Akzent1 2 2" xfId="76" xr:uid="{04AC3730-9717-4BD0-8630-30211F450C55}"/>
    <cellStyle name="40 % - Akzent1 2 3" xfId="75" xr:uid="{A82CFDD0-C9C1-417B-A4C3-CFEBE81783F1}"/>
    <cellStyle name="40 % - Akzent2 2" xfId="39" xr:uid="{00000000-0005-0000-0000-000007000000}"/>
    <cellStyle name="40 % - Akzent2 2 2" xfId="78" xr:uid="{12A51D07-F4F2-4FA0-949F-AF686ABF93A9}"/>
    <cellStyle name="40 % - Akzent2 2 3" xfId="77" xr:uid="{C973D20C-06BE-4D0F-A89D-C5C767604DA8}"/>
    <cellStyle name="40 % - Akzent3 2" xfId="43" xr:uid="{00000000-0005-0000-0000-000008000000}"/>
    <cellStyle name="40 % - Akzent3 2 2" xfId="80" xr:uid="{370AA891-4743-402C-9166-067F2067FBA5}"/>
    <cellStyle name="40 % - Akzent3 2 3" xfId="79" xr:uid="{A992AF2A-E7D7-4C1C-BE1E-39CAFB9D268B}"/>
    <cellStyle name="40 % - Akzent4 2" xfId="47" xr:uid="{00000000-0005-0000-0000-000009000000}"/>
    <cellStyle name="40 % - Akzent4 2 2" xfId="82" xr:uid="{FF648968-B43F-4E03-9743-F02FDA3A4D41}"/>
    <cellStyle name="40 % - Akzent4 2 3" xfId="81" xr:uid="{FFA8A43F-D823-416D-BCFD-0BE786BE560E}"/>
    <cellStyle name="40 % - Akzent5 2" xfId="51" xr:uid="{00000000-0005-0000-0000-00000A000000}"/>
    <cellStyle name="40 % - Akzent5 2 2" xfId="84" xr:uid="{923A2DAF-D400-49B4-88DB-99D0DD515A96}"/>
    <cellStyle name="40 % - Akzent5 2 3" xfId="83" xr:uid="{641E5C74-1597-417C-B130-C03C92D45183}"/>
    <cellStyle name="40 % - Akzent6 2" xfId="55" xr:uid="{00000000-0005-0000-0000-00000B000000}"/>
    <cellStyle name="40 % - Akzent6 2 2" xfId="86" xr:uid="{86E0AE09-C1A4-4835-A060-E264AF9C745C}"/>
    <cellStyle name="40 % - Akzent6 2 3" xfId="85" xr:uid="{D8AB2D92-214B-492A-B4E9-6FA883A7F283}"/>
    <cellStyle name="60 % - Akzent1 2" xfId="36" xr:uid="{00000000-0005-0000-0000-00000C000000}"/>
    <cellStyle name="60 % - Akzent2 2" xfId="40" xr:uid="{00000000-0005-0000-0000-00000D000000}"/>
    <cellStyle name="60 % - Akzent3 2" xfId="44" xr:uid="{00000000-0005-0000-0000-00000E000000}"/>
    <cellStyle name="60 % - Akzent4 2" xfId="48" xr:uid="{00000000-0005-0000-0000-00000F000000}"/>
    <cellStyle name="60 % - Akzent5 2" xfId="52" xr:uid="{00000000-0005-0000-0000-000010000000}"/>
    <cellStyle name="60 % - Akzent6 2" xfId="56" xr:uid="{00000000-0005-0000-0000-000011000000}"/>
    <cellStyle name="Akzent1 2" xfId="33" xr:uid="{00000000-0005-0000-0000-000012000000}"/>
    <cellStyle name="Akzent1 2 2" xfId="87" xr:uid="{2D5745DA-6C96-425B-8C74-FBF5D1D75E12}"/>
    <cellStyle name="Akzent2 2" xfId="37" xr:uid="{00000000-0005-0000-0000-000013000000}"/>
    <cellStyle name="Akzent2 2 2" xfId="88" xr:uid="{12898096-028F-49F3-BE90-164797C769D3}"/>
    <cellStyle name="Akzent3 2" xfId="41" xr:uid="{00000000-0005-0000-0000-000014000000}"/>
    <cellStyle name="Akzent3 2 2" xfId="89" xr:uid="{56A5AADD-DBFE-43B4-886B-57D1694F7920}"/>
    <cellStyle name="Akzent4 2" xfId="45" xr:uid="{00000000-0005-0000-0000-000015000000}"/>
    <cellStyle name="Akzent4 2 2" xfId="90" xr:uid="{2C7910A8-C539-4B0C-97DE-FD7D8836375A}"/>
    <cellStyle name="Akzent5 2" xfId="49" xr:uid="{00000000-0005-0000-0000-000016000000}"/>
    <cellStyle name="Akzent5 2 2" xfId="91" xr:uid="{8F002C75-25DE-4CFE-B2BE-E7B36BD149F3}"/>
    <cellStyle name="Akzent6 2" xfId="53" xr:uid="{00000000-0005-0000-0000-000017000000}"/>
    <cellStyle name="Akzent6 2 2" xfId="92" xr:uid="{A661F0AB-88FD-4A7A-B33B-25C6A5DBEF64}"/>
    <cellStyle name="Ausgabe 2" xfId="26" xr:uid="{00000000-0005-0000-0000-000018000000}"/>
    <cellStyle name="Ausgabe 2 2" xfId="93" xr:uid="{E17549FB-EFFC-40B9-A859-8A4E85FE6D9C}"/>
    <cellStyle name="Berechnung 2" xfId="17" xr:uid="{00000000-0005-0000-0000-000019000000}"/>
    <cellStyle name="Berechnung 2 2" xfId="152" xr:uid="{84656BB9-52EE-411F-AB25-D128F1626AC4}"/>
    <cellStyle name="Berechnung 2 3" xfId="94" xr:uid="{F431A5B2-A671-43FA-B1F8-D1BC51D79B5B}"/>
    <cellStyle name="Eingabe 2" xfId="25" xr:uid="{00000000-0005-0000-0000-00001A000000}"/>
    <cellStyle name="Eingabe 2 2" xfId="153" xr:uid="{ADC79F3E-7181-461D-9492-9BE22F88AE20}"/>
    <cellStyle name="Eingabe 2 3" xfId="95" xr:uid="{D5846AC4-A15C-4D88-A269-E9173FEFDAD7}"/>
    <cellStyle name="Ergebnis 2" xfId="32" xr:uid="{00000000-0005-0000-0000-00001B000000}"/>
    <cellStyle name="Ergebnis 2 2" xfId="154" xr:uid="{390D1BD1-6FB7-44FB-81B9-83E347FAE34F}"/>
    <cellStyle name="Ergebnis 2 3" xfId="96" xr:uid="{79130E70-E62B-4F0F-A671-D5A7549CF251}"/>
    <cellStyle name="Erklärender Text 2" xfId="31" xr:uid="{00000000-0005-0000-0000-00001C000000}"/>
    <cellStyle name="Erklärender Text 2 2" xfId="97" xr:uid="{C858A11D-1EF6-4C40-B3E5-E53757EA44AD}"/>
    <cellStyle name="Euro" xfId="1" xr:uid="{00000000-0005-0000-0000-00001D000000}"/>
    <cellStyle name="Euro 2" xfId="99" xr:uid="{C6C42B36-3388-46F9-B61D-A4FC2AA1D426}"/>
    <cellStyle name="Euro 2 2" xfId="155" xr:uid="{9B05342E-7542-42F6-87AA-79FEB683242C}"/>
    <cellStyle name="Euro 3" xfId="100" xr:uid="{52876901-5DFB-472D-A594-F496641A241B}"/>
    <cellStyle name="Euro 3 2" xfId="156" xr:uid="{87F89751-0340-4E63-858A-ACCFA84BA7EE}"/>
    <cellStyle name="Euro 4" xfId="101" xr:uid="{4088F8F0-84E3-428D-98E7-6F345033ABB8}"/>
    <cellStyle name="Euro 5" xfId="98" xr:uid="{4250DBBF-D86B-4280-A03B-ECEB71D9CC79}"/>
    <cellStyle name="Euro 6" xfId="170" xr:uid="{DEABB3EE-4DA0-49FD-B4C9-7DFCDCD19F64}"/>
    <cellStyle name="Gut 2" xfId="22" xr:uid="{00000000-0005-0000-0000-00001E000000}"/>
    <cellStyle name="Gut 2 2" xfId="102" xr:uid="{D721416D-517F-4FBD-AAF0-272EF0D0831E}"/>
    <cellStyle name="Gut 3" xfId="103" xr:uid="{54762B2B-00AB-4252-82D9-DD950B124693}"/>
    <cellStyle name="Heading" xfId="104" xr:uid="{77C57ADC-B139-4BB8-A202-084B9A016785}"/>
    <cellStyle name="Heading1" xfId="105" xr:uid="{C2224F4C-8EF9-40E0-A065-70B56A9758C5}"/>
    <cellStyle name="Komma" xfId="6" builtinId="3"/>
    <cellStyle name="Komma 2" xfId="12" xr:uid="{00000000-0005-0000-0000-000020000000}"/>
    <cellStyle name="Komma 2 2" xfId="106" xr:uid="{020508A8-E223-4DC3-B5A6-264D2A81D47F}"/>
    <cellStyle name="Komma 3" xfId="177" xr:uid="{746305FB-E277-4348-BFD5-E005769E576F}"/>
    <cellStyle name="Link" xfId="8" builtinId="8"/>
    <cellStyle name="Neutral 2" xfId="24" xr:uid="{00000000-0005-0000-0000-000022000000}"/>
    <cellStyle name="Neutral 2 2" xfId="107" xr:uid="{427F8451-441D-4D84-A7A1-8BE91E98D1F4}"/>
    <cellStyle name="Notiz 2" xfId="30" xr:uid="{00000000-0005-0000-0000-000023000000}"/>
    <cellStyle name="Notiz 2 2" xfId="157" xr:uid="{F6C3F2EC-23F0-4CA1-B9DD-1D4C426C73FA}"/>
    <cellStyle name="Notiz 2 3" xfId="108" xr:uid="{E728C9FA-B527-4CFE-A2EA-212CCD652705}"/>
    <cellStyle name="Notiz 3" xfId="109" xr:uid="{B7291B56-F7E5-4A5E-8056-38F2241B06E9}"/>
    <cellStyle name="Notiz 3 2" xfId="110" xr:uid="{0D4644B7-6DB3-444E-9592-4DBD717E50C4}"/>
    <cellStyle name="Notiz 4" xfId="111" xr:uid="{23CCE78E-1200-4709-BF1F-E9BA0C42EB92}"/>
    <cellStyle name="Notiz 4 2" xfId="112" xr:uid="{9351C693-8FC6-447C-8519-4E871EF7613E}"/>
    <cellStyle name="Prozent" xfId="7" builtinId="5"/>
    <cellStyle name="Prozent 2" xfId="13" xr:uid="{00000000-0005-0000-0000-000025000000}"/>
    <cellStyle name="Prozent 2 2" xfId="113" xr:uid="{37760800-6806-4C63-8930-F3EEA9399F3C}"/>
    <cellStyle name="Prozent 3" xfId="173" xr:uid="{BDC31E9A-A0DC-4AAC-8E6D-622B6216ED00}"/>
    <cellStyle name="Result" xfId="114" xr:uid="{8F4D907D-222F-4DCA-8BEE-242947BCA77C}"/>
    <cellStyle name="Result2" xfId="115" xr:uid="{E437F6D3-2909-4160-840F-D2921AB4539E}"/>
    <cellStyle name="Schlecht 2" xfId="23" xr:uid="{00000000-0005-0000-0000-000026000000}"/>
    <cellStyle name="Schlecht 2 2" xfId="116" xr:uid="{B2C9ACA7-2751-4CE5-B72F-E2B6DFB88F80}"/>
    <cellStyle name="Standard" xfId="0" builtinId="0"/>
    <cellStyle name="Standard 10" xfId="60" xr:uid="{4122427B-30BA-4096-BEFB-BFF23BF6E217}"/>
    <cellStyle name="Standard 10 2" xfId="194" xr:uid="{777AEF69-2695-4F6D-A5BB-4C9B563A47A2}"/>
    <cellStyle name="Standard 101" xfId="165" xr:uid="{173862B7-01FF-46B0-AD3D-15D6FC5497BE}"/>
    <cellStyle name="Standard 11" xfId="163" xr:uid="{CD972002-B929-4E39-8439-EF8A4C88CD1F}"/>
    <cellStyle name="Standard 12" xfId="166" xr:uid="{F887AE3D-A1B3-49CB-A9E8-CE35654BDC5F}"/>
    <cellStyle name="Standard 13" xfId="171" xr:uid="{7424A262-0E54-4763-9E77-18BAF2C5B9A4}"/>
    <cellStyle name="Standard 14" xfId="176" xr:uid="{8B0F750A-3DAC-4F4D-8E50-AECBA339EA16}"/>
    <cellStyle name="Standard 16" xfId="10" xr:uid="{00000000-0005-0000-0000-000028000000}"/>
    <cellStyle name="Standard 2" xfId="11" xr:uid="{00000000-0005-0000-0000-000029000000}"/>
    <cellStyle name="Standard 2 10" xfId="117" xr:uid="{67B8CBD7-5F64-4B8D-BF66-E00612ECF8DD}"/>
    <cellStyle name="Standard 2 11" xfId="167" xr:uid="{FC5ED968-7228-43E5-B663-1DB40CDE05FC}"/>
    <cellStyle name="Standard 2 2" xfId="9" xr:uid="{00000000-0005-0000-0000-00002A000000}"/>
    <cellStyle name="Standard 2 2 2" xfId="158" xr:uid="{96006ED8-11BC-40B9-A507-0334DA138B63}"/>
    <cellStyle name="Standard 2 2 2 2" xfId="189" xr:uid="{9E6B9B15-475B-4F2C-B321-3472B3126CA9}"/>
    <cellStyle name="Standard 2 2 3" xfId="118" xr:uid="{30915798-BF47-49CB-95DF-7D4400D8AD8D}"/>
    <cellStyle name="Standard 2 2 3 2" xfId="188" xr:uid="{5A7EA2ED-4B0D-4196-8C84-EA34850F59A5}"/>
    <cellStyle name="Standard 2 2 4" xfId="169" xr:uid="{97330061-DFA7-4789-9889-944410130756}"/>
    <cellStyle name="Standard 2 3" xfId="14" xr:uid="{00000000-0005-0000-0000-00002B000000}"/>
    <cellStyle name="Standard 2 3 2" xfId="159" xr:uid="{4BB84696-2FD9-4E88-AFD4-3381B5D1E5D5}"/>
    <cellStyle name="Standard 2 3 2 2" xfId="192" xr:uid="{D9ADB499-5FB1-41FE-8B1C-DC0B8D8C70BA}"/>
    <cellStyle name="Standard 2 3 3" xfId="119" xr:uid="{F8BE4B44-65F2-4A84-AB33-C3BC415F77D4}"/>
    <cellStyle name="Standard 2 4" xfId="120" xr:uid="{1751A39B-60BA-4E68-819C-A76D2C65D7FE}"/>
    <cellStyle name="Standard 2 4 2" xfId="121" xr:uid="{70E0E770-78AF-43C3-B226-AD99040BA753}"/>
    <cellStyle name="Standard 2 4 2 2" xfId="191" xr:uid="{E518E36D-F65C-4A95-AD00-40DB1FC55AA1}"/>
    <cellStyle name="Standard 2 4 3" xfId="179" xr:uid="{0B666F81-1FCF-4B47-B4A8-DEED8500AC86}"/>
    <cellStyle name="Standard 2 5" xfId="122" xr:uid="{24DF85D6-DD78-4921-8CC7-32FADA58542E}"/>
    <cellStyle name="Standard 2 5 2" xfId="123" xr:uid="{8D9F5845-3E11-452F-9190-9AEAE1337F93}"/>
    <cellStyle name="Standard 2 5 2 2" xfId="187" xr:uid="{7B36D9B5-C2ED-49FC-B23D-E11203D41F25}"/>
    <cellStyle name="Standard 2 5 3" xfId="180" xr:uid="{C75D53A7-0CFE-49EE-BC2C-E5E470E8CB41}"/>
    <cellStyle name="Standard 2 6" xfId="124" xr:uid="{B632C70A-9802-495F-ACE8-A02182056FBC}"/>
    <cellStyle name="Standard 2 6 2" xfId="125" xr:uid="{F3436B83-1931-4B12-BCAC-2FAC7975BF71}"/>
    <cellStyle name="Standard 2 7" xfId="126" xr:uid="{70E3D2C1-43D6-40FA-A553-AB5654DB6970}"/>
    <cellStyle name="Standard 2 7 2" xfId="127" xr:uid="{7E81AA46-94F0-458B-88A6-3D5C1B4D7010}"/>
    <cellStyle name="Standard 2 8" xfId="128" xr:uid="{506985BF-D4C2-4881-ADC4-EB5C88DD53C0}"/>
    <cellStyle name="Standard 2 8 2" xfId="129" xr:uid="{3C893F64-FB31-4AB1-8828-89C42E440560}"/>
    <cellStyle name="Standard 2 9" xfId="130" xr:uid="{8FE6C89C-63F0-4604-8D3B-2D5062A97011}"/>
    <cellStyle name="Standard 3" xfId="57" xr:uid="{D0389D63-355C-49D7-9015-22CB02E455D1}"/>
    <cellStyle name="Standard 3 2" xfId="132" xr:uid="{25810844-CE5E-4BD4-A471-1201DF47E574}"/>
    <cellStyle name="Standard 3 2 2" xfId="174" xr:uid="{5D64EFAF-CC1C-4F21-8D45-1C942AC189F4}"/>
    <cellStyle name="Standard 3 2 3" xfId="193" xr:uid="{5EADE85F-7169-4649-8D66-9DD76B197F82}"/>
    <cellStyle name="Standard 3 3" xfId="133" xr:uid="{5E6002B4-120C-4707-BB46-7806C0EF4672}"/>
    <cellStyle name="Standard 3 3 2" xfId="160" xr:uid="{CEE8445C-658B-43BD-8982-207E3EC3A5E3}"/>
    <cellStyle name="Standard 3 4" xfId="61" xr:uid="{CC89A671-5376-4BE8-8FCD-B81928CEBFC1}"/>
    <cellStyle name="Standard 3 5" xfId="131" xr:uid="{134F23AD-EB69-49A7-9A76-456F7192842B}"/>
    <cellStyle name="Standard 3 6" xfId="178" xr:uid="{AB5279AB-BB9A-4C51-9219-5B63733138D8}"/>
    <cellStyle name="Standard 4" xfId="134" xr:uid="{F28EB81F-2415-402C-AF98-C4597E22E328}"/>
    <cellStyle name="Standard 4 2" xfId="135" xr:uid="{A79A38C5-9F2C-4ECA-B83E-E2D3E0FA4DD9}"/>
    <cellStyle name="Standard 4 3" xfId="168" xr:uid="{114DD76F-5629-4BEC-9821-A742FD610171}"/>
    <cellStyle name="Standard 4 4" xfId="181" xr:uid="{BF4DE660-F619-4FD6-A481-52F9B3E099DD}"/>
    <cellStyle name="Standard 4 5" xfId="195" xr:uid="{41225C1E-CF1B-44D5-A28D-06A71B91085D}"/>
    <cellStyle name="Standard 5" xfId="136" xr:uid="{E065CD29-1382-4A85-9ADD-FA2E3F1C40BB}"/>
    <cellStyle name="Standard 5 2" xfId="161" xr:uid="{682C6EAF-AF7B-4AE3-BB94-F91CA573ECB4}"/>
    <cellStyle name="Standard 5 2 2" xfId="190" xr:uid="{48847B39-C76F-4206-8D41-F68A30C83B90}"/>
    <cellStyle name="Standard 5 2 3" xfId="183" xr:uid="{EE969A5B-215C-4C3F-B2A9-7F2D36CCC2C0}"/>
    <cellStyle name="Standard 5 3" xfId="184" xr:uid="{ECE4EFA8-57B3-47B3-BAF8-3BF82F5C0E2E}"/>
    <cellStyle name="Standard 5 4" xfId="182" xr:uid="{276B16BA-8287-454A-ADF4-3A7FEC4E3F16}"/>
    <cellStyle name="Standard 6" xfId="137" xr:uid="{70F416A2-2235-4DCE-8F0A-C6D820BF248A}"/>
    <cellStyle name="Standard 6 2" xfId="162" xr:uid="{215E5C50-29C7-4BD1-A721-9801F121CB60}"/>
    <cellStyle name="Standard 6 3" xfId="186" xr:uid="{B55F50F9-FDAE-4A25-A7BE-E34BC5BAAC7B}"/>
    <cellStyle name="Standard 7" xfId="138" xr:uid="{B245B04B-3C77-41AD-853A-0EE8A6ABDFCA}"/>
    <cellStyle name="Standard 7 2" xfId="139" xr:uid="{C3393A57-5577-42A2-BC61-911BCA0050D2}"/>
    <cellStyle name="Standard 7 3" xfId="185" xr:uid="{14AF660A-AFF9-4FE8-B0C6-780C37108CFB}"/>
    <cellStyle name="Standard 8" xfId="140" xr:uid="{E1BD25E2-9212-41CF-BABA-9723D1CDEDEA}"/>
    <cellStyle name="Standard 8 2" xfId="141" xr:uid="{B3BC15E5-9CED-4377-ADC6-D24432F5DF89}"/>
    <cellStyle name="Standard 9" xfId="142" xr:uid="{D5793466-ED23-4749-A9B2-1A081C3B752F}"/>
    <cellStyle name="Standard 9 2" xfId="143" xr:uid="{9A886560-29E0-478B-9361-990CFC12C855}"/>
    <cellStyle name="Standard_Anlage 3_2005_05" xfId="2" xr:uid="{00000000-0005-0000-0000-00002C000000}"/>
    <cellStyle name="Überschrift" xfId="15" builtinId="15" customBuiltin="1"/>
    <cellStyle name="Überschrift 1 2" xfId="18" xr:uid="{00000000-0005-0000-0000-00002E000000}"/>
    <cellStyle name="Überschrift 1 2 2" xfId="144" xr:uid="{2232C4D0-6224-42A9-B676-CACE698276BC}"/>
    <cellStyle name="Überschrift 2 2" xfId="19" xr:uid="{00000000-0005-0000-0000-00002F000000}"/>
    <cellStyle name="Überschrift 2 2 2" xfId="145" xr:uid="{B26D0433-CC52-448B-8DE9-3E99D07C2CE6}"/>
    <cellStyle name="Überschrift 3 2" xfId="20" xr:uid="{00000000-0005-0000-0000-000030000000}"/>
    <cellStyle name="Überschrift 3 2 2" xfId="146" xr:uid="{52809672-1210-49F9-AB71-33765779A295}"/>
    <cellStyle name="Überschrift 4 2" xfId="21" xr:uid="{00000000-0005-0000-0000-000031000000}"/>
    <cellStyle name="Überschrift 4 2 2" xfId="147" xr:uid="{A8594D51-0C9C-4119-861B-64C81500A6E2}"/>
    <cellStyle name="Überschrift 5" xfId="148" xr:uid="{8A8EB8C8-62D2-4DF3-A6F7-4C00F85D1A85}"/>
    <cellStyle name="Verknüpfte Zelle 2" xfId="27" xr:uid="{00000000-0005-0000-0000-000032000000}"/>
    <cellStyle name="Verknüpfte Zelle 2 2" xfId="149" xr:uid="{E1C83CC4-D002-41DC-B74B-3FF0A41B7D60}"/>
    <cellStyle name="Währung" xfId="3" builtinId="4"/>
    <cellStyle name="Währung 2" xfId="16" xr:uid="{00000000-0005-0000-0000-000034000000}"/>
    <cellStyle name="Währung 2 2" xfId="62" xr:uid="{21FE8D9E-BC8B-4D29-9E45-CE7B495E0E40}"/>
    <cellStyle name="Währung 3" xfId="59" xr:uid="{5A3CC9C9-3796-4875-9AA8-21A669E68520}"/>
    <cellStyle name="Währung 4" xfId="172" xr:uid="{FDC5990A-A10F-4702-9E16-DD17C73F178F}"/>
    <cellStyle name="Währung 5" xfId="175" xr:uid="{4127A289-B557-4BB2-8777-CFB99BA74C04}"/>
    <cellStyle name="Währung 9" xfId="164" xr:uid="{1A4782E2-4919-460A-99E8-1CFD33F0C966}"/>
    <cellStyle name="Währung_Anlage 10_12_Vertrieb" xfId="4" xr:uid="{00000000-0005-0000-0000-000035000000}"/>
    <cellStyle name="Währung_Anlage 15_Fahrgastrelevante Schäden an Fahrzeuge" xfId="5" xr:uid="{00000000-0005-0000-0000-000036000000}"/>
    <cellStyle name="Währung_Dokumentationsvorlage 7_Reinigung Fahrzeuge" xfId="58" xr:uid="{4ED45379-7215-4C72-9292-D4DF5E4989AA}"/>
    <cellStyle name="Warnender Text 2" xfId="29" xr:uid="{00000000-0005-0000-0000-000037000000}"/>
    <cellStyle name="Warnender Text 2 2" xfId="150" xr:uid="{7795D260-01C2-4CA9-BAC9-6483329CE45C}"/>
    <cellStyle name="Zelle überprüfen 2" xfId="28" xr:uid="{00000000-0005-0000-0000-000038000000}"/>
    <cellStyle name="Zelle überprüfen 2 2" xfId="151" xr:uid="{D88D1162-7875-4510-BE43-193CDB1E25C9}"/>
  </cellStyles>
  <dxfs count="101">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ont>
        <condense val="0"/>
        <extend val="0"/>
        <color indexed="10"/>
      </font>
    </dxf>
    <dxf>
      <font>
        <condense val="0"/>
        <extend val="0"/>
        <color indexed="10"/>
      </font>
    </dxf>
    <dxf>
      <fill>
        <patternFill>
          <bgColor rgb="FF00B050"/>
        </patternFill>
      </fill>
    </dxf>
    <dxf>
      <fill>
        <patternFill>
          <bgColor rgb="FFFF0000"/>
        </patternFill>
      </fill>
    </dxf>
    <dxf>
      <fill>
        <patternFill>
          <bgColor rgb="FFFF0000"/>
        </patternFill>
      </fill>
    </dxf>
    <dxf>
      <fill>
        <patternFill>
          <bgColor theme="9" tint="0.39994506668294322"/>
        </patternFill>
      </fill>
    </dxf>
    <dxf>
      <fill>
        <patternFill>
          <bgColor rgb="FF00B050"/>
        </patternFill>
      </fill>
    </dxf>
    <dxf>
      <font>
        <b/>
        <i val="0"/>
        <condense val="0"/>
        <extend val="0"/>
        <color auto="1"/>
      </font>
      <fill>
        <patternFill>
          <bgColor indexed="45"/>
        </patternFill>
      </fill>
    </dxf>
    <dxf>
      <font>
        <b/>
        <i val="0"/>
        <condense val="0"/>
        <extend val="0"/>
        <color auto="1"/>
      </font>
      <fill>
        <patternFill>
          <bgColor indexed="45"/>
        </patternFill>
      </fill>
    </dxf>
    <dxf>
      <font>
        <b/>
        <i val="0"/>
        <condense val="0"/>
        <extend val="0"/>
        <color auto="1"/>
      </font>
      <fill>
        <patternFill>
          <bgColor indexed="45"/>
        </patternFill>
      </fill>
    </dxf>
    <dxf>
      <font>
        <b/>
        <i val="0"/>
        <condense val="0"/>
        <extend val="0"/>
        <color auto="1"/>
      </font>
      <fill>
        <patternFill>
          <bgColor indexed="45"/>
        </patternFill>
      </fill>
    </dxf>
    <dxf>
      <font>
        <b/>
        <i val="0"/>
        <condense val="0"/>
        <extend val="0"/>
        <color auto="1"/>
      </font>
      <fill>
        <patternFill>
          <bgColor indexed="45"/>
        </patternFill>
      </fill>
    </dxf>
    <dxf>
      <font>
        <b/>
        <i val="0"/>
        <condense val="0"/>
        <extend val="0"/>
        <color auto="1"/>
      </font>
      <fill>
        <patternFill>
          <bgColor indexed="45"/>
        </patternFill>
      </fill>
    </dxf>
    <dxf>
      <font>
        <b/>
        <i val="0"/>
        <condense val="0"/>
        <extend val="0"/>
        <color auto="1"/>
      </font>
      <fill>
        <patternFill>
          <bgColor indexed="45"/>
        </patternFill>
      </fill>
    </dxf>
    <dxf>
      <font>
        <b val="0"/>
        <i val="0"/>
      </font>
      <fill>
        <patternFill>
          <bgColor theme="5" tint="0.79998168889431442"/>
        </patternFill>
      </fill>
    </dxf>
    <dxf>
      <border>
        <top style="thin">
          <color auto="1"/>
        </top>
        <bottom style="thin">
          <color rgb="FFFF0000"/>
        </bottom>
        <vertical/>
        <horizontal/>
      </border>
    </dxf>
    <dxf>
      <border>
        <top style="thin">
          <color auto="1"/>
        </top>
        <bottom style="thin">
          <color rgb="FFFF0000"/>
        </bottom>
        <vertical/>
        <horizontal/>
      </border>
    </dxf>
    <dxf>
      <font>
        <b val="0"/>
        <i val="0"/>
      </font>
      <fill>
        <patternFill>
          <bgColor theme="5" tint="0.79998168889431442"/>
        </patternFill>
      </fill>
    </dxf>
    <dxf>
      <font>
        <color rgb="FFC00000"/>
      </font>
    </dxf>
    <dxf>
      <font>
        <color rgb="FF348447"/>
      </font>
    </dxf>
    <dxf>
      <font>
        <color auto="1"/>
      </font>
      <fill>
        <patternFill>
          <bgColor rgb="FFFFCBC5"/>
        </patternFill>
      </fill>
    </dxf>
    <dxf>
      <font>
        <color rgb="FFC00000"/>
      </font>
    </dxf>
    <dxf>
      <font>
        <color rgb="FF348447"/>
      </font>
    </dxf>
    <dxf>
      <font>
        <color auto="1"/>
      </font>
      <fill>
        <patternFill>
          <bgColor rgb="FFFFCBC5"/>
        </patternFill>
      </fill>
    </dxf>
    <dxf>
      <fill>
        <patternFill>
          <bgColor theme="9" tint="0.59996337778862885"/>
        </patternFill>
      </fill>
    </dxf>
    <dxf>
      <border>
        <top style="thin">
          <color auto="1"/>
        </top>
        <bottom style="thin">
          <color rgb="FFFF0000"/>
        </bottom>
        <vertical/>
        <horizontal/>
      </border>
    </dxf>
    <dxf>
      <font>
        <b val="0"/>
        <i val="0"/>
      </font>
      <fill>
        <patternFill>
          <bgColor theme="5" tint="0.79998168889431442"/>
        </patternFill>
      </fill>
    </dxf>
    <dxf>
      <font>
        <color rgb="FFC00000"/>
      </font>
    </dxf>
    <dxf>
      <font>
        <color rgb="FF348447"/>
      </font>
    </dxf>
    <dxf>
      <font>
        <color auto="1"/>
      </font>
      <fill>
        <patternFill>
          <bgColor rgb="FFFFCBC5"/>
        </patternFill>
      </fill>
    </dxf>
    <dxf>
      <font>
        <color rgb="FFC00000"/>
      </font>
    </dxf>
    <dxf>
      <font>
        <color rgb="FF348447"/>
      </font>
    </dxf>
    <dxf>
      <font>
        <color auto="1"/>
      </font>
      <fill>
        <patternFill>
          <bgColor rgb="FFFFCBC5"/>
        </patternFill>
      </fill>
    </dxf>
    <dxf>
      <fill>
        <patternFill>
          <bgColor theme="9" tint="0.59996337778862885"/>
        </patternFill>
      </fill>
    </dxf>
    <dxf>
      <border>
        <top style="thin">
          <color auto="1"/>
        </top>
        <bottom style="thin">
          <color rgb="FFFF0000"/>
        </bottom>
        <vertical/>
        <horizontal/>
      </border>
    </dxf>
    <dxf>
      <font>
        <b val="0"/>
        <i val="0"/>
      </font>
      <fill>
        <patternFill>
          <bgColor theme="5" tint="0.79998168889431442"/>
        </patternFill>
      </fill>
    </dxf>
    <dxf>
      <font>
        <color rgb="FFC00000"/>
      </font>
    </dxf>
    <dxf>
      <font>
        <color rgb="FF348447"/>
      </font>
    </dxf>
    <dxf>
      <font>
        <color auto="1"/>
      </font>
      <fill>
        <patternFill>
          <bgColor rgb="FFFFCBC5"/>
        </patternFill>
      </fill>
    </dxf>
    <dxf>
      <font>
        <color rgb="FFC00000"/>
      </font>
    </dxf>
    <dxf>
      <font>
        <color rgb="FF348447"/>
      </font>
    </dxf>
    <dxf>
      <font>
        <color auto="1"/>
      </font>
      <fill>
        <patternFill>
          <bgColor rgb="FFFFCBC5"/>
        </patternFill>
      </fill>
    </dxf>
    <dxf>
      <fill>
        <patternFill>
          <bgColor theme="9" tint="0.59996337778862885"/>
        </patternFill>
      </fill>
    </dxf>
    <dxf>
      <border>
        <top style="thin">
          <color auto="1"/>
        </top>
        <bottom style="thin">
          <color rgb="FFFF0000"/>
        </bottom>
        <vertical/>
        <horizontal/>
      </border>
    </dxf>
    <dxf>
      <font>
        <b val="0"/>
        <i val="0"/>
      </font>
      <fill>
        <patternFill>
          <bgColor theme="5" tint="0.79998168889431442"/>
        </patternFill>
      </fill>
    </dxf>
    <dxf>
      <font>
        <b val="0"/>
        <i val="0"/>
      </font>
      <fill>
        <patternFill>
          <bgColor theme="5" tint="0.79998168889431442"/>
        </patternFill>
      </fill>
    </dxf>
    <dxf>
      <border>
        <top style="thin">
          <color auto="1"/>
        </top>
        <bottom style="thin">
          <color rgb="FFFF0000"/>
        </bottom>
        <vertical/>
        <horizontal/>
      </border>
    </dxf>
    <dxf>
      <border>
        <top style="thin">
          <color auto="1"/>
        </top>
        <bottom style="thin">
          <color rgb="FFFF0000"/>
        </bottom>
        <vertical/>
        <horizontal/>
      </border>
    </dxf>
    <dxf>
      <font>
        <b val="0"/>
        <i val="0"/>
      </font>
      <fill>
        <patternFill>
          <bgColor theme="5" tint="0.79998168889431442"/>
        </patternFill>
      </fill>
    </dxf>
    <dxf>
      <font>
        <color rgb="FFC00000"/>
      </font>
    </dxf>
    <dxf>
      <font>
        <color rgb="FF348447"/>
      </font>
    </dxf>
    <dxf>
      <font>
        <color auto="1"/>
      </font>
      <fill>
        <patternFill>
          <bgColor rgb="FFFFCBC5"/>
        </patternFill>
      </fill>
    </dxf>
    <dxf>
      <font>
        <color rgb="FFC00000"/>
      </font>
    </dxf>
    <dxf>
      <font>
        <color rgb="FF348447"/>
      </font>
    </dxf>
    <dxf>
      <font>
        <color auto="1"/>
      </font>
      <fill>
        <patternFill>
          <bgColor rgb="FFFFCBC5"/>
        </patternFill>
      </fill>
    </dxf>
    <dxf>
      <fill>
        <patternFill>
          <bgColor theme="9" tint="0.59996337778862885"/>
        </patternFill>
      </fill>
    </dxf>
    <dxf>
      <border>
        <top style="thin">
          <color auto="1"/>
        </top>
        <bottom style="thin">
          <color rgb="FFFF0000"/>
        </bottom>
        <vertical/>
        <horizontal/>
      </border>
    </dxf>
    <dxf>
      <font>
        <b val="0"/>
        <i val="0"/>
      </font>
      <fill>
        <patternFill>
          <bgColor theme="5" tint="0.79998168889431442"/>
        </patternFill>
      </fill>
    </dxf>
    <dxf>
      <font>
        <color rgb="FFC00000"/>
      </font>
    </dxf>
    <dxf>
      <font>
        <color rgb="FF348447"/>
      </font>
    </dxf>
    <dxf>
      <font>
        <color auto="1"/>
      </font>
      <fill>
        <patternFill>
          <bgColor rgb="FFFFCBC5"/>
        </patternFill>
      </fill>
    </dxf>
    <dxf>
      <font>
        <color rgb="FFC00000"/>
      </font>
    </dxf>
    <dxf>
      <font>
        <color rgb="FF348447"/>
      </font>
    </dxf>
    <dxf>
      <font>
        <color auto="1"/>
      </font>
      <fill>
        <patternFill>
          <bgColor rgb="FFFFCBC5"/>
        </patternFill>
      </fill>
    </dxf>
    <dxf>
      <fill>
        <patternFill>
          <bgColor theme="9" tint="0.59996337778862885"/>
        </patternFill>
      </fill>
    </dxf>
    <dxf>
      <border>
        <top style="thin">
          <color auto="1"/>
        </top>
        <bottom style="thin">
          <color rgb="FFFF0000"/>
        </bottom>
        <vertical/>
        <horizontal/>
      </border>
    </dxf>
    <dxf>
      <font>
        <b val="0"/>
        <i val="0"/>
      </font>
      <fill>
        <patternFill>
          <bgColor theme="5" tint="0.79998168889431442"/>
        </patternFill>
      </fill>
    </dxf>
    <dxf>
      <font>
        <color rgb="FFC00000"/>
      </font>
    </dxf>
    <dxf>
      <font>
        <color rgb="FF348447"/>
      </font>
    </dxf>
    <dxf>
      <font>
        <color auto="1"/>
      </font>
      <fill>
        <patternFill>
          <bgColor rgb="FFFFCBC5"/>
        </patternFill>
      </fill>
    </dxf>
    <dxf>
      <font>
        <color rgb="FFC00000"/>
      </font>
    </dxf>
    <dxf>
      <font>
        <color rgb="FF348447"/>
      </font>
    </dxf>
    <dxf>
      <font>
        <color auto="1"/>
      </font>
      <fill>
        <patternFill>
          <bgColor rgb="FFFFCBC5"/>
        </patternFill>
      </fill>
    </dxf>
    <dxf>
      <fill>
        <patternFill>
          <bgColor theme="9" tint="0.59996337778862885"/>
        </patternFill>
      </fill>
    </dxf>
    <dxf>
      <border>
        <top style="thin">
          <color auto="1"/>
        </top>
        <bottom style="thin">
          <color rgb="FFFF0000"/>
        </bottom>
        <vertical/>
        <horizontal/>
      </border>
    </dxf>
    <dxf>
      <font>
        <b val="0"/>
        <i val="0"/>
      </font>
      <fill>
        <patternFill>
          <bgColor theme="5" tint="0.79998168889431442"/>
        </patternFill>
      </fill>
    </dxf>
    <dxf>
      <font>
        <color rgb="FFC00000"/>
      </font>
    </dxf>
    <dxf>
      <font>
        <color rgb="FF348447"/>
      </font>
    </dxf>
    <dxf>
      <font>
        <color auto="1"/>
      </font>
      <fill>
        <patternFill>
          <bgColor rgb="FFFFCBC5"/>
        </patternFill>
      </fill>
    </dxf>
    <dxf>
      <font>
        <color rgb="FFC00000"/>
      </font>
    </dxf>
    <dxf>
      <font>
        <color rgb="FF348447"/>
      </font>
    </dxf>
    <dxf>
      <font>
        <color auto="1"/>
      </font>
      <fill>
        <patternFill>
          <bgColor rgb="FFFFCBC5"/>
        </patternFill>
      </fill>
    </dxf>
    <dxf>
      <fill>
        <patternFill>
          <bgColor theme="9" tint="0.59996337778862885"/>
        </patternFill>
      </fill>
    </dxf>
    <dxf>
      <border>
        <top style="thin">
          <color auto="1"/>
        </top>
        <bottom style="thin">
          <color rgb="FFFF0000"/>
        </bottom>
        <vertical/>
        <horizontal/>
      </border>
    </dxf>
    <dxf>
      <font>
        <b val="0"/>
        <i val="0"/>
      </font>
      <fill>
        <patternFill>
          <bgColor theme="5" tint="0.79998168889431442"/>
        </patternFill>
      </fill>
    </dxf>
    <dxf>
      <font>
        <color rgb="FFC00000"/>
      </font>
    </dxf>
    <dxf>
      <font>
        <color rgb="FF348447"/>
      </font>
    </dxf>
    <dxf>
      <font>
        <color auto="1"/>
      </font>
      <fill>
        <patternFill>
          <bgColor rgb="FFFFCBC5"/>
        </patternFill>
      </fill>
    </dxf>
    <dxf>
      <font>
        <condense val="0"/>
        <extend val="0"/>
        <color indexed="10"/>
      </font>
    </dxf>
    <dxf>
      <font>
        <condense val="0"/>
        <extend val="0"/>
        <color indexed="10"/>
      </font>
    </dxf>
    <dxf>
      <font>
        <condense val="0"/>
        <extend val="0"/>
        <color indexed="10"/>
      </font>
    </dxf>
    <dxf>
      <font>
        <b/>
        <i val="0"/>
        <condense val="0"/>
        <extend val="0"/>
        <color indexed="10"/>
      </font>
    </dxf>
    <dxf>
      <font>
        <b/>
        <i val="0"/>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Tabellenformat 1" pivot="0" count="0" xr9:uid="{00000000-0011-0000-FFFF-FFFF00000000}"/>
  </tableStyles>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3.xml"/><Relationship Id="rId68" Type="http://schemas.openxmlformats.org/officeDocument/2006/relationships/externalLink" Target="externalLinks/externalLink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14.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4.xml"/><Relationship Id="rId69" Type="http://schemas.openxmlformats.org/officeDocument/2006/relationships/externalLink" Target="externalLinks/externalLink9.xml"/><Relationship Id="rId77" Type="http://schemas.openxmlformats.org/officeDocument/2006/relationships/externalLink" Target="externalLinks/externalLink1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2.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2.xml"/><Relationship Id="rId70" Type="http://schemas.openxmlformats.org/officeDocument/2006/relationships/externalLink" Target="externalLinks/externalLink10.xml"/><Relationship Id="rId75"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5.xml"/><Relationship Id="rId73" Type="http://schemas.openxmlformats.org/officeDocument/2006/relationships/externalLink" Target="externalLinks/externalLink13.xml"/><Relationship Id="rId78" Type="http://schemas.openxmlformats.org/officeDocument/2006/relationships/theme" Target="theme/theme1.xml"/><Relationship Id="rId8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6.xml"/><Relationship Id="rId7" Type="http://schemas.openxmlformats.org/officeDocument/2006/relationships/worksheet" Target="worksheets/sheet7.xml"/><Relationship Id="rId71" Type="http://schemas.openxmlformats.org/officeDocument/2006/relationships/externalLink" Target="externalLinks/externalLink1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de-DE"/>
              <a:t>Hitliste der 30 unpünktlichsten Züge - Ankunft</a:t>
            </a:r>
          </a:p>
        </c:rich>
      </c:tx>
      <c:overlay val="0"/>
      <c:spPr>
        <a:noFill/>
        <a:ln w="25400">
          <a:noFill/>
        </a:ln>
      </c:spPr>
    </c:title>
    <c:autoTitleDeleted val="0"/>
    <c:plotArea>
      <c:layout/>
      <c:barChart>
        <c:barDir val="col"/>
        <c:grouping val="clustered"/>
        <c:varyColors val="0"/>
        <c:ser>
          <c:idx val="1"/>
          <c:order val="0"/>
          <c:tx>
            <c:v>Pünktlichkeitsniveau</c:v>
          </c:tx>
          <c:spPr>
            <a:gradFill rotWithShape="0">
              <a:gsLst>
                <a:gs pos="0">
                  <a:srgbClr val="993366"/>
                </a:gs>
                <a:gs pos="100000">
                  <a:srgbClr val="993366">
                    <a:gamma/>
                    <a:shade val="66275"/>
                    <a:invGamma/>
                  </a:srgbClr>
                </a:gs>
              </a:gsLst>
              <a:lin ang="5400000" scaled="1"/>
            </a:gradFill>
            <a:ln w="12700">
              <a:solidFill>
                <a:srgbClr val="000000"/>
              </a:solidFill>
              <a:prstDash val="solid"/>
            </a:ln>
          </c:spPr>
          <c:invertIfNegative val="0"/>
          <c:cat>
            <c:numLit>
              <c:formatCode>General</c:formatCode>
              <c:ptCount val="5"/>
              <c:pt idx="0">
                <c:v>24611</c:v>
              </c:pt>
              <c:pt idx="1">
                <c:v>35678</c:v>
              </c:pt>
              <c:pt idx="2">
                <c:v>27456</c:v>
              </c:pt>
              <c:pt idx="3">
                <c:v>0</c:v>
              </c:pt>
              <c:pt idx="4">
                <c:v>0</c:v>
              </c:pt>
            </c:numLit>
          </c:cat>
          <c:val>
            <c:numLit>
              <c:formatCode>General</c:formatCode>
              <c:ptCount val="5"/>
              <c:pt idx="0">
                <c:v>80</c:v>
              </c:pt>
              <c:pt idx="1">
                <c:v>83.61</c:v>
              </c:pt>
              <c:pt idx="2">
                <c:v>71.19</c:v>
              </c:pt>
              <c:pt idx="3">
                <c:v>0</c:v>
              </c:pt>
              <c:pt idx="4">
                <c:v>0</c:v>
              </c:pt>
            </c:numLit>
          </c:val>
          <c:extLst>
            <c:ext xmlns:c16="http://schemas.microsoft.com/office/drawing/2014/chart" uri="{C3380CC4-5D6E-409C-BE32-E72D297353CC}">
              <c16:uniqueId val="{00000000-AE74-41E9-854A-A07694828E02}"/>
            </c:ext>
          </c:extLst>
        </c:ser>
        <c:dLbls>
          <c:showLegendKey val="0"/>
          <c:showVal val="0"/>
          <c:showCatName val="0"/>
          <c:showSerName val="0"/>
          <c:showPercent val="0"/>
          <c:showBubbleSize val="0"/>
        </c:dLbls>
        <c:gapWidth val="150"/>
        <c:axId val="-1577166944"/>
        <c:axId val="-1577164768"/>
      </c:barChart>
      <c:lineChart>
        <c:grouping val="standard"/>
        <c:varyColors val="0"/>
        <c:ser>
          <c:idx val="0"/>
          <c:order val="1"/>
          <c:tx>
            <c:v>durchschnittliche Verspätung</c:v>
          </c:tx>
          <c:spPr>
            <a:ln w="38100">
              <a:solidFill>
                <a:srgbClr val="FF9900"/>
              </a:solidFill>
              <a:prstDash val="solid"/>
            </a:ln>
          </c:spPr>
          <c:marker>
            <c:symbol val="dot"/>
            <c:size val="7"/>
            <c:spPr>
              <a:noFill/>
              <a:ln w="9525">
                <a:noFill/>
              </a:ln>
            </c:spPr>
          </c:marker>
          <c:val>
            <c:numLit>
              <c:formatCode>General</c:formatCode>
              <c:ptCount val="5"/>
              <c:pt idx="0">
                <c:v>8.9</c:v>
              </c:pt>
              <c:pt idx="1">
                <c:v>4.08</c:v>
              </c:pt>
              <c:pt idx="2">
                <c:v>5.9</c:v>
              </c:pt>
              <c:pt idx="3">
                <c:v>0</c:v>
              </c:pt>
              <c:pt idx="4">
                <c:v>0</c:v>
              </c:pt>
            </c:numLit>
          </c:val>
          <c:smooth val="0"/>
          <c:extLst>
            <c:ext xmlns:c16="http://schemas.microsoft.com/office/drawing/2014/chart" uri="{C3380CC4-5D6E-409C-BE32-E72D297353CC}">
              <c16:uniqueId val="{00000001-AE74-41E9-854A-A07694828E02}"/>
            </c:ext>
          </c:extLst>
        </c:ser>
        <c:dLbls>
          <c:showLegendKey val="0"/>
          <c:showVal val="0"/>
          <c:showCatName val="0"/>
          <c:showSerName val="0"/>
          <c:showPercent val="0"/>
          <c:showBubbleSize val="0"/>
        </c:dLbls>
        <c:marker val="1"/>
        <c:smooth val="0"/>
        <c:axId val="-1577176736"/>
        <c:axId val="-1577168032"/>
      </c:lineChart>
      <c:catAx>
        <c:axId val="-157716694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4500000" vert="horz"/>
          <a:lstStyle/>
          <a:p>
            <a:pPr>
              <a:defRPr sz="1000" b="0" i="0" u="none" strike="noStrike" baseline="0">
                <a:solidFill>
                  <a:srgbClr val="000000"/>
                </a:solidFill>
                <a:latin typeface="Arial"/>
                <a:ea typeface="Arial"/>
                <a:cs typeface="Arial"/>
              </a:defRPr>
            </a:pPr>
            <a:endParaRPr lang="de-DE"/>
          </a:p>
        </c:txPr>
        <c:crossAx val="-1577164768"/>
        <c:crosses val="autoZero"/>
        <c:auto val="0"/>
        <c:lblAlgn val="ctr"/>
        <c:lblOffset val="100"/>
        <c:tickLblSkip val="1"/>
        <c:tickMarkSkip val="1"/>
        <c:noMultiLvlLbl val="0"/>
      </c:catAx>
      <c:valAx>
        <c:axId val="-1577164768"/>
        <c:scaling>
          <c:orientation val="minMax"/>
          <c:max val="90"/>
          <c:min val="0"/>
        </c:scaling>
        <c:delete val="0"/>
        <c:axPos val="l"/>
        <c:majorGridlines>
          <c:spPr>
            <a:ln w="3175">
              <a:solidFill>
                <a:srgbClr val="000000"/>
              </a:solidFill>
              <a:prstDash val="solid"/>
            </a:ln>
          </c:spPr>
        </c:majorGridlines>
        <c:minorGridlines>
          <c:spPr>
            <a:ln w="3175">
              <a:solidFill>
                <a:srgbClr val="000000"/>
              </a:solidFill>
              <a:prstDash val="solid"/>
            </a:ln>
          </c:spPr>
        </c:minorGridlines>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577166944"/>
        <c:crosses val="autoZero"/>
        <c:crossBetween val="between"/>
        <c:majorUnit val="10"/>
        <c:minorUnit val="5"/>
      </c:valAx>
      <c:catAx>
        <c:axId val="-1577176736"/>
        <c:scaling>
          <c:orientation val="minMax"/>
        </c:scaling>
        <c:delete val="1"/>
        <c:axPos val="b"/>
        <c:majorTickMark val="out"/>
        <c:minorTickMark val="none"/>
        <c:tickLblPos val="nextTo"/>
        <c:crossAx val="-1577168032"/>
        <c:crossesAt val="0"/>
        <c:auto val="0"/>
        <c:lblAlgn val="ctr"/>
        <c:lblOffset val="100"/>
        <c:noMultiLvlLbl val="0"/>
      </c:catAx>
      <c:valAx>
        <c:axId val="-1577168032"/>
        <c:scaling>
          <c:orientation val="minMax"/>
          <c:max val="30"/>
          <c:min val="0"/>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577176736"/>
        <c:crosses val="max"/>
        <c:crossBetween val="between"/>
        <c:majorUnit val="5"/>
        <c:minorUnit val="5"/>
      </c:valAx>
      <c:spPr>
        <a:solidFill>
          <a:srgbClr val="C0C0C0"/>
        </a:solidFill>
        <a:ln w="12700">
          <a:solidFill>
            <a:srgbClr val="808080"/>
          </a:solidFill>
          <a:prstDash val="solid"/>
        </a:ln>
      </c:spPr>
    </c:plotArea>
    <c:legend>
      <c:legendPos val="r"/>
      <c:overlay val="0"/>
      <c:spPr>
        <a:solidFill>
          <a:srgbClr val="FFFFCC"/>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de-DE"/>
              <a:t>Hitliste der 30 unpünktlichsten Züge - Abfahrt</a:t>
            </a:r>
          </a:p>
        </c:rich>
      </c:tx>
      <c:overlay val="0"/>
      <c:spPr>
        <a:noFill/>
        <a:ln w="25400">
          <a:noFill/>
        </a:ln>
      </c:spPr>
    </c:title>
    <c:autoTitleDeleted val="0"/>
    <c:plotArea>
      <c:layout/>
      <c:barChart>
        <c:barDir val="col"/>
        <c:grouping val="clustered"/>
        <c:varyColors val="0"/>
        <c:ser>
          <c:idx val="1"/>
          <c:order val="0"/>
          <c:tx>
            <c:v>Pünktlichkeitsniveau</c:v>
          </c:tx>
          <c:spPr>
            <a:gradFill rotWithShape="0">
              <a:gsLst>
                <a:gs pos="0">
                  <a:srgbClr val="993366"/>
                </a:gs>
                <a:gs pos="100000">
                  <a:srgbClr val="993366">
                    <a:gamma/>
                    <a:shade val="66275"/>
                    <a:invGamma/>
                  </a:srgbClr>
                </a:gs>
              </a:gsLst>
              <a:lin ang="5400000" scaled="1"/>
            </a:gradFill>
            <a:ln w="12700">
              <a:solidFill>
                <a:srgbClr val="000000"/>
              </a:solidFill>
              <a:prstDash val="solid"/>
            </a:ln>
          </c:spPr>
          <c:invertIfNegative val="0"/>
          <c:val>
            <c:numRef>
              <c:f>'3_Züge unter 85 %'!#REF!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'3_Züge unter 85 %'!#REF!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5C3-409C-9113-979BAE601CC3}"/>
            </c:ext>
          </c:extLst>
        </c:ser>
        <c:dLbls>
          <c:showLegendKey val="0"/>
          <c:showVal val="0"/>
          <c:showCatName val="0"/>
          <c:showSerName val="0"/>
          <c:showPercent val="0"/>
          <c:showBubbleSize val="0"/>
        </c:dLbls>
        <c:gapWidth val="150"/>
        <c:axId val="-1577169664"/>
        <c:axId val="-1577166400"/>
      </c:barChart>
      <c:lineChart>
        <c:grouping val="standard"/>
        <c:varyColors val="0"/>
        <c:ser>
          <c:idx val="0"/>
          <c:order val="1"/>
          <c:tx>
            <c:v>durchschnittliche Verspätung</c:v>
          </c:tx>
          <c:spPr>
            <a:ln w="38100">
              <a:solidFill>
                <a:srgbClr val="FF9900"/>
              </a:solidFill>
              <a:prstDash val="solid"/>
            </a:ln>
          </c:spPr>
          <c:marker>
            <c:symbol val="none"/>
          </c:marker>
          <c:val>
            <c:numRef>
              <c:f>'3_Züge unter 85 %'!#REF!</c:f>
              <c:numCache>
                <c:formatCode>General</c:formatCode>
                <c:ptCount val="1"/>
                <c:pt idx="0">
                  <c:v>1</c:v>
                </c:pt>
              </c:numCache>
            </c:numRef>
          </c:val>
          <c:smooth val="0"/>
          <c:extLst>
            <c:ext xmlns:c16="http://schemas.microsoft.com/office/drawing/2014/chart" uri="{C3380CC4-5D6E-409C-BE32-E72D297353CC}">
              <c16:uniqueId val="{00000001-F5C3-409C-9113-979BAE601CC3}"/>
            </c:ext>
          </c:extLst>
        </c:ser>
        <c:dLbls>
          <c:showLegendKey val="0"/>
          <c:showVal val="0"/>
          <c:showCatName val="0"/>
          <c:showSerName val="0"/>
          <c:showPercent val="0"/>
          <c:showBubbleSize val="0"/>
        </c:dLbls>
        <c:marker val="1"/>
        <c:smooth val="0"/>
        <c:axId val="-1577165856"/>
        <c:axId val="-1577165312"/>
      </c:lineChart>
      <c:catAx>
        <c:axId val="-157716966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4500000" vert="horz"/>
          <a:lstStyle/>
          <a:p>
            <a:pPr>
              <a:defRPr sz="1000" b="0" i="0" u="none" strike="noStrike" baseline="0">
                <a:solidFill>
                  <a:srgbClr val="000000"/>
                </a:solidFill>
                <a:latin typeface="Arial"/>
                <a:ea typeface="Arial"/>
                <a:cs typeface="Arial"/>
              </a:defRPr>
            </a:pPr>
            <a:endParaRPr lang="de-DE"/>
          </a:p>
        </c:txPr>
        <c:crossAx val="-1577166400"/>
        <c:crosses val="autoZero"/>
        <c:auto val="0"/>
        <c:lblAlgn val="ctr"/>
        <c:lblOffset val="100"/>
        <c:tickLblSkip val="1"/>
        <c:tickMarkSkip val="1"/>
        <c:noMultiLvlLbl val="0"/>
      </c:catAx>
      <c:valAx>
        <c:axId val="-1577166400"/>
        <c:scaling>
          <c:orientation val="minMax"/>
          <c:max val="90"/>
          <c:min val="0"/>
        </c:scaling>
        <c:delete val="0"/>
        <c:axPos val="l"/>
        <c:majorGridlines>
          <c:spPr>
            <a:ln w="3175">
              <a:solidFill>
                <a:srgbClr val="000000"/>
              </a:solidFill>
              <a:prstDash val="solid"/>
            </a:ln>
          </c:spPr>
        </c:majorGridlines>
        <c:minorGridlines>
          <c:spPr>
            <a:ln w="3175">
              <a:solidFill>
                <a:srgbClr val="000000"/>
              </a:solidFill>
              <a:prstDash val="solid"/>
            </a:ln>
          </c:spPr>
        </c:minorGridlines>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577169664"/>
        <c:crosses val="autoZero"/>
        <c:crossBetween val="between"/>
        <c:majorUnit val="10"/>
        <c:minorUnit val="5"/>
      </c:valAx>
      <c:catAx>
        <c:axId val="-1577165856"/>
        <c:scaling>
          <c:orientation val="minMax"/>
        </c:scaling>
        <c:delete val="1"/>
        <c:axPos val="b"/>
        <c:majorTickMark val="out"/>
        <c:minorTickMark val="none"/>
        <c:tickLblPos val="nextTo"/>
        <c:crossAx val="-1577165312"/>
        <c:crosses val="autoZero"/>
        <c:auto val="0"/>
        <c:lblAlgn val="ctr"/>
        <c:lblOffset val="100"/>
        <c:noMultiLvlLbl val="0"/>
      </c:catAx>
      <c:valAx>
        <c:axId val="-1577165312"/>
        <c:scaling>
          <c:orientation val="minMax"/>
          <c:max val="30"/>
          <c:min val="0"/>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577165856"/>
        <c:crosses val="max"/>
        <c:crossBetween val="between"/>
        <c:majorUnit val="5"/>
        <c:minorUnit val="5"/>
      </c:valAx>
      <c:spPr>
        <a:solidFill>
          <a:srgbClr val="C0C0C0"/>
        </a:solidFill>
        <a:ln w="12700">
          <a:solidFill>
            <a:srgbClr val="808080"/>
          </a:solidFill>
          <a:prstDash val="solid"/>
        </a:ln>
      </c:spPr>
    </c:plotArea>
    <c:legend>
      <c:legendPos val="r"/>
      <c:overlay val="0"/>
      <c:spPr>
        <a:solidFill>
          <a:srgbClr val="FFFFCC"/>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2</xdr:col>
      <xdr:colOff>723900</xdr:colOff>
      <xdr:row>56</xdr:row>
      <xdr:rowOff>76200</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3181350" y="671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10</xdr:col>
      <xdr:colOff>0</xdr:colOff>
      <xdr:row>9</xdr:row>
      <xdr:rowOff>0</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60960</xdr:colOff>
      <xdr:row>9</xdr:row>
      <xdr:rowOff>0</xdr:rowOff>
    </xdr:from>
    <xdr:to>
      <xdr:col>10</xdr:col>
      <xdr:colOff>0</xdr:colOff>
      <xdr:row>9</xdr:row>
      <xdr:rowOff>0</xdr:rowOff>
    </xdr:to>
    <xdr:graphicFrame macro="">
      <xdr:nvGraphicFramePr>
        <xdr:cNvPr id="3" name="Chart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ZVNL\GFr&#246;hlich\Vertragscontrolling\Statusberichte+Jahres-SR\MDSB%20I%202014\M14-07\Eingang%20Statusbereicht%2014-08-15\Bericht\31_Beschwerdestatistik_alle%20AT_2014-07.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Fzg"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ZVNL\GFr&#246;hlich\Vertragscontrolling\Statusberichte+Jahres-SR\MDSB%20I%202013-Dez\Statusbericht\Eingang%20Statusbericht%2014-02-21\18_Innenreinigung_alle%20AT_Korr.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kumente%20und%20Einstellungen\freund.NASA\Lokale%20Einstellungen\Temporary%20Internet%20Files\Content.Outlook\VR7CCY87\NASA_DNOT_Dokumentationsvorlage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ASA-DATA1\Daten\Users\FrankBretzger\Desktop\2013_12-2\Nachlieferung\33_Graffiti%20Fahrzeuge.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LNSR90003\GRUPPEN\FERI\FDMEXP\bipj.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LBVNVS-NAS\Arbeitsgruppen\Ref%2037\Vertragscontrolling\21_Neitech\2023%20Neitech\01%2023%20Abrechnung\2310%20Neitech\2310%20NT%20Anl+Ber\231201%20Monatsabrechnung%20Neitech%20Th&#252;ringen%202023-10_Korrektur_pr&#252;f.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ZVNL\GFr&#246;hlich\Vertragscontrolling\Statusberichte+Jahres-SR\MDSB%20I%202013-Dez\Statusbericht\Eingang%20Statusbericht%2014-02-21\17_Au&#223;enreinigung_ZVNL.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Endkalkulation\3-2009-03-10_KCW%20Modell%20NVS%20Th&#252;ringen-Dieselnetz%20Ost_&#220;bergabeversion1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usschreibungen\Halle-Jena\15%20Kalkulation\SKS%20DIS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ZVNL\GFr&#246;hlich\Vertragscontrolling\Statusberichte+Jahres-SR\MDSB%20I%202014\M14-01\Eingang%20Statusbericht%2014-02-21%20ZVNL\31_Beschwerdestatistik_alle%20AT_2014-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G-va\G-VA-Daten\R-va2\Ref-VA2-EP\Ref-VA2-Sicherung\Auskunftsdienst\Publikationsservice\56124010910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MDSBI\MDSB%20I-Feb%202015_Pr&#252;fungsergebnis%20ZVN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asa-data1\Daten\Vertragsueberwachung\DNOT_Erfurter_Bahn\Abschlagszahlungen\2013\12-12-21%20Lan-wau%20Zuschuss%20EB%2020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ZVNL\GFr&#246;hlich\Vertragscontrolling\Statusberichte+Jahres-SR\MDSB%20I%202013-Dez\Statusbericht\Eingang%20Statusbericht%2014-02-21\31_Beschwerdestatistik_ZVN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ASA-DATA1\Daten\vertragsueberwachung\MDSB_I\Qualit&#228;tsberichte\2014\07_2014\31_Beschwerdestatistik_alle%20AT_2014-0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ASA-DATA1\Daten\Vertragsueberwachung\MDSB_I\Leistungsabrechnung\MDSB%20I-Dezember%202013_Pr&#252;fungsergebnis%20ZVN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chwerden"/>
      <sheetName val="Lexikon"/>
      <sheetName val="Bericht"/>
      <sheetName val="Punkte"/>
    </sheetNames>
    <sheetDataSet>
      <sheetData sheetId="0"/>
      <sheetData sheetId="1"/>
      <sheetData sheetId="2" refreshError="1"/>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zg"/>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8_Innenreinigung"/>
      <sheetName val="Schlüssel"/>
    </sheetNames>
    <sheetDataSet>
      <sheetData sheetId="0"/>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Datenformat Pünktlichkeit"/>
      <sheetName val="2_Analyse Linienpünktlichkeit "/>
      <sheetName val="3_Züge unter 85 %"/>
      <sheetName val="4_Nachweis Anschluss"/>
      <sheetName val="5 Abfahrten vor Plan"/>
      <sheetName val="6_Operative Zugausfälle"/>
      <sheetName val="7_Planmäßige Zugausfälle"/>
      <sheetName val="8_Verspätungen&gt;Takt"/>
      <sheetName val="9 Statistik Zugausfälle"/>
      <sheetName val="10_Abweichungen Zugbildung"/>
      <sheetName val="11_Statistik Zugbildung"/>
      <sheetName val="12_Vereinbarung Zugbildung"/>
      <sheetName val="13_Vertriebsstellen"/>
      <sheetName val="16_Automaten im Zug"/>
      <sheetName val="17_Abweichungen Fka"/>
      <sheetName val="18_Störungen stationäre FAA"/>
      <sheetName val="19_Störungen AiZ"/>
      <sheetName val="20_Ausfall_Kundenbetreuer"/>
      <sheetName val="21_Nachweis Kundenbetreuer"/>
      <sheetName val="22_Statistik_Kundenbetreuer"/>
      <sheetName val="23_Schäden an Fahrzeugen"/>
      <sheetName val="24_Fahrgastinformation"/>
      <sheetName val="25_Beschwerdestatistik"/>
      <sheetName val="Züge unter 85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lüssel"/>
      <sheetName val="33_Graffiti an Fahrzeugen"/>
      <sheetName val="Züge unter 85 %"/>
    </sheetNames>
    <sheetDataSet>
      <sheetData sheetId="0">
        <row r="3">
          <cell r="D3">
            <v>0.69550000000000001</v>
          </cell>
        </row>
        <row r="4">
          <cell r="D4">
            <v>0.12470000000000001</v>
          </cell>
        </row>
        <row r="5">
          <cell r="D5">
            <v>7.1099999999999997E-2</v>
          </cell>
        </row>
        <row r="6">
          <cell r="D6">
            <v>5.3900000000000003E-2</v>
          </cell>
        </row>
        <row r="7">
          <cell r="D7">
            <v>4.6600000000000003E-2</v>
          </cell>
        </row>
        <row r="8">
          <cell r="D8">
            <v>8.2000000000000007E-3</v>
          </cell>
        </row>
      </sheetData>
      <sheetData sheetId="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PJ"/>
    </sheetNames>
    <sheetDataSet>
      <sheetData sheetId="0" refreshError="1">
        <row r="4">
          <cell r="A4" t="str">
            <v>1992</v>
          </cell>
          <cell r="B4">
            <v>1749.09997558594</v>
          </cell>
          <cell r="C4">
            <v>992.469970703125</v>
          </cell>
          <cell r="D4">
            <v>342.79998779296898</v>
          </cell>
          <cell r="E4">
            <v>409.45999145507801</v>
          </cell>
          <cell r="F4">
            <v>154.30999755859401</v>
          </cell>
          <cell r="G4">
            <v>12.9899997711182</v>
          </cell>
          <cell r="H4">
            <v>167.299997329712</v>
          </cell>
          <cell r="I4">
            <v>242.16000366210901</v>
          </cell>
        </row>
        <row r="5">
          <cell r="A5" t="str">
            <v>1993</v>
          </cell>
          <cell r="B5">
            <v>1730.09997558594</v>
          </cell>
          <cell r="C5">
            <v>993.59997558593795</v>
          </cell>
          <cell r="D5">
            <v>343.17001342773398</v>
          </cell>
          <cell r="E5">
            <v>391.239990234375</v>
          </cell>
          <cell r="F5">
            <v>131</v>
          </cell>
          <cell r="G5">
            <v>13.710000038146999</v>
          </cell>
          <cell r="H5">
            <v>144.710000038147</v>
          </cell>
          <cell r="I5">
            <v>246.52999877929699</v>
          </cell>
        </row>
        <row r="6">
          <cell r="A6" t="str">
            <v>1994</v>
          </cell>
          <cell r="B6">
            <v>1770.69995117188</v>
          </cell>
          <cell r="C6">
            <v>1004.11999511719</v>
          </cell>
          <cell r="D6">
            <v>351.44000244140602</v>
          </cell>
          <cell r="E6">
            <v>406.88000488281301</v>
          </cell>
          <cell r="F6">
            <v>128.47000122070301</v>
          </cell>
          <cell r="G6">
            <v>14.829999923706101</v>
          </cell>
          <cell r="H6">
            <v>143.30000114440901</v>
          </cell>
          <cell r="I6">
            <v>263.57998657226602</v>
          </cell>
        </row>
        <row r="7">
          <cell r="A7" t="str">
            <v>1995</v>
          </cell>
          <cell r="B7">
            <v>1801.30004882813</v>
          </cell>
          <cell r="C7">
            <v>1024.7900390625</v>
          </cell>
          <cell r="D7">
            <v>356.79000854492199</v>
          </cell>
          <cell r="E7">
            <v>404.239990234375</v>
          </cell>
          <cell r="F7">
            <v>129.82000732421901</v>
          </cell>
          <cell r="G7">
            <v>15.6599998474121</v>
          </cell>
          <cell r="H7">
            <v>145.480007171631</v>
          </cell>
          <cell r="I7">
            <v>258.760009765625</v>
          </cell>
        </row>
        <row r="8">
          <cell r="A8" t="str">
            <v>1996</v>
          </cell>
          <cell r="B8">
            <v>1815.09997558594</v>
          </cell>
          <cell r="C8">
            <v>1035.05004882813</v>
          </cell>
          <cell r="D8">
            <v>363.26998901367199</v>
          </cell>
          <cell r="E8">
            <v>400.85000610351602</v>
          </cell>
          <cell r="F8">
            <v>132.08999633789099</v>
          </cell>
          <cell r="G8">
            <v>17.420000076293999</v>
          </cell>
          <cell r="H8">
            <v>149.509996414185</v>
          </cell>
          <cell r="I8">
            <v>251.33999633789099</v>
          </cell>
        </row>
        <row r="9">
          <cell r="A9" t="str">
            <v>1997</v>
          </cell>
          <cell r="B9">
            <v>1840.40002441406</v>
          </cell>
          <cell r="C9">
            <v>1041.2099609375</v>
          </cell>
          <cell r="D9">
            <v>364.510009765625</v>
          </cell>
          <cell r="E9">
            <v>403.08999633789102</v>
          </cell>
          <cell r="F9">
            <v>137.00999450683599</v>
          </cell>
          <cell r="G9">
            <v>18.450000762939499</v>
          </cell>
          <cell r="H9">
            <v>155.45999526977499</v>
          </cell>
          <cell r="I9">
            <v>247.63000488281301</v>
          </cell>
        </row>
        <row r="10">
          <cell r="A10" t="str">
            <v>1998</v>
          </cell>
          <cell r="B10">
            <v>1876.40002441406</v>
          </cell>
          <cell r="C10">
            <v>1059.7900390625</v>
          </cell>
          <cell r="D10">
            <v>371.32998657226602</v>
          </cell>
          <cell r="E10">
            <v>415.20999145507801</v>
          </cell>
          <cell r="F10">
            <v>149.55999755859401</v>
          </cell>
          <cell r="G10">
            <v>20.469999313354499</v>
          </cell>
          <cell r="H10">
            <v>170.02999687194799</v>
          </cell>
          <cell r="I10">
            <v>245.17999267578099</v>
          </cell>
        </row>
        <row r="11">
          <cell r="A11" t="str">
            <v>1999</v>
          </cell>
          <cell r="B11">
            <v>1914.80004882813</v>
          </cell>
          <cell r="C11">
            <v>1099.09997558594</v>
          </cell>
          <cell r="D11">
            <v>374.33999633789102</v>
          </cell>
          <cell r="E11">
            <v>432.44000244140602</v>
          </cell>
          <cell r="F11">
            <v>160.30999755859401</v>
          </cell>
          <cell r="G11">
            <v>23.430000305175799</v>
          </cell>
          <cell r="H11">
            <v>183.73999786376999</v>
          </cell>
          <cell r="I11">
            <v>248.69999694824199</v>
          </cell>
        </row>
        <row r="12">
          <cell r="A12" t="str">
            <v>2000</v>
          </cell>
          <cell r="B12">
            <v>1969.5</v>
          </cell>
          <cell r="C12">
            <v>1121.23999023438</v>
          </cell>
          <cell r="D12">
            <v>378.61999511718801</v>
          </cell>
          <cell r="E12">
            <v>444.13000488281301</v>
          </cell>
          <cell r="F12">
            <v>176.44999694824199</v>
          </cell>
          <cell r="G12">
            <v>25.540000915527301</v>
          </cell>
          <cell r="H12">
            <v>201.98999786376999</v>
          </cell>
          <cell r="I12">
            <v>242.13999938964801</v>
          </cell>
        </row>
        <row r="13">
          <cell r="A13" t="str">
            <v>2001</v>
          </cell>
          <cell r="B13">
            <v>1986</v>
          </cell>
          <cell r="C13">
            <v>1140.7099609375</v>
          </cell>
          <cell r="D13">
            <v>382.42999267578102</v>
          </cell>
          <cell r="E13">
            <v>425.27999877929699</v>
          </cell>
          <cell r="F13">
            <v>167.80999755859401</v>
          </cell>
          <cell r="G13">
            <v>26.940000534057599</v>
          </cell>
          <cell r="H13">
            <v>194.749998092651</v>
          </cell>
          <cell r="I13">
            <v>230.52999877929699</v>
          </cell>
        </row>
        <row r="14">
          <cell r="A14" t="str">
            <v>2002</v>
          </cell>
          <cell r="B14">
            <v>1987.59997558594</v>
          </cell>
          <cell r="C14">
            <v>1132.44995117188</v>
          </cell>
          <cell r="D14">
            <v>389.760009765625</v>
          </cell>
          <cell r="E14">
            <v>397.85000610351602</v>
          </cell>
          <cell r="F14">
            <v>153.36000061035199</v>
          </cell>
          <cell r="G14">
            <v>27.319999694824201</v>
          </cell>
          <cell r="H14">
            <v>180.68000030517601</v>
          </cell>
          <cell r="I14">
            <v>217.169998168945</v>
          </cell>
        </row>
        <row r="15">
          <cell r="A15" t="str">
            <v>2003</v>
          </cell>
          <cell r="B15">
            <v>1985.19995117188</v>
          </cell>
          <cell r="C15">
            <v>1132.48999023438</v>
          </cell>
          <cell r="D15">
            <v>390.19000244140602</v>
          </cell>
          <cell r="E15">
            <v>389.14001464843801</v>
          </cell>
          <cell r="F15">
            <v>151.22999572753901</v>
          </cell>
          <cell r="G15">
            <v>27.790000915527301</v>
          </cell>
          <cell r="H15">
            <v>179.01999664306601</v>
          </cell>
          <cell r="I15">
            <v>210.11999511718801</v>
          </cell>
        </row>
        <row r="16">
          <cell r="A16" t="str">
            <v>2004</v>
          </cell>
          <cell r="B16">
            <v>2016.09997558594</v>
          </cell>
          <cell r="C16">
            <v>1127.93005371094</v>
          </cell>
          <cell r="D16">
            <v>391.73001098632801</v>
          </cell>
          <cell r="E16">
            <v>385.79998779296898</v>
          </cell>
          <cell r="F16">
            <v>153.05999755859401</v>
          </cell>
          <cell r="G16">
            <v>28.180000305175799</v>
          </cell>
          <cell r="H16">
            <v>181.23999786376999</v>
          </cell>
          <cell r="I16">
            <v>204.55999755859401</v>
          </cell>
        </row>
        <row r="17">
          <cell r="A17" t="str">
            <v>2005</v>
          </cell>
          <cell r="B17" t="str">
            <v>-</v>
          </cell>
          <cell r="C17" t="str">
            <v>-</v>
          </cell>
          <cell r="D17" t="str">
            <v>-</v>
          </cell>
          <cell r="E17" t="str">
            <v>-</v>
          </cell>
          <cell r="F17" t="str">
            <v>-</v>
          </cell>
          <cell r="G17" t="str">
            <v>-</v>
          </cell>
          <cell r="H17" t="str">
            <v>-</v>
          </cell>
          <cell r="I17" t="str">
            <v>-</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0_Zsfsg. Gesamtnetz"/>
      <sheetName val="OUTPUT"/>
      <sheetName val="0ab_Unterschriftenblatt TH"/>
      <sheetName val="0aa_Zsfsg. Thüringen"/>
      <sheetName val="0b_Zsfsg. BEG"/>
      <sheetName val="0c_Zsfsg. LNVG"/>
      <sheetName val="0d_Zsfsg. NVV"/>
      <sheetName val="0e_Zsfsg. VMS"/>
      <sheetName val="1aa_NVTS_Abschläge"/>
      <sheetName val="1ab_Leistungsvolumen"/>
      <sheetName val="1b_Sonderleistungen"/>
      <sheetName val="2a_Linienpünktlichkeit "/>
      <sheetName val="4_Operative Zugausfälle"/>
      <sheetName val="5_Planmäßige Zugausfälle"/>
      <sheetName val="5a_baubed.Ausfälle&gt;1,5%"/>
      <sheetName val="7_Statistik Zugausfälle"/>
      <sheetName val="8_Abweichungen Bespannung"/>
      <sheetName val="9_Statistik Bespannung"/>
      <sheetName val="14_Abweichungen pbV, vbV"/>
      <sheetName val="15_Störungen stationäre FAA"/>
      <sheetName val="16_Störungen mT bei Notverkauf"/>
      <sheetName val="17_Ausfall_Kundenbetreuer"/>
      <sheetName val="18_Statistik_Kundenbetreuer "/>
      <sheetName val="19_zusätzl. Personale"/>
      <sheetName val="20_Schäden an Fahrzeugen"/>
      <sheetName val="24_Infrastrukturkosten"/>
      <sheetName val="27_Qualität SEV BNV"/>
      <sheetName val="28_Sauberkeit"/>
    </sheetNames>
    <sheetDataSet>
      <sheetData sheetId="0" refreshError="1"/>
      <sheetData sheetId="1" refreshError="1"/>
      <sheetData sheetId="2" refreshError="1"/>
      <sheetData sheetId="3" refreshError="1"/>
      <sheetData sheetId="4">
        <row r="3">
          <cell r="B3">
            <v>9.15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_Außenreinigung"/>
      <sheetName val="Schlüssel"/>
    </sheetNames>
    <sheetDataSet>
      <sheetData sheetId="0"/>
      <sheetData sheetId="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lauf"/>
      <sheetName val="Namen"/>
      <sheetName val="M-V1"/>
      <sheetName val="M-V2"/>
      <sheetName val="M-V3"/>
      <sheetName val="M-V4"/>
      <sheetName val="M-V5"/>
      <sheetName val="Mengengerüst"/>
      <sheetName val="Fahrzeugtypen"/>
      <sheetName val="Indices"/>
      <sheetName val="Vorlaufkosten"/>
      <sheetName val="Ergebnisse AN"/>
      <sheetName val="Eingangsdaten"/>
      <sheetName val="Kurzübersicht AN (2)"/>
      <sheetName val="Kurzübersicht AN"/>
      <sheetName val="Ergebnisse CF"/>
      <sheetName val="Kurzübersicht CF"/>
      <sheetName val="Indizierung"/>
      <sheetName val="Vorfinanzierung"/>
      <sheetName val="Finanzierung"/>
      <sheetName val="Eigenkapital"/>
      <sheetName val="1"/>
      <sheetName val="1 Kost. d. Vorhaltung CF"/>
      <sheetName val="2"/>
      <sheetName val="2 Kost. n. Laufleistung CF"/>
      <sheetName val="3"/>
      <sheetName val="3 Kost. n. Zeit CF"/>
      <sheetName val="4"/>
      <sheetName val="4 Kost. Geschäftsbes. CF"/>
      <sheetName val="4a Wagnis_Gewinn CF"/>
      <sheetName val="6"/>
      <sheetName val="6 Kost. Infrastr. CF"/>
      <sheetName val="8"/>
      <sheetName val="8 Erlöse CF"/>
      <sheetName val="V1_Invest"/>
      <sheetName val="V2_Invest"/>
      <sheetName val="V3_Invest"/>
      <sheetName val="V4_Invest"/>
      <sheetName val="V5_Invest"/>
      <sheetName val="V6_Invest"/>
      <sheetName val="V7_Invest"/>
      <sheetName val="Züge unter 85 %"/>
    </sheetNames>
    <sheetDataSet>
      <sheetData sheetId="0" refreshError="1"/>
      <sheetData sheetId="1" refreshError="1"/>
      <sheetData sheetId="2">
        <row r="9">
          <cell r="P9">
            <v>3731482</v>
          </cell>
          <cell r="Q9">
            <v>470283</v>
          </cell>
          <cell r="R9">
            <v>333483</v>
          </cell>
        </row>
      </sheetData>
      <sheetData sheetId="3" refreshError="1"/>
      <sheetData sheetId="4" refreshError="1"/>
      <sheetData sheetId="5" refreshError="1"/>
      <sheetData sheetId="6" refreshError="1"/>
      <sheetData sheetId="7">
        <row r="9">
          <cell r="BV9">
            <v>419351</v>
          </cell>
          <cell r="BW9">
            <v>2696999</v>
          </cell>
          <cell r="BY9">
            <v>113888</v>
          </cell>
          <cell r="BZ9">
            <v>2163143</v>
          </cell>
        </row>
      </sheetData>
      <sheetData sheetId="8" refreshError="1"/>
      <sheetData sheetId="9" refreshError="1"/>
      <sheetData sheetId="10" refreshError="1"/>
      <sheetData sheetId="11"/>
      <sheetData sheetId="12">
        <row r="34">
          <cell r="G34">
            <v>4535248</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gen"/>
      <sheetName val="Zeitstrahl_R"/>
      <sheetName val="Zeitstrahl_GK"/>
      <sheetName val="Projektmittel"/>
      <sheetName val="Remanenzen"/>
      <sheetName val="Dynamisierung"/>
      <sheetName val="P-Dynamisierung NEU"/>
      <sheetName val="EBIT-Überleitung"/>
      <sheetName val="Preisübersicht"/>
      <sheetName val="Veränderungen"/>
      <sheetName val="SKS Kurz"/>
      <sheetName val="SKS Los A"/>
      <sheetName val="SKS Los A O 43"/>
      <sheetName val="SKS Los A O 44"/>
      <sheetName val="SKS Los B 15"/>
      <sheetName val="SKS Los B 15 O 27"/>
      <sheetName val="SKS Los B 15 O 48"/>
      <sheetName val="SKS Los B 25"/>
      <sheetName val="SKS Los B 25 O 27"/>
      <sheetName val="SKS Los B 25 O 48"/>
      <sheetName val="SKS Los A+B"/>
      <sheetName val="SKS Los A+B O 43"/>
      <sheetName val="SKS Los A+B O 44"/>
      <sheetName val="SKS Los A+B O 27"/>
      <sheetName val="SKS Los A+B O 48"/>
      <sheetName val="Zugausfälle"/>
      <sheetName val="Indexentwicklung"/>
      <sheetName val="SKS Preisrech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9">
          <cell r="O9">
            <v>3511453.5100000002</v>
          </cell>
        </row>
        <row r="259">
          <cell r="B259">
            <v>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richt"/>
      <sheetName val="Beschwerden"/>
      <sheetName val="Lexikon"/>
      <sheetName val="Tabelle1"/>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rblatt"/>
      <sheetName val="Inhalt"/>
      <sheetName val="Erläuterungen"/>
      <sheetName val="Zusammenfassungen"/>
      <sheetName val="GP Nr. 05,06,08"/>
      <sheetName val="GP Nr. 10-12"/>
      <sheetName val="GP Nr. 13-15"/>
      <sheetName val="GP Nr. 16-18"/>
      <sheetName val="GP Nr. 19-21"/>
      <sheetName val="GP Nr. 22-23"/>
      <sheetName val="GP Nr. 24-25"/>
      <sheetName val="GP Nr. 26-27"/>
      <sheetName val="GP Nr. 28"/>
      <sheetName val="GP Nr. 29-32"/>
      <sheetName val="GP Nr. 35,36,38"/>
    </sheetNames>
    <sheetDataSet>
      <sheetData sheetId="0" refreshError="1"/>
      <sheetData sheetId="1" refreshError="1"/>
      <sheetData sheetId="2" refreshError="1"/>
      <sheetData sheetId="3"/>
      <sheetData sheetId="4">
        <row r="28">
          <cell r="B28" t="str">
            <v>GP = 05</v>
          </cell>
        </row>
        <row r="88">
          <cell r="B88" t="str">
            <v>GP = 06</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usammenfassung"/>
      <sheetName val="Verteilerschlüssel"/>
      <sheetName val="Fpl-Soll"/>
      <sheetName val="02_Linien-Pkt"/>
      <sheetName val="03_Züge &lt; 85%"/>
      <sheetName val="04_Nachweis Anschluss"/>
      <sheetName val="05_Vsp.Min Messstellen"/>
      <sheetName val="06_Vsp.Min Tunnel"/>
      <sheetName val="07_Abfahrten vor Plan"/>
      <sheetName val="08_Operative Zugausfälle"/>
      <sheetName val="09_Planmäßige Zugausfälle "/>
      <sheetName val="10_Ausfälle wg. Versp.&gt;Takt"/>
      <sheetName val="11_ Nichbedienung Halte"/>
      <sheetName val="13_Zugbildungsabweichung"/>
      <sheetName val="16_Fahrzeugschäden"/>
      <sheetName val="17_Außenreinigung"/>
      <sheetName val="18_Innenreinigung"/>
      <sheetName val="19_Fahrgastinfo"/>
      <sheetName val="22_Bewertung_KiN"/>
      <sheetName val="24_Bewertung_PrP"/>
      <sheetName val="24B_Bewertung_SiP"/>
      <sheetName val="Ausfall-km Streik"/>
      <sheetName val="28_Abwei_Vertriebsstellen"/>
      <sheetName val="29_Störungen FKA"/>
      <sheetName val="30_Störungen Entwerter"/>
      <sheetName val="31_Beschwerdestatistik"/>
      <sheetName val="33_Grafitti"/>
      <sheetName val="34_Ausfall Sicherheitszentrale"/>
      <sheetName val="41_AFZ-Quote"/>
      <sheetName val="fehlendes Fahrzeug"/>
      <sheetName val="Zusatzleistun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1"/>
      <sheetName val="Tabelle2"/>
      <sheetName val="1 Kostenrechnung Kalkulation"/>
      <sheetName val="2 Berechnung für 2013"/>
      <sheetName val="3 Indizes"/>
      <sheetName val="4 Indexentwicklung Energie"/>
      <sheetName val="5 Indexentwicklung Personal"/>
      <sheetName val="6 Zusammenfassung Indices"/>
      <sheetName val="Züge unter 85 %"/>
    </sheetNames>
    <sheetDataSet>
      <sheetData sheetId="0"/>
      <sheetData sheetId="1"/>
      <sheetData sheetId="2">
        <row r="19">
          <cell r="H19">
            <v>4573862.96</v>
          </cell>
        </row>
        <row r="69">
          <cell r="H69">
            <v>252</v>
          </cell>
        </row>
        <row r="77">
          <cell r="H77">
            <v>52</v>
          </cell>
        </row>
        <row r="85">
          <cell r="H85">
            <v>61</v>
          </cell>
        </row>
      </sheetData>
      <sheetData sheetId="3"/>
      <sheetData sheetId="4"/>
      <sheetData sheetId="5"/>
      <sheetData sheetId="6"/>
      <sheetData sheetId="7"/>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richt"/>
      <sheetName val="Beschwerden"/>
      <sheetName val="Lexikon"/>
      <sheetName val="Tabelle1"/>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chwerden"/>
      <sheetName val="Lexikon"/>
      <sheetName val="Bericht"/>
      <sheetName val="Punkte"/>
      <sheetName val="Züge unter 85 %"/>
    </sheetNames>
    <sheetDataSet>
      <sheetData sheetId="0"/>
      <sheetData sheetId="1">
        <row r="1">
          <cell r="A1" t="str">
            <v>Kriterium</v>
          </cell>
          <cell r="B1" t="str">
            <v>Führungsgesellschaft</v>
          </cell>
          <cell r="C1" t="str">
            <v>Reisekette</v>
          </cell>
          <cell r="D1" t="str">
            <v>Hauptkategorie</v>
          </cell>
          <cell r="E1" t="str">
            <v>Unterkategorie 1</v>
          </cell>
          <cell r="F1" t="str">
            <v>Zuordnung MDSB</v>
          </cell>
        </row>
        <row r="2">
          <cell r="A2" t="str">
            <v>DB Regio AGTarif/AngeboteNahverkehrZeitkarten</v>
          </cell>
          <cell r="B2" t="str">
            <v>DB Regio AG</v>
          </cell>
          <cell r="C2" t="str">
            <v>Tarif/Angebote</v>
          </cell>
          <cell r="D2" t="str">
            <v>Nahverkehr</v>
          </cell>
          <cell r="E2" t="str">
            <v>Zeitkarten</v>
          </cell>
          <cell r="F2" t="str">
            <v>Tarif</v>
          </cell>
        </row>
        <row r="3">
          <cell r="A3" t="str">
            <v>DB Regio AGTarif/AngeboteNahverkehrNormalpreis</v>
          </cell>
          <cell r="B3" t="str">
            <v>DB Regio AG</v>
          </cell>
          <cell r="C3" t="str">
            <v>Tarif/Angebote</v>
          </cell>
          <cell r="D3" t="str">
            <v>Nahverkehr</v>
          </cell>
          <cell r="E3" t="str">
            <v>Normalpreis</v>
          </cell>
          <cell r="F3" t="str">
            <v>Tarif</v>
          </cell>
        </row>
        <row r="4">
          <cell r="A4" t="str">
            <v>DB Regio AGTarif/AngeboteNahverkehrSonderangebote</v>
          </cell>
          <cell r="B4" t="str">
            <v>DB Regio AG</v>
          </cell>
          <cell r="C4" t="str">
            <v>Tarif/Angebote</v>
          </cell>
          <cell r="D4" t="str">
            <v>Nahverkehr</v>
          </cell>
          <cell r="E4" t="str">
            <v>Sonderangebote</v>
          </cell>
          <cell r="F4" t="str">
            <v>Tarif</v>
          </cell>
        </row>
        <row r="5">
          <cell r="A5" t="str">
            <v>DB Regio AGTarif/AngeboteNahverkehrPreisdifferenzierung</v>
          </cell>
          <cell r="B5" t="str">
            <v>DB Regio AG</v>
          </cell>
          <cell r="C5" t="str">
            <v>Tarif/Angebote</v>
          </cell>
          <cell r="D5" t="str">
            <v>Nahverkehr</v>
          </cell>
          <cell r="E5" t="str">
            <v>Preisdifferenzierung</v>
          </cell>
          <cell r="F5" t="str">
            <v>Tarif</v>
          </cell>
        </row>
        <row r="6">
          <cell r="A6" t="str">
            <v>DB Regio AGTarif/AngeboteNahverkehrFerienticket</v>
          </cell>
          <cell r="B6" t="str">
            <v>DB Regio AG</v>
          </cell>
          <cell r="C6" t="str">
            <v>Tarif/Angebote</v>
          </cell>
          <cell r="D6" t="str">
            <v>Nahverkehr</v>
          </cell>
          <cell r="E6" t="str">
            <v>Ferienticket</v>
          </cell>
          <cell r="F6" t="str">
            <v>Tarif</v>
          </cell>
        </row>
        <row r="7">
          <cell r="A7" t="str">
            <v>DB Regio AGTarif/AngeboteNahverkehrFahrrad</v>
          </cell>
          <cell r="B7" t="str">
            <v>DB Regio AG</v>
          </cell>
          <cell r="C7" t="str">
            <v>Tarif/Angebote</v>
          </cell>
          <cell r="D7" t="str">
            <v>Nahverkehr</v>
          </cell>
          <cell r="E7" t="str">
            <v>Fahrrad</v>
          </cell>
          <cell r="F7" t="str">
            <v>Tarif</v>
          </cell>
        </row>
        <row r="8">
          <cell r="A8" t="str">
            <v>DB Regio AGTarif/AngeboteNahverkehrLänderticket</v>
          </cell>
          <cell r="B8" t="str">
            <v>DB Regio AG</v>
          </cell>
          <cell r="C8" t="str">
            <v>Tarif/Angebote</v>
          </cell>
          <cell r="D8" t="str">
            <v>Nahverkehr</v>
          </cell>
          <cell r="E8" t="str">
            <v>Länderticket</v>
          </cell>
          <cell r="F8" t="str">
            <v>Tarif</v>
          </cell>
        </row>
        <row r="9">
          <cell r="A9" t="str">
            <v>DB Regio AGTarif/AngeboteNahverkehrGruppenfahrt</v>
          </cell>
          <cell r="B9" t="str">
            <v>DB Regio AG</v>
          </cell>
          <cell r="C9" t="str">
            <v>Tarif/Angebote</v>
          </cell>
          <cell r="D9" t="str">
            <v>Nahverkehr</v>
          </cell>
          <cell r="E9" t="str">
            <v>Gruppenfahrt</v>
          </cell>
          <cell r="F9" t="str">
            <v>Tarif</v>
          </cell>
        </row>
        <row r="10">
          <cell r="A10" t="str">
            <v>DB Regio AGTarif/AngeboteNahverkehrFahrpreisnacherhebung</v>
          </cell>
          <cell r="B10" t="str">
            <v>DB Regio AG</v>
          </cell>
          <cell r="C10" t="str">
            <v>Tarif/Angebote</v>
          </cell>
          <cell r="D10" t="str">
            <v>Nahverkehr</v>
          </cell>
          <cell r="E10" t="str">
            <v>Fahrpreisnacherhebung</v>
          </cell>
          <cell r="F10" t="str">
            <v>Tarif</v>
          </cell>
        </row>
        <row r="11">
          <cell r="A11" t="str">
            <v>DB Regio AGTarif/AngeboteFernverkehrZeitkarten</v>
          </cell>
          <cell r="B11" t="str">
            <v>DB Regio AG</v>
          </cell>
          <cell r="C11" t="str">
            <v>Tarif/Angebote</v>
          </cell>
          <cell r="D11" t="str">
            <v>Fernverkehr</v>
          </cell>
          <cell r="E11" t="str">
            <v>Zeitkarten</v>
          </cell>
          <cell r="F11" t="str">
            <v>Tarif</v>
          </cell>
        </row>
        <row r="12">
          <cell r="A12" t="str">
            <v>DB Regio AGTarif/AngeboteFernverkehrNormalpreis</v>
          </cell>
          <cell r="B12" t="str">
            <v>DB Regio AG</v>
          </cell>
          <cell r="C12" t="str">
            <v>Tarif/Angebote</v>
          </cell>
          <cell r="D12" t="str">
            <v>Fernverkehr</v>
          </cell>
          <cell r="E12" t="str">
            <v>Normalpreis</v>
          </cell>
          <cell r="F12" t="str">
            <v>Tarif</v>
          </cell>
        </row>
        <row r="13">
          <cell r="A13" t="str">
            <v>DB Regio AGTarif/AngeboteFernverkehrSparpreis</v>
          </cell>
          <cell r="B13" t="str">
            <v>DB Regio AG</v>
          </cell>
          <cell r="C13" t="str">
            <v>Tarif/Angebote</v>
          </cell>
          <cell r="D13" t="str">
            <v>Fernverkehr</v>
          </cell>
          <cell r="E13" t="str">
            <v>Sparpreis</v>
          </cell>
          <cell r="F13" t="str">
            <v>Tarif</v>
          </cell>
        </row>
        <row r="14">
          <cell r="A14" t="str">
            <v>DB Regio AGTarif/AngeboteFernverkehrAktionsangebote</v>
          </cell>
          <cell r="B14" t="str">
            <v>DB Regio AG</v>
          </cell>
          <cell r="C14" t="str">
            <v>Tarif/Angebote</v>
          </cell>
          <cell r="D14" t="str">
            <v>Fernverkehr</v>
          </cell>
          <cell r="E14" t="str">
            <v>Aktionsangebote</v>
          </cell>
          <cell r="F14" t="str">
            <v>Tarif</v>
          </cell>
        </row>
        <row r="15">
          <cell r="A15" t="str">
            <v>DB Regio AGTarif/AngeboteFernverkehrRerservierung</v>
          </cell>
          <cell r="B15" t="str">
            <v>DB Regio AG</v>
          </cell>
          <cell r="C15" t="str">
            <v>Tarif/Angebote</v>
          </cell>
          <cell r="D15" t="str">
            <v>Fernverkehr</v>
          </cell>
          <cell r="E15" t="str">
            <v>Rerservierung</v>
          </cell>
          <cell r="F15" t="str">
            <v>Tarif</v>
          </cell>
        </row>
        <row r="16">
          <cell r="A16" t="str">
            <v xml:space="preserve">DB Regio AGTarif/AngeboteFernverkehrAufpreise </v>
          </cell>
          <cell r="B16" t="str">
            <v>DB Regio AG</v>
          </cell>
          <cell r="C16" t="str">
            <v>Tarif/Angebote</v>
          </cell>
          <cell r="D16" t="str">
            <v>Fernverkehr</v>
          </cell>
          <cell r="E16" t="str">
            <v xml:space="preserve">Aufpreise </v>
          </cell>
          <cell r="F16" t="str">
            <v>Tarif</v>
          </cell>
        </row>
        <row r="17">
          <cell r="A17" t="str">
            <v>DB Regio AGTarif/AngeboteFernverkehrGruppe&amp;Spar</v>
          </cell>
          <cell r="B17" t="str">
            <v>DB Regio AG</v>
          </cell>
          <cell r="C17" t="str">
            <v>Tarif/Angebote</v>
          </cell>
          <cell r="D17" t="str">
            <v>Fernverkehr</v>
          </cell>
          <cell r="E17" t="str">
            <v>Gruppe&amp;Spar</v>
          </cell>
          <cell r="F17" t="str">
            <v>Tarif</v>
          </cell>
        </row>
        <row r="18">
          <cell r="A18" t="str">
            <v>DB Regio AGTarif/AngeboteFernverkehrFirmenkunden</v>
          </cell>
          <cell r="B18" t="str">
            <v>DB Regio AG</v>
          </cell>
          <cell r="C18" t="str">
            <v>Tarif/Angebote</v>
          </cell>
          <cell r="D18" t="str">
            <v>Fernverkehr</v>
          </cell>
          <cell r="E18" t="str">
            <v>Firmenkunden</v>
          </cell>
          <cell r="F18" t="str">
            <v>Tarif</v>
          </cell>
        </row>
        <row r="19">
          <cell r="A19" t="str">
            <v>DB Regio AGTarif/AngeboteFernverkehrBahnCard</v>
          </cell>
          <cell r="B19" t="str">
            <v>DB Regio AG</v>
          </cell>
          <cell r="C19" t="str">
            <v>Tarif/Angebote</v>
          </cell>
          <cell r="D19" t="str">
            <v>Fernverkehr</v>
          </cell>
          <cell r="E19" t="str">
            <v>BahnCard</v>
          </cell>
          <cell r="F19" t="str">
            <v>Tarif</v>
          </cell>
        </row>
        <row r="20">
          <cell r="A20" t="str">
            <v>DB Regio AGTarif/AngeboteFernverkehrInternationaler Verkehr</v>
          </cell>
          <cell r="B20" t="str">
            <v>DB Regio AG</v>
          </cell>
          <cell r="C20" t="str">
            <v>Tarif/Angebote</v>
          </cell>
          <cell r="D20" t="str">
            <v>Fernverkehr</v>
          </cell>
          <cell r="E20" t="str">
            <v>Internationaler Verkehr</v>
          </cell>
          <cell r="F20" t="str">
            <v>Tarif</v>
          </cell>
        </row>
        <row r="21">
          <cell r="A21" t="str">
            <v>DB Regio AGTarif/AngeboteFernverkehrSonstige Angebote Fernverkehr</v>
          </cell>
          <cell r="B21" t="str">
            <v>DB Regio AG</v>
          </cell>
          <cell r="C21" t="str">
            <v>Tarif/Angebote</v>
          </cell>
          <cell r="D21" t="str">
            <v>Fernverkehr</v>
          </cell>
          <cell r="E21" t="str">
            <v>Sonstige Angebote Fernverkehr</v>
          </cell>
          <cell r="F21" t="str">
            <v>Tarif</v>
          </cell>
        </row>
        <row r="22">
          <cell r="A22" t="str">
            <v>DB Regio AGTarif/AngeboteFernverkehrCharter/RIT/R&amp;F/Tagesfahrten</v>
          </cell>
          <cell r="B22" t="str">
            <v>DB Regio AG</v>
          </cell>
          <cell r="C22" t="str">
            <v>Tarif/Angebote</v>
          </cell>
          <cell r="D22" t="str">
            <v>Fernverkehr</v>
          </cell>
          <cell r="E22" t="str">
            <v>Charter/RIT/R&amp;F/Tagesfahrten</v>
          </cell>
          <cell r="F22" t="str">
            <v>Tarif</v>
          </cell>
        </row>
        <row r="23">
          <cell r="A23" t="str">
            <v>DB Regio AGTarif/AngeboteFernverkehrKulanzerstattung</v>
          </cell>
          <cell r="B23" t="str">
            <v>DB Regio AG</v>
          </cell>
          <cell r="C23" t="str">
            <v>Tarif/Angebote</v>
          </cell>
          <cell r="D23" t="str">
            <v>Fernverkehr</v>
          </cell>
          <cell r="E23" t="str">
            <v>Kulanzerstattung</v>
          </cell>
          <cell r="F23" t="str">
            <v>Tarif</v>
          </cell>
        </row>
        <row r="24">
          <cell r="A24" t="str">
            <v>DB Regio AGTarif/AngeboteFernverkehrErstattungsentgelt</v>
          </cell>
          <cell r="B24" t="str">
            <v>DB Regio AG</v>
          </cell>
          <cell r="C24" t="str">
            <v>Tarif/Angebote</v>
          </cell>
          <cell r="D24" t="str">
            <v>Fernverkehr</v>
          </cell>
          <cell r="E24" t="str">
            <v>Erstattungsentgelt</v>
          </cell>
          <cell r="F24" t="str">
            <v>Tarif</v>
          </cell>
        </row>
        <row r="25">
          <cell r="A25" t="str">
            <v>DB Regio AGTarif/AngeboteFernverkehrFahrpreisnacherhebung</v>
          </cell>
          <cell r="B25" t="str">
            <v>DB Regio AG</v>
          </cell>
          <cell r="C25" t="str">
            <v>Tarif/Angebote</v>
          </cell>
          <cell r="D25" t="str">
            <v>Fernverkehr</v>
          </cell>
          <cell r="E25" t="str">
            <v>Fahrpreisnacherhebung</v>
          </cell>
          <cell r="F25" t="str">
            <v>Tarif</v>
          </cell>
        </row>
        <row r="26">
          <cell r="A26" t="str">
            <v>DB Regio AGTarif/AngeboteFernverkehrPreisdifferenzierung</v>
          </cell>
          <cell r="B26" t="str">
            <v>DB Regio AG</v>
          </cell>
          <cell r="C26" t="str">
            <v>Tarif/Angebote</v>
          </cell>
          <cell r="D26" t="str">
            <v>Fernverkehr</v>
          </cell>
          <cell r="E26" t="str">
            <v>Preisdifferenzierung</v>
          </cell>
          <cell r="F26" t="str">
            <v>Tarif</v>
          </cell>
        </row>
        <row r="27">
          <cell r="A27" t="str">
            <v>DB Regio AGTarif/AngeboteFernverkehrHundemitnahme</v>
          </cell>
          <cell r="B27" t="str">
            <v>DB Regio AG</v>
          </cell>
          <cell r="C27" t="str">
            <v>Tarif/Angebote</v>
          </cell>
          <cell r="D27" t="str">
            <v>Fernverkehr</v>
          </cell>
          <cell r="E27" t="str">
            <v>Hundemitnahme</v>
          </cell>
          <cell r="F27" t="str">
            <v>Tarif</v>
          </cell>
        </row>
        <row r="28">
          <cell r="A28" t="str">
            <v>DB Regio AGTarif/AngeboteWerbung/Marketingmaßnahmen    Info-Material</v>
          </cell>
          <cell r="B28" t="str">
            <v>DB Regio AG</v>
          </cell>
          <cell r="C28" t="str">
            <v>Tarif/Angebote</v>
          </cell>
          <cell r="D28" t="str">
            <v xml:space="preserve">Werbung/Marketingmaßnahmen    </v>
          </cell>
          <cell r="E28" t="str">
            <v>Info-Material</v>
          </cell>
          <cell r="F28" t="str">
            <v>Sonstiges</v>
          </cell>
        </row>
        <row r="29">
          <cell r="A29" t="str">
            <v>DB Regio AGTarif/AngeboteWerbung/Marketingmaßnahmen    Sonderaktionen</v>
          </cell>
          <cell r="B29" t="str">
            <v>DB Regio AG</v>
          </cell>
          <cell r="C29" t="str">
            <v>Tarif/Angebote</v>
          </cell>
          <cell r="D29" t="str">
            <v xml:space="preserve">Werbung/Marketingmaßnahmen    </v>
          </cell>
          <cell r="E29" t="str">
            <v>Sonderaktionen</v>
          </cell>
          <cell r="F29" t="str">
            <v>Sonstiges</v>
          </cell>
        </row>
        <row r="30">
          <cell r="A30" t="str">
            <v>DB Regio AGTarif/AngeboteVerbündeAbo</v>
          </cell>
          <cell r="B30" t="str">
            <v>DB Regio AG</v>
          </cell>
          <cell r="C30" t="str">
            <v>Tarif/Angebote</v>
          </cell>
          <cell r="D30" t="str">
            <v>Verbünde</v>
          </cell>
          <cell r="E30" t="str">
            <v>Abo</v>
          </cell>
          <cell r="F30" t="str">
            <v>Tarif</v>
          </cell>
        </row>
        <row r="31">
          <cell r="A31" t="str">
            <v>DB Regio AGTarif/AngeboteVerbündePreis und Konditionen</v>
          </cell>
          <cell r="B31" t="str">
            <v>DB Regio AG</v>
          </cell>
          <cell r="C31" t="str">
            <v>Tarif/Angebote</v>
          </cell>
          <cell r="D31" t="str">
            <v>Verbünde</v>
          </cell>
          <cell r="E31" t="str">
            <v>Preis und Konditionen</v>
          </cell>
          <cell r="F31" t="str">
            <v>Tarif</v>
          </cell>
        </row>
        <row r="32">
          <cell r="A32" t="str">
            <v>DB Regio AGTarif/AngeboteDB AutoZug</v>
          </cell>
          <cell r="B32" t="str">
            <v>DB Regio AG</v>
          </cell>
          <cell r="C32" t="str">
            <v>Tarif/Angebote</v>
          </cell>
          <cell r="D32" t="str">
            <v>DB AutoZug</v>
          </cell>
          <cell r="E32">
            <v>0</v>
          </cell>
          <cell r="F32" t="str">
            <v>Sonstiges</v>
          </cell>
        </row>
        <row r="33">
          <cell r="A33" t="str">
            <v>DB Regio AGTarif/AngeboteCity Night Line</v>
          </cell>
          <cell r="B33" t="str">
            <v>DB Regio AG</v>
          </cell>
          <cell r="C33" t="str">
            <v>Tarif/Angebote</v>
          </cell>
          <cell r="D33" t="str">
            <v>City Night Line</v>
          </cell>
          <cell r="E33">
            <v>0</v>
          </cell>
          <cell r="F33" t="str">
            <v>Sonstiges</v>
          </cell>
        </row>
        <row r="34">
          <cell r="A34" t="str">
            <v>DB Regio AGTarif/AngeboteAmeropa</v>
          </cell>
          <cell r="B34" t="str">
            <v>DB Regio AG</v>
          </cell>
          <cell r="C34" t="str">
            <v>Tarif/Angebote</v>
          </cell>
          <cell r="D34" t="str">
            <v>Ameropa</v>
          </cell>
          <cell r="E34">
            <v>0</v>
          </cell>
          <cell r="F34" t="str">
            <v>Sonstiges</v>
          </cell>
        </row>
        <row r="35">
          <cell r="A35" t="str">
            <v>DB Regio AGTarif/AngeboteSonstige Angebote Dritter</v>
          </cell>
          <cell r="B35" t="str">
            <v>DB Regio AG</v>
          </cell>
          <cell r="C35" t="str">
            <v>Tarif/Angebote</v>
          </cell>
          <cell r="D35" t="str">
            <v>Sonstige Angebote Dritter</v>
          </cell>
          <cell r="E35">
            <v>0</v>
          </cell>
          <cell r="F35" t="str">
            <v>Sonstiges</v>
          </cell>
        </row>
        <row r="36">
          <cell r="A36" t="str">
            <v>DB Regio AGTarif/AngeboteNahverkehrSWT/QDL</v>
          </cell>
          <cell r="B36" t="str">
            <v>DB Regio AG</v>
          </cell>
          <cell r="C36" t="str">
            <v>Tarif/Angebote</v>
          </cell>
          <cell r="D36" t="str">
            <v>Nahverkehr</v>
          </cell>
          <cell r="E36" t="str">
            <v>SWT/QDL</v>
          </cell>
          <cell r="F36" t="str">
            <v>Tarif</v>
          </cell>
        </row>
        <row r="37">
          <cell r="A37" t="str">
            <v>DB Regio AGTarif/AngeboteNahverkehrAngeb. F. Studierende</v>
          </cell>
          <cell r="B37" t="str">
            <v>DB Regio AG</v>
          </cell>
          <cell r="C37" t="str">
            <v>Tarif/Angebote</v>
          </cell>
          <cell r="D37" t="str">
            <v>Nahverkehr</v>
          </cell>
          <cell r="E37" t="str">
            <v>Angeb. F. Studierende</v>
          </cell>
          <cell r="F37" t="str">
            <v>Tarif</v>
          </cell>
        </row>
        <row r="38">
          <cell r="A38" t="str">
            <v>DB Regio AGFahrplangestaltungHäufigkeit Verbindung</v>
          </cell>
          <cell r="B38" t="str">
            <v>DB Regio AG</v>
          </cell>
          <cell r="C38" t="str">
            <v>Fahrplangestaltung</v>
          </cell>
          <cell r="D38" t="str">
            <v>Häufigkeit Verbindung</v>
          </cell>
          <cell r="E38">
            <v>0</v>
          </cell>
          <cell r="F38" t="str">
            <v>Fahrplanangebot</v>
          </cell>
        </row>
        <row r="39">
          <cell r="A39" t="str">
            <v>DB Regio AGFahrplangestaltungÄnderung Reisezeit</v>
          </cell>
          <cell r="B39" t="str">
            <v>DB Regio AG</v>
          </cell>
          <cell r="C39" t="str">
            <v>Fahrplangestaltung</v>
          </cell>
          <cell r="D39" t="str">
            <v>Änderung Reisezeit</v>
          </cell>
          <cell r="E39">
            <v>0</v>
          </cell>
          <cell r="F39" t="str">
            <v>Fahrplanangebot</v>
          </cell>
        </row>
        <row r="40">
          <cell r="A40" t="str">
            <v>DB Regio AGFahrplangestaltungÄnderung Produkt</v>
          </cell>
          <cell r="B40" t="str">
            <v>DB Regio AG</v>
          </cell>
          <cell r="C40" t="str">
            <v>Fahrplangestaltung</v>
          </cell>
          <cell r="D40" t="str">
            <v>Änderung Produkt</v>
          </cell>
          <cell r="E40">
            <v>0</v>
          </cell>
          <cell r="F40" t="str">
            <v>Fahrplanangebot</v>
          </cell>
        </row>
        <row r="41">
          <cell r="A41" t="str">
            <v>DB Regio AGFahrplangestaltungÄnderung Reiseweg</v>
          </cell>
          <cell r="B41" t="str">
            <v>DB Regio AG</v>
          </cell>
          <cell r="C41" t="str">
            <v>Fahrplangestaltung</v>
          </cell>
          <cell r="D41" t="str">
            <v>Änderung Reiseweg</v>
          </cell>
          <cell r="E41">
            <v>0</v>
          </cell>
          <cell r="F41" t="str">
            <v>Fahrplanangebot</v>
          </cell>
        </row>
        <row r="42">
          <cell r="A42" t="str">
            <v>DB Regio AGFahrplangestaltungAnschlüsse</v>
          </cell>
          <cell r="B42" t="str">
            <v>DB Regio AG</v>
          </cell>
          <cell r="C42" t="str">
            <v>Fahrplangestaltung</v>
          </cell>
          <cell r="D42" t="str">
            <v>Anschlüsse</v>
          </cell>
          <cell r="E42">
            <v>0</v>
          </cell>
          <cell r="F42" t="str">
            <v>Fahrplanangebot</v>
          </cell>
        </row>
        <row r="43">
          <cell r="A43" t="str">
            <v>DB Regio AGFahrplangestaltungHäufigkeit VerbindungNicht spezifiziert</v>
          </cell>
          <cell r="B43" t="str">
            <v>DB Regio AG</v>
          </cell>
          <cell r="C43" t="str">
            <v>Fahrplangestaltung</v>
          </cell>
          <cell r="D43" t="str">
            <v>Häufigkeit Verbindung</v>
          </cell>
          <cell r="E43" t="str">
            <v>Nicht spezifiziert</v>
          </cell>
          <cell r="F43" t="str">
            <v>Fahrplanangebot</v>
          </cell>
        </row>
        <row r="44">
          <cell r="A44" t="str">
            <v>DB Regio AGReisezentrumfachliche Kompetenz</v>
          </cell>
          <cell r="B44" t="str">
            <v>DB Regio AG</v>
          </cell>
          <cell r="C44" t="str">
            <v>Reisezentrum</v>
          </cell>
          <cell r="D44" t="str">
            <v>fachliche Kompetenz</v>
          </cell>
          <cell r="E44">
            <v>0</v>
          </cell>
          <cell r="F44" t="str">
            <v>Vertrieb</v>
          </cell>
        </row>
        <row r="45">
          <cell r="A45" t="str">
            <v>DB Regio AGReisezentrumErscheinungsbild/Auftreten</v>
          </cell>
          <cell r="B45" t="str">
            <v>DB Regio AG</v>
          </cell>
          <cell r="C45" t="str">
            <v>Reisezentrum</v>
          </cell>
          <cell r="D45" t="str">
            <v>Erscheinungsbild/Auftreten</v>
          </cell>
          <cell r="E45">
            <v>0</v>
          </cell>
          <cell r="F45" t="str">
            <v>Vertrieb</v>
          </cell>
        </row>
        <row r="46">
          <cell r="A46" t="str">
            <v>DB Regio AGReisezentrumFreundlichkeit</v>
          </cell>
          <cell r="B46" t="str">
            <v>DB Regio AG</v>
          </cell>
          <cell r="C46" t="str">
            <v>Reisezentrum</v>
          </cell>
          <cell r="D46" t="str">
            <v>Freundlichkeit</v>
          </cell>
          <cell r="E46">
            <v>0</v>
          </cell>
          <cell r="F46" t="str">
            <v>Vertrieb</v>
          </cell>
        </row>
        <row r="47">
          <cell r="A47" t="str">
            <v>DB Regio AGReisezentrumBeratungsqualität</v>
          </cell>
          <cell r="B47" t="str">
            <v>DB Regio AG</v>
          </cell>
          <cell r="C47" t="str">
            <v>Reisezentrum</v>
          </cell>
          <cell r="D47" t="str">
            <v>Beratungsqualität</v>
          </cell>
          <cell r="E47">
            <v>0</v>
          </cell>
          <cell r="F47" t="str">
            <v>Fahrgastinformation</v>
          </cell>
        </row>
        <row r="48">
          <cell r="A48" t="str">
            <v>DB Regio AGReisezentrumEinfachheit des Verkaufs</v>
          </cell>
          <cell r="B48" t="str">
            <v>DB Regio AG</v>
          </cell>
          <cell r="C48" t="str">
            <v>Reisezentrum</v>
          </cell>
          <cell r="D48" t="str">
            <v>Einfachheit des Verkaufs</v>
          </cell>
          <cell r="E48">
            <v>0</v>
          </cell>
          <cell r="F48" t="str">
            <v>Vertrieb</v>
          </cell>
        </row>
        <row r="49">
          <cell r="A49" t="str">
            <v>DB Regio AGReisezentrumDauer des Kaufvorgangs</v>
          </cell>
          <cell r="B49" t="str">
            <v>DB Regio AG</v>
          </cell>
          <cell r="C49" t="str">
            <v>Reisezentrum</v>
          </cell>
          <cell r="D49" t="str">
            <v>Dauer des Kaufvorgangs</v>
          </cell>
          <cell r="E49">
            <v>0</v>
          </cell>
          <cell r="F49" t="str">
            <v>Vertrieb</v>
          </cell>
        </row>
        <row r="50">
          <cell r="A50" t="str">
            <v>DB Regio AGReisezentrumWartezeit</v>
          </cell>
          <cell r="B50" t="str">
            <v>DB Regio AG</v>
          </cell>
          <cell r="C50" t="str">
            <v>Reisezentrum</v>
          </cell>
          <cell r="D50" t="str">
            <v>Wartezeit</v>
          </cell>
          <cell r="E50">
            <v>0</v>
          </cell>
          <cell r="F50" t="str">
            <v>Sonstiges</v>
          </cell>
        </row>
        <row r="51">
          <cell r="A51" t="str">
            <v>DB Regio AGReisezentrumGestaltung</v>
          </cell>
          <cell r="B51" t="str">
            <v>DB Regio AG</v>
          </cell>
          <cell r="C51" t="str">
            <v>Reisezentrum</v>
          </cell>
          <cell r="D51" t="str">
            <v>Gestaltung</v>
          </cell>
          <cell r="E51">
            <v>0</v>
          </cell>
          <cell r="F51" t="str">
            <v>Vertrieb</v>
          </cell>
        </row>
        <row r="52">
          <cell r="A52" t="str">
            <v>DB Regio AGReisezentrumInformationInformation ü. Unregelmäßig</v>
          </cell>
          <cell r="B52" t="str">
            <v>DB Regio AG</v>
          </cell>
          <cell r="C52" t="str">
            <v>Reisezentrum</v>
          </cell>
          <cell r="D52" t="str">
            <v>Information</v>
          </cell>
          <cell r="E52" t="str">
            <v>Information ü. Unregelmäßig</v>
          </cell>
          <cell r="F52" t="str">
            <v>Fahrgastinformation</v>
          </cell>
        </row>
        <row r="53">
          <cell r="A53" t="str">
            <v>DB Regio AGDB Agenturenfachliche Kompetenz</v>
          </cell>
          <cell r="B53" t="str">
            <v>DB Regio AG</v>
          </cell>
          <cell r="C53" t="str">
            <v>DB Agenturen</v>
          </cell>
          <cell r="D53" t="str">
            <v>fachliche Kompetenz</v>
          </cell>
          <cell r="E53">
            <v>0</v>
          </cell>
          <cell r="F53" t="str">
            <v>Vertrieb</v>
          </cell>
        </row>
        <row r="54">
          <cell r="A54" t="str">
            <v>DB Regio AGDB AgenturenErscheinungsbild/Auftreten</v>
          </cell>
          <cell r="B54" t="str">
            <v>DB Regio AG</v>
          </cell>
          <cell r="C54" t="str">
            <v>DB Agenturen</v>
          </cell>
          <cell r="D54" t="str">
            <v>Erscheinungsbild/Auftreten</v>
          </cell>
          <cell r="E54">
            <v>0</v>
          </cell>
          <cell r="F54" t="str">
            <v>Vertrieb</v>
          </cell>
        </row>
        <row r="55">
          <cell r="A55" t="str">
            <v>DB Regio AGDB AgenturenFreundlichkeit</v>
          </cell>
          <cell r="B55" t="str">
            <v>DB Regio AG</v>
          </cell>
          <cell r="C55" t="str">
            <v>DB Agenturen</v>
          </cell>
          <cell r="D55" t="str">
            <v>Freundlichkeit</v>
          </cell>
          <cell r="E55">
            <v>0</v>
          </cell>
          <cell r="F55" t="str">
            <v>Vertrieb</v>
          </cell>
        </row>
        <row r="56">
          <cell r="A56" t="str">
            <v>DB Regio AGDB AgenturenBeratungsqualität</v>
          </cell>
          <cell r="B56" t="str">
            <v>DB Regio AG</v>
          </cell>
          <cell r="C56" t="str">
            <v>DB Agenturen</v>
          </cell>
          <cell r="D56" t="str">
            <v>Beratungsqualität</v>
          </cell>
          <cell r="E56">
            <v>0</v>
          </cell>
          <cell r="F56" t="str">
            <v>Fahrgastinformation</v>
          </cell>
        </row>
        <row r="57">
          <cell r="A57" t="str">
            <v>DB Regio AGDB AgenturenEinfachheit des Verkaufs</v>
          </cell>
          <cell r="B57" t="str">
            <v>DB Regio AG</v>
          </cell>
          <cell r="C57" t="str">
            <v>DB Agenturen</v>
          </cell>
          <cell r="D57" t="str">
            <v>Einfachheit des Verkaufs</v>
          </cell>
          <cell r="E57">
            <v>0</v>
          </cell>
          <cell r="F57" t="str">
            <v>Vertrieb</v>
          </cell>
        </row>
        <row r="58">
          <cell r="A58" t="str">
            <v>DB Regio AGDB AgenturenDauer des Kaufvorgangs</v>
          </cell>
          <cell r="B58" t="str">
            <v>DB Regio AG</v>
          </cell>
          <cell r="C58" t="str">
            <v>DB Agenturen</v>
          </cell>
          <cell r="D58" t="str">
            <v>Dauer des Kaufvorgangs</v>
          </cell>
          <cell r="E58">
            <v>0</v>
          </cell>
          <cell r="F58" t="str">
            <v>Vertrieb</v>
          </cell>
        </row>
        <row r="59">
          <cell r="A59" t="str">
            <v>DB Regio AGDB AgenturenWartezeit</v>
          </cell>
          <cell r="B59" t="str">
            <v>DB Regio AG</v>
          </cell>
          <cell r="C59" t="str">
            <v>DB Agenturen</v>
          </cell>
          <cell r="D59" t="str">
            <v>Wartezeit</v>
          </cell>
          <cell r="E59">
            <v>0</v>
          </cell>
          <cell r="F59" t="str">
            <v>Sonstiges</v>
          </cell>
        </row>
        <row r="60">
          <cell r="A60" t="str">
            <v>DB Regio AGDB AgenturenGestaltung</v>
          </cell>
          <cell r="B60" t="str">
            <v>DB Regio AG</v>
          </cell>
          <cell r="C60" t="str">
            <v>DB Agenturen</v>
          </cell>
          <cell r="D60" t="str">
            <v>Gestaltung</v>
          </cell>
          <cell r="E60">
            <v>0</v>
          </cell>
          <cell r="F60" t="str">
            <v>Vertrieb</v>
          </cell>
        </row>
        <row r="61">
          <cell r="A61" t="str">
            <v>DB Regio AGDB AgenturenInformationInformation ü. Unregelmäßig</v>
          </cell>
          <cell r="B61" t="str">
            <v>DB Regio AG</v>
          </cell>
          <cell r="C61" t="str">
            <v>DB Agenturen</v>
          </cell>
          <cell r="D61" t="str">
            <v>Information</v>
          </cell>
          <cell r="E61" t="str">
            <v>Information ü. Unregelmäßig</v>
          </cell>
          <cell r="F61" t="str">
            <v>Fahrgastinformation</v>
          </cell>
        </row>
        <row r="62">
          <cell r="A62" t="str">
            <v>DB Regio AGAgentur im Auslandfachliche Kompetenz</v>
          </cell>
          <cell r="B62" t="str">
            <v>DB Regio AG</v>
          </cell>
          <cell r="C62" t="str">
            <v>Agentur im Ausland</v>
          </cell>
          <cell r="D62" t="str">
            <v>fachliche Kompetenz</v>
          </cell>
          <cell r="E62">
            <v>0</v>
          </cell>
          <cell r="F62" t="str">
            <v>Vertrieb</v>
          </cell>
        </row>
        <row r="63">
          <cell r="A63" t="str">
            <v>DB Regio AGAgentur im AuslandErscheinungsbild/Auftreten</v>
          </cell>
          <cell r="B63" t="str">
            <v>DB Regio AG</v>
          </cell>
          <cell r="C63" t="str">
            <v>Agentur im Ausland</v>
          </cell>
          <cell r="D63" t="str">
            <v>Erscheinungsbild/Auftreten</v>
          </cell>
          <cell r="E63">
            <v>0</v>
          </cell>
          <cell r="F63" t="str">
            <v>Vertrieb</v>
          </cell>
        </row>
        <row r="64">
          <cell r="A64" t="str">
            <v>DB Regio AGAgentur im AuslandFreundlichkeit</v>
          </cell>
          <cell r="B64" t="str">
            <v>DB Regio AG</v>
          </cell>
          <cell r="C64" t="str">
            <v>Agentur im Ausland</v>
          </cell>
          <cell r="D64" t="str">
            <v>Freundlichkeit</v>
          </cell>
          <cell r="E64">
            <v>0</v>
          </cell>
          <cell r="F64" t="str">
            <v>Vertrieb</v>
          </cell>
        </row>
        <row r="65">
          <cell r="A65" t="str">
            <v>DB Regio AGAgentur im AuslandBeratungsqualität</v>
          </cell>
          <cell r="B65" t="str">
            <v>DB Regio AG</v>
          </cell>
          <cell r="C65" t="str">
            <v>Agentur im Ausland</v>
          </cell>
          <cell r="D65" t="str">
            <v>Beratungsqualität</v>
          </cell>
          <cell r="E65">
            <v>0</v>
          </cell>
          <cell r="F65" t="str">
            <v>Fahrgastinformation</v>
          </cell>
        </row>
        <row r="66">
          <cell r="A66" t="str">
            <v>DB Regio AGAgentur im AuslandEinfachheit des Verkaufs</v>
          </cell>
          <cell r="B66" t="str">
            <v>DB Regio AG</v>
          </cell>
          <cell r="C66" t="str">
            <v>Agentur im Ausland</v>
          </cell>
          <cell r="D66" t="str">
            <v>Einfachheit des Verkaufs</v>
          </cell>
          <cell r="E66">
            <v>0</v>
          </cell>
          <cell r="F66" t="str">
            <v>Vertrieb</v>
          </cell>
        </row>
        <row r="67">
          <cell r="A67" t="str">
            <v>DB Regio AGAgentur im AuslandDauer des Kaufvorgangs</v>
          </cell>
          <cell r="B67" t="str">
            <v>DB Regio AG</v>
          </cell>
          <cell r="C67" t="str">
            <v>Agentur im Ausland</v>
          </cell>
          <cell r="D67" t="str">
            <v>Dauer des Kaufvorgangs</v>
          </cell>
          <cell r="E67">
            <v>0</v>
          </cell>
          <cell r="F67" t="str">
            <v>Vertrieb</v>
          </cell>
        </row>
        <row r="68">
          <cell r="A68" t="str">
            <v>DB Regio AGAgentur im AuslandWartezeit</v>
          </cell>
          <cell r="B68" t="str">
            <v>DB Regio AG</v>
          </cell>
          <cell r="C68" t="str">
            <v>Agentur im Ausland</v>
          </cell>
          <cell r="D68" t="str">
            <v>Wartezeit</v>
          </cell>
          <cell r="E68">
            <v>0</v>
          </cell>
          <cell r="F68" t="str">
            <v>Sonstiges</v>
          </cell>
        </row>
        <row r="69">
          <cell r="A69" t="str">
            <v>DB Regio AGAgentur im AuslandGestaltung</v>
          </cell>
          <cell r="B69" t="str">
            <v>DB Regio AG</v>
          </cell>
          <cell r="C69" t="str">
            <v>Agentur im Ausland</v>
          </cell>
          <cell r="D69" t="str">
            <v>Gestaltung</v>
          </cell>
          <cell r="E69">
            <v>0</v>
          </cell>
          <cell r="F69" t="str">
            <v>Vertrieb</v>
          </cell>
        </row>
        <row r="70">
          <cell r="A70" t="str">
            <v>DB Regio AGAgentur im AuslandInformationInformation ü. Unregelmäßig</v>
          </cell>
          <cell r="B70" t="str">
            <v>DB Regio AG</v>
          </cell>
          <cell r="C70" t="str">
            <v>Agentur im Ausland</v>
          </cell>
          <cell r="D70" t="str">
            <v>Information</v>
          </cell>
          <cell r="E70" t="str">
            <v>Information ü. Unregelmäßig</v>
          </cell>
          <cell r="F70" t="str">
            <v>Fahrgastinformation</v>
          </cell>
        </row>
        <row r="71">
          <cell r="A71" t="str">
            <v>DB Regio AGReise-ServiceWartezeit</v>
          </cell>
          <cell r="B71" t="str">
            <v>DB Regio AG</v>
          </cell>
          <cell r="C71" t="str">
            <v>Reise-Service</v>
          </cell>
          <cell r="D71" t="str">
            <v>Wartezeit</v>
          </cell>
          <cell r="E71">
            <v>0</v>
          </cell>
          <cell r="F71" t="str">
            <v>Sonstiges</v>
          </cell>
        </row>
        <row r="72">
          <cell r="A72" t="str">
            <v>DB Regio AGReise-ServiceDauer des Kaufvorgangs</v>
          </cell>
          <cell r="B72" t="str">
            <v>DB Regio AG</v>
          </cell>
          <cell r="C72" t="str">
            <v>Reise-Service</v>
          </cell>
          <cell r="D72" t="str">
            <v>Dauer des Kaufvorgangs</v>
          </cell>
          <cell r="E72">
            <v>0</v>
          </cell>
          <cell r="F72" t="str">
            <v>Vertrieb</v>
          </cell>
        </row>
        <row r="73">
          <cell r="A73" t="str">
            <v>DB Regio AGReise-ServiceFreundlichkeit des Personals</v>
          </cell>
          <cell r="B73" t="str">
            <v>DB Regio AG</v>
          </cell>
          <cell r="C73" t="str">
            <v>Reise-Service</v>
          </cell>
          <cell r="D73" t="str">
            <v>Freundlichkeit des Personals</v>
          </cell>
          <cell r="E73">
            <v>0</v>
          </cell>
          <cell r="F73" t="str">
            <v>Vertrieb</v>
          </cell>
        </row>
        <row r="74">
          <cell r="A74" t="str">
            <v>DB Regio AGReise-ServiceEinfachheit des Kaufs</v>
          </cell>
          <cell r="B74" t="str">
            <v>DB Regio AG</v>
          </cell>
          <cell r="C74" t="str">
            <v>Reise-Service</v>
          </cell>
          <cell r="D74" t="str">
            <v>Einfachheit des Kaufs</v>
          </cell>
          <cell r="E74">
            <v>0</v>
          </cell>
          <cell r="F74" t="str">
            <v>Vertrieb</v>
          </cell>
        </row>
        <row r="75">
          <cell r="A75" t="str">
            <v>DB Regio AGReise-ServiceBeratungsqualität</v>
          </cell>
          <cell r="B75" t="str">
            <v>DB Regio AG</v>
          </cell>
          <cell r="C75" t="str">
            <v>Reise-Service</v>
          </cell>
          <cell r="D75" t="str">
            <v>Beratungsqualität</v>
          </cell>
          <cell r="E75">
            <v>0</v>
          </cell>
          <cell r="F75" t="str">
            <v>Fahrgastinformation</v>
          </cell>
        </row>
        <row r="76">
          <cell r="A76" t="str">
            <v>DB Regio AGReise-ServiceFahrkartenübermittlung</v>
          </cell>
          <cell r="B76" t="str">
            <v>DB Regio AG</v>
          </cell>
          <cell r="C76" t="str">
            <v>Reise-Service</v>
          </cell>
          <cell r="D76" t="str">
            <v>Fahrkartenübermittlung</v>
          </cell>
          <cell r="E76">
            <v>0</v>
          </cell>
          <cell r="F76" t="str">
            <v>Vertrieb</v>
          </cell>
        </row>
        <row r="77">
          <cell r="A77" t="str">
            <v>DB Regio AGAutomatZahlungsmöglichkeitenNicht spezifiziert</v>
          </cell>
          <cell r="B77" t="str">
            <v>DB Regio AG</v>
          </cell>
          <cell r="C77" t="str">
            <v>Automat</v>
          </cell>
          <cell r="D77" t="str">
            <v>Zahlungsmöglichkeiten</v>
          </cell>
          <cell r="E77" t="str">
            <v>Nicht spezifiziert</v>
          </cell>
          <cell r="F77" t="str">
            <v>Vertrieb</v>
          </cell>
        </row>
        <row r="78">
          <cell r="A78" t="str">
            <v>DB Regio AGReise-ServiceInformationInformation ü. Unregelmäßig</v>
          </cell>
          <cell r="B78" t="str">
            <v>DB Regio AG</v>
          </cell>
          <cell r="C78" t="str">
            <v>Reise-Service</v>
          </cell>
          <cell r="D78" t="str">
            <v>Information</v>
          </cell>
          <cell r="E78" t="str">
            <v>Information ü. Unregelmäßig</v>
          </cell>
          <cell r="F78" t="str">
            <v>Fahrgastinformation</v>
          </cell>
        </row>
        <row r="79">
          <cell r="A79" t="str">
            <v>DB Regio AGAutomatWartezeit am Automaten</v>
          </cell>
          <cell r="B79" t="str">
            <v>DB Regio AG</v>
          </cell>
          <cell r="C79" t="str">
            <v>Automat</v>
          </cell>
          <cell r="D79" t="str">
            <v>Wartezeit am Automaten</v>
          </cell>
          <cell r="E79">
            <v>0</v>
          </cell>
          <cell r="F79" t="str">
            <v>Vertrieb</v>
          </cell>
        </row>
        <row r="80">
          <cell r="A80" t="str">
            <v>DB Regio AGAutomatDauer des Kaufvorgangs</v>
          </cell>
          <cell r="B80" t="str">
            <v>DB Regio AG</v>
          </cell>
          <cell r="C80" t="str">
            <v>Automat</v>
          </cell>
          <cell r="D80" t="str">
            <v>Dauer des Kaufvorgangs</v>
          </cell>
          <cell r="E80">
            <v>0</v>
          </cell>
          <cell r="F80" t="str">
            <v>Vertrieb</v>
          </cell>
        </row>
        <row r="81">
          <cell r="A81" t="str">
            <v>DB Regio AGAutomatEinfachheit des Kaufs</v>
          </cell>
          <cell r="B81" t="str">
            <v>DB Regio AG</v>
          </cell>
          <cell r="C81" t="str">
            <v>Automat</v>
          </cell>
          <cell r="D81" t="str">
            <v>Einfachheit des Kaufs</v>
          </cell>
          <cell r="E81">
            <v>0</v>
          </cell>
          <cell r="F81" t="str">
            <v>Vertrieb</v>
          </cell>
        </row>
        <row r="82">
          <cell r="A82" t="str">
            <v>DB Regio AGAutomatGestaltung/Design Bildschirm</v>
          </cell>
          <cell r="B82" t="str">
            <v>DB Regio AG</v>
          </cell>
          <cell r="C82" t="str">
            <v>Automat</v>
          </cell>
          <cell r="D82" t="str">
            <v>Gestaltung/Design Bildschirm</v>
          </cell>
          <cell r="E82">
            <v>0</v>
          </cell>
          <cell r="F82" t="str">
            <v>Vertrieb</v>
          </cell>
        </row>
        <row r="83">
          <cell r="A83" t="str">
            <v>DB Regio AGAutomatDarstellung Zugverbindungen</v>
          </cell>
          <cell r="B83" t="str">
            <v>DB Regio AG</v>
          </cell>
          <cell r="C83" t="str">
            <v>Automat</v>
          </cell>
          <cell r="D83" t="str">
            <v>Darstellung Zugverbindungen</v>
          </cell>
          <cell r="E83">
            <v>0</v>
          </cell>
          <cell r="F83" t="str">
            <v>Vertrieb</v>
          </cell>
        </row>
        <row r="84">
          <cell r="A84" t="str">
            <v>DB Regio AGAutomatDarstellung Preisinformationen</v>
          </cell>
          <cell r="B84" t="str">
            <v>DB Regio AG</v>
          </cell>
          <cell r="C84" t="str">
            <v>Automat</v>
          </cell>
          <cell r="D84" t="str">
            <v>Darstellung Preisinformationen</v>
          </cell>
          <cell r="E84">
            <v>0</v>
          </cell>
          <cell r="F84" t="str">
            <v>Vertrieb</v>
          </cell>
        </row>
        <row r="85">
          <cell r="A85" t="str">
            <v>DB Regio AGAutomatZahlungsmöglichkeiten</v>
          </cell>
          <cell r="B85" t="str">
            <v>DB Regio AG</v>
          </cell>
          <cell r="C85" t="str">
            <v>Automat</v>
          </cell>
          <cell r="D85" t="str">
            <v>Zahlungsmöglichkeiten</v>
          </cell>
          <cell r="E85">
            <v>0</v>
          </cell>
          <cell r="F85" t="str">
            <v>Vertrieb</v>
          </cell>
        </row>
        <row r="86">
          <cell r="A86" t="str">
            <v>DB Regio AGAutomattechnische Zuverlässigkeit</v>
          </cell>
          <cell r="B86" t="str">
            <v>DB Regio AG</v>
          </cell>
          <cell r="C86" t="str">
            <v>Automat</v>
          </cell>
          <cell r="D86" t="str">
            <v>technische Zuverlässigkeit</v>
          </cell>
          <cell r="E86">
            <v>0</v>
          </cell>
          <cell r="F86" t="str">
            <v>Vertrieb</v>
          </cell>
        </row>
        <row r="87">
          <cell r="A87" t="str">
            <v>DB Regio AGAutomatLesbarkeit Bildschirmanzeige</v>
          </cell>
          <cell r="B87" t="str">
            <v>DB Regio AG</v>
          </cell>
          <cell r="C87" t="str">
            <v>Automat</v>
          </cell>
          <cell r="D87" t="str">
            <v>Lesbarkeit Bildschirmanzeige</v>
          </cell>
          <cell r="E87">
            <v>0</v>
          </cell>
          <cell r="F87" t="str">
            <v>Vertrieb</v>
          </cell>
        </row>
        <row r="88">
          <cell r="A88" t="str">
            <v>DB Regio AGAutomatInformationsqualität</v>
          </cell>
          <cell r="B88" t="str">
            <v>DB Regio AG</v>
          </cell>
          <cell r="C88" t="str">
            <v>Automat</v>
          </cell>
          <cell r="D88" t="str">
            <v>Informationsqualität</v>
          </cell>
          <cell r="E88">
            <v>0</v>
          </cell>
          <cell r="F88" t="str">
            <v>Fahrgastinformation</v>
          </cell>
        </row>
        <row r="89">
          <cell r="A89" t="str">
            <v>DB Regio AGAutomatAnzahl Prozessschritte</v>
          </cell>
          <cell r="B89" t="str">
            <v>DB Regio AG</v>
          </cell>
          <cell r="C89" t="str">
            <v>Automat</v>
          </cell>
          <cell r="D89" t="str">
            <v>Anzahl Prozessschritte</v>
          </cell>
          <cell r="E89">
            <v>0</v>
          </cell>
          <cell r="F89" t="str">
            <v>Vertrieb</v>
          </cell>
        </row>
        <row r="90">
          <cell r="A90" t="str">
            <v>DB Regio AGAutomatInformationInformation ü. Unregelmäßig</v>
          </cell>
          <cell r="B90" t="str">
            <v>DB Regio AG</v>
          </cell>
          <cell r="C90" t="str">
            <v>Automat</v>
          </cell>
          <cell r="D90" t="str">
            <v>Information</v>
          </cell>
          <cell r="E90" t="str">
            <v>Information ü. Unregelmäßig</v>
          </cell>
          <cell r="F90" t="str">
            <v>Fahrgastinformation</v>
          </cell>
        </row>
        <row r="91">
          <cell r="A91" t="str">
            <v>DB Regio AGAutomatVerfügbarkeit</v>
          </cell>
          <cell r="B91" t="str">
            <v>DB Regio AG</v>
          </cell>
          <cell r="C91" t="str">
            <v>Automat</v>
          </cell>
          <cell r="D91" t="str">
            <v>Verfügbarkeit</v>
          </cell>
          <cell r="E91">
            <v>0</v>
          </cell>
          <cell r="F91" t="str">
            <v>Vertrieb</v>
          </cell>
        </row>
        <row r="92">
          <cell r="A92" t="str">
            <v>DB Regio AGEntwerterVerfügbarkeit</v>
          </cell>
          <cell r="B92" t="str">
            <v>DB Regio AG</v>
          </cell>
          <cell r="C92" t="str">
            <v>Entwerter</v>
          </cell>
          <cell r="D92" t="str">
            <v>Verfügbarkeit</v>
          </cell>
          <cell r="E92">
            <v>0</v>
          </cell>
          <cell r="F92" t="str">
            <v>Vertrieb</v>
          </cell>
        </row>
        <row r="93">
          <cell r="A93" t="str">
            <v>DB Regio AGEntwertertechnische Zuverlässigkeit</v>
          </cell>
          <cell r="B93" t="str">
            <v>DB Regio AG</v>
          </cell>
          <cell r="C93" t="str">
            <v>Entwerter</v>
          </cell>
          <cell r="D93" t="str">
            <v>technische Zuverlässigkeit</v>
          </cell>
          <cell r="E93">
            <v>0</v>
          </cell>
          <cell r="F93" t="str">
            <v>Vertrieb</v>
          </cell>
        </row>
        <row r="94">
          <cell r="A94" t="str">
            <v>DB Regio AGInternetDauer des Kaufvorgangs</v>
          </cell>
          <cell r="B94" t="str">
            <v>DB Regio AG</v>
          </cell>
          <cell r="C94" t="str">
            <v>Internet</v>
          </cell>
          <cell r="D94" t="str">
            <v>Dauer des Kaufvorgangs</v>
          </cell>
          <cell r="E94">
            <v>0</v>
          </cell>
          <cell r="F94" t="str">
            <v>Vertrieb</v>
          </cell>
        </row>
        <row r="95">
          <cell r="A95" t="str">
            <v>DB Regio AGInternetEinfachheit des Kaufs</v>
          </cell>
          <cell r="B95" t="str">
            <v>DB Regio AG</v>
          </cell>
          <cell r="C95" t="str">
            <v>Internet</v>
          </cell>
          <cell r="D95" t="str">
            <v>Einfachheit des Kaufs</v>
          </cell>
          <cell r="E95">
            <v>0</v>
          </cell>
          <cell r="F95" t="str">
            <v>Vertrieb</v>
          </cell>
        </row>
        <row r="96">
          <cell r="A96" t="str">
            <v>DB Regio AGInternetGestaltung/Design Seite</v>
          </cell>
          <cell r="B96" t="str">
            <v>DB Regio AG</v>
          </cell>
          <cell r="C96" t="str">
            <v>Internet</v>
          </cell>
          <cell r="D96" t="str">
            <v>Gestaltung/Design Seite</v>
          </cell>
          <cell r="E96">
            <v>0</v>
          </cell>
          <cell r="F96" t="str">
            <v>Vertrieb</v>
          </cell>
        </row>
        <row r="97">
          <cell r="A97" t="str">
            <v>DB Regio AGInternetDarstellung Zugverbindungen</v>
          </cell>
          <cell r="B97" t="str">
            <v>DB Regio AG</v>
          </cell>
          <cell r="C97" t="str">
            <v>Internet</v>
          </cell>
          <cell r="D97" t="str">
            <v>Darstellung Zugverbindungen</v>
          </cell>
          <cell r="E97">
            <v>0</v>
          </cell>
          <cell r="F97" t="str">
            <v>Vertrieb</v>
          </cell>
        </row>
        <row r="98">
          <cell r="A98" t="str">
            <v>DB Regio AGInternetDarstellung Preisinformationen</v>
          </cell>
          <cell r="B98" t="str">
            <v>DB Regio AG</v>
          </cell>
          <cell r="C98" t="str">
            <v>Internet</v>
          </cell>
          <cell r="D98" t="str">
            <v>Darstellung Preisinformationen</v>
          </cell>
          <cell r="E98">
            <v>0</v>
          </cell>
          <cell r="F98" t="str">
            <v>Vertrieb</v>
          </cell>
        </row>
        <row r="99">
          <cell r="A99" t="str">
            <v>DB Regio AGInternetInformation ü. UnregelmäßigNicht spezifiziert</v>
          </cell>
          <cell r="B99" t="str">
            <v>DB Regio AG</v>
          </cell>
          <cell r="C99" t="str">
            <v>Internet</v>
          </cell>
          <cell r="D99" t="str">
            <v>Information ü. Unregelmäßig</v>
          </cell>
          <cell r="E99" t="str">
            <v>Nicht spezifiziert</v>
          </cell>
          <cell r="F99" t="str">
            <v>Vertrieb</v>
          </cell>
        </row>
        <row r="100">
          <cell r="A100" t="str">
            <v>DB Regio AGInternetZahlungsmöglichkeiten</v>
          </cell>
          <cell r="B100" t="str">
            <v>DB Regio AG</v>
          </cell>
          <cell r="C100" t="str">
            <v>Internet</v>
          </cell>
          <cell r="D100" t="str">
            <v>Zahlungsmöglichkeiten</v>
          </cell>
          <cell r="E100">
            <v>0</v>
          </cell>
          <cell r="F100" t="str">
            <v>Vertrieb</v>
          </cell>
        </row>
        <row r="101">
          <cell r="A101" t="str">
            <v>DB Regio AGInternetInformationsqualität</v>
          </cell>
          <cell r="B101" t="str">
            <v>DB Regio AG</v>
          </cell>
          <cell r="C101" t="str">
            <v>Internet</v>
          </cell>
          <cell r="D101" t="str">
            <v>Informationsqualität</v>
          </cell>
          <cell r="E101">
            <v>0</v>
          </cell>
          <cell r="F101" t="str">
            <v>Fahrgastinformation</v>
          </cell>
        </row>
        <row r="102">
          <cell r="A102" t="str">
            <v>DB Regio AGInternetMöglichk. Fahrkartenüberm.</v>
          </cell>
          <cell r="B102" t="str">
            <v>DB Regio AG</v>
          </cell>
          <cell r="C102" t="str">
            <v>Internet</v>
          </cell>
          <cell r="D102" t="str">
            <v>Möglichk. Fahrkartenüberm.</v>
          </cell>
          <cell r="E102">
            <v>0</v>
          </cell>
          <cell r="F102" t="str">
            <v>Vertrieb</v>
          </cell>
        </row>
        <row r="103">
          <cell r="A103" t="str">
            <v>DB Regio AGInternetInformationInformation ü. Unregelmäßig</v>
          </cell>
          <cell r="B103" t="str">
            <v>DB Regio AG</v>
          </cell>
          <cell r="C103" t="str">
            <v>Internet</v>
          </cell>
          <cell r="D103" t="str">
            <v>Information</v>
          </cell>
          <cell r="E103" t="str">
            <v>Information ü. Unregelmäßig</v>
          </cell>
          <cell r="F103" t="str">
            <v>Fahrgastinformation</v>
          </cell>
        </row>
        <row r="104">
          <cell r="A104" t="str">
            <v>DB Regio AGHandyDauer des Kaufvorgangs</v>
          </cell>
          <cell r="B104" t="str">
            <v>DB Regio AG</v>
          </cell>
          <cell r="C104" t="str">
            <v>Handy</v>
          </cell>
          <cell r="D104" t="str">
            <v>Dauer des Kaufvorgangs</v>
          </cell>
          <cell r="E104">
            <v>0</v>
          </cell>
          <cell r="F104" t="str">
            <v>Vertrieb</v>
          </cell>
        </row>
        <row r="105">
          <cell r="A105" t="str">
            <v>DB Regio AGHandyEinfachheit des Kaufs</v>
          </cell>
          <cell r="B105" t="str">
            <v>DB Regio AG</v>
          </cell>
          <cell r="C105" t="str">
            <v>Handy</v>
          </cell>
          <cell r="D105" t="str">
            <v>Einfachheit des Kaufs</v>
          </cell>
          <cell r="E105">
            <v>0</v>
          </cell>
          <cell r="F105" t="str">
            <v>Vertrieb</v>
          </cell>
        </row>
        <row r="106">
          <cell r="A106" t="str">
            <v>DB Regio AGHandyGestaltung/Design</v>
          </cell>
          <cell r="B106" t="str">
            <v>DB Regio AG</v>
          </cell>
          <cell r="C106" t="str">
            <v>Handy</v>
          </cell>
          <cell r="D106" t="str">
            <v>Gestaltung/Design</v>
          </cell>
          <cell r="E106">
            <v>0</v>
          </cell>
          <cell r="F106" t="str">
            <v>Vertrieb</v>
          </cell>
        </row>
        <row r="107">
          <cell r="A107" t="str">
            <v>DB Regio AGHandyDarstellung Zugverbindungen</v>
          </cell>
          <cell r="B107" t="str">
            <v>DB Regio AG</v>
          </cell>
          <cell r="C107" t="str">
            <v>Handy</v>
          </cell>
          <cell r="D107" t="str">
            <v>Darstellung Zugverbindungen</v>
          </cell>
          <cell r="E107">
            <v>0</v>
          </cell>
          <cell r="F107" t="str">
            <v>Vertrieb</v>
          </cell>
        </row>
        <row r="108">
          <cell r="A108" t="str">
            <v>DB Regio AGHandyDarstellung Preisinformationen</v>
          </cell>
          <cell r="B108" t="str">
            <v>DB Regio AG</v>
          </cell>
          <cell r="C108" t="str">
            <v>Handy</v>
          </cell>
          <cell r="D108" t="str">
            <v>Darstellung Preisinformationen</v>
          </cell>
          <cell r="E108">
            <v>0</v>
          </cell>
          <cell r="F108" t="str">
            <v>Vertrieb</v>
          </cell>
        </row>
        <row r="109">
          <cell r="A109" t="str">
            <v>DB Regio AGHandyZahlungsmöglichkeiten</v>
          </cell>
          <cell r="B109" t="str">
            <v>DB Regio AG</v>
          </cell>
          <cell r="C109" t="str">
            <v>Handy</v>
          </cell>
          <cell r="D109" t="str">
            <v>Zahlungsmöglichkeiten</v>
          </cell>
          <cell r="E109">
            <v>0</v>
          </cell>
          <cell r="F109" t="str">
            <v>Vertrieb</v>
          </cell>
        </row>
        <row r="110">
          <cell r="A110" t="str">
            <v>DB Regio AGHandyInformationsqualität</v>
          </cell>
          <cell r="B110" t="str">
            <v>DB Regio AG</v>
          </cell>
          <cell r="C110" t="str">
            <v>Handy</v>
          </cell>
          <cell r="D110" t="str">
            <v>Informationsqualität</v>
          </cell>
          <cell r="E110">
            <v>0</v>
          </cell>
          <cell r="F110" t="str">
            <v>Fahrgastinformation</v>
          </cell>
        </row>
        <row r="111">
          <cell r="A111" t="str">
            <v>DB Regio AGHandyMöglichk. Fahrkartenüberm.</v>
          </cell>
          <cell r="B111" t="str">
            <v>DB Regio AG</v>
          </cell>
          <cell r="C111" t="str">
            <v>Handy</v>
          </cell>
          <cell r="D111" t="str">
            <v>Möglichk. Fahrkartenüberm.</v>
          </cell>
          <cell r="E111">
            <v>0</v>
          </cell>
          <cell r="F111" t="str">
            <v>Vertrieb</v>
          </cell>
        </row>
        <row r="112">
          <cell r="A112" t="str">
            <v>DB Regio AGHandyInformationInformation ü. Unregelmäßig</v>
          </cell>
          <cell r="B112" t="str">
            <v>DB Regio AG</v>
          </cell>
          <cell r="C112" t="str">
            <v>Handy</v>
          </cell>
          <cell r="D112" t="str">
            <v>Information</v>
          </cell>
          <cell r="E112" t="str">
            <v>Information ü. Unregelmäßig</v>
          </cell>
          <cell r="F112" t="str">
            <v>Fahrgastinformation</v>
          </cell>
        </row>
        <row r="113">
          <cell r="A113" t="str">
            <v>DB Regio AGSocial MediaTwitterGestaltung/Design</v>
          </cell>
          <cell r="B113" t="str">
            <v>DB Regio AG</v>
          </cell>
          <cell r="C113" t="str">
            <v>Social Media</v>
          </cell>
          <cell r="D113" t="str">
            <v>Twitter</v>
          </cell>
          <cell r="E113" t="str">
            <v>Gestaltung/Design</v>
          </cell>
          <cell r="F113" t="str">
            <v>Sonstiges</v>
          </cell>
        </row>
        <row r="114">
          <cell r="A114" t="str">
            <v>DB Regio AGSocial MediaTwitterBearbeitungsdauer</v>
          </cell>
          <cell r="B114" t="str">
            <v>DB Regio AG</v>
          </cell>
          <cell r="C114" t="str">
            <v>Social Media</v>
          </cell>
          <cell r="D114" t="str">
            <v>Twitter</v>
          </cell>
          <cell r="E114" t="str">
            <v>Bearbeitungsdauer</v>
          </cell>
          <cell r="F114" t="str">
            <v>Sonstiges</v>
          </cell>
        </row>
        <row r="115">
          <cell r="A115" t="str">
            <v>DB Regio AGSocial MediaTwitterInformationsqualität</v>
          </cell>
          <cell r="B115" t="str">
            <v>DB Regio AG</v>
          </cell>
          <cell r="C115" t="str">
            <v>Social Media</v>
          </cell>
          <cell r="D115" t="str">
            <v>Twitter</v>
          </cell>
          <cell r="E115" t="str">
            <v>Informationsqualität</v>
          </cell>
          <cell r="F115" t="str">
            <v>Sonstiges</v>
          </cell>
        </row>
        <row r="116">
          <cell r="A116" t="str">
            <v>DB Regio AGSocial MediaTwitterInformation ü. unregelmäßig</v>
          </cell>
          <cell r="B116" t="str">
            <v>DB Regio AG</v>
          </cell>
          <cell r="C116" t="str">
            <v>Social Media</v>
          </cell>
          <cell r="D116" t="str">
            <v>Twitter</v>
          </cell>
          <cell r="E116" t="str">
            <v>Information ü. unregelmäßig</v>
          </cell>
          <cell r="F116" t="str">
            <v>Sonstiges</v>
          </cell>
        </row>
        <row r="117">
          <cell r="A117" t="str">
            <v>DB Regio AGSocial MediaFacebookGestaltung/Design</v>
          </cell>
          <cell r="B117" t="str">
            <v>DB Regio AG</v>
          </cell>
          <cell r="C117" t="str">
            <v>Social Media</v>
          </cell>
          <cell r="D117" t="str">
            <v>Facebook</v>
          </cell>
          <cell r="E117" t="str">
            <v>Gestaltung/Design</v>
          </cell>
          <cell r="F117" t="str">
            <v>Sonstiges</v>
          </cell>
        </row>
        <row r="118">
          <cell r="A118" t="str">
            <v>DB Regio AGSocial MediaFacebookBearbeitungsdauer</v>
          </cell>
          <cell r="B118" t="str">
            <v>DB Regio AG</v>
          </cell>
          <cell r="C118" t="str">
            <v>Social Media</v>
          </cell>
          <cell r="D118" t="str">
            <v>Facebook</v>
          </cell>
          <cell r="E118" t="str">
            <v>Bearbeitungsdauer</v>
          </cell>
          <cell r="F118" t="str">
            <v>Sonstiges</v>
          </cell>
        </row>
        <row r="119">
          <cell r="A119" t="str">
            <v>DB Regio AGSocial MediaFacebookInformationsqualität</v>
          </cell>
          <cell r="B119" t="str">
            <v>DB Regio AG</v>
          </cell>
          <cell r="C119" t="str">
            <v>Social Media</v>
          </cell>
          <cell r="D119" t="str">
            <v>Facebook</v>
          </cell>
          <cell r="E119" t="str">
            <v>Informationsqualität</v>
          </cell>
          <cell r="F119" t="str">
            <v>Sonstiges</v>
          </cell>
        </row>
        <row r="120">
          <cell r="A120" t="str">
            <v>DB Regio AGSocial MediaFacebookInformation ü. unregelmäßig</v>
          </cell>
          <cell r="B120" t="str">
            <v>DB Regio AG</v>
          </cell>
          <cell r="C120" t="str">
            <v>Social Media</v>
          </cell>
          <cell r="D120" t="str">
            <v>Facebook</v>
          </cell>
          <cell r="E120" t="str">
            <v>Information ü. unregelmäßig</v>
          </cell>
          <cell r="F120" t="str">
            <v>Sonstiges</v>
          </cell>
        </row>
        <row r="121">
          <cell r="A121" t="str">
            <v>DB Regio AGZug DB RegioKiNErreichbarkeit/Verfügbarkeit</v>
          </cell>
          <cell r="B121" t="str">
            <v>DB Regio AG</v>
          </cell>
          <cell r="C121" t="str">
            <v>Zug DB Regio</v>
          </cell>
          <cell r="D121" t="str">
            <v>KiN</v>
          </cell>
          <cell r="E121" t="str">
            <v>Erreichbarkeit/Verfügbarkeit</v>
          </cell>
          <cell r="F121" t="str">
            <v>Personal</v>
          </cell>
        </row>
        <row r="122">
          <cell r="A122" t="str">
            <v>DB Regio AGZug DB RegioKiNBeratungsqualität</v>
          </cell>
          <cell r="B122" t="str">
            <v>DB Regio AG</v>
          </cell>
          <cell r="C122" t="str">
            <v>Zug DB Regio</v>
          </cell>
          <cell r="D122" t="str">
            <v>KiN</v>
          </cell>
          <cell r="E122" t="str">
            <v>Beratungsqualität</v>
          </cell>
          <cell r="F122" t="str">
            <v>Personal</v>
          </cell>
        </row>
        <row r="123">
          <cell r="A123" t="str">
            <v>DB Regio AGZug DB RegioKiNServiceorientierung</v>
          </cell>
          <cell r="B123" t="str">
            <v>DB Regio AG</v>
          </cell>
          <cell r="C123" t="str">
            <v>Zug DB Regio</v>
          </cell>
          <cell r="D123" t="str">
            <v>KiN</v>
          </cell>
          <cell r="E123" t="str">
            <v>Serviceorientierung</v>
          </cell>
          <cell r="F123" t="str">
            <v>Personal</v>
          </cell>
        </row>
        <row r="124">
          <cell r="A124" t="str">
            <v>DB Regio AGZug DB RegioKiNFahrscheinprüfung mit FN</v>
          </cell>
          <cell r="B124" t="str">
            <v>DB Regio AG</v>
          </cell>
          <cell r="C124" t="str">
            <v>Zug DB Regio</v>
          </cell>
          <cell r="D124" t="str">
            <v>KiN</v>
          </cell>
          <cell r="E124" t="str">
            <v>Fahrscheinprüfung mit FN</v>
          </cell>
          <cell r="F124" t="str">
            <v>Personal</v>
          </cell>
        </row>
        <row r="125">
          <cell r="A125" t="str">
            <v>DB Regio AGZug DB RegioKiNLautsprecherdurchsagen</v>
          </cell>
          <cell r="B125" t="str">
            <v>DB Regio AG</v>
          </cell>
          <cell r="C125" t="str">
            <v>Zug DB Regio</v>
          </cell>
          <cell r="D125" t="str">
            <v>KiN</v>
          </cell>
          <cell r="E125" t="str">
            <v>Lautsprecherdurchsagen</v>
          </cell>
          <cell r="F125" t="str">
            <v>Personal</v>
          </cell>
        </row>
        <row r="126">
          <cell r="A126" t="str">
            <v>DB Regio AGZug DB RegioKiNInformation ü. unregelmäßig</v>
          </cell>
          <cell r="B126" t="str">
            <v>DB Regio AG</v>
          </cell>
          <cell r="C126" t="str">
            <v>Zug DB Regio</v>
          </cell>
          <cell r="D126" t="str">
            <v>KiN</v>
          </cell>
          <cell r="E126" t="str">
            <v>Information ü. unregelmäßig</v>
          </cell>
          <cell r="F126" t="str">
            <v>Personal</v>
          </cell>
        </row>
        <row r="127">
          <cell r="A127" t="str">
            <v>DB Regio AGZug DB RegioTfErreichbarkeit/Verfügbarkeit</v>
          </cell>
          <cell r="B127" t="str">
            <v>DB Regio AG</v>
          </cell>
          <cell r="C127" t="str">
            <v>Zug DB Regio</v>
          </cell>
          <cell r="D127" t="str">
            <v>Tf</v>
          </cell>
          <cell r="E127" t="str">
            <v>Erreichbarkeit/Verfügbarkeit</v>
          </cell>
          <cell r="F127" t="str">
            <v>Personal</v>
          </cell>
        </row>
        <row r="128">
          <cell r="A128" t="str">
            <v>DB Regio AGZug DB RegioTfBeratungsqualität</v>
          </cell>
          <cell r="B128" t="str">
            <v>DB Regio AG</v>
          </cell>
          <cell r="C128" t="str">
            <v>Zug DB Regio</v>
          </cell>
          <cell r="D128" t="str">
            <v>Tf</v>
          </cell>
          <cell r="E128" t="str">
            <v>Beratungsqualität</v>
          </cell>
          <cell r="F128" t="str">
            <v>Personal</v>
          </cell>
        </row>
        <row r="129">
          <cell r="A129" t="str">
            <v>DB Regio AGZug DB RegioTfServiceorientierung</v>
          </cell>
          <cell r="B129" t="str">
            <v>DB Regio AG</v>
          </cell>
          <cell r="C129" t="str">
            <v>Zug DB Regio</v>
          </cell>
          <cell r="D129" t="str">
            <v>Tf</v>
          </cell>
          <cell r="E129" t="str">
            <v>Serviceorientierung</v>
          </cell>
          <cell r="F129" t="str">
            <v>Personal</v>
          </cell>
        </row>
        <row r="130">
          <cell r="A130" t="str">
            <v>DB Regio AGZug DB RegioTfFahrscheinprüfung</v>
          </cell>
          <cell r="B130" t="str">
            <v>DB Regio AG</v>
          </cell>
          <cell r="C130" t="str">
            <v>Zug DB Regio</v>
          </cell>
          <cell r="D130" t="str">
            <v>Tf</v>
          </cell>
          <cell r="E130" t="str">
            <v>Fahrscheinprüfung</v>
          </cell>
          <cell r="F130" t="str">
            <v>Personal</v>
          </cell>
        </row>
        <row r="131">
          <cell r="A131" t="str">
            <v>DB Regio AGZug DB RegioTfLautsprecherdurchsagen</v>
          </cell>
          <cell r="B131" t="str">
            <v>DB Regio AG</v>
          </cell>
          <cell r="C131" t="str">
            <v>Zug DB Regio</v>
          </cell>
          <cell r="D131" t="str">
            <v>Tf</v>
          </cell>
          <cell r="E131" t="str">
            <v>Lautsprecherdurchsagen</v>
          </cell>
          <cell r="F131" t="str">
            <v>Personal</v>
          </cell>
        </row>
        <row r="132">
          <cell r="A132" t="str">
            <v>DB Regio AGZug DB RegioTfInformation ü. unregelmäßig</v>
          </cell>
          <cell r="B132" t="str">
            <v>DB Regio AG</v>
          </cell>
          <cell r="C132" t="str">
            <v>Zug DB Regio</v>
          </cell>
          <cell r="D132" t="str">
            <v>Tf</v>
          </cell>
          <cell r="E132" t="str">
            <v>Information ü. unregelmäßig</v>
          </cell>
          <cell r="F132" t="str">
            <v>Personal</v>
          </cell>
        </row>
        <row r="133">
          <cell r="A133" t="str">
            <v>DB Regio AGZug DB RegioSicherheitspersonalErreichbarkeit/Verfügbarkeit</v>
          </cell>
          <cell r="B133" t="str">
            <v>DB Regio AG</v>
          </cell>
          <cell r="C133" t="str">
            <v>Zug DB Regio</v>
          </cell>
          <cell r="D133" t="str">
            <v>Sicherheitspersonal</v>
          </cell>
          <cell r="E133" t="str">
            <v>Erreichbarkeit/Verfügbarkeit</v>
          </cell>
          <cell r="F133" t="str">
            <v>Personal</v>
          </cell>
        </row>
        <row r="134">
          <cell r="A134" t="str">
            <v>DB Regio AGZug DB RegioSicherheitspersonalBeratungsqualität</v>
          </cell>
          <cell r="B134" t="str">
            <v>DB Regio AG</v>
          </cell>
          <cell r="C134" t="str">
            <v>Zug DB Regio</v>
          </cell>
          <cell r="D134" t="str">
            <v>Sicherheitspersonal</v>
          </cell>
          <cell r="E134" t="str">
            <v>Beratungsqualität</v>
          </cell>
          <cell r="F134" t="str">
            <v>Personal</v>
          </cell>
        </row>
        <row r="135">
          <cell r="A135" t="str">
            <v>DB Regio AGZug DB RegioSicherheitspersonalServiceorientierung</v>
          </cell>
          <cell r="B135" t="str">
            <v>DB Regio AG</v>
          </cell>
          <cell r="C135" t="str">
            <v>Zug DB Regio</v>
          </cell>
          <cell r="D135" t="str">
            <v>Sicherheitspersonal</v>
          </cell>
          <cell r="E135" t="str">
            <v>Serviceorientierung</v>
          </cell>
          <cell r="F135" t="str">
            <v>Personal</v>
          </cell>
        </row>
        <row r="136">
          <cell r="A136" t="str">
            <v>DB Regio AGZug DB RegioSicherheitspersonalFahrscheinprüfung</v>
          </cell>
          <cell r="B136" t="str">
            <v>DB Regio AG</v>
          </cell>
          <cell r="C136" t="str">
            <v>Zug DB Regio</v>
          </cell>
          <cell r="D136" t="str">
            <v>Sicherheitspersonal</v>
          </cell>
          <cell r="E136" t="str">
            <v>Fahrscheinprüfung</v>
          </cell>
          <cell r="F136" t="str">
            <v>Personal</v>
          </cell>
        </row>
        <row r="137">
          <cell r="A137" t="str">
            <v>DB Regio AGZug DB RegioSicherheitspersonalLautsprecherdurchsagen</v>
          </cell>
          <cell r="B137" t="str">
            <v>DB Regio AG</v>
          </cell>
          <cell r="C137" t="str">
            <v>Zug DB Regio</v>
          </cell>
          <cell r="D137" t="str">
            <v>Sicherheitspersonal</v>
          </cell>
          <cell r="E137" t="str">
            <v>Lautsprecherdurchsagen</v>
          </cell>
          <cell r="F137" t="str">
            <v>Personal</v>
          </cell>
        </row>
        <row r="138">
          <cell r="A138" t="str">
            <v>DB Regio AGZug DB RegioSicherheitspersonalInformation ü. unregelmäßig</v>
          </cell>
          <cell r="B138" t="str">
            <v>DB Regio AG</v>
          </cell>
          <cell r="C138" t="str">
            <v>Zug DB Regio</v>
          </cell>
          <cell r="D138" t="str">
            <v>Sicherheitspersonal</v>
          </cell>
          <cell r="E138" t="str">
            <v>Information ü. unregelmäßig</v>
          </cell>
          <cell r="F138" t="str">
            <v>Personal</v>
          </cell>
        </row>
        <row r="139">
          <cell r="A139" t="str">
            <v>DB Regio AGZug DB RegioZivilprüferErreichbarkeit/Verfügbarkeit</v>
          </cell>
          <cell r="B139" t="str">
            <v>DB Regio AG</v>
          </cell>
          <cell r="C139" t="str">
            <v>Zug DB Regio</v>
          </cell>
          <cell r="D139" t="str">
            <v>Zivilprüfer</v>
          </cell>
          <cell r="E139" t="str">
            <v>Erreichbarkeit/Verfügbarkeit</v>
          </cell>
          <cell r="F139" t="str">
            <v>Personal</v>
          </cell>
        </row>
        <row r="140">
          <cell r="A140" t="str">
            <v>DB Regio AGZug DB RegioZivilprüferBeratungsqualität</v>
          </cell>
          <cell r="B140" t="str">
            <v>DB Regio AG</v>
          </cell>
          <cell r="C140" t="str">
            <v>Zug DB Regio</v>
          </cell>
          <cell r="D140" t="str">
            <v>Zivilprüfer</v>
          </cell>
          <cell r="E140" t="str">
            <v>Beratungsqualität</v>
          </cell>
          <cell r="F140" t="str">
            <v>Personal</v>
          </cell>
        </row>
        <row r="141">
          <cell r="A141" t="str">
            <v>DB Regio AGZug DB RegioZivilprüferServiceorientierung</v>
          </cell>
          <cell r="B141" t="str">
            <v>DB Regio AG</v>
          </cell>
          <cell r="C141" t="str">
            <v>Zug DB Regio</v>
          </cell>
          <cell r="D141" t="str">
            <v>Zivilprüfer</v>
          </cell>
          <cell r="E141" t="str">
            <v>Serviceorientierung</v>
          </cell>
          <cell r="F141" t="str">
            <v>Personal</v>
          </cell>
        </row>
        <row r="142">
          <cell r="A142" t="str">
            <v>DB Regio AGZug DB RegioZivilprüferFahrscheinprüfung</v>
          </cell>
          <cell r="B142" t="str">
            <v>DB Regio AG</v>
          </cell>
          <cell r="C142" t="str">
            <v>Zug DB Regio</v>
          </cell>
          <cell r="D142" t="str">
            <v>Zivilprüfer</v>
          </cell>
          <cell r="E142" t="str">
            <v>Fahrscheinprüfung</v>
          </cell>
          <cell r="F142" t="str">
            <v>Personal</v>
          </cell>
        </row>
        <row r="143">
          <cell r="A143" t="str">
            <v>DB Regio AGZug DB RegioZivilprüferLautsprecherdurchsagen</v>
          </cell>
          <cell r="B143" t="str">
            <v>DB Regio AG</v>
          </cell>
          <cell r="C143" t="str">
            <v>Zug DB Regio</v>
          </cell>
          <cell r="D143" t="str">
            <v>Zivilprüfer</v>
          </cell>
          <cell r="E143" t="str">
            <v>Lautsprecherdurchsagen</v>
          </cell>
          <cell r="F143" t="str">
            <v>Personal</v>
          </cell>
        </row>
        <row r="144">
          <cell r="A144" t="str">
            <v>DB Regio AGZug DB RegioZivilprüferInformation ü. unregelmäßig</v>
          </cell>
          <cell r="B144" t="str">
            <v>DB Regio AG</v>
          </cell>
          <cell r="C144" t="str">
            <v>Zug DB Regio</v>
          </cell>
          <cell r="D144" t="str">
            <v>Zivilprüfer</v>
          </cell>
          <cell r="E144" t="str">
            <v>Information ü. unregelmäßig</v>
          </cell>
          <cell r="F144" t="str">
            <v>Personal</v>
          </cell>
        </row>
        <row r="145">
          <cell r="A145" t="str">
            <v>DB Regio AGZug DB RegioKomfort und AusstattungSitzkomfort/Platzgestaltung</v>
          </cell>
          <cell r="B145" t="str">
            <v>DB Regio AG</v>
          </cell>
          <cell r="C145" t="str">
            <v>Zug DB Regio</v>
          </cell>
          <cell r="D145" t="str">
            <v>Komfort und Ausstattung</v>
          </cell>
          <cell r="E145" t="str">
            <v>Sitzkomfort/Platzgestaltung</v>
          </cell>
          <cell r="F145" t="str">
            <v>Fahrzeug</v>
          </cell>
        </row>
        <row r="146">
          <cell r="A146" t="str">
            <v>DB Regio AGZug DB RegioKomfort und AusstattungPlatzangebot 2. Klasse</v>
          </cell>
          <cell r="B146" t="str">
            <v>DB Regio AG</v>
          </cell>
          <cell r="C146" t="str">
            <v>Zug DB Regio</v>
          </cell>
          <cell r="D146" t="str">
            <v>Komfort und Ausstattung</v>
          </cell>
          <cell r="E146" t="str">
            <v>Platzangebot 2. Klasse</v>
          </cell>
          <cell r="F146" t="str">
            <v>Fahrzeug</v>
          </cell>
        </row>
        <row r="147">
          <cell r="A147" t="str">
            <v>DB Regio AGZug DB RegioKomfort und AusstattungPlatzangebot 1. Klasse</v>
          </cell>
          <cell r="B147" t="str">
            <v>DB Regio AG</v>
          </cell>
          <cell r="C147" t="str">
            <v>Zug DB Regio</v>
          </cell>
          <cell r="D147" t="str">
            <v>Komfort und Ausstattung</v>
          </cell>
          <cell r="E147" t="str">
            <v>Platzangebot 1. Klasse</v>
          </cell>
          <cell r="F147" t="str">
            <v>Fahrzeug</v>
          </cell>
        </row>
        <row r="148">
          <cell r="A148" t="str">
            <v>DB Regio AGZug DB RegioKomfort und AusstattungSauberkeit Wagen</v>
          </cell>
          <cell r="B148" t="str">
            <v>DB Regio AG</v>
          </cell>
          <cell r="C148" t="str">
            <v>Zug DB Regio</v>
          </cell>
          <cell r="D148" t="str">
            <v>Komfort und Ausstattung</v>
          </cell>
          <cell r="E148" t="str">
            <v>Sauberkeit Wagen</v>
          </cell>
          <cell r="F148" t="str">
            <v>Fahrzeug</v>
          </cell>
        </row>
        <row r="149">
          <cell r="A149" t="str">
            <v>DB Regio AGZug DB RegioKomfort und AusstattungSauberkeit WC</v>
          </cell>
          <cell r="B149" t="str">
            <v>DB Regio AG</v>
          </cell>
          <cell r="C149" t="str">
            <v>Zug DB Regio</v>
          </cell>
          <cell r="D149" t="str">
            <v>Komfort und Ausstattung</v>
          </cell>
          <cell r="E149" t="str">
            <v>Sauberkeit WC</v>
          </cell>
          <cell r="F149" t="str">
            <v>Fahrzeug</v>
          </cell>
        </row>
        <row r="150">
          <cell r="A150" t="str">
            <v>DB Regio AGZug DB RegioKomfort und AusstattungPlatz für Gepäck</v>
          </cell>
          <cell r="B150" t="str">
            <v>DB Regio AG</v>
          </cell>
          <cell r="C150" t="str">
            <v>Zug DB Regio</v>
          </cell>
          <cell r="D150" t="str">
            <v>Komfort und Ausstattung</v>
          </cell>
          <cell r="E150" t="str">
            <v>Platz für Gepäck</v>
          </cell>
          <cell r="F150" t="str">
            <v>Fahrzeug</v>
          </cell>
        </row>
        <row r="151">
          <cell r="A151" t="str">
            <v>DB Regio AGZug DB RegioKomfort und AusstattungPlatzreservierung</v>
          </cell>
          <cell r="B151" t="str">
            <v>DB Regio AG</v>
          </cell>
          <cell r="C151" t="str">
            <v>Zug DB Regio</v>
          </cell>
          <cell r="D151" t="str">
            <v>Komfort und Ausstattung</v>
          </cell>
          <cell r="E151" t="str">
            <v>Platzreservierung</v>
          </cell>
          <cell r="F151" t="str">
            <v>Fahrzeug</v>
          </cell>
        </row>
        <row r="152">
          <cell r="A152" t="str">
            <v>DB Regio AGZug DB RegioKomfort und AusstattungWagenreihung/Wagen fehlt</v>
          </cell>
          <cell r="B152" t="str">
            <v>DB Regio AG</v>
          </cell>
          <cell r="C152" t="str">
            <v>Zug DB Regio</v>
          </cell>
          <cell r="D152" t="str">
            <v>Komfort und Ausstattung</v>
          </cell>
          <cell r="E152" t="str">
            <v>Wagenreihung/Wagen fehlt</v>
          </cell>
          <cell r="F152" t="str">
            <v>Fahrzeug</v>
          </cell>
        </row>
        <row r="153">
          <cell r="A153" t="str">
            <v>DB Regio AGZug DB RegioKomfort und AusstattungKlimaanlage/Klimatisierung</v>
          </cell>
          <cell r="B153" t="str">
            <v>DB Regio AG</v>
          </cell>
          <cell r="C153" t="str">
            <v>Zug DB Regio</v>
          </cell>
          <cell r="D153" t="str">
            <v>Komfort und Ausstattung</v>
          </cell>
          <cell r="E153" t="str">
            <v>Klimaanlage/Klimatisierung</v>
          </cell>
          <cell r="F153" t="str">
            <v>Fahrzeug</v>
          </cell>
        </row>
        <row r="154">
          <cell r="A154" t="str">
            <v>DB Regio AGZug DB RegioKomfort und AusstattungHeizung</v>
          </cell>
          <cell r="B154" t="str">
            <v>DB Regio AG</v>
          </cell>
          <cell r="C154" t="str">
            <v>Zug DB Regio</v>
          </cell>
          <cell r="D154" t="str">
            <v>Komfort und Ausstattung</v>
          </cell>
          <cell r="E154" t="str">
            <v>Heizung</v>
          </cell>
          <cell r="F154" t="str">
            <v>Fahrzeug</v>
          </cell>
        </row>
        <row r="155">
          <cell r="A155" t="str">
            <v>DB Regio AGZug DB RegioKomfort und AusstattungZugbildung</v>
          </cell>
          <cell r="B155" t="str">
            <v>DB Regio AG</v>
          </cell>
          <cell r="C155" t="str">
            <v>Zug DB Regio</v>
          </cell>
          <cell r="D155" t="str">
            <v>Komfort und Ausstattung</v>
          </cell>
          <cell r="E155" t="str">
            <v>Zugbildung</v>
          </cell>
          <cell r="F155" t="str">
            <v>Fahrzeug</v>
          </cell>
        </row>
        <row r="156">
          <cell r="A156" t="str">
            <v>DB Regio AGZug DB RegioKomfort und AusstattungZuggebundene Mobi-Hilfe</v>
          </cell>
          <cell r="B156" t="str">
            <v>DB Regio AG</v>
          </cell>
          <cell r="C156" t="str">
            <v>Zug DB Regio</v>
          </cell>
          <cell r="D156" t="str">
            <v>Komfort und Ausstattung</v>
          </cell>
          <cell r="E156" t="str">
            <v>Zuggebundene Mobi-Hilfe</v>
          </cell>
          <cell r="F156" t="str">
            <v>Fahrzeug</v>
          </cell>
        </row>
        <row r="157">
          <cell r="A157" t="str">
            <v>DB Regio AGZug DB RegioSicherheitsgefühlVerhalten Reisende</v>
          </cell>
          <cell r="B157" t="str">
            <v>DB Regio AG</v>
          </cell>
          <cell r="C157" t="str">
            <v>Zug DB Regio</v>
          </cell>
          <cell r="D157" t="str">
            <v>Sicherheitsgefühl</v>
          </cell>
          <cell r="E157" t="str">
            <v>Verhalten Reisende</v>
          </cell>
          <cell r="F157" t="str">
            <v>Sonstiges</v>
          </cell>
        </row>
        <row r="158">
          <cell r="A158" t="str">
            <v>DB Regio AGZug DB RegioSicherheitsgefühlDiebstahl</v>
          </cell>
          <cell r="B158" t="str">
            <v>DB Regio AG</v>
          </cell>
          <cell r="C158" t="str">
            <v>Zug DB Regio</v>
          </cell>
          <cell r="D158" t="str">
            <v>Sicherheitsgefühl</v>
          </cell>
          <cell r="E158" t="str">
            <v>Diebstahl</v>
          </cell>
          <cell r="F158" t="str">
            <v>Sonstiges</v>
          </cell>
        </row>
        <row r="159">
          <cell r="A159" t="str">
            <v>DB Regio AGZug DB RegioSicherheitsgefühlEinhalten Rauch-/Alkoholverb.</v>
          </cell>
          <cell r="B159" t="str">
            <v>DB Regio AG</v>
          </cell>
          <cell r="C159" t="str">
            <v>Zug DB Regio</v>
          </cell>
          <cell r="D159" t="str">
            <v>Sicherheitsgefühl</v>
          </cell>
          <cell r="E159" t="str">
            <v>Einhalten Rauch-/Alkoholverb.</v>
          </cell>
          <cell r="F159" t="str">
            <v>Sonstiges</v>
          </cell>
        </row>
        <row r="160">
          <cell r="A160" t="str">
            <v>DB Regio AGZug DB RegioSicherheitsgefühlÜbergriffe</v>
          </cell>
          <cell r="B160" t="str">
            <v>DB Regio AG</v>
          </cell>
          <cell r="C160" t="str">
            <v>Zug DB Regio</v>
          </cell>
          <cell r="D160" t="str">
            <v>Sicherheitsgefühl</v>
          </cell>
          <cell r="E160" t="str">
            <v>Übergriffe</v>
          </cell>
          <cell r="F160" t="str">
            <v>Sonstiges</v>
          </cell>
        </row>
        <row r="161">
          <cell r="A161" t="str">
            <v>DB Regio AGZug DB RegioSicherheitsgefühlVandalismus</v>
          </cell>
          <cell r="B161" t="str">
            <v>DB Regio AG</v>
          </cell>
          <cell r="C161" t="str">
            <v>Zug DB Regio</v>
          </cell>
          <cell r="D161" t="str">
            <v>Sicherheitsgefühl</v>
          </cell>
          <cell r="E161" t="str">
            <v>Vandalismus</v>
          </cell>
          <cell r="F161" t="str">
            <v>Sonstiges</v>
          </cell>
        </row>
        <row r="162">
          <cell r="A162" t="str">
            <v>DB Regio AGZug DB RegioSicherheitsgefühlGroßstörung</v>
          </cell>
          <cell r="B162" t="str">
            <v>DB Regio AG</v>
          </cell>
          <cell r="C162" t="str">
            <v>Zug DB Regio</v>
          </cell>
          <cell r="D162" t="str">
            <v>Sicherheitsgefühl</v>
          </cell>
          <cell r="E162" t="str">
            <v>Großstörung</v>
          </cell>
          <cell r="F162" t="str">
            <v>Sonstiges</v>
          </cell>
        </row>
        <row r="163">
          <cell r="A163" t="str">
            <v>DB Regio AGZug DB RegioVerbindung und ReisezeitSondersituationen m. AV</v>
          </cell>
          <cell r="B163" t="str">
            <v>DB Regio AG</v>
          </cell>
          <cell r="C163" t="str">
            <v>Zug DB Regio</v>
          </cell>
          <cell r="D163" t="str">
            <v>Verbindung und Reisezeit</v>
          </cell>
          <cell r="E163" t="str">
            <v>Sondersituationen m. AV</v>
          </cell>
          <cell r="F163" t="str">
            <v>Fahrplaneinhaltung</v>
          </cell>
        </row>
        <row r="164">
          <cell r="A164" t="str">
            <v>DB Regio AGZug DB RegioVerbindung und ReisezeitBNV m. AV</v>
          </cell>
          <cell r="B164" t="str">
            <v>DB Regio AG</v>
          </cell>
          <cell r="C164" t="str">
            <v>Zug DB Regio</v>
          </cell>
          <cell r="D164" t="str">
            <v>Verbindung und Reisezeit</v>
          </cell>
          <cell r="E164" t="str">
            <v>BNV m. AV</v>
          </cell>
          <cell r="F164" t="str">
            <v>Fahrplaneinhaltung</v>
          </cell>
        </row>
        <row r="165">
          <cell r="A165" t="str">
            <v>DB Regio AGZug DB RegioVerbindung und ReisezeitSEV m. AV</v>
          </cell>
          <cell r="B165" t="str">
            <v>DB Regio AG</v>
          </cell>
          <cell r="C165" t="str">
            <v>Zug DB Regio</v>
          </cell>
          <cell r="D165" t="str">
            <v>Verbindung und Reisezeit</v>
          </cell>
          <cell r="E165" t="str">
            <v>SEV m. AV</v>
          </cell>
          <cell r="F165" t="str">
            <v>Fahrplaneinhaltung</v>
          </cell>
        </row>
        <row r="166">
          <cell r="A166" t="str">
            <v>DB Regio AGZug DB RegioVerbindung und ReisezeitZugausfall m. AV</v>
          </cell>
          <cell r="B166" t="str">
            <v>DB Regio AG</v>
          </cell>
          <cell r="C166" t="str">
            <v>Zug DB Regio</v>
          </cell>
          <cell r="D166" t="str">
            <v>Verbindung und Reisezeit</v>
          </cell>
          <cell r="E166" t="str">
            <v>Zugausfall m. AV</v>
          </cell>
          <cell r="F166" t="str">
            <v>Fahrplaneinhaltung</v>
          </cell>
        </row>
        <row r="167">
          <cell r="A167" t="str">
            <v>DB Regio AGZug DB RegioVerbindung und ReisezeitGroßstörung m. AV</v>
          </cell>
          <cell r="B167" t="str">
            <v>DB Regio AG</v>
          </cell>
          <cell r="C167" t="str">
            <v>Zug DB Regio</v>
          </cell>
          <cell r="D167" t="str">
            <v>Verbindung und Reisezeit</v>
          </cell>
          <cell r="E167" t="str">
            <v>Großstörung m. AV</v>
          </cell>
          <cell r="F167" t="str">
            <v>Fahrplaneinhaltung</v>
          </cell>
        </row>
        <row r="168">
          <cell r="A168" t="str">
            <v>DB Regio AGZug DB RegioVerbindung und ReisezeitLeit-/Sicherungstechnik m. AV</v>
          </cell>
          <cell r="B168" t="str">
            <v>DB Regio AG</v>
          </cell>
          <cell r="C168" t="str">
            <v>Zug DB Regio</v>
          </cell>
          <cell r="D168" t="str">
            <v>Verbindung und Reisezeit</v>
          </cell>
          <cell r="E168" t="str">
            <v>Leit-/Sicherungstechnik m. AV</v>
          </cell>
          <cell r="F168" t="str">
            <v>Fahrplaneinhaltung</v>
          </cell>
        </row>
        <row r="169">
          <cell r="A169" t="str">
            <v>DB Regio AGZug DB RegioVerbindung und ReisezeitLok/Triebfahrzeugschaden m. AV</v>
          </cell>
          <cell r="B169" t="str">
            <v>DB Regio AG</v>
          </cell>
          <cell r="C169" t="str">
            <v>Zug DB Regio</v>
          </cell>
          <cell r="D169" t="str">
            <v>Verbindung und Reisezeit</v>
          </cell>
          <cell r="E169" t="str">
            <v>Lok/Triebfahrzeugschaden m. AV</v>
          </cell>
          <cell r="F169" t="str">
            <v>Fahrplaneinhaltung</v>
          </cell>
        </row>
        <row r="170">
          <cell r="A170" t="str">
            <v>DB Regio AGZug DB RegioVerbindung und ReisezeitUnfall m. AV</v>
          </cell>
          <cell r="B170" t="str">
            <v>DB Regio AG</v>
          </cell>
          <cell r="C170" t="str">
            <v>Zug DB Regio</v>
          </cell>
          <cell r="D170" t="str">
            <v>Verbindung und Reisezeit</v>
          </cell>
          <cell r="E170" t="str">
            <v>Unfall m. AV</v>
          </cell>
          <cell r="F170" t="str">
            <v>Fahrplaneinhaltung</v>
          </cell>
        </row>
        <row r="171">
          <cell r="A171" t="str">
            <v>DB Regio AGZug DB RegioVerbindung und ReisezeitSuizid m. AV</v>
          </cell>
          <cell r="B171" t="str">
            <v>DB Regio AG</v>
          </cell>
          <cell r="C171" t="str">
            <v>Zug DB Regio</v>
          </cell>
          <cell r="D171" t="str">
            <v>Verbindung und Reisezeit</v>
          </cell>
          <cell r="E171" t="str">
            <v>Suizid m. AV</v>
          </cell>
          <cell r="F171" t="str">
            <v>Fahrplaneinhaltung</v>
          </cell>
        </row>
        <row r="172">
          <cell r="A172" t="str">
            <v>DB Regio AGZug DB RegioVerbindung und ReisezeitPolzei/Feuerwehr m. AV</v>
          </cell>
          <cell r="B172" t="str">
            <v>DB Regio AG</v>
          </cell>
          <cell r="C172" t="str">
            <v>Zug DB Regio</v>
          </cell>
          <cell r="D172" t="str">
            <v>Verbindung und Reisezeit</v>
          </cell>
          <cell r="E172" t="str">
            <v>Polzei/Feuerwehr m. AV</v>
          </cell>
          <cell r="F172" t="str">
            <v>Fahrplaneinhaltung</v>
          </cell>
        </row>
        <row r="173">
          <cell r="A173" t="str">
            <v>DB Regio AGZug DB RegioVerbindung und ReisezeitPersonen im Gleis m. AV</v>
          </cell>
          <cell r="B173" t="str">
            <v>DB Regio AG</v>
          </cell>
          <cell r="C173" t="str">
            <v>Zug DB Regio</v>
          </cell>
          <cell r="D173" t="str">
            <v>Verbindung und Reisezeit</v>
          </cell>
          <cell r="E173" t="str">
            <v>Personen im Gleis m. AV</v>
          </cell>
          <cell r="F173" t="str">
            <v>Fahrplaneinhaltung</v>
          </cell>
        </row>
        <row r="174">
          <cell r="A174" t="str">
            <v>DB Regio AGZug DB RegioVerbindung und ReisezeitWagenstörung m. AV</v>
          </cell>
          <cell r="B174" t="str">
            <v>DB Regio AG</v>
          </cell>
          <cell r="C174" t="str">
            <v>Zug DB Regio</v>
          </cell>
          <cell r="D174" t="str">
            <v>Verbindung und Reisezeit</v>
          </cell>
          <cell r="E174" t="str">
            <v>Wagenstörung m. AV</v>
          </cell>
          <cell r="F174" t="str">
            <v>Fahrplaneinhaltung</v>
          </cell>
        </row>
        <row r="175">
          <cell r="A175" t="str">
            <v>DB Regio AGZug DB RegioVerbindung und ReisezeitWeichenstörung m. AV</v>
          </cell>
          <cell r="B175" t="str">
            <v>DB Regio AG</v>
          </cell>
          <cell r="C175" t="str">
            <v>Zug DB Regio</v>
          </cell>
          <cell r="D175" t="str">
            <v>Verbindung und Reisezeit</v>
          </cell>
          <cell r="E175" t="str">
            <v>Weichenstörung m. AV</v>
          </cell>
          <cell r="F175" t="str">
            <v>Fahrplaneinhaltung</v>
          </cell>
        </row>
        <row r="176">
          <cell r="A176" t="str">
            <v>DB Regio AGZug DB RegioVerbindung und ReisezeitZugfolge m. AV</v>
          </cell>
          <cell r="B176" t="str">
            <v>DB Regio AG</v>
          </cell>
          <cell r="C176" t="str">
            <v>Zug DB Regio</v>
          </cell>
          <cell r="D176" t="str">
            <v>Verbindung und Reisezeit</v>
          </cell>
          <cell r="E176" t="str">
            <v>Zugfolge m. AV</v>
          </cell>
          <cell r="F176" t="str">
            <v>Fahrplaneinhaltung</v>
          </cell>
        </row>
        <row r="177">
          <cell r="A177" t="str">
            <v>DB Regio AGZug DB RegioVerbindung und ReisezeitUrsache unbekannt m. AV</v>
          </cell>
          <cell r="B177" t="str">
            <v>DB Regio AG</v>
          </cell>
          <cell r="C177" t="str">
            <v>Zug DB Regio</v>
          </cell>
          <cell r="D177" t="str">
            <v>Verbindung und Reisezeit</v>
          </cell>
          <cell r="E177" t="str">
            <v>Ursache unbekannt m. AV</v>
          </cell>
          <cell r="F177" t="str">
            <v>Fahrplaneinhaltung</v>
          </cell>
        </row>
        <row r="178">
          <cell r="A178" t="str">
            <v>DB Regio AGZug DB RegioVerbindung und ReisezeitSondersituationen o. AV</v>
          </cell>
          <cell r="B178" t="str">
            <v>DB Regio AG</v>
          </cell>
          <cell r="C178" t="str">
            <v>Zug DB Regio</v>
          </cell>
          <cell r="D178" t="str">
            <v>Verbindung und Reisezeit</v>
          </cell>
          <cell r="E178" t="str">
            <v>Sondersituationen o. AV</v>
          </cell>
          <cell r="F178" t="str">
            <v>Fahrplaneinhaltung</v>
          </cell>
        </row>
        <row r="179">
          <cell r="A179" t="str">
            <v>DB Regio AGZug DB RegioVerbindung und ReisezeitBNV o. AV</v>
          </cell>
          <cell r="B179" t="str">
            <v>DB Regio AG</v>
          </cell>
          <cell r="C179" t="str">
            <v>Zug DB Regio</v>
          </cell>
          <cell r="D179" t="str">
            <v>Verbindung und Reisezeit</v>
          </cell>
          <cell r="E179" t="str">
            <v>BNV o. AV</v>
          </cell>
          <cell r="F179" t="str">
            <v>Fahrplaneinhaltung</v>
          </cell>
        </row>
        <row r="180">
          <cell r="A180" t="str">
            <v>DB Regio AGZug DB RegioVerbindung und ReisezeitSEV o. AV</v>
          </cell>
          <cell r="B180" t="str">
            <v>DB Regio AG</v>
          </cell>
          <cell r="C180" t="str">
            <v>Zug DB Regio</v>
          </cell>
          <cell r="D180" t="str">
            <v>Verbindung und Reisezeit</v>
          </cell>
          <cell r="E180" t="str">
            <v>SEV o. AV</v>
          </cell>
          <cell r="F180" t="str">
            <v>Fahrplaneinhaltung</v>
          </cell>
        </row>
        <row r="181">
          <cell r="A181" t="str">
            <v>DB Regio AGZug DB RegioVerbindung und ReisezeitZugausfall o. AV</v>
          </cell>
          <cell r="B181" t="str">
            <v>DB Regio AG</v>
          </cell>
          <cell r="C181" t="str">
            <v>Zug DB Regio</v>
          </cell>
          <cell r="D181" t="str">
            <v>Verbindung und Reisezeit</v>
          </cell>
          <cell r="E181" t="str">
            <v>Zugausfall o. AV</v>
          </cell>
          <cell r="F181" t="str">
            <v>Fahrplaneinhaltung</v>
          </cell>
        </row>
        <row r="182">
          <cell r="A182" t="str">
            <v>DB Regio AGZug DB RegioVerbindung und ReisezeitGroßstörung o. AV</v>
          </cell>
          <cell r="B182" t="str">
            <v>DB Regio AG</v>
          </cell>
          <cell r="C182" t="str">
            <v>Zug DB Regio</v>
          </cell>
          <cell r="D182" t="str">
            <v>Verbindung und Reisezeit</v>
          </cell>
          <cell r="E182" t="str">
            <v>Großstörung o. AV</v>
          </cell>
          <cell r="F182" t="str">
            <v>Fahrplaneinhaltung</v>
          </cell>
        </row>
        <row r="183">
          <cell r="A183" t="str">
            <v>DB Regio AGZug DB RegioVerbindung und ReisezeitLeit-/Sicherungstechnik m. AV</v>
          </cell>
          <cell r="B183" t="str">
            <v>DB Regio AG</v>
          </cell>
          <cell r="C183" t="str">
            <v>Zug DB Regio</v>
          </cell>
          <cell r="D183" t="str">
            <v>Verbindung und Reisezeit</v>
          </cell>
          <cell r="E183" t="str">
            <v>Leit-/Sicherungstechnik m. AV</v>
          </cell>
          <cell r="F183" t="str">
            <v>Fahrplaneinhaltung</v>
          </cell>
        </row>
        <row r="184">
          <cell r="A184" t="str">
            <v>DB Regio AGZug DB RegioVerbindung und ReisezeitLok/Triebfahrzeugschaden o. AV</v>
          </cell>
          <cell r="B184" t="str">
            <v>DB Regio AG</v>
          </cell>
          <cell r="C184" t="str">
            <v>Zug DB Regio</v>
          </cell>
          <cell r="D184" t="str">
            <v>Verbindung und Reisezeit</v>
          </cell>
          <cell r="E184" t="str">
            <v>Lok/Triebfahrzeugschaden o. AV</v>
          </cell>
          <cell r="F184" t="str">
            <v>Fahrplaneinhaltung</v>
          </cell>
        </row>
        <row r="185">
          <cell r="A185" t="str">
            <v>DB Regio AGZug DB RegioVerbindung und ReisezeitUnfall o. AV</v>
          </cell>
          <cell r="B185" t="str">
            <v>DB Regio AG</v>
          </cell>
          <cell r="C185" t="str">
            <v>Zug DB Regio</v>
          </cell>
          <cell r="D185" t="str">
            <v>Verbindung und Reisezeit</v>
          </cell>
          <cell r="E185" t="str">
            <v>Unfall o. AV</v>
          </cell>
          <cell r="F185" t="str">
            <v>Fahrplaneinhaltung</v>
          </cell>
        </row>
        <row r="186">
          <cell r="A186" t="str">
            <v>DB Regio AGZug DB RegioVerbindung und ReisezeitSuizid o. AV</v>
          </cell>
          <cell r="B186" t="str">
            <v>DB Regio AG</v>
          </cell>
          <cell r="C186" t="str">
            <v>Zug DB Regio</v>
          </cell>
          <cell r="D186" t="str">
            <v>Verbindung und Reisezeit</v>
          </cell>
          <cell r="E186" t="str">
            <v>Suizid o. AV</v>
          </cell>
          <cell r="F186" t="str">
            <v>Fahrplaneinhaltung</v>
          </cell>
        </row>
        <row r="187">
          <cell r="A187" t="str">
            <v>DB Regio AGZug DB RegioVerbindung und ReisezeitWagenstörung o. AV</v>
          </cell>
          <cell r="B187" t="str">
            <v>DB Regio AG</v>
          </cell>
          <cell r="C187" t="str">
            <v>Zug DB Regio</v>
          </cell>
          <cell r="D187" t="str">
            <v>Verbindung und Reisezeit</v>
          </cell>
          <cell r="E187" t="str">
            <v>Wagenstörung o. AV</v>
          </cell>
          <cell r="F187" t="str">
            <v>Fahrplaneinhaltung</v>
          </cell>
        </row>
        <row r="188">
          <cell r="A188" t="str">
            <v>DB Regio AGZug DB RegioVerbindung und ReisezeitWeichenstörung o. AV</v>
          </cell>
          <cell r="B188" t="str">
            <v>DB Regio AG</v>
          </cell>
          <cell r="C188" t="str">
            <v>Zug DB Regio</v>
          </cell>
          <cell r="D188" t="str">
            <v>Verbindung und Reisezeit</v>
          </cell>
          <cell r="E188" t="str">
            <v>Weichenstörung o. AV</v>
          </cell>
          <cell r="F188" t="str">
            <v>Fahrplaneinhaltung</v>
          </cell>
        </row>
        <row r="189">
          <cell r="A189" t="str">
            <v>DB Regio AGZug DB RegioVerbindung und ReisezeitZugfolge o. AV</v>
          </cell>
          <cell r="B189" t="str">
            <v>DB Regio AG</v>
          </cell>
          <cell r="C189" t="str">
            <v>Zug DB Regio</v>
          </cell>
          <cell r="D189" t="str">
            <v>Verbindung und Reisezeit</v>
          </cell>
          <cell r="E189" t="str">
            <v>Zugfolge o. AV</v>
          </cell>
          <cell r="F189" t="str">
            <v>Fahrplaneinhaltung</v>
          </cell>
        </row>
        <row r="190">
          <cell r="A190" t="str">
            <v>DB Regio AGZug DB RegioVerbindung und ReisezeitUrsache unbekannt o. AV</v>
          </cell>
          <cell r="B190" t="str">
            <v>DB Regio AG</v>
          </cell>
          <cell r="C190" t="str">
            <v>Zug DB Regio</v>
          </cell>
          <cell r="D190" t="str">
            <v>Verbindung und Reisezeit</v>
          </cell>
          <cell r="E190" t="str">
            <v>Ursache unbekannt o. AV</v>
          </cell>
          <cell r="F190" t="str">
            <v>Fahrplaneinhaltung</v>
          </cell>
        </row>
        <row r="191">
          <cell r="A191" t="str">
            <v>DB Regio AGZug DB RegioVerbindung und ReisezeitVorzeitige Abfahrt</v>
          </cell>
          <cell r="B191" t="str">
            <v>DB Regio AG</v>
          </cell>
          <cell r="C191" t="str">
            <v>Zug DB Regio</v>
          </cell>
          <cell r="D191" t="str">
            <v>Verbindung und Reisezeit</v>
          </cell>
          <cell r="E191" t="str">
            <v>Vorzeitige Abfahrt</v>
          </cell>
          <cell r="F191" t="str">
            <v>Fahrplaneinhaltung</v>
          </cell>
        </row>
        <row r="192">
          <cell r="A192" t="str">
            <v>DB Regio AGZug DB RegioVerbindung und ReisezeitAuskunft o. Betriebslage</v>
          </cell>
          <cell r="B192" t="str">
            <v>DB Regio AG</v>
          </cell>
          <cell r="C192" t="str">
            <v>Zug DB Regio</v>
          </cell>
          <cell r="D192" t="str">
            <v>Verbindung und Reisezeit</v>
          </cell>
          <cell r="E192" t="str">
            <v>Auskunft o. Betriebslage</v>
          </cell>
          <cell r="F192" t="str">
            <v>Fahrplaneinhaltung</v>
          </cell>
        </row>
        <row r="193">
          <cell r="A193" t="str">
            <v>DB Regio AGZug DB RegioVerbindung und ReisezeitSEV Qualität</v>
          </cell>
          <cell r="B193" t="str">
            <v>DB Regio AG</v>
          </cell>
          <cell r="C193" t="str">
            <v>Zug DB Regio</v>
          </cell>
          <cell r="D193" t="str">
            <v>Verbindung und Reisezeit</v>
          </cell>
          <cell r="E193" t="str">
            <v>SEV Qualität</v>
          </cell>
          <cell r="F193" t="str">
            <v>Fahrplaneinhaltung</v>
          </cell>
        </row>
        <row r="194">
          <cell r="A194" t="str">
            <v>DB Regio AGZug DB RegioVerbindung und ReisezeitHalt ausgelassen</v>
          </cell>
          <cell r="B194" t="str">
            <v>DB Regio AG</v>
          </cell>
          <cell r="C194" t="str">
            <v>Zug DB Regio</v>
          </cell>
          <cell r="D194" t="str">
            <v>Verbindung und Reisezeit</v>
          </cell>
          <cell r="E194" t="str">
            <v>Halt ausgelassen</v>
          </cell>
          <cell r="F194" t="str">
            <v>Fahrplaneinhaltung</v>
          </cell>
        </row>
        <row r="195">
          <cell r="A195" t="str">
            <v>DB Regio AGZug DB RegioVerbindung und ReisezeitOberleitungsstörung</v>
          </cell>
          <cell r="B195" t="str">
            <v>DB Regio AG</v>
          </cell>
          <cell r="C195" t="str">
            <v>Zug DB Regio</v>
          </cell>
          <cell r="D195" t="str">
            <v>Verbindung und Reisezeit</v>
          </cell>
          <cell r="E195" t="str">
            <v>Oberleitungsstörung</v>
          </cell>
          <cell r="F195" t="str">
            <v>Fahrplaneinhaltung</v>
          </cell>
        </row>
        <row r="196">
          <cell r="A196" t="str">
            <v>DB Regio AGZug DB RegioVerbindung und ReisezeitBaumaßnahme</v>
          </cell>
          <cell r="B196" t="str">
            <v>DB Regio AG</v>
          </cell>
          <cell r="C196" t="str">
            <v>Zug DB Regio</v>
          </cell>
          <cell r="D196" t="str">
            <v>Verbindung und Reisezeit</v>
          </cell>
          <cell r="E196" t="str">
            <v>Baumaßnahme</v>
          </cell>
          <cell r="F196" t="str">
            <v>Fahrplaneinhaltung</v>
          </cell>
        </row>
        <row r="197">
          <cell r="A197" t="str">
            <v>DB Regio AGZug DB RegioKomfort und AusstattungDefekt Sanitäreinrichtung</v>
          </cell>
          <cell r="B197" t="str">
            <v>DB Regio AG</v>
          </cell>
          <cell r="C197" t="str">
            <v>Zug DB Regio</v>
          </cell>
          <cell r="D197" t="str">
            <v>Komfort und Ausstattung</v>
          </cell>
          <cell r="E197" t="str">
            <v>Defekt Sanitäreinrichtung</v>
          </cell>
          <cell r="F197" t="str">
            <v>Fahrzeug</v>
          </cell>
        </row>
        <row r="198">
          <cell r="A198" t="str">
            <v>DB Regio AGZug DB RegioVerbindung und ReisezeitStreik DB</v>
          </cell>
          <cell r="B198" t="str">
            <v>DB Regio AG</v>
          </cell>
          <cell r="C198" t="str">
            <v>Zug DB Regio</v>
          </cell>
          <cell r="D198" t="str">
            <v>Verbindung und Reisezeit</v>
          </cell>
          <cell r="E198" t="str">
            <v>Streik DB</v>
          </cell>
          <cell r="F198" t="str">
            <v>Fahrplaneinhaltung</v>
          </cell>
        </row>
        <row r="199">
          <cell r="A199" t="str">
            <v>DB Regio AGZug DB RegioVerbindung und ReisezeitÜberfüllung</v>
          </cell>
          <cell r="B199" t="str">
            <v>DB Regio AG</v>
          </cell>
          <cell r="C199" t="str">
            <v>Zug DB Regio</v>
          </cell>
          <cell r="D199" t="str">
            <v>Verbindung und Reisezeit</v>
          </cell>
          <cell r="E199" t="str">
            <v>Überfüllung</v>
          </cell>
          <cell r="F199" t="str">
            <v>Fahrplaneinhaltung</v>
          </cell>
        </row>
        <row r="200">
          <cell r="A200" t="str">
            <v>DB Regio AGZug DB RegioVerbindung und ReisezeitStreik Dritte</v>
          </cell>
          <cell r="B200" t="str">
            <v>DB Regio AG</v>
          </cell>
          <cell r="C200" t="str">
            <v>Zug DB Regio</v>
          </cell>
          <cell r="D200" t="str">
            <v>Verbindung und Reisezeit</v>
          </cell>
          <cell r="E200" t="str">
            <v>Streik Dritte</v>
          </cell>
          <cell r="F200" t="str">
            <v>Fahrplaneinhaltung</v>
          </cell>
        </row>
        <row r="201">
          <cell r="A201" t="str">
            <v>DB Regio AGZug DB RegioKiNFahrscheinprüfung</v>
          </cell>
          <cell r="B201" t="str">
            <v>DB Regio AG</v>
          </cell>
          <cell r="C201" t="str">
            <v>Zug DB Regio</v>
          </cell>
          <cell r="D201" t="str">
            <v>KiN</v>
          </cell>
          <cell r="E201" t="str">
            <v>Fahrscheinprüfung</v>
          </cell>
          <cell r="F201" t="str">
            <v>Personal</v>
          </cell>
        </row>
        <row r="202">
          <cell r="A202" t="str">
            <v>DB Regio AGSC FahrgastrechteEinfachheit Kontaktaufnahme</v>
          </cell>
          <cell r="B202" t="str">
            <v>DB Regio AG</v>
          </cell>
          <cell r="C202" t="str">
            <v>SC Fahrgastrechte</v>
          </cell>
          <cell r="D202" t="str">
            <v>Einfachheit Kontaktaufnahme</v>
          </cell>
          <cell r="E202">
            <v>0</v>
          </cell>
          <cell r="F202" t="str">
            <v>Sonstiges</v>
          </cell>
        </row>
        <row r="203">
          <cell r="A203" t="str">
            <v>DB Regio AGSC FahrgastrechteAblehnung</v>
          </cell>
          <cell r="B203" t="str">
            <v>DB Regio AG</v>
          </cell>
          <cell r="C203" t="str">
            <v>SC Fahrgastrechte</v>
          </cell>
          <cell r="D203" t="str">
            <v>Ablehnung</v>
          </cell>
          <cell r="E203">
            <v>0</v>
          </cell>
          <cell r="F203" t="str">
            <v>Sonstiges</v>
          </cell>
        </row>
        <row r="204">
          <cell r="A204" t="str">
            <v>DB Regio AGSC FahrgastrechteAblehnungNicht spezifiziert</v>
          </cell>
          <cell r="B204" t="str">
            <v>DB Regio AG</v>
          </cell>
          <cell r="C204" t="str">
            <v>SC Fahrgastrechte</v>
          </cell>
          <cell r="D204" t="str">
            <v>Ablehnung</v>
          </cell>
          <cell r="E204" t="str">
            <v>Nicht spezifiziert</v>
          </cell>
          <cell r="F204" t="str">
            <v>Sonstiges</v>
          </cell>
        </row>
        <row r="205">
          <cell r="A205" t="str">
            <v>DB Regio AGSC FahrgastrechteFehler bei der AbwicklungSC Fahrgastrechte</v>
          </cell>
          <cell r="B205" t="str">
            <v>DB Regio AG</v>
          </cell>
          <cell r="C205" t="str">
            <v>SC Fahrgastrechte</v>
          </cell>
          <cell r="D205" t="str">
            <v>Fehler bei der Abwicklung</v>
          </cell>
          <cell r="E205" t="str">
            <v>SC Fahrgastrechte</v>
          </cell>
          <cell r="F205" t="str">
            <v>Sonstiges</v>
          </cell>
        </row>
        <row r="206">
          <cell r="A206" t="str">
            <v>DB Regio AGSC FahrgastrechteFehler bei der AbwicklungReisebüro</v>
          </cell>
          <cell r="B206" t="str">
            <v>DB Regio AG</v>
          </cell>
          <cell r="C206" t="str">
            <v>SC Fahrgastrechte</v>
          </cell>
          <cell r="D206" t="str">
            <v>Fehler bei der Abwicklung</v>
          </cell>
          <cell r="E206" t="str">
            <v>Reisebüro</v>
          </cell>
          <cell r="F206" t="str">
            <v>Sonstiges</v>
          </cell>
        </row>
        <row r="207">
          <cell r="A207" t="str">
            <v>DB Regio AGSC FahrgastrechteFehler bei der AbwicklungReiseZentrum</v>
          </cell>
          <cell r="B207" t="str">
            <v>DB Regio AG</v>
          </cell>
          <cell r="C207" t="str">
            <v>SC Fahrgastrechte</v>
          </cell>
          <cell r="D207" t="str">
            <v>Fehler bei der Abwicklung</v>
          </cell>
          <cell r="E207" t="str">
            <v>ReiseZentrum</v>
          </cell>
          <cell r="F207" t="str">
            <v>Sonstiges</v>
          </cell>
        </row>
        <row r="208">
          <cell r="A208" t="str">
            <v>DB Regio AGSC FahrgastrechteFehler bei der AbwicklungDB Information</v>
          </cell>
          <cell r="B208" t="str">
            <v>DB Regio AG</v>
          </cell>
          <cell r="C208" t="str">
            <v>SC Fahrgastrechte</v>
          </cell>
          <cell r="D208" t="str">
            <v>Fehler bei der Abwicklung</v>
          </cell>
          <cell r="E208" t="str">
            <v>DB Information</v>
          </cell>
          <cell r="F208" t="str">
            <v>Sonstiges</v>
          </cell>
        </row>
        <row r="209">
          <cell r="A209" t="str">
            <v>DB Regio AGSC FahrgastrechteFehler bei der AbwicklungZub</v>
          </cell>
          <cell r="B209" t="str">
            <v>DB Regio AG</v>
          </cell>
          <cell r="C209" t="str">
            <v>SC Fahrgastrechte</v>
          </cell>
          <cell r="D209" t="str">
            <v>Fehler bei der Abwicklung</v>
          </cell>
          <cell r="E209" t="str">
            <v>Zub</v>
          </cell>
          <cell r="F209" t="str">
            <v>Sonstiges</v>
          </cell>
        </row>
        <row r="210">
          <cell r="A210" t="str">
            <v>DB Regio AGSC FahrgastrechteFehler bei der AbwicklungKiN</v>
          </cell>
          <cell r="B210" t="str">
            <v>DB Regio AG</v>
          </cell>
          <cell r="C210" t="str">
            <v>SC Fahrgastrechte</v>
          </cell>
          <cell r="D210" t="str">
            <v>Fehler bei der Abwicklung</v>
          </cell>
          <cell r="E210" t="str">
            <v>KiN</v>
          </cell>
          <cell r="F210" t="str">
            <v>Sonstiges</v>
          </cell>
        </row>
        <row r="211">
          <cell r="A211" t="str">
            <v>DB Regio AGSC FahrgastrechteRegelungen allgemein</v>
          </cell>
          <cell r="B211" t="str">
            <v>DB Regio AG</v>
          </cell>
          <cell r="C211" t="str">
            <v>SC Fahrgastrechte</v>
          </cell>
          <cell r="D211" t="str">
            <v>Regelungen allgemein</v>
          </cell>
          <cell r="E211">
            <v>0</v>
          </cell>
          <cell r="F211" t="str">
            <v>Sonstiges</v>
          </cell>
        </row>
        <row r="212">
          <cell r="A212" t="str">
            <v>DB Regio AGSC Fahrgastrechtefachliche Kompetenz</v>
          </cell>
          <cell r="B212" t="str">
            <v>DB Regio AG</v>
          </cell>
          <cell r="C212" t="str">
            <v>SC Fahrgastrechte</v>
          </cell>
          <cell r="D212" t="str">
            <v>fachliche Kompetenz</v>
          </cell>
          <cell r="E212">
            <v>0</v>
          </cell>
          <cell r="F212" t="str">
            <v>Sonstiges</v>
          </cell>
        </row>
        <row r="213">
          <cell r="A213" t="str">
            <v>DB Regio AGSC FahrgastrechteFreundlichkeit</v>
          </cell>
          <cell r="B213" t="str">
            <v>DB Regio AG</v>
          </cell>
          <cell r="C213" t="str">
            <v>SC Fahrgastrechte</v>
          </cell>
          <cell r="D213" t="str">
            <v>Freundlichkeit</v>
          </cell>
          <cell r="E213">
            <v>0</v>
          </cell>
          <cell r="F213" t="str">
            <v>Sonstiges</v>
          </cell>
        </row>
        <row r="214">
          <cell r="A214" t="str">
            <v>DB Regio AGSC FahrgastrechteBeratungsqualität</v>
          </cell>
          <cell r="B214" t="str">
            <v>DB Regio AG</v>
          </cell>
          <cell r="C214" t="str">
            <v>SC Fahrgastrechte</v>
          </cell>
          <cell r="D214" t="str">
            <v>Beratungsqualität</v>
          </cell>
          <cell r="E214">
            <v>0</v>
          </cell>
          <cell r="F214" t="str">
            <v>Fahrgastinformation</v>
          </cell>
        </row>
        <row r="215">
          <cell r="A215" t="str">
            <v>DB Regio AGSC FahrgastrechteDauer der Bearbeitung</v>
          </cell>
          <cell r="B215" t="str">
            <v>DB Regio AG</v>
          </cell>
          <cell r="C215" t="str">
            <v>SC Fahrgastrechte</v>
          </cell>
          <cell r="D215" t="str">
            <v>Dauer der Bearbeitung</v>
          </cell>
          <cell r="E215">
            <v>0</v>
          </cell>
          <cell r="F215" t="str">
            <v>Sonstiges</v>
          </cell>
        </row>
        <row r="216">
          <cell r="A216" t="str">
            <v>DB Regio AGSC FahrgastrechteWartezeit Telefon</v>
          </cell>
          <cell r="B216" t="str">
            <v>DB Regio AG</v>
          </cell>
          <cell r="C216" t="str">
            <v>SC Fahrgastrechte</v>
          </cell>
          <cell r="D216" t="str">
            <v>Wartezeit Telefon</v>
          </cell>
          <cell r="E216">
            <v>0</v>
          </cell>
          <cell r="F216" t="str">
            <v>Sonstiges</v>
          </cell>
        </row>
        <row r="217">
          <cell r="A217" t="str">
            <v>DB Regio AGKundendialogEinfachheit Kontaktaufnahme</v>
          </cell>
          <cell r="B217" t="str">
            <v>DB Regio AG</v>
          </cell>
          <cell r="C217" t="str">
            <v>Kundendialog</v>
          </cell>
          <cell r="D217" t="str">
            <v>Einfachheit Kontaktaufnahme</v>
          </cell>
          <cell r="E217">
            <v>0</v>
          </cell>
          <cell r="F217" t="str">
            <v>Sonstiges</v>
          </cell>
        </row>
        <row r="218">
          <cell r="A218" t="str">
            <v>DB Regio AGKundendialogWartezeit Telefon</v>
          </cell>
          <cell r="B218" t="str">
            <v>DB Regio AG</v>
          </cell>
          <cell r="C218" t="str">
            <v>Kundendialog</v>
          </cell>
          <cell r="D218" t="str">
            <v>Wartezeit Telefon</v>
          </cell>
          <cell r="E218">
            <v>0</v>
          </cell>
          <cell r="F218" t="str">
            <v>Sonstiges</v>
          </cell>
        </row>
        <row r="219">
          <cell r="A219" t="str">
            <v>DB Regio AGKundendialogDauer der Bearbeitung</v>
          </cell>
          <cell r="B219" t="str">
            <v>DB Regio AG</v>
          </cell>
          <cell r="C219" t="str">
            <v>Kundendialog</v>
          </cell>
          <cell r="D219" t="str">
            <v>Dauer der Bearbeitung</v>
          </cell>
          <cell r="E219">
            <v>0</v>
          </cell>
          <cell r="F219" t="str">
            <v>Sonstiges</v>
          </cell>
        </row>
        <row r="220">
          <cell r="A220" t="str">
            <v>DB Regio AGKundendialogBearbeitung- und ReaktionInteresse am Anliegen/TB</v>
          </cell>
          <cell r="B220" t="str">
            <v>DB Regio AG</v>
          </cell>
          <cell r="C220" t="str">
            <v>Kundendialog</v>
          </cell>
          <cell r="D220" t="str">
            <v>Bearbeitung- und Reaktion</v>
          </cell>
          <cell r="E220" t="str">
            <v>Interesse am Anliegen/TB</v>
          </cell>
          <cell r="F220" t="str">
            <v>Sonstiges</v>
          </cell>
        </row>
        <row r="221">
          <cell r="A221" t="str">
            <v>DB Regio AGKundendialogBearbeitung- und ReaktionVerständnis für Anliegen</v>
          </cell>
          <cell r="B221" t="str">
            <v>DB Regio AG</v>
          </cell>
          <cell r="C221" t="str">
            <v>Kundendialog</v>
          </cell>
          <cell r="D221" t="str">
            <v>Bearbeitung- und Reaktion</v>
          </cell>
          <cell r="E221" t="str">
            <v>Verständnis für Anliegen</v>
          </cell>
          <cell r="F221" t="str">
            <v>Sonstiges</v>
          </cell>
        </row>
        <row r="222">
          <cell r="A222" t="str">
            <v>DB Regio AGKundendialogBearbeitung- und ReaktionAnsprache aller Themen</v>
          </cell>
          <cell r="B222" t="str">
            <v>DB Regio AG</v>
          </cell>
          <cell r="C222" t="str">
            <v>Kundendialog</v>
          </cell>
          <cell r="D222" t="str">
            <v>Bearbeitung- und Reaktion</v>
          </cell>
          <cell r="E222" t="str">
            <v>Ansprache aller Themen</v>
          </cell>
          <cell r="F222" t="str">
            <v>Sonstiges</v>
          </cell>
        </row>
        <row r="223">
          <cell r="A223" t="str">
            <v>DB Regio AGKundendialogBearbeitung- und ReaktionKompensation/Ablehnung</v>
          </cell>
          <cell r="B223" t="str">
            <v>DB Regio AG</v>
          </cell>
          <cell r="C223" t="str">
            <v>Kundendialog</v>
          </cell>
          <cell r="D223" t="str">
            <v>Bearbeitung- und Reaktion</v>
          </cell>
          <cell r="E223" t="str">
            <v>Kompensation/Ablehnung</v>
          </cell>
          <cell r="F223" t="str">
            <v>Sonstiges</v>
          </cell>
        </row>
        <row r="224">
          <cell r="A224" t="str">
            <v>DB Regio AGKundendialogfachliche Kompetenz</v>
          </cell>
          <cell r="B224" t="str">
            <v>DB Regio AG</v>
          </cell>
          <cell r="C224" t="str">
            <v>Kundendialog</v>
          </cell>
          <cell r="D224" t="str">
            <v>fachliche Kompetenz</v>
          </cell>
          <cell r="E224">
            <v>0</v>
          </cell>
          <cell r="F224" t="str">
            <v>Sonstiges</v>
          </cell>
        </row>
        <row r="225">
          <cell r="A225" t="str">
            <v>DB Regio AGKundendialogFreundlichkeit</v>
          </cell>
          <cell r="B225" t="str">
            <v>DB Regio AG</v>
          </cell>
          <cell r="C225" t="str">
            <v>Kundendialog</v>
          </cell>
          <cell r="D225" t="str">
            <v>Freundlichkeit</v>
          </cell>
          <cell r="E225">
            <v>0</v>
          </cell>
          <cell r="F225" t="str">
            <v>Sonstiges</v>
          </cell>
        </row>
        <row r="226">
          <cell r="A226" t="str">
            <v>DB Regio AGKundendialogBeratungsqualität</v>
          </cell>
          <cell r="B226" t="str">
            <v>DB Regio AG</v>
          </cell>
          <cell r="C226" t="str">
            <v>Kundendialog</v>
          </cell>
          <cell r="D226" t="str">
            <v>Beratungsqualität</v>
          </cell>
          <cell r="E226">
            <v>0</v>
          </cell>
          <cell r="F226" t="str">
            <v>Fahrgastinformation</v>
          </cell>
        </row>
        <row r="227">
          <cell r="A227" t="str">
            <v>DB Regio AGZentraler KundendialogEinfachheit Kontaktaufnahme</v>
          </cell>
          <cell r="B227" t="str">
            <v>DB Regio AG</v>
          </cell>
          <cell r="C227" t="str">
            <v>Zentraler Kundendialog</v>
          </cell>
          <cell r="D227" t="str">
            <v>Einfachheit Kontaktaufnahme</v>
          </cell>
          <cell r="E227">
            <v>0</v>
          </cell>
          <cell r="F227" t="str">
            <v>Sonstiges</v>
          </cell>
        </row>
        <row r="228">
          <cell r="A228" t="str">
            <v>DB Regio AGZentraler KundendialogWartezeit Telefon</v>
          </cell>
          <cell r="B228" t="str">
            <v>DB Regio AG</v>
          </cell>
          <cell r="C228" t="str">
            <v>Zentraler Kundendialog</v>
          </cell>
          <cell r="D228" t="str">
            <v>Wartezeit Telefon</v>
          </cell>
          <cell r="E228">
            <v>0</v>
          </cell>
          <cell r="F228" t="str">
            <v>Sonstiges</v>
          </cell>
        </row>
        <row r="229">
          <cell r="A229" t="str">
            <v>DB Regio AGZentraler KundendialogDauer der Bearbeitung</v>
          </cell>
          <cell r="B229" t="str">
            <v>DB Regio AG</v>
          </cell>
          <cell r="C229" t="str">
            <v>Zentraler Kundendialog</v>
          </cell>
          <cell r="D229" t="str">
            <v>Dauer der Bearbeitung</v>
          </cell>
          <cell r="E229">
            <v>0</v>
          </cell>
          <cell r="F229" t="str">
            <v>Sonstiges</v>
          </cell>
        </row>
        <row r="230">
          <cell r="A230" t="str">
            <v>DB Regio AGZentraler KundendialogBearbeitung- und ReaktionInteresse am Anliegen/TB</v>
          </cell>
          <cell r="B230" t="str">
            <v>DB Regio AG</v>
          </cell>
          <cell r="C230" t="str">
            <v>Zentraler Kundendialog</v>
          </cell>
          <cell r="D230" t="str">
            <v>Bearbeitung- und Reaktion</v>
          </cell>
          <cell r="E230" t="str">
            <v>Interesse am Anliegen/TB</v>
          </cell>
          <cell r="F230" t="str">
            <v>Sonstiges</v>
          </cell>
        </row>
        <row r="231">
          <cell r="A231" t="str">
            <v>DB Regio AGZentraler KundendialogBearbeitung- und ReaktionVerständnis für Anliegen</v>
          </cell>
          <cell r="B231" t="str">
            <v>DB Regio AG</v>
          </cell>
          <cell r="C231" t="str">
            <v>Zentraler Kundendialog</v>
          </cell>
          <cell r="D231" t="str">
            <v>Bearbeitung- und Reaktion</v>
          </cell>
          <cell r="E231" t="str">
            <v>Verständnis für Anliegen</v>
          </cell>
          <cell r="F231" t="str">
            <v>Sonstiges</v>
          </cell>
        </row>
        <row r="232">
          <cell r="A232" t="str">
            <v>DB Regio AGZentraler KundendialogBearbeitung- und ReaktionAnsprache aller Themen</v>
          </cell>
          <cell r="B232" t="str">
            <v>DB Regio AG</v>
          </cell>
          <cell r="C232" t="str">
            <v>Zentraler Kundendialog</v>
          </cell>
          <cell r="D232" t="str">
            <v>Bearbeitung- und Reaktion</v>
          </cell>
          <cell r="E232" t="str">
            <v>Ansprache aller Themen</v>
          </cell>
          <cell r="F232" t="str">
            <v>Sonstiges</v>
          </cell>
        </row>
        <row r="233">
          <cell r="A233" t="str">
            <v>DB Regio AGZentraler KundendialogBearbeitung- und ReaktionKompensation/Ablehnung</v>
          </cell>
          <cell r="B233" t="str">
            <v>DB Regio AG</v>
          </cell>
          <cell r="C233" t="str">
            <v>Zentraler Kundendialog</v>
          </cell>
          <cell r="D233" t="str">
            <v>Bearbeitung- und Reaktion</v>
          </cell>
          <cell r="E233" t="str">
            <v>Kompensation/Ablehnung</v>
          </cell>
          <cell r="F233" t="str">
            <v>Sonstiges</v>
          </cell>
        </row>
        <row r="234">
          <cell r="A234" t="str">
            <v>DB Regio AGZentraler Kundendialogfachliche Kompetenz</v>
          </cell>
          <cell r="B234" t="str">
            <v>DB Regio AG</v>
          </cell>
          <cell r="C234" t="str">
            <v>Zentraler Kundendialog</v>
          </cell>
          <cell r="D234" t="str">
            <v>fachliche Kompetenz</v>
          </cell>
          <cell r="E234">
            <v>0</v>
          </cell>
          <cell r="F234" t="str">
            <v>Sonstiges</v>
          </cell>
        </row>
        <row r="235">
          <cell r="A235" t="str">
            <v>DB Regio AGZentraler KundendialogFreundlichkeit</v>
          </cell>
          <cell r="B235" t="str">
            <v>DB Regio AG</v>
          </cell>
          <cell r="C235" t="str">
            <v>Zentraler Kundendialog</v>
          </cell>
          <cell r="D235" t="str">
            <v>Freundlichkeit</v>
          </cell>
          <cell r="E235">
            <v>0</v>
          </cell>
          <cell r="F235" t="str">
            <v>Sonstiges</v>
          </cell>
        </row>
        <row r="236">
          <cell r="A236" t="str">
            <v>DB Regio AGZentraler KundendialogBeratungsqualität</v>
          </cell>
          <cell r="B236" t="str">
            <v>DB Regio AG</v>
          </cell>
          <cell r="C236" t="str">
            <v>Zentraler Kundendialog</v>
          </cell>
          <cell r="D236" t="str">
            <v>Beratungsqualität</v>
          </cell>
          <cell r="E236">
            <v>0</v>
          </cell>
          <cell r="F236" t="str">
            <v>Fahrgastinformation</v>
          </cell>
        </row>
        <row r="237">
          <cell r="A237" t="str">
            <v>DB Regio AGKundendialog DB RegioEinfachheit Kontaktaufnahme</v>
          </cell>
          <cell r="B237" t="str">
            <v>DB Regio AG</v>
          </cell>
          <cell r="C237" t="str">
            <v>Kundendialog DB Regio</v>
          </cell>
          <cell r="D237" t="str">
            <v>Einfachheit Kontaktaufnahme</v>
          </cell>
          <cell r="E237">
            <v>0</v>
          </cell>
          <cell r="F237" t="str">
            <v>Sonstiges</v>
          </cell>
        </row>
        <row r="238">
          <cell r="A238" t="str">
            <v xml:space="preserve">DB Regio AGKundendialog DB RegioWartezeit  </v>
          </cell>
          <cell r="B238" t="str">
            <v>DB Regio AG</v>
          </cell>
          <cell r="C238" t="str">
            <v>Kundendialog DB Regio</v>
          </cell>
          <cell r="D238" t="str">
            <v xml:space="preserve">Wartezeit  </v>
          </cell>
          <cell r="E238">
            <v>0</v>
          </cell>
          <cell r="F238" t="str">
            <v>Sonstiges</v>
          </cell>
        </row>
        <row r="239">
          <cell r="A239" t="str">
            <v>DB Regio AGKundendialog DB RegioDauer der Bearbeitung</v>
          </cell>
          <cell r="B239" t="str">
            <v>DB Regio AG</v>
          </cell>
          <cell r="C239" t="str">
            <v>Kundendialog DB Regio</v>
          </cell>
          <cell r="D239" t="str">
            <v>Dauer der Bearbeitung</v>
          </cell>
          <cell r="E239">
            <v>0</v>
          </cell>
          <cell r="F239" t="str">
            <v>Sonstiges</v>
          </cell>
        </row>
        <row r="240">
          <cell r="A240" t="str">
            <v>DB Regio AGKundendialog DB RegioFreundlichkeit</v>
          </cell>
          <cell r="B240" t="str">
            <v>DB Regio AG</v>
          </cell>
          <cell r="C240" t="str">
            <v>Kundendialog DB Regio</v>
          </cell>
          <cell r="D240" t="str">
            <v>Freundlichkeit</v>
          </cell>
          <cell r="E240">
            <v>0</v>
          </cell>
          <cell r="F240" t="str">
            <v>Sonstiges</v>
          </cell>
        </row>
        <row r="241">
          <cell r="A241" t="str">
            <v>DB Regio AGKundendialog DB RegioBearbeitung- und ReaktionInteresse am Anliegen/TB</v>
          </cell>
          <cell r="B241" t="str">
            <v>DB Regio AG</v>
          </cell>
          <cell r="C241" t="str">
            <v>Kundendialog DB Regio</v>
          </cell>
          <cell r="D241" t="str">
            <v>Bearbeitung- und Reaktion</v>
          </cell>
          <cell r="E241" t="str">
            <v>Interesse am Anliegen/TB</v>
          </cell>
          <cell r="F241" t="str">
            <v>Sonstiges</v>
          </cell>
        </row>
        <row r="242">
          <cell r="A242" t="str">
            <v>DB Regio AGKundendialog DB RegioBearbeitung- und ReaktionVerständnis für Anliegen</v>
          </cell>
          <cell r="B242" t="str">
            <v>DB Regio AG</v>
          </cell>
          <cell r="C242" t="str">
            <v>Kundendialog DB Regio</v>
          </cell>
          <cell r="D242" t="str">
            <v>Bearbeitung- und Reaktion</v>
          </cell>
          <cell r="E242" t="str">
            <v>Verständnis für Anliegen</v>
          </cell>
          <cell r="F242" t="str">
            <v>Sonstiges</v>
          </cell>
        </row>
        <row r="243">
          <cell r="A243" t="str">
            <v>DB Regio AGKundendialog DB RegioBearbeitung- und ReaktionAnsprache aller Themen</v>
          </cell>
          <cell r="B243" t="str">
            <v>DB Regio AG</v>
          </cell>
          <cell r="C243" t="str">
            <v>Kundendialog DB Regio</v>
          </cell>
          <cell r="D243" t="str">
            <v>Bearbeitung- und Reaktion</v>
          </cell>
          <cell r="E243" t="str">
            <v>Ansprache aller Themen</v>
          </cell>
          <cell r="F243" t="str">
            <v>Sonstiges</v>
          </cell>
        </row>
        <row r="244">
          <cell r="A244" t="str">
            <v>DB Regio AGKundendialog DB RegioBearbeitung- und ReaktionKompensation/Ablehnung</v>
          </cell>
          <cell r="B244" t="str">
            <v>DB Regio AG</v>
          </cell>
          <cell r="C244" t="str">
            <v>Kundendialog DB Regio</v>
          </cell>
          <cell r="D244" t="str">
            <v>Bearbeitung- und Reaktion</v>
          </cell>
          <cell r="E244" t="str">
            <v>Kompensation/Ablehnung</v>
          </cell>
          <cell r="F244" t="str">
            <v>Sonstiges</v>
          </cell>
        </row>
        <row r="245">
          <cell r="A245" t="str">
            <v>DB Regio AGKundendialog DB RegioBearbeitung- und ReaktionBescheinigung</v>
          </cell>
          <cell r="B245" t="str">
            <v>DB Regio AG</v>
          </cell>
          <cell r="C245" t="str">
            <v>Kundendialog DB Regio</v>
          </cell>
          <cell r="D245" t="str">
            <v>Bearbeitung- und Reaktion</v>
          </cell>
          <cell r="E245" t="str">
            <v>Bescheinigung</v>
          </cell>
          <cell r="F245" t="str">
            <v>Sonstiges</v>
          </cell>
        </row>
        <row r="246">
          <cell r="A246" t="str">
            <v>DB Regio AGKundendialog DB RegioBearbeitung- und ReaktionWeiterleitung/Vermittlung</v>
          </cell>
          <cell r="B246" t="str">
            <v>DB Regio AG</v>
          </cell>
          <cell r="C246" t="str">
            <v>Kundendialog DB Regio</v>
          </cell>
          <cell r="D246" t="str">
            <v>Bearbeitung- und Reaktion</v>
          </cell>
          <cell r="E246" t="str">
            <v>Weiterleitung/Vermittlung</v>
          </cell>
          <cell r="F246" t="str">
            <v>Sonstiges</v>
          </cell>
        </row>
        <row r="247">
          <cell r="A247" t="str">
            <v>DB Regio AGKundendialog DB RegioBearbeitung- und ReaktionFundsachen</v>
          </cell>
          <cell r="B247" t="str">
            <v>DB Regio AG</v>
          </cell>
          <cell r="C247" t="str">
            <v>Kundendialog DB Regio</v>
          </cell>
          <cell r="D247" t="str">
            <v>Bearbeitung- und Reaktion</v>
          </cell>
          <cell r="E247" t="str">
            <v>Fundsachen</v>
          </cell>
          <cell r="F247" t="str">
            <v>Sonstiges</v>
          </cell>
        </row>
        <row r="248">
          <cell r="A248" t="str">
            <v>DB Regio AGKundendialog DB RegioBearbeitung- und ReaktionKlasse unterwegs</v>
          </cell>
          <cell r="B248" t="str">
            <v>DB Regio AG</v>
          </cell>
          <cell r="C248" t="str">
            <v>Kundendialog DB Regio</v>
          </cell>
          <cell r="D248" t="str">
            <v>Bearbeitung- und Reaktion</v>
          </cell>
          <cell r="E248" t="str">
            <v>Klasse unterwegs</v>
          </cell>
          <cell r="F248" t="str">
            <v>Sonstiges</v>
          </cell>
        </row>
        <row r="249">
          <cell r="A249" t="str">
            <v>DB Regio AGKundendialog DB RegioKosten</v>
          </cell>
          <cell r="B249" t="str">
            <v>DB Regio AG</v>
          </cell>
          <cell r="C249" t="str">
            <v>Kundendialog DB Regio</v>
          </cell>
          <cell r="D249" t="str">
            <v>Kosten</v>
          </cell>
          <cell r="E249">
            <v>0</v>
          </cell>
          <cell r="F249" t="str">
            <v>Sonstiges</v>
          </cell>
        </row>
        <row r="250">
          <cell r="A250" t="str">
            <v>DB Regio AGFahrpreisnacherhebungEinfachheit Kontaktaufnahme</v>
          </cell>
          <cell r="B250" t="str">
            <v>DB Regio AG</v>
          </cell>
          <cell r="C250" t="str">
            <v>Fahrpreisnacherhebung</v>
          </cell>
          <cell r="D250" t="str">
            <v>Einfachheit Kontaktaufnahme</v>
          </cell>
          <cell r="E250">
            <v>0</v>
          </cell>
          <cell r="F250" t="str">
            <v>Sonstiges</v>
          </cell>
        </row>
        <row r="251">
          <cell r="A251" t="str">
            <v>DB Regio AGFahrpreisnacherhebungWartezeit Telefon</v>
          </cell>
          <cell r="B251" t="str">
            <v>DB Regio AG</v>
          </cell>
          <cell r="C251" t="str">
            <v>Fahrpreisnacherhebung</v>
          </cell>
          <cell r="D251" t="str">
            <v>Wartezeit Telefon</v>
          </cell>
          <cell r="E251">
            <v>0</v>
          </cell>
          <cell r="F251" t="str">
            <v>Sonstiges</v>
          </cell>
        </row>
        <row r="252">
          <cell r="A252" t="str">
            <v>DB Regio AGFahrpreisnacherhebungDauer der Bearbeitung</v>
          </cell>
          <cell r="B252" t="str">
            <v>DB Regio AG</v>
          </cell>
          <cell r="C252" t="str">
            <v>Fahrpreisnacherhebung</v>
          </cell>
          <cell r="D252" t="str">
            <v>Dauer der Bearbeitung</v>
          </cell>
          <cell r="E252">
            <v>0</v>
          </cell>
          <cell r="F252" t="str">
            <v>Sonstiges</v>
          </cell>
        </row>
        <row r="253">
          <cell r="A253" t="str">
            <v>DB Regio AGFahrpreisnacherhebungBearbeitung- und Reaktion</v>
          </cell>
          <cell r="B253" t="str">
            <v>DB Regio AG</v>
          </cell>
          <cell r="C253" t="str">
            <v>Fahrpreisnacherhebung</v>
          </cell>
          <cell r="D253" t="str">
            <v>Bearbeitung- und Reaktion</v>
          </cell>
          <cell r="E253">
            <v>0</v>
          </cell>
          <cell r="F253" t="str">
            <v>Sonstiges</v>
          </cell>
        </row>
        <row r="254">
          <cell r="A254" t="str">
            <v>DB Regio AGFahrpreisnacherhebungfachliche Kompetenz</v>
          </cell>
          <cell r="B254" t="str">
            <v>DB Regio AG</v>
          </cell>
          <cell r="C254" t="str">
            <v>Fahrpreisnacherhebung</v>
          </cell>
          <cell r="D254" t="str">
            <v>fachliche Kompetenz</v>
          </cell>
          <cell r="E254">
            <v>0</v>
          </cell>
          <cell r="F254" t="str">
            <v>Sonstiges</v>
          </cell>
        </row>
        <row r="255">
          <cell r="A255" t="str">
            <v>DB Regio AGFahrpreisnacherhebungFreundlichkeit</v>
          </cell>
          <cell r="B255" t="str">
            <v>DB Regio AG</v>
          </cell>
          <cell r="C255" t="str">
            <v>Fahrpreisnacherhebung</v>
          </cell>
          <cell r="D255" t="str">
            <v>Freundlichkeit</v>
          </cell>
          <cell r="E255">
            <v>0</v>
          </cell>
          <cell r="F255" t="str">
            <v>Sonstiges</v>
          </cell>
        </row>
        <row r="256">
          <cell r="A256" t="str">
            <v>DB Regio AGFahrpreisnacherhebungBeratungsqualität</v>
          </cell>
          <cell r="B256" t="str">
            <v>DB Regio AG</v>
          </cell>
          <cell r="C256" t="str">
            <v>Fahrpreisnacherhebung</v>
          </cell>
          <cell r="D256" t="str">
            <v>Beratungsqualität</v>
          </cell>
          <cell r="E256">
            <v>0</v>
          </cell>
          <cell r="F256" t="str">
            <v>Fahrgastinformation</v>
          </cell>
        </row>
        <row r="257">
          <cell r="A257" t="str">
            <v>DB Regio AGFahrpreisnacherhebungKosten</v>
          </cell>
          <cell r="B257" t="str">
            <v>DB Regio AG</v>
          </cell>
          <cell r="C257" t="str">
            <v>Fahrpreisnacherhebung</v>
          </cell>
          <cell r="D257" t="str">
            <v>Kosten</v>
          </cell>
          <cell r="E257">
            <v>0</v>
          </cell>
          <cell r="F257" t="str">
            <v>Sonstiges</v>
          </cell>
        </row>
        <row r="258">
          <cell r="A258" t="str">
            <v>DB Regio AGAbocenterEinfachheit Kontaktaufnahme</v>
          </cell>
          <cell r="B258" t="str">
            <v>DB Regio AG</v>
          </cell>
          <cell r="C258" t="str">
            <v>Abocenter</v>
          </cell>
          <cell r="D258" t="str">
            <v>Einfachheit Kontaktaufnahme</v>
          </cell>
          <cell r="E258">
            <v>0</v>
          </cell>
          <cell r="F258" t="str">
            <v>Sonstiges</v>
          </cell>
        </row>
        <row r="259">
          <cell r="A259" t="str">
            <v>DB Regio AGAbocenterWartezeit Telefon</v>
          </cell>
          <cell r="B259" t="str">
            <v>DB Regio AG</v>
          </cell>
          <cell r="C259" t="str">
            <v>Abocenter</v>
          </cell>
          <cell r="D259" t="str">
            <v>Wartezeit Telefon</v>
          </cell>
          <cell r="E259">
            <v>0</v>
          </cell>
          <cell r="F259" t="str">
            <v>Sonstiges</v>
          </cell>
        </row>
        <row r="260">
          <cell r="A260" t="str">
            <v>DB Regio AGAbocenterDauer der Bearbeitung</v>
          </cell>
          <cell r="B260" t="str">
            <v>DB Regio AG</v>
          </cell>
          <cell r="C260" t="str">
            <v>Abocenter</v>
          </cell>
          <cell r="D260" t="str">
            <v>Dauer der Bearbeitung</v>
          </cell>
          <cell r="E260">
            <v>0</v>
          </cell>
          <cell r="F260" t="str">
            <v>Sonstiges</v>
          </cell>
        </row>
        <row r="261">
          <cell r="A261" t="str">
            <v>DB Regio AGAbocenterBearbeitung- und Reaktion</v>
          </cell>
          <cell r="B261" t="str">
            <v>DB Regio AG</v>
          </cell>
          <cell r="C261" t="str">
            <v>Abocenter</v>
          </cell>
          <cell r="D261" t="str">
            <v>Bearbeitung- und Reaktion</v>
          </cell>
          <cell r="E261">
            <v>0</v>
          </cell>
          <cell r="F261" t="str">
            <v>Sonstiges</v>
          </cell>
        </row>
        <row r="262">
          <cell r="A262" t="str">
            <v>DB Regio AGAbocenterfachliche Kompetenz</v>
          </cell>
          <cell r="B262" t="str">
            <v>DB Regio AG</v>
          </cell>
          <cell r="C262" t="str">
            <v>Abocenter</v>
          </cell>
          <cell r="D262" t="str">
            <v>fachliche Kompetenz</v>
          </cell>
          <cell r="E262">
            <v>0</v>
          </cell>
          <cell r="F262" t="str">
            <v>Sonstiges</v>
          </cell>
        </row>
        <row r="263">
          <cell r="A263" t="str">
            <v>DB Regio AGAbocenterFreundlichkeit</v>
          </cell>
          <cell r="B263" t="str">
            <v>DB Regio AG</v>
          </cell>
          <cell r="C263" t="str">
            <v>Abocenter</v>
          </cell>
          <cell r="D263" t="str">
            <v>Freundlichkeit</v>
          </cell>
          <cell r="E263">
            <v>0</v>
          </cell>
          <cell r="F263" t="str">
            <v>Sonstiges</v>
          </cell>
        </row>
        <row r="264">
          <cell r="A264" t="str">
            <v>DB Regio AGAbocenterBeratungsqualität</v>
          </cell>
          <cell r="B264" t="str">
            <v>DB Regio AG</v>
          </cell>
          <cell r="C264" t="str">
            <v>Abocenter</v>
          </cell>
          <cell r="D264" t="str">
            <v>Beratungsqualität</v>
          </cell>
          <cell r="E264">
            <v>0</v>
          </cell>
          <cell r="F264" t="str">
            <v>Fahrgastinformation</v>
          </cell>
        </row>
        <row r="265">
          <cell r="A265" t="str">
            <v>DB Regio AGAbocenterKosten</v>
          </cell>
          <cell r="B265" t="str">
            <v>DB Regio AG</v>
          </cell>
          <cell r="C265" t="str">
            <v>Abocenter</v>
          </cell>
          <cell r="D265" t="str">
            <v>Kosten</v>
          </cell>
          <cell r="E265">
            <v>0</v>
          </cell>
          <cell r="F265" t="str">
            <v>Sonstiges</v>
          </cell>
        </row>
        <row r="266">
          <cell r="A266" t="str">
            <v>DB Regio AGOnlineserviceEinfachheit Kontaktaufnahme</v>
          </cell>
          <cell r="B266" t="str">
            <v>DB Regio AG</v>
          </cell>
          <cell r="C266" t="str">
            <v>Onlineservice</v>
          </cell>
          <cell r="D266" t="str">
            <v>Einfachheit Kontaktaufnahme</v>
          </cell>
          <cell r="E266">
            <v>0</v>
          </cell>
          <cell r="F266" t="str">
            <v>Sonstiges</v>
          </cell>
        </row>
        <row r="267">
          <cell r="A267" t="str">
            <v>DB Regio AGOnlineserviceWartezeit Telefon</v>
          </cell>
          <cell r="B267" t="str">
            <v>DB Regio AG</v>
          </cell>
          <cell r="C267" t="str">
            <v>Onlineservice</v>
          </cell>
          <cell r="D267" t="str">
            <v>Wartezeit Telefon</v>
          </cell>
          <cell r="E267">
            <v>0</v>
          </cell>
          <cell r="F267" t="str">
            <v>Sonstiges</v>
          </cell>
        </row>
        <row r="268">
          <cell r="A268" t="str">
            <v>DB Regio AGOnlineserviceDauer der Bearbeitung</v>
          </cell>
          <cell r="B268" t="str">
            <v>DB Regio AG</v>
          </cell>
          <cell r="C268" t="str">
            <v>Onlineservice</v>
          </cell>
          <cell r="D268" t="str">
            <v>Dauer der Bearbeitung</v>
          </cell>
          <cell r="E268">
            <v>0</v>
          </cell>
          <cell r="F268" t="str">
            <v>Sonstiges</v>
          </cell>
        </row>
        <row r="269">
          <cell r="A269" t="str">
            <v>DB Regio AGOnlineserviceBearbeitung- und Reaktion</v>
          </cell>
          <cell r="B269" t="str">
            <v>DB Regio AG</v>
          </cell>
          <cell r="C269" t="str">
            <v>Onlineservice</v>
          </cell>
          <cell r="D269" t="str">
            <v>Bearbeitung- und Reaktion</v>
          </cell>
          <cell r="E269">
            <v>0</v>
          </cell>
          <cell r="F269" t="str">
            <v>Sonstiges</v>
          </cell>
        </row>
        <row r="270">
          <cell r="A270" t="str">
            <v>DB Regio AGOnlineservicefachliche Kompetenz</v>
          </cell>
          <cell r="B270" t="str">
            <v>DB Regio AG</v>
          </cell>
          <cell r="C270" t="str">
            <v>Onlineservice</v>
          </cell>
          <cell r="D270" t="str">
            <v>fachliche Kompetenz</v>
          </cell>
          <cell r="E270">
            <v>0</v>
          </cell>
          <cell r="F270" t="str">
            <v>Sonstiges</v>
          </cell>
        </row>
        <row r="271">
          <cell r="A271" t="str">
            <v>DB Regio AGOnlineserviceFreundlichkeit</v>
          </cell>
          <cell r="B271" t="str">
            <v>DB Regio AG</v>
          </cell>
          <cell r="C271" t="str">
            <v>Onlineservice</v>
          </cell>
          <cell r="D271" t="str">
            <v>Freundlichkeit</v>
          </cell>
          <cell r="E271">
            <v>0</v>
          </cell>
          <cell r="F271" t="str">
            <v>Sonstiges</v>
          </cell>
        </row>
        <row r="272">
          <cell r="A272" t="str">
            <v>DB Regio AGOnlineserviceBeratungsqualität</v>
          </cell>
          <cell r="B272" t="str">
            <v>DB Regio AG</v>
          </cell>
          <cell r="C272" t="str">
            <v>Onlineservice</v>
          </cell>
          <cell r="D272" t="str">
            <v>Beratungsqualität</v>
          </cell>
          <cell r="E272">
            <v>0</v>
          </cell>
          <cell r="F272" t="str">
            <v>Fahrgastinformation</v>
          </cell>
        </row>
        <row r="273">
          <cell r="A273" t="str">
            <v>DB Regio AGOnlineserviceKosten</v>
          </cell>
          <cell r="B273" t="str">
            <v>DB Regio AG</v>
          </cell>
          <cell r="C273" t="str">
            <v>Onlineservice</v>
          </cell>
          <cell r="D273" t="str">
            <v>Kosten</v>
          </cell>
          <cell r="E273">
            <v>0</v>
          </cell>
          <cell r="F273" t="str">
            <v>Sonstiges</v>
          </cell>
        </row>
        <row r="274">
          <cell r="A274" t="str">
            <v>DB Regio AGGruppenhotlineEinfachheit Kontaktaufnahme</v>
          </cell>
          <cell r="B274" t="str">
            <v>DB Regio AG</v>
          </cell>
          <cell r="C274" t="str">
            <v>Gruppenhotline</v>
          </cell>
          <cell r="D274" t="str">
            <v>Einfachheit Kontaktaufnahme</v>
          </cell>
          <cell r="E274">
            <v>0</v>
          </cell>
          <cell r="F274" t="str">
            <v>Sonstiges</v>
          </cell>
        </row>
        <row r="275">
          <cell r="A275" t="str">
            <v>DB Regio AGGruppenhotlineWartezeit Telefon</v>
          </cell>
          <cell r="B275" t="str">
            <v>DB Regio AG</v>
          </cell>
          <cell r="C275" t="str">
            <v>Gruppenhotline</v>
          </cell>
          <cell r="D275" t="str">
            <v>Wartezeit Telefon</v>
          </cell>
          <cell r="E275">
            <v>0</v>
          </cell>
          <cell r="F275" t="str">
            <v>Sonstiges</v>
          </cell>
        </row>
        <row r="276">
          <cell r="A276" t="str">
            <v>DB Regio AGGruppenhotlineDauer der Bearbeitung</v>
          </cell>
          <cell r="B276" t="str">
            <v>DB Regio AG</v>
          </cell>
          <cell r="C276" t="str">
            <v>Gruppenhotline</v>
          </cell>
          <cell r="D276" t="str">
            <v>Dauer der Bearbeitung</v>
          </cell>
          <cell r="E276">
            <v>0</v>
          </cell>
          <cell r="F276" t="str">
            <v>Sonstiges</v>
          </cell>
        </row>
        <row r="277">
          <cell r="A277" t="str">
            <v>DB Regio AGGruppenhotlineBearbeitung- und Reaktion</v>
          </cell>
          <cell r="B277" t="str">
            <v>DB Regio AG</v>
          </cell>
          <cell r="C277" t="str">
            <v>Gruppenhotline</v>
          </cell>
          <cell r="D277" t="str">
            <v>Bearbeitung- und Reaktion</v>
          </cell>
          <cell r="E277">
            <v>0</v>
          </cell>
          <cell r="F277" t="str">
            <v>Sonstiges</v>
          </cell>
        </row>
        <row r="278">
          <cell r="A278" t="str">
            <v>DB Regio AGGruppenhotlinefachliche Kompetenz</v>
          </cell>
          <cell r="B278" t="str">
            <v>DB Regio AG</v>
          </cell>
          <cell r="C278" t="str">
            <v>Gruppenhotline</v>
          </cell>
          <cell r="D278" t="str">
            <v>fachliche Kompetenz</v>
          </cell>
          <cell r="E278">
            <v>0</v>
          </cell>
          <cell r="F278" t="str">
            <v>Sonstiges</v>
          </cell>
        </row>
        <row r="279">
          <cell r="A279" t="str">
            <v>DB Regio AGGruppenhotlineFreundlichkeit</v>
          </cell>
          <cell r="B279" t="str">
            <v>DB Regio AG</v>
          </cell>
          <cell r="C279" t="str">
            <v>Gruppenhotline</v>
          </cell>
          <cell r="D279" t="str">
            <v>Freundlichkeit</v>
          </cell>
          <cell r="E279">
            <v>0</v>
          </cell>
          <cell r="F279" t="str">
            <v>Sonstiges</v>
          </cell>
        </row>
        <row r="280">
          <cell r="A280" t="str">
            <v>DB Regio AGGruppenhotlineBeratungsqualität</v>
          </cell>
          <cell r="B280" t="str">
            <v>DB Regio AG</v>
          </cell>
          <cell r="C280" t="str">
            <v>Gruppenhotline</v>
          </cell>
          <cell r="D280" t="str">
            <v>Beratungsqualität</v>
          </cell>
          <cell r="E280">
            <v>0</v>
          </cell>
          <cell r="F280" t="str">
            <v>Fahrgastinformation</v>
          </cell>
        </row>
        <row r="281">
          <cell r="A281" t="str">
            <v>DB Regio AGGruppenhotlineKosten</v>
          </cell>
          <cell r="B281" t="str">
            <v>DB Regio AG</v>
          </cell>
          <cell r="C281" t="str">
            <v>Gruppenhotline</v>
          </cell>
          <cell r="D281" t="str">
            <v>Kosten</v>
          </cell>
          <cell r="E281">
            <v>0</v>
          </cell>
          <cell r="F281" t="str">
            <v>Sonstiges</v>
          </cell>
        </row>
        <row r="282">
          <cell r="A282" t="str">
            <v>DB Regio AGMobilitätshotline/Kids on tourEinfachheit Kontaktaufnahme</v>
          </cell>
          <cell r="B282" t="str">
            <v>DB Regio AG</v>
          </cell>
          <cell r="C282" t="str">
            <v>Mobilitätshotline/Kids on tour</v>
          </cell>
          <cell r="D282" t="str">
            <v>Einfachheit Kontaktaufnahme</v>
          </cell>
          <cell r="E282">
            <v>0</v>
          </cell>
          <cell r="F282" t="str">
            <v>Sonstiges</v>
          </cell>
        </row>
        <row r="283">
          <cell r="A283" t="str">
            <v>DB Regio AGMobilitätshotline/Kids on tourWartezeit Telefon</v>
          </cell>
          <cell r="B283" t="str">
            <v>DB Regio AG</v>
          </cell>
          <cell r="C283" t="str">
            <v>Mobilitätshotline/Kids on tour</v>
          </cell>
          <cell r="D283" t="str">
            <v>Wartezeit Telefon</v>
          </cell>
          <cell r="E283">
            <v>0</v>
          </cell>
          <cell r="F283" t="str">
            <v>Sonstiges</v>
          </cell>
        </row>
        <row r="284">
          <cell r="A284" t="str">
            <v>DB Regio AGMobilitätshotline/Kids on tourDauer der Bearbeitung</v>
          </cell>
          <cell r="B284" t="str">
            <v>DB Regio AG</v>
          </cell>
          <cell r="C284" t="str">
            <v>Mobilitätshotline/Kids on tour</v>
          </cell>
          <cell r="D284" t="str">
            <v>Dauer der Bearbeitung</v>
          </cell>
          <cell r="E284">
            <v>0</v>
          </cell>
          <cell r="F284" t="str">
            <v>Sonstiges</v>
          </cell>
        </row>
        <row r="285">
          <cell r="A285" t="str">
            <v>DB Regio AGMobilitätshotline/Kids on tourBearbeitung- und Reaktion</v>
          </cell>
          <cell r="B285" t="str">
            <v>DB Regio AG</v>
          </cell>
          <cell r="C285" t="str">
            <v>Mobilitätshotline/Kids on tour</v>
          </cell>
          <cell r="D285" t="str">
            <v>Bearbeitung- und Reaktion</v>
          </cell>
          <cell r="E285">
            <v>0</v>
          </cell>
          <cell r="F285" t="str">
            <v>Sonstiges</v>
          </cell>
        </row>
        <row r="286">
          <cell r="A286" t="str">
            <v>DB Regio AGMobilitätshotline/Kids on tourfachliche Kompetenz</v>
          </cell>
          <cell r="B286" t="str">
            <v>DB Regio AG</v>
          </cell>
          <cell r="C286" t="str">
            <v>Mobilitätshotline/Kids on tour</v>
          </cell>
          <cell r="D286" t="str">
            <v>fachliche Kompetenz</v>
          </cell>
          <cell r="E286">
            <v>0</v>
          </cell>
          <cell r="F286" t="str">
            <v>Sonstiges</v>
          </cell>
        </row>
        <row r="287">
          <cell r="A287" t="str">
            <v>DB Regio AGMobilitätshotline/Kids on tourFreundlichkeit</v>
          </cell>
          <cell r="B287" t="str">
            <v>DB Regio AG</v>
          </cell>
          <cell r="C287" t="str">
            <v>Mobilitätshotline/Kids on tour</v>
          </cell>
          <cell r="D287" t="str">
            <v>Freundlichkeit</v>
          </cell>
          <cell r="E287">
            <v>0</v>
          </cell>
          <cell r="F287" t="str">
            <v>Sonstiges</v>
          </cell>
        </row>
        <row r="288">
          <cell r="A288" t="str">
            <v>DB Regio AGMobilitätshotline/Kids on tourBeratungsqualität</v>
          </cell>
          <cell r="B288" t="str">
            <v>DB Regio AG</v>
          </cell>
          <cell r="C288" t="str">
            <v>Mobilitätshotline/Kids on tour</v>
          </cell>
          <cell r="D288" t="str">
            <v>Beratungsqualität</v>
          </cell>
          <cell r="E288">
            <v>0</v>
          </cell>
          <cell r="F288" t="str">
            <v>Fahrgastinformation</v>
          </cell>
        </row>
        <row r="289">
          <cell r="A289" t="str">
            <v>DB Regio AGMobilitätshotline/Kids on tourKosten</v>
          </cell>
          <cell r="B289" t="str">
            <v>DB Regio AG</v>
          </cell>
          <cell r="C289" t="str">
            <v>Mobilitätshotline/Kids on tour</v>
          </cell>
          <cell r="D289" t="str">
            <v>Kosten</v>
          </cell>
          <cell r="E289">
            <v>0</v>
          </cell>
          <cell r="F289" t="str">
            <v>Sonstiges</v>
          </cell>
        </row>
        <row r="290">
          <cell r="A290" t="str">
            <v>DB Regio AGSonstige HotlinesEinfachheit Kontaktaufnahme</v>
          </cell>
          <cell r="B290" t="str">
            <v>DB Regio AG</v>
          </cell>
          <cell r="C290" t="str">
            <v>Sonstige Hotlines</v>
          </cell>
          <cell r="D290" t="str">
            <v>Einfachheit Kontaktaufnahme</v>
          </cell>
          <cell r="E290">
            <v>0</v>
          </cell>
          <cell r="F290" t="str">
            <v>Sonstiges</v>
          </cell>
        </row>
        <row r="291">
          <cell r="A291" t="str">
            <v>DB Regio AGSonstige HotlinesWartezeit Telefon</v>
          </cell>
          <cell r="B291" t="str">
            <v>DB Regio AG</v>
          </cell>
          <cell r="C291" t="str">
            <v>Sonstige Hotlines</v>
          </cell>
          <cell r="D291" t="str">
            <v>Wartezeit Telefon</v>
          </cell>
          <cell r="E291">
            <v>0</v>
          </cell>
          <cell r="F291" t="str">
            <v>Sonstiges</v>
          </cell>
        </row>
        <row r="292">
          <cell r="A292" t="str">
            <v>DB Regio AGSonstige HotlinesDauer der Bearbeitung</v>
          </cell>
          <cell r="B292" t="str">
            <v>DB Regio AG</v>
          </cell>
          <cell r="C292" t="str">
            <v>Sonstige Hotlines</v>
          </cell>
          <cell r="D292" t="str">
            <v>Dauer der Bearbeitung</v>
          </cell>
          <cell r="E292">
            <v>0</v>
          </cell>
          <cell r="F292" t="str">
            <v>Sonstiges</v>
          </cell>
        </row>
        <row r="293">
          <cell r="A293" t="str">
            <v>DB Regio AGSonstige HotlinesBearbeitung- und Reaktion</v>
          </cell>
          <cell r="B293" t="str">
            <v>DB Regio AG</v>
          </cell>
          <cell r="C293" t="str">
            <v>Sonstige Hotlines</v>
          </cell>
          <cell r="D293" t="str">
            <v>Bearbeitung- und Reaktion</v>
          </cell>
          <cell r="E293">
            <v>0</v>
          </cell>
          <cell r="F293" t="str">
            <v>Sonstiges</v>
          </cell>
        </row>
        <row r="294">
          <cell r="A294" t="str">
            <v>DB Regio AGSonstige Hotlinesfachliche Kompetenz</v>
          </cell>
          <cell r="B294" t="str">
            <v>DB Regio AG</v>
          </cell>
          <cell r="C294" t="str">
            <v>Sonstige Hotlines</v>
          </cell>
          <cell r="D294" t="str">
            <v>fachliche Kompetenz</v>
          </cell>
          <cell r="E294">
            <v>0</v>
          </cell>
          <cell r="F294" t="str">
            <v>Sonstiges</v>
          </cell>
        </row>
        <row r="295">
          <cell r="A295" t="str">
            <v>DB Regio AGSonstige HotlinesFreundlichkeit</v>
          </cell>
          <cell r="B295" t="str">
            <v>DB Regio AG</v>
          </cell>
          <cell r="C295" t="str">
            <v>Sonstige Hotlines</v>
          </cell>
          <cell r="D295" t="str">
            <v>Freundlichkeit</v>
          </cell>
          <cell r="E295">
            <v>0</v>
          </cell>
          <cell r="F295" t="str">
            <v>Sonstiges</v>
          </cell>
        </row>
        <row r="296">
          <cell r="A296" t="str">
            <v>DB Regio AGSonstige HotlinesBeratungsqualität</v>
          </cell>
          <cell r="B296" t="str">
            <v>DB Regio AG</v>
          </cell>
          <cell r="C296" t="str">
            <v>Sonstige Hotlines</v>
          </cell>
          <cell r="D296" t="str">
            <v>Beratungsqualität</v>
          </cell>
          <cell r="E296">
            <v>0</v>
          </cell>
          <cell r="F296" t="str">
            <v>Fahrgastinformation</v>
          </cell>
        </row>
        <row r="297">
          <cell r="A297" t="str">
            <v>DB Regio AGSonstige HotlinesKosten</v>
          </cell>
          <cell r="B297" t="str">
            <v>DB Regio AG</v>
          </cell>
          <cell r="C297" t="str">
            <v>Sonstige Hotlines</v>
          </cell>
          <cell r="D297" t="str">
            <v>Kosten</v>
          </cell>
          <cell r="E297">
            <v>0</v>
          </cell>
          <cell r="F297" t="str">
            <v>Sonstiges</v>
          </cell>
        </row>
        <row r="298">
          <cell r="A298" t="str">
            <v>DB Regio AGKonzernthemenUmwelt</v>
          </cell>
          <cell r="B298" t="str">
            <v>DB Regio AG</v>
          </cell>
          <cell r="C298" t="str">
            <v>Konzernthemen</v>
          </cell>
          <cell r="D298" t="str">
            <v>Umwelt</v>
          </cell>
          <cell r="E298">
            <v>0</v>
          </cell>
          <cell r="F298" t="str">
            <v>Sonstiges</v>
          </cell>
        </row>
        <row r="299">
          <cell r="A299" t="str">
            <v>DB Regio AGKonzernthemenStuttgart 21</v>
          </cell>
          <cell r="B299" t="str">
            <v>DB Regio AG</v>
          </cell>
          <cell r="C299" t="str">
            <v>Konzernthemen</v>
          </cell>
          <cell r="D299" t="str">
            <v>Stuttgart 21</v>
          </cell>
          <cell r="E299">
            <v>0</v>
          </cell>
          <cell r="F299" t="str">
            <v>Sonstiges</v>
          </cell>
        </row>
        <row r="300">
          <cell r="A300" t="str">
            <v>DB Regio AGKonzernthemenOWK</v>
          </cell>
          <cell r="B300" t="str">
            <v>DB Regio AG</v>
          </cell>
          <cell r="C300" t="str">
            <v>Konzernthemen</v>
          </cell>
          <cell r="D300" t="str">
            <v>OWK</v>
          </cell>
          <cell r="E300">
            <v>0</v>
          </cell>
          <cell r="F300" t="str">
            <v>Sonstiges</v>
          </cell>
        </row>
        <row r="301">
          <cell r="A301" t="str">
            <v xml:space="preserve">DB Regio AGKonzernthemenMobilitätseingeschr. ReisendeTarif/Angebote </v>
          </cell>
          <cell r="B301" t="str">
            <v>DB Regio AG</v>
          </cell>
          <cell r="C301" t="str">
            <v>Konzernthemen</v>
          </cell>
          <cell r="D301" t="str">
            <v>Mobilitätseingeschr. Reisende</v>
          </cell>
          <cell r="E301" t="str">
            <v xml:space="preserve">Tarif/Angebote </v>
          </cell>
          <cell r="F301" t="str">
            <v>Tarif</v>
          </cell>
        </row>
        <row r="302">
          <cell r="A302" t="str">
            <v xml:space="preserve">DB Regio AGKonzernthemenMobilitätseingeschr. ReisendeEinrichtungen </v>
          </cell>
          <cell r="B302" t="str">
            <v>DB Regio AG</v>
          </cell>
          <cell r="C302" t="str">
            <v>Konzernthemen</v>
          </cell>
          <cell r="D302" t="str">
            <v>Mobilitätseingeschr. Reisende</v>
          </cell>
          <cell r="E302" t="str">
            <v xml:space="preserve">Einrichtungen </v>
          </cell>
          <cell r="F302" t="str">
            <v>Fahrzeug</v>
          </cell>
        </row>
        <row r="303">
          <cell r="A303" t="str">
            <v xml:space="preserve">DB Regio AGKonzernthemenMobilitätseingeschr. ReisendeInformation </v>
          </cell>
          <cell r="B303" t="str">
            <v>DB Regio AG</v>
          </cell>
          <cell r="C303" t="str">
            <v>Konzernthemen</v>
          </cell>
          <cell r="D303" t="str">
            <v>Mobilitätseingeschr. Reisende</v>
          </cell>
          <cell r="E303" t="str">
            <v xml:space="preserve">Information </v>
          </cell>
          <cell r="F303" t="str">
            <v>Fahrgastinformation</v>
          </cell>
        </row>
        <row r="304">
          <cell r="A304" t="str">
            <v>DB Regio AGKonzernthemenSorrykarte</v>
          </cell>
          <cell r="B304" t="str">
            <v>DB Regio AG</v>
          </cell>
          <cell r="C304" t="str">
            <v>Konzernthemen</v>
          </cell>
          <cell r="D304" t="str">
            <v>Sorrykarte</v>
          </cell>
          <cell r="E304">
            <v>0</v>
          </cell>
          <cell r="F304" t="str">
            <v>Sonstiges</v>
          </cell>
        </row>
        <row r="305">
          <cell r="A305" t="str">
            <v>DB Regio AGKategorie nicht vorhanden</v>
          </cell>
          <cell r="B305" t="str">
            <v>DB Regio AG</v>
          </cell>
          <cell r="C305" t="str">
            <v>Kategorie nicht vorhanden</v>
          </cell>
          <cell r="D305">
            <v>0</v>
          </cell>
          <cell r="E305">
            <v>0</v>
          </cell>
          <cell r="F305" t="str">
            <v>Sonstiges</v>
          </cell>
        </row>
        <row r="306">
          <cell r="A306" t="str">
            <v>DB Fernverkehr AGAbo-CenterBearbeitung und Reaktion</v>
          </cell>
          <cell r="B306" t="str">
            <v>DB Fernverkehr AG</v>
          </cell>
          <cell r="C306" t="str">
            <v>Abo-Center</v>
          </cell>
          <cell r="D306" t="str">
            <v>Bearbeitung und Reaktion</v>
          </cell>
          <cell r="E306">
            <v>0</v>
          </cell>
          <cell r="F306" t="str">
            <v>Sonstiges</v>
          </cell>
        </row>
        <row r="307">
          <cell r="A307" t="str">
            <v>DB Fernverkehr AGAbo-CenterBeratungsqualität</v>
          </cell>
          <cell r="B307" t="str">
            <v>DB Fernverkehr AG</v>
          </cell>
          <cell r="C307" t="str">
            <v>Abo-Center</v>
          </cell>
          <cell r="D307" t="str">
            <v>Beratungsqualität</v>
          </cell>
          <cell r="E307">
            <v>0</v>
          </cell>
          <cell r="F307" t="str">
            <v>Sonstiges</v>
          </cell>
        </row>
        <row r="308">
          <cell r="A308" t="str">
            <v>DB Fernverkehr AGAbo-CenterDauer der Bearbeitung</v>
          </cell>
          <cell r="B308" t="str">
            <v>DB Fernverkehr AG</v>
          </cell>
          <cell r="C308" t="str">
            <v>Abo-Center</v>
          </cell>
          <cell r="D308" t="str">
            <v>Dauer der Bearbeitung</v>
          </cell>
          <cell r="E308">
            <v>0</v>
          </cell>
          <cell r="F308" t="str">
            <v>Sonstiges</v>
          </cell>
        </row>
        <row r="309">
          <cell r="A309" t="str">
            <v>DB Fernverkehr AGAbo-CenterEinfachheit Kontaktaufnahme</v>
          </cell>
          <cell r="B309" t="str">
            <v>DB Fernverkehr AG</v>
          </cell>
          <cell r="C309" t="str">
            <v>Abo-Center</v>
          </cell>
          <cell r="D309" t="str">
            <v>Einfachheit Kontaktaufnahme</v>
          </cell>
          <cell r="E309">
            <v>0</v>
          </cell>
          <cell r="F309" t="str">
            <v>Sonstiges</v>
          </cell>
        </row>
        <row r="310">
          <cell r="A310" t="str">
            <v>DB Fernverkehr AGAbo-CenterFreundlichkeit</v>
          </cell>
          <cell r="B310" t="str">
            <v>DB Fernverkehr AG</v>
          </cell>
          <cell r="C310" t="str">
            <v>Abo-Center</v>
          </cell>
          <cell r="D310" t="str">
            <v>Freundlichkeit</v>
          </cell>
          <cell r="E310">
            <v>0</v>
          </cell>
          <cell r="F310" t="str">
            <v>Sonstiges</v>
          </cell>
        </row>
        <row r="311">
          <cell r="A311" t="str">
            <v>DB Fernverkehr AGAbo-CenterKosten</v>
          </cell>
          <cell r="B311" t="str">
            <v>DB Fernverkehr AG</v>
          </cell>
          <cell r="C311" t="str">
            <v>Abo-Center</v>
          </cell>
          <cell r="D311" t="str">
            <v>Kosten</v>
          </cell>
          <cell r="E311">
            <v>0</v>
          </cell>
          <cell r="F311" t="str">
            <v>Sonstiges</v>
          </cell>
        </row>
        <row r="312">
          <cell r="A312" t="str">
            <v>DB Fernverkehr AGAbo-CenterWartezeit Telefon</v>
          </cell>
          <cell r="B312" t="str">
            <v>DB Fernverkehr AG</v>
          </cell>
          <cell r="C312" t="str">
            <v>Abo-Center</v>
          </cell>
          <cell r="D312" t="str">
            <v>Wartezeit Telefon</v>
          </cell>
          <cell r="E312">
            <v>0</v>
          </cell>
          <cell r="F312" t="str">
            <v>Sonstiges</v>
          </cell>
        </row>
        <row r="313">
          <cell r="A313" t="str">
            <v>DB Fernverkehr AGDB Agentur im AuslandBeratungsqualität</v>
          </cell>
          <cell r="B313" t="str">
            <v>DB Fernverkehr AG</v>
          </cell>
          <cell r="C313" t="str">
            <v>DB Agentur im Ausland</v>
          </cell>
          <cell r="D313" t="str">
            <v>Beratungsqualität</v>
          </cell>
          <cell r="E313">
            <v>0</v>
          </cell>
          <cell r="F313" t="str">
            <v>Vertrieb</v>
          </cell>
        </row>
        <row r="314">
          <cell r="A314" t="str">
            <v>DB Fernverkehr AGDB Agentur im AuslandDauer des Kaufvorgangs</v>
          </cell>
          <cell r="B314" t="str">
            <v>DB Fernverkehr AG</v>
          </cell>
          <cell r="C314" t="str">
            <v>DB Agentur im Ausland</v>
          </cell>
          <cell r="D314" t="str">
            <v>Dauer des Kaufvorgangs</v>
          </cell>
          <cell r="E314">
            <v>0</v>
          </cell>
          <cell r="F314" t="str">
            <v>Vertrieb</v>
          </cell>
        </row>
        <row r="315">
          <cell r="A315" t="str">
            <v>DB Fernverkehr AGDB Agentur im AuslandEinfachheit des Verkaufs</v>
          </cell>
          <cell r="B315" t="str">
            <v>DB Fernverkehr AG</v>
          </cell>
          <cell r="C315" t="str">
            <v>DB Agentur im Ausland</v>
          </cell>
          <cell r="D315" t="str">
            <v>Einfachheit des Verkaufs</v>
          </cell>
          <cell r="E315">
            <v>0</v>
          </cell>
          <cell r="F315" t="str">
            <v>Vertrieb</v>
          </cell>
        </row>
        <row r="316">
          <cell r="A316" t="str">
            <v>DB Fernverkehr AGDB Agentur im AuslandErscheinungsbild/Auftreten</v>
          </cell>
          <cell r="B316" t="str">
            <v>DB Fernverkehr AG</v>
          </cell>
          <cell r="C316" t="str">
            <v>DB Agentur im Ausland</v>
          </cell>
          <cell r="D316" t="str">
            <v>Erscheinungsbild/Auftreten</v>
          </cell>
          <cell r="E316">
            <v>0</v>
          </cell>
          <cell r="F316" t="str">
            <v>Vertrieb</v>
          </cell>
        </row>
        <row r="317">
          <cell r="A317" t="str">
            <v>DB Fernverkehr AGDB Agentur im AuslandFreundlichkeit</v>
          </cell>
          <cell r="B317" t="str">
            <v>DB Fernverkehr AG</v>
          </cell>
          <cell r="C317" t="str">
            <v>DB Agentur im Ausland</v>
          </cell>
          <cell r="D317" t="str">
            <v>Freundlichkeit</v>
          </cell>
          <cell r="E317">
            <v>0</v>
          </cell>
          <cell r="F317" t="str">
            <v>Vertrieb</v>
          </cell>
        </row>
        <row r="318">
          <cell r="A318" t="str">
            <v>DB Fernverkehr AGDB Agentur im AuslandGestaltung</v>
          </cell>
          <cell r="B318" t="str">
            <v>DB Fernverkehr AG</v>
          </cell>
          <cell r="C318" t="str">
            <v>DB Agentur im Ausland</v>
          </cell>
          <cell r="D318" t="str">
            <v>Gestaltung</v>
          </cell>
          <cell r="E318">
            <v>0</v>
          </cell>
          <cell r="F318" t="str">
            <v>Vertrieb</v>
          </cell>
        </row>
        <row r="319">
          <cell r="A319" t="str">
            <v>DB Fernverkehr AGDB Agentur im AuslandInformation ü. Unregelmäßigk.</v>
          </cell>
          <cell r="B319" t="str">
            <v>DB Fernverkehr AG</v>
          </cell>
          <cell r="C319" t="str">
            <v>DB Agentur im Ausland</v>
          </cell>
          <cell r="D319" t="str">
            <v>Information ü. Unregelmäßigk.</v>
          </cell>
          <cell r="E319">
            <v>0</v>
          </cell>
          <cell r="F319" t="str">
            <v>Fahrgastinformation</v>
          </cell>
        </row>
        <row r="320">
          <cell r="A320" t="str">
            <v>DB Fernverkehr AGDB Agentur im AuslandWartezeit</v>
          </cell>
          <cell r="B320" t="str">
            <v>DB Fernverkehr AG</v>
          </cell>
          <cell r="C320" t="str">
            <v>DB Agentur im Ausland</v>
          </cell>
          <cell r="D320" t="str">
            <v>Wartezeit</v>
          </cell>
          <cell r="E320">
            <v>0</v>
          </cell>
          <cell r="F320" t="str">
            <v>Vertrieb</v>
          </cell>
        </row>
        <row r="321">
          <cell r="A321" t="str">
            <v>DB Fernverkehr AGAutomatAnzahl Prozessschritte</v>
          </cell>
          <cell r="B321" t="str">
            <v>DB Fernverkehr AG</v>
          </cell>
          <cell r="C321" t="str">
            <v>Automat</v>
          </cell>
          <cell r="D321" t="str">
            <v>Anzahl Prozessschritte</v>
          </cell>
          <cell r="E321">
            <v>0</v>
          </cell>
          <cell r="F321" t="str">
            <v>Vertrieb</v>
          </cell>
        </row>
        <row r="322">
          <cell r="A322" t="str">
            <v>DB Fernverkehr AGAutomatDarstellung Preisinformationen</v>
          </cell>
          <cell r="B322" t="str">
            <v>DB Fernverkehr AG</v>
          </cell>
          <cell r="C322" t="str">
            <v>Automat</v>
          </cell>
          <cell r="D322" t="str">
            <v>Darstellung Preisinformationen</v>
          </cell>
          <cell r="E322">
            <v>0</v>
          </cell>
          <cell r="F322" t="str">
            <v>Vertrieb</v>
          </cell>
        </row>
        <row r="323">
          <cell r="A323" t="str">
            <v>DB Fernverkehr AGAutomatDarstellung Zugverbindungen</v>
          </cell>
          <cell r="B323" t="str">
            <v>DB Fernverkehr AG</v>
          </cell>
          <cell r="C323" t="str">
            <v>Automat</v>
          </cell>
          <cell r="D323" t="str">
            <v>Darstellung Zugverbindungen</v>
          </cell>
          <cell r="E323">
            <v>0</v>
          </cell>
          <cell r="F323" t="str">
            <v>Vertrieb</v>
          </cell>
        </row>
        <row r="324">
          <cell r="A324" t="str">
            <v>DB Fernverkehr AGAutomatDauer des Kaufvorgangs</v>
          </cell>
          <cell r="B324" t="str">
            <v>DB Fernverkehr AG</v>
          </cell>
          <cell r="C324" t="str">
            <v>Automat</v>
          </cell>
          <cell r="D324" t="str">
            <v>Dauer des Kaufvorgangs</v>
          </cell>
          <cell r="E324">
            <v>0</v>
          </cell>
          <cell r="F324" t="str">
            <v>Vertrieb</v>
          </cell>
        </row>
        <row r="325">
          <cell r="A325" t="str">
            <v>DB Fernverkehr AGAutomatEinfachheit des Kaufs</v>
          </cell>
          <cell r="B325" t="str">
            <v>DB Fernverkehr AG</v>
          </cell>
          <cell r="C325" t="str">
            <v>Automat</v>
          </cell>
          <cell r="D325" t="str">
            <v>Einfachheit des Kaufs</v>
          </cell>
          <cell r="E325">
            <v>0</v>
          </cell>
          <cell r="F325" t="str">
            <v>Vertrieb</v>
          </cell>
        </row>
        <row r="326">
          <cell r="A326" t="str">
            <v>DB Fernverkehr AGAutomatGestaltung/Design Bildschirm</v>
          </cell>
          <cell r="B326" t="str">
            <v>DB Fernverkehr AG</v>
          </cell>
          <cell r="C326" t="str">
            <v>Automat</v>
          </cell>
          <cell r="D326" t="str">
            <v>Gestaltung/Design Bildschirm</v>
          </cell>
          <cell r="E326">
            <v>0</v>
          </cell>
          <cell r="F326" t="str">
            <v>Vertrieb</v>
          </cell>
        </row>
        <row r="327">
          <cell r="A327" t="str">
            <v>DB Fernverkehr AGAutomatInformation ü. Unregelmäßigk.</v>
          </cell>
          <cell r="B327" t="str">
            <v>DB Fernverkehr AG</v>
          </cell>
          <cell r="C327" t="str">
            <v>Automat</v>
          </cell>
          <cell r="D327" t="str">
            <v>Information ü. Unregelmäßigk.</v>
          </cell>
          <cell r="E327">
            <v>0</v>
          </cell>
          <cell r="F327" t="str">
            <v>Fahrgastinformation</v>
          </cell>
        </row>
        <row r="328">
          <cell r="A328" t="str">
            <v>DB Fernverkehr AGAutomatInformationsqualität</v>
          </cell>
          <cell r="B328" t="str">
            <v>DB Fernverkehr AG</v>
          </cell>
          <cell r="C328" t="str">
            <v>Automat</v>
          </cell>
          <cell r="D328" t="str">
            <v>Informationsqualität</v>
          </cell>
          <cell r="E328">
            <v>0</v>
          </cell>
          <cell r="F328" t="str">
            <v>Vertrieb</v>
          </cell>
        </row>
        <row r="329">
          <cell r="A329" t="str">
            <v>DB Fernverkehr AGAutomatLesbarkeit Bildschirmanzeige</v>
          </cell>
          <cell r="B329" t="str">
            <v>DB Fernverkehr AG</v>
          </cell>
          <cell r="C329" t="str">
            <v>Automat</v>
          </cell>
          <cell r="D329" t="str">
            <v>Lesbarkeit Bildschirmanzeige</v>
          </cell>
          <cell r="E329">
            <v>0</v>
          </cell>
          <cell r="F329" t="str">
            <v>Vertrieb</v>
          </cell>
        </row>
        <row r="330">
          <cell r="A330" t="str">
            <v>DB Fernverkehr AGAutomatVerfügbarkeit</v>
          </cell>
          <cell r="B330" t="str">
            <v>DB Fernverkehr AG</v>
          </cell>
          <cell r="C330" t="str">
            <v>Automat</v>
          </cell>
          <cell r="D330" t="str">
            <v>Verfügbarkeit</v>
          </cell>
          <cell r="E330">
            <v>0</v>
          </cell>
          <cell r="F330" t="str">
            <v>Vertrieb</v>
          </cell>
        </row>
        <row r="331">
          <cell r="A331" t="str">
            <v>DB Fernverkehr AGAutomatWartezeit am Automaten</v>
          </cell>
          <cell r="B331" t="str">
            <v>DB Fernverkehr AG</v>
          </cell>
          <cell r="C331" t="str">
            <v>Automat</v>
          </cell>
          <cell r="D331" t="str">
            <v>Wartezeit am Automaten</v>
          </cell>
          <cell r="E331">
            <v>0</v>
          </cell>
          <cell r="F331" t="str">
            <v>Vertrieb</v>
          </cell>
        </row>
        <row r="332">
          <cell r="A332" t="str">
            <v>DB Fernverkehr AGAutomatWechselgeld Stückelung</v>
          </cell>
          <cell r="B332" t="str">
            <v>DB Fernverkehr AG</v>
          </cell>
          <cell r="C332" t="str">
            <v>Automat</v>
          </cell>
          <cell r="D332" t="str">
            <v>Wechselgeld Stückelung</v>
          </cell>
          <cell r="E332">
            <v>0</v>
          </cell>
          <cell r="F332" t="str">
            <v>Vertrieb</v>
          </cell>
        </row>
        <row r="333">
          <cell r="A333" t="str">
            <v>DB Fernverkehr AGAutomatZahlungsmöglichkeiten</v>
          </cell>
          <cell r="B333" t="str">
            <v>DB Fernverkehr AG</v>
          </cell>
          <cell r="C333" t="str">
            <v>Automat</v>
          </cell>
          <cell r="D333" t="str">
            <v>Zahlungsmöglichkeiten</v>
          </cell>
          <cell r="E333">
            <v>0</v>
          </cell>
          <cell r="F333" t="str">
            <v>Vertrieb</v>
          </cell>
        </row>
        <row r="334">
          <cell r="A334" t="str">
            <v>DB Fernverkehr AGAutomatZahlungsmöglichkeitenNicht spezifiziert</v>
          </cell>
          <cell r="B334" t="str">
            <v>DB Fernverkehr AG</v>
          </cell>
          <cell r="C334" t="str">
            <v>Automat</v>
          </cell>
          <cell r="D334" t="str">
            <v>Zahlungsmöglichkeiten</v>
          </cell>
          <cell r="E334" t="str">
            <v>Nicht spezifiziert</v>
          </cell>
          <cell r="F334" t="str">
            <v>Vertrieb</v>
          </cell>
        </row>
        <row r="335">
          <cell r="A335" t="str">
            <v>DB Fernverkehr AGAutomattechnische Zuverlässigkeit</v>
          </cell>
          <cell r="B335" t="str">
            <v>DB Fernverkehr AG</v>
          </cell>
          <cell r="C335" t="str">
            <v>Automat</v>
          </cell>
          <cell r="D335" t="str">
            <v>technische Zuverlässigkeit</v>
          </cell>
          <cell r="E335">
            <v>0</v>
          </cell>
          <cell r="F335" t="str">
            <v>Vertrieb</v>
          </cell>
        </row>
        <row r="336">
          <cell r="A336" t="str">
            <v>DB Fernverkehr AGBahnCard 100-ServiceAGBAbobestimmung</v>
          </cell>
          <cell r="B336" t="str">
            <v>DB Fernverkehr AG</v>
          </cell>
          <cell r="C336" t="str">
            <v>BahnCard 100-Service</v>
          </cell>
          <cell r="D336" t="str">
            <v>AGB</v>
          </cell>
          <cell r="E336" t="str">
            <v>Abobestimmung</v>
          </cell>
          <cell r="F336" t="str">
            <v>Sonstiges</v>
          </cell>
        </row>
        <row r="337">
          <cell r="A337" t="str">
            <v>DB Fernverkehr AGBahnCard 100-ServiceAGBAnerkennung im Verbund</v>
          </cell>
          <cell r="B337" t="str">
            <v>DB Fernverkehr AG</v>
          </cell>
          <cell r="C337" t="str">
            <v>BahnCard 100-Service</v>
          </cell>
          <cell r="D337" t="str">
            <v>AGB</v>
          </cell>
          <cell r="E337" t="str">
            <v>Anerkennung im Verbund</v>
          </cell>
          <cell r="F337" t="str">
            <v>Sonstiges</v>
          </cell>
        </row>
        <row r="338">
          <cell r="A338" t="str">
            <v>DB Fernverkehr AGBahnCard 100-ServiceAGBCity-Ticket</v>
          </cell>
          <cell r="B338" t="str">
            <v>DB Fernverkehr AG</v>
          </cell>
          <cell r="C338" t="str">
            <v>BahnCard 100-Service</v>
          </cell>
          <cell r="D338" t="str">
            <v>AGB</v>
          </cell>
          <cell r="E338" t="str">
            <v>City-Ticket</v>
          </cell>
          <cell r="F338" t="str">
            <v>Sonstiges</v>
          </cell>
        </row>
        <row r="339">
          <cell r="A339" t="str">
            <v>DB Fernverkehr AGBahnCard 100-ServiceAGBErsatzkarte</v>
          </cell>
          <cell r="B339" t="str">
            <v>DB Fernverkehr AG</v>
          </cell>
          <cell r="C339" t="str">
            <v>BahnCard 100-Service</v>
          </cell>
          <cell r="D339" t="str">
            <v>AGB</v>
          </cell>
          <cell r="E339" t="str">
            <v>Ersatzkarte</v>
          </cell>
          <cell r="F339" t="str">
            <v>Sonstiges</v>
          </cell>
        </row>
        <row r="340">
          <cell r="A340" t="str">
            <v>DB Fernverkehr AGBahnCard 100-ServiceAGBKündigungsbedingungen</v>
          </cell>
          <cell r="B340" t="str">
            <v>DB Fernverkehr AG</v>
          </cell>
          <cell r="C340" t="str">
            <v>BahnCard 100-Service</v>
          </cell>
          <cell r="D340" t="str">
            <v>AGB</v>
          </cell>
          <cell r="E340" t="str">
            <v>Kündigungsbedingungen</v>
          </cell>
          <cell r="F340" t="str">
            <v>Sonstiges</v>
          </cell>
        </row>
        <row r="341">
          <cell r="A341" t="str">
            <v>DB Fernverkehr AGBahnCard 100-ServiceAGBNachweise</v>
          </cell>
          <cell r="B341" t="str">
            <v>DB Fernverkehr AG</v>
          </cell>
          <cell r="C341" t="str">
            <v>BahnCard 100-Service</v>
          </cell>
          <cell r="D341" t="str">
            <v>AGB</v>
          </cell>
          <cell r="E341" t="str">
            <v>Nachweise</v>
          </cell>
          <cell r="F341" t="str">
            <v>Sonstiges</v>
          </cell>
        </row>
        <row r="342">
          <cell r="A342" t="str">
            <v>DB Fernverkehr AGBahnCard 100-ServiceAGBPreise/Gebühren</v>
          </cell>
          <cell r="B342" t="str">
            <v>DB Fernverkehr AG</v>
          </cell>
          <cell r="C342" t="str">
            <v>BahnCard 100-Service</v>
          </cell>
          <cell r="D342" t="str">
            <v>AGB</v>
          </cell>
          <cell r="E342" t="str">
            <v>Preise/Gebühren</v>
          </cell>
          <cell r="F342" t="str">
            <v>Sonstiges</v>
          </cell>
        </row>
        <row r="343">
          <cell r="A343" t="str">
            <v>DB Fernverkehr AGBahnCard 100-ServiceAGBPreiserhöhung</v>
          </cell>
          <cell r="B343" t="str">
            <v>DB Fernverkehr AG</v>
          </cell>
          <cell r="C343" t="str">
            <v>BahnCard 100-Service</v>
          </cell>
          <cell r="D343" t="str">
            <v>AGB</v>
          </cell>
          <cell r="E343" t="str">
            <v>Preiserhöhung</v>
          </cell>
          <cell r="F343" t="str">
            <v>Sonstiges</v>
          </cell>
        </row>
        <row r="344">
          <cell r="A344" t="str">
            <v>DB Fernverkehr AGBahnCard 100-ServiceAGBProdukte</v>
          </cell>
          <cell r="B344" t="str">
            <v>DB Fernverkehr AG</v>
          </cell>
          <cell r="C344" t="str">
            <v>BahnCard 100-Service</v>
          </cell>
          <cell r="D344" t="str">
            <v>AGB</v>
          </cell>
          <cell r="E344" t="str">
            <v>Produkte</v>
          </cell>
          <cell r="F344" t="str">
            <v>Sonstiges</v>
          </cell>
        </row>
        <row r="345">
          <cell r="A345" t="str">
            <v>DB Fernverkehr AGBahnCard 100-ServiceAGBVorverkaufsfrist</v>
          </cell>
          <cell r="B345" t="str">
            <v>DB Fernverkehr AG</v>
          </cell>
          <cell r="C345" t="str">
            <v>BahnCard 100-Service</v>
          </cell>
          <cell r="D345" t="str">
            <v>AGB</v>
          </cell>
          <cell r="E345" t="str">
            <v>Vorverkaufsfrist</v>
          </cell>
          <cell r="F345" t="str">
            <v>Sonstiges</v>
          </cell>
        </row>
        <row r="346">
          <cell r="A346" t="str">
            <v>DB Fernverkehr AGBahnCard 100-ServiceDatenschutzHerausgabe Kundendaten</v>
          </cell>
          <cell r="B346" t="str">
            <v>DB Fernverkehr AG</v>
          </cell>
          <cell r="C346" t="str">
            <v>BahnCard 100-Service</v>
          </cell>
          <cell r="D346" t="str">
            <v>Datenschutz</v>
          </cell>
          <cell r="E346" t="str">
            <v>Herausgabe Kundendaten</v>
          </cell>
          <cell r="F346" t="str">
            <v>Sonstiges</v>
          </cell>
        </row>
        <row r="347">
          <cell r="A347" t="str">
            <v>DB Fernverkehr AGBahnCard 100-ServiceDatenschutzIdentifikationsregeln</v>
          </cell>
          <cell r="B347" t="str">
            <v>DB Fernverkehr AG</v>
          </cell>
          <cell r="C347" t="str">
            <v>BahnCard 100-Service</v>
          </cell>
          <cell r="D347" t="str">
            <v>Datenschutz</v>
          </cell>
          <cell r="E347" t="str">
            <v>Identifikationsregeln</v>
          </cell>
          <cell r="F347" t="str">
            <v>Sonstiges</v>
          </cell>
        </row>
        <row r="348">
          <cell r="A348" t="str">
            <v>DB Fernverkehr AGBahnCard 100-ServiceOnline Servicekeine BC Bestellung möglich</v>
          </cell>
          <cell r="B348" t="str">
            <v>DB Fernverkehr AG</v>
          </cell>
          <cell r="C348" t="str">
            <v>BahnCard 100-Service</v>
          </cell>
          <cell r="D348" t="str">
            <v>Online Service</v>
          </cell>
          <cell r="E348" t="str">
            <v>keine BC Bestellung möglich</v>
          </cell>
          <cell r="F348" t="str">
            <v>Sonstiges</v>
          </cell>
        </row>
        <row r="349">
          <cell r="A349" t="str">
            <v>DB Fernverkehr AGBahnCard 100-ServiceProzessHotlinekosten</v>
          </cell>
          <cell r="B349" t="str">
            <v>DB Fernverkehr AG</v>
          </cell>
          <cell r="C349" t="str">
            <v>BahnCard 100-Service</v>
          </cell>
          <cell r="D349" t="str">
            <v>Prozess</v>
          </cell>
          <cell r="E349" t="str">
            <v>Hotlinekosten</v>
          </cell>
          <cell r="F349" t="str">
            <v>Sonstiges</v>
          </cell>
        </row>
        <row r="350">
          <cell r="A350" t="str">
            <v>DB Fernverkehr AGBahnCard 100-ServiceProzessmit Kompens. nicht einverst.</v>
          </cell>
          <cell r="B350" t="str">
            <v>DB Fernverkehr AG</v>
          </cell>
          <cell r="C350" t="str">
            <v>BahnCard 100-Service</v>
          </cell>
          <cell r="D350" t="str">
            <v>Prozess</v>
          </cell>
          <cell r="E350" t="str">
            <v>mit Kompens. nicht einverst.</v>
          </cell>
          <cell r="F350" t="str">
            <v>Sonstiges</v>
          </cell>
        </row>
        <row r="351">
          <cell r="A351" t="str">
            <v>DB Fernverkehr AGBahnCard 100-ServiceProzessVersand BC</v>
          </cell>
          <cell r="B351" t="str">
            <v>DB Fernverkehr AG</v>
          </cell>
          <cell r="C351" t="str">
            <v>BahnCard 100-Service</v>
          </cell>
          <cell r="D351" t="str">
            <v>Prozess</v>
          </cell>
          <cell r="E351" t="str">
            <v>Versand BC</v>
          </cell>
          <cell r="F351" t="str">
            <v>Sonstiges</v>
          </cell>
        </row>
        <row r="352">
          <cell r="A352" t="str">
            <v>DB Fernverkehr AGBahnCard 100-ServiceReisezentrumVerkauf falsche BC</v>
          </cell>
          <cell r="B352" t="str">
            <v>DB Fernverkehr AG</v>
          </cell>
          <cell r="C352" t="str">
            <v>BahnCard 100-Service</v>
          </cell>
          <cell r="D352" t="str">
            <v>Reisezentrum</v>
          </cell>
          <cell r="E352" t="str">
            <v>Verkauf falsche BC</v>
          </cell>
          <cell r="F352" t="str">
            <v>Sonstiges</v>
          </cell>
        </row>
        <row r="353">
          <cell r="A353" t="str">
            <v>DB Fernverkehr AGBahnCard 100-ServiceServiceleistungBearbeitungsdauer</v>
          </cell>
          <cell r="B353" t="str">
            <v>DB Fernverkehr AG</v>
          </cell>
          <cell r="C353" t="str">
            <v>BahnCard 100-Service</v>
          </cell>
          <cell r="D353" t="str">
            <v>Serviceleistung</v>
          </cell>
          <cell r="E353" t="str">
            <v>Bearbeitungsdauer</v>
          </cell>
          <cell r="F353" t="str">
            <v>Sonstiges</v>
          </cell>
        </row>
        <row r="354">
          <cell r="A354" t="str">
            <v>DB Fernverkehr AGBahnCard 100-ServiceServiceleistungErreichbarkeit</v>
          </cell>
          <cell r="B354" t="str">
            <v>DB Fernverkehr AG</v>
          </cell>
          <cell r="C354" t="str">
            <v>BahnCard 100-Service</v>
          </cell>
          <cell r="D354" t="str">
            <v>Serviceleistung</v>
          </cell>
          <cell r="E354" t="str">
            <v>Erreichbarkeit</v>
          </cell>
          <cell r="F354" t="str">
            <v>Sonstiges</v>
          </cell>
        </row>
        <row r="355">
          <cell r="A355" t="str">
            <v>DB Fernverkehr AGBahnCard 100-ServiceServiceleistungWortlaut/Grammatik</v>
          </cell>
          <cell r="B355" t="str">
            <v>DB Fernverkehr AG</v>
          </cell>
          <cell r="C355" t="str">
            <v>BahnCard 100-Service</v>
          </cell>
          <cell r="D355" t="str">
            <v>Serviceleistung</v>
          </cell>
          <cell r="E355" t="str">
            <v>Wortlaut/Grammatik</v>
          </cell>
          <cell r="F355" t="str">
            <v>Sonstiges</v>
          </cell>
        </row>
        <row r="356">
          <cell r="A356" t="str">
            <v>DB Fernverkehr AGBahnCard 100-ServiceServiceleistungVerhalten/Kompetenz</v>
          </cell>
          <cell r="B356" t="str">
            <v>DB Fernverkehr AG</v>
          </cell>
          <cell r="C356" t="str">
            <v>BahnCard 100-Service</v>
          </cell>
          <cell r="D356" t="str">
            <v>Serviceleistung</v>
          </cell>
          <cell r="E356" t="str">
            <v>Verhalten/Kompetenz</v>
          </cell>
          <cell r="F356" t="str">
            <v>Sonstiges</v>
          </cell>
        </row>
        <row r="357">
          <cell r="A357" t="str">
            <v>DB Fernverkehr AGBahnCard 100-ServiceServiceleistungunzureichende Bearbeitung</v>
          </cell>
          <cell r="B357" t="str">
            <v>DB Fernverkehr AG</v>
          </cell>
          <cell r="C357" t="str">
            <v>BahnCard 100-Service</v>
          </cell>
          <cell r="D357" t="str">
            <v>Serviceleistung</v>
          </cell>
          <cell r="E357" t="str">
            <v>unzureichende Bearbeitung</v>
          </cell>
          <cell r="F357" t="str">
            <v>Sonstiges</v>
          </cell>
        </row>
        <row r="358">
          <cell r="A358" t="str">
            <v>DB Fernverkehr AGBahnCard-ServiceAGBAngebotsbestimmungen</v>
          </cell>
          <cell r="B358" t="str">
            <v>DB Fernverkehr AG</v>
          </cell>
          <cell r="C358" t="str">
            <v>BahnCard-Service</v>
          </cell>
          <cell r="D358" t="str">
            <v>AGB</v>
          </cell>
          <cell r="E358" t="str">
            <v>Angebotsbestimmungen</v>
          </cell>
          <cell r="F358" t="str">
            <v>Sonstiges</v>
          </cell>
        </row>
        <row r="359">
          <cell r="A359" t="str">
            <v>DB Fernverkehr AGBahnCard-ServiceAGBAnerkennung im Verbund</v>
          </cell>
          <cell r="B359" t="str">
            <v>DB Fernverkehr AG</v>
          </cell>
          <cell r="C359" t="str">
            <v>BahnCard-Service</v>
          </cell>
          <cell r="D359" t="str">
            <v>AGB</v>
          </cell>
          <cell r="E359" t="str">
            <v>Anerkennung im Verbund</v>
          </cell>
          <cell r="F359" t="str">
            <v>Sonstiges</v>
          </cell>
        </row>
        <row r="360">
          <cell r="A360" t="str">
            <v>DB Fernverkehr AGBahnCard-ServiceAGBCity-Ticket</v>
          </cell>
          <cell r="B360" t="str">
            <v>DB Fernverkehr AG</v>
          </cell>
          <cell r="C360" t="str">
            <v>BahnCard-Service</v>
          </cell>
          <cell r="D360" t="str">
            <v>AGB</v>
          </cell>
          <cell r="E360" t="str">
            <v>City-Ticket</v>
          </cell>
          <cell r="F360" t="str">
            <v>Sonstiges</v>
          </cell>
        </row>
        <row r="361">
          <cell r="A361" t="str">
            <v>DB Fernverkehr AGBahnCard-ServiceAGBErsatzkarte</v>
          </cell>
          <cell r="B361" t="str">
            <v>DB Fernverkehr AG</v>
          </cell>
          <cell r="C361" t="str">
            <v>BahnCard-Service</v>
          </cell>
          <cell r="D361" t="str">
            <v>AGB</v>
          </cell>
          <cell r="E361" t="str">
            <v>Ersatzkarte</v>
          </cell>
          <cell r="F361" t="str">
            <v>Sonstiges</v>
          </cell>
        </row>
        <row r="362">
          <cell r="A362" t="str">
            <v>DB Fernverkehr AGBahnCard-ServiceAGBKündigungsbedingungen</v>
          </cell>
          <cell r="B362" t="str">
            <v>DB Fernverkehr AG</v>
          </cell>
          <cell r="C362" t="str">
            <v>BahnCard-Service</v>
          </cell>
          <cell r="D362" t="str">
            <v>AGB</v>
          </cell>
          <cell r="E362" t="str">
            <v>Kündigungsbedingungen</v>
          </cell>
          <cell r="F362" t="str">
            <v>Sonstiges</v>
          </cell>
        </row>
        <row r="363">
          <cell r="A363" t="str">
            <v>DB Fernverkehr AGBahnCard-ServiceAGBNachweise</v>
          </cell>
          <cell r="B363" t="str">
            <v>DB Fernverkehr AG</v>
          </cell>
          <cell r="C363" t="str">
            <v>BahnCard-Service</v>
          </cell>
          <cell r="D363" t="str">
            <v>AGB</v>
          </cell>
          <cell r="E363" t="str">
            <v>Nachweise</v>
          </cell>
          <cell r="F363" t="str">
            <v>Sonstiges</v>
          </cell>
        </row>
        <row r="364">
          <cell r="A364" t="str">
            <v>DB Fernverkehr AGBahnCard-ServiceAGBPreise/Gebühren</v>
          </cell>
          <cell r="B364" t="str">
            <v>DB Fernverkehr AG</v>
          </cell>
          <cell r="C364" t="str">
            <v>BahnCard-Service</v>
          </cell>
          <cell r="D364" t="str">
            <v>AGB</v>
          </cell>
          <cell r="E364" t="str">
            <v>Preise/Gebühren</v>
          </cell>
          <cell r="F364" t="str">
            <v>Sonstiges</v>
          </cell>
        </row>
        <row r="365">
          <cell r="A365" t="str">
            <v>DB Fernverkehr AGBahnCard-ServiceAGBPreiserhöhung</v>
          </cell>
          <cell r="B365" t="str">
            <v>DB Fernverkehr AG</v>
          </cell>
          <cell r="C365" t="str">
            <v>BahnCard-Service</v>
          </cell>
          <cell r="D365" t="str">
            <v>AGB</v>
          </cell>
          <cell r="E365" t="str">
            <v>Preiserhöhung</v>
          </cell>
          <cell r="F365" t="str">
            <v>Sonstiges</v>
          </cell>
        </row>
        <row r="366">
          <cell r="A366" t="str">
            <v>DB Fernverkehr AGBahnCard-ServiceAGBProdukte</v>
          </cell>
          <cell r="B366" t="str">
            <v>DB Fernverkehr AG</v>
          </cell>
          <cell r="C366" t="str">
            <v>BahnCard-Service</v>
          </cell>
          <cell r="D366" t="str">
            <v>AGB</v>
          </cell>
          <cell r="E366" t="str">
            <v>Produkte</v>
          </cell>
          <cell r="F366" t="str">
            <v>Sonstiges</v>
          </cell>
        </row>
        <row r="367">
          <cell r="A367" t="str">
            <v>DB Fernverkehr AGBahnCard-ServiceAGBVorverkaufsfrist</v>
          </cell>
          <cell r="B367" t="str">
            <v>DB Fernverkehr AG</v>
          </cell>
          <cell r="C367" t="str">
            <v>BahnCard-Service</v>
          </cell>
          <cell r="D367" t="str">
            <v>AGB</v>
          </cell>
          <cell r="E367" t="str">
            <v>Vorverkaufsfrist</v>
          </cell>
          <cell r="F367" t="str">
            <v>Sonstiges</v>
          </cell>
        </row>
        <row r="368">
          <cell r="A368" t="str">
            <v>DB Fernverkehr AGBahnCard-ServiceDatenschutzHerausgabe Kundendaten</v>
          </cell>
          <cell r="B368" t="str">
            <v>DB Fernverkehr AG</v>
          </cell>
          <cell r="C368" t="str">
            <v>BahnCard-Service</v>
          </cell>
          <cell r="D368" t="str">
            <v>Datenschutz</v>
          </cell>
          <cell r="E368" t="str">
            <v>Herausgabe Kundendaten</v>
          </cell>
          <cell r="F368" t="str">
            <v>Sonstiges</v>
          </cell>
        </row>
        <row r="369">
          <cell r="A369" t="str">
            <v>DB Fernverkehr AGBahnCard-ServiceDatenschutzIdentifikationsregeln</v>
          </cell>
          <cell r="B369" t="str">
            <v>DB Fernverkehr AG</v>
          </cell>
          <cell r="C369" t="str">
            <v>BahnCard-Service</v>
          </cell>
          <cell r="D369" t="str">
            <v>Datenschutz</v>
          </cell>
          <cell r="E369" t="str">
            <v>Identifikationsregeln</v>
          </cell>
          <cell r="F369" t="str">
            <v>Sonstiges</v>
          </cell>
        </row>
        <row r="370">
          <cell r="A370" t="str">
            <v>DB Fernverkehr AGBahnCard-ServiceOnline Servicekeine BC Bestellung möglich</v>
          </cell>
          <cell r="B370" t="str">
            <v>DB Fernverkehr AG</v>
          </cell>
          <cell r="C370" t="str">
            <v>BahnCard-Service</v>
          </cell>
          <cell r="D370" t="str">
            <v>Online Service</v>
          </cell>
          <cell r="E370" t="str">
            <v>keine BC Bestellung möglich</v>
          </cell>
          <cell r="F370" t="str">
            <v>Sonstiges</v>
          </cell>
        </row>
        <row r="371">
          <cell r="A371" t="str">
            <v>DB Fernverkehr AGBahnCard-ServiceProzessHotlinekosten</v>
          </cell>
          <cell r="B371" t="str">
            <v>DB Fernverkehr AG</v>
          </cell>
          <cell r="C371" t="str">
            <v>BahnCard-Service</v>
          </cell>
          <cell r="D371" t="str">
            <v>Prozess</v>
          </cell>
          <cell r="E371" t="str">
            <v>Hotlinekosten</v>
          </cell>
          <cell r="F371" t="str">
            <v>Sonstiges</v>
          </cell>
        </row>
        <row r="372">
          <cell r="A372" t="str">
            <v>DB Fernverkehr AGBahnCard-ServiceProzessmit Kompens. nicht einverst.</v>
          </cell>
          <cell r="B372" t="str">
            <v>DB Fernverkehr AG</v>
          </cell>
          <cell r="C372" t="str">
            <v>BahnCard-Service</v>
          </cell>
          <cell r="D372" t="str">
            <v>Prozess</v>
          </cell>
          <cell r="E372" t="str">
            <v>mit Kompens. nicht einverst.</v>
          </cell>
          <cell r="F372" t="str">
            <v>Sonstiges</v>
          </cell>
        </row>
        <row r="373">
          <cell r="A373" t="str">
            <v>DB Fernverkehr AGBahnCard-ServiceProzessVersand BC</v>
          </cell>
          <cell r="B373" t="str">
            <v>DB Fernverkehr AG</v>
          </cell>
          <cell r="C373" t="str">
            <v>BahnCard-Service</v>
          </cell>
          <cell r="D373" t="str">
            <v>Prozess</v>
          </cell>
          <cell r="E373" t="str">
            <v>Versand BC</v>
          </cell>
          <cell r="F373" t="str">
            <v>Sonstiges</v>
          </cell>
        </row>
        <row r="374">
          <cell r="A374" t="str">
            <v>DB Fernverkehr AGBahnCard-ServiceReisezentrumVerkauf falsche BC</v>
          </cell>
          <cell r="B374" t="str">
            <v>DB Fernverkehr AG</v>
          </cell>
          <cell r="C374" t="str">
            <v>BahnCard-Service</v>
          </cell>
          <cell r="D374" t="str">
            <v>Reisezentrum</v>
          </cell>
          <cell r="E374" t="str">
            <v>Verkauf falsche BC</v>
          </cell>
          <cell r="F374" t="str">
            <v>Sonstiges</v>
          </cell>
        </row>
        <row r="375">
          <cell r="A375" t="str">
            <v>DB Fernverkehr AGBahnCard-ServiceServiceleistungAnliegen nicht erkannt</v>
          </cell>
          <cell r="B375" t="str">
            <v>DB Fernverkehr AG</v>
          </cell>
          <cell r="C375" t="str">
            <v>BahnCard-Service</v>
          </cell>
          <cell r="D375" t="str">
            <v>Serviceleistung</v>
          </cell>
          <cell r="E375" t="str">
            <v>Anliegen nicht erkannt</v>
          </cell>
          <cell r="F375" t="str">
            <v>Sonstiges</v>
          </cell>
        </row>
        <row r="376">
          <cell r="A376" t="str">
            <v>DB Fernverkehr AGBahnCard-ServiceServiceleistungBearbeitungsdauer</v>
          </cell>
          <cell r="B376" t="str">
            <v>DB Fernverkehr AG</v>
          </cell>
          <cell r="C376" t="str">
            <v>BahnCard-Service</v>
          </cell>
          <cell r="D376" t="str">
            <v>Serviceleistung</v>
          </cell>
          <cell r="E376" t="str">
            <v>Bearbeitungsdauer</v>
          </cell>
          <cell r="F376" t="str">
            <v>Sonstiges</v>
          </cell>
        </row>
        <row r="377">
          <cell r="A377" t="str">
            <v>DB Fernverkehr AGBahnCard-ServiceServiceleistungErreichbarkeit</v>
          </cell>
          <cell r="B377" t="str">
            <v>DB Fernverkehr AG</v>
          </cell>
          <cell r="C377" t="str">
            <v>BahnCard-Service</v>
          </cell>
          <cell r="D377" t="str">
            <v>Serviceleistung</v>
          </cell>
          <cell r="E377" t="str">
            <v>Erreichbarkeit</v>
          </cell>
          <cell r="F377" t="str">
            <v>Sonstiges</v>
          </cell>
        </row>
        <row r="378">
          <cell r="A378" t="str">
            <v>DB Fernverkehr AGBahnCard-ServiceServiceleistungWortlaut/Grammatik</v>
          </cell>
          <cell r="B378" t="str">
            <v>DB Fernverkehr AG</v>
          </cell>
          <cell r="C378" t="str">
            <v>BahnCard-Service</v>
          </cell>
          <cell r="D378" t="str">
            <v>Serviceleistung</v>
          </cell>
          <cell r="E378" t="str">
            <v>Wortlaut/Grammatik</v>
          </cell>
          <cell r="F378" t="str">
            <v>Sonstiges</v>
          </cell>
        </row>
        <row r="379">
          <cell r="A379" t="str">
            <v>DB Fernverkehr AGBahnCard-ServiceServiceleistungVerhalten/Kompetenz</v>
          </cell>
          <cell r="B379" t="str">
            <v>DB Fernverkehr AG</v>
          </cell>
          <cell r="C379" t="str">
            <v>BahnCard-Service</v>
          </cell>
          <cell r="D379" t="str">
            <v>Serviceleistung</v>
          </cell>
          <cell r="E379" t="str">
            <v>Verhalten/Kompetenz</v>
          </cell>
          <cell r="F379" t="str">
            <v>Sonstiges</v>
          </cell>
        </row>
        <row r="380">
          <cell r="A380" t="str">
            <v>DB Fernverkehr AGBahnCard-ServiceServiceleistungunzureichende Bearbeitung</v>
          </cell>
          <cell r="B380" t="str">
            <v>DB Fernverkehr AG</v>
          </cell>
          <cell r="C380" t="str">
            <v>BahnCard-Service</v>
          </cell>
          <cell r="D380" t="str">
            <v>Serviceleistung</v>
          </cell>
          <cell r="E380" t="str">
            <v>unzureichende Bearbeitung</v>
          </cell>
          <cell r="F380" t="str">
            <v>Sonstiges</v>
          </cell>
        </row>
        <row r="381">
          <cell r="A381" t="str">
            <v>DB Fernverkehr AGDB AgenturenBeratungsqualität</v>
          </cell>
          <cell r="B381" t="str">
            <v>DB Fernverkehr AG</v>
          </cell>
          <cell r="C381" t="str">
            <v>DB Agenturen</v>
          </cell>
          <cell r="D381" t="str">
            <v>Beratungsqualität</v>
          </cell>
          <cell r="E381">
            <v>0</v>
          </cell>
          <cell r="F381" t="str">
            <v>Vertrieb</v>
          </cell>
        </row>
        <row r="382">
          <cell r="A382" t="str">
            <v>DB Fernverkehr AGDB AgenturenDauer des Kaufvorgangs</v>
          </cell>
          <cell r="B382" t="str">
            <v>DB Fernverkehr AG</v>
          </cell>
          <cell r="C382" t="str">
            <v>DB Agenturen</v>
          </cell>
          <cell r="D382" t="str">
            <v>Dauer des Kaufvorgangs</v>
          </cell>
          <cell r="E382">
            <v>0</v>
          </cell>
          <cell r="F382" t="str">
            <v>Vertrieb</v>
          </cell>
        </row>
        <row r="383">
          <cell r="A383" t="str">
            <v>DB Fernverkehr AGDB AgenturenEinfachheit des Verkaufs</v>
          </cell>
          <cell r="B383" t="str">
            <v>DB Fernverkehr AG</v>
          </cell>
          <cell r="C383" t="str">
            <v>DB Agenturen</v>
          </cell>
          <cell r="D383" t="str">
            <v>Einfachheit des Verkaufs</v>
          </cell>
          <cell r="E383">
            <v>0</v>
          </cell>
          <cell r="F383" t="str">
            <v>Vertrieb</v>
          </cell>
        </row>
        <row r="384">
          <cell r="A384" t="str">
            <v>DB Fernverkehr AGDB AgenturenErscheinungsbild/Auftreten</v>
          </cell>
          <cell r="B384" t="str">
            <v>DB Fernverkehr AG</v>
          </cell>
          <cell r="C384" t="str">
            <v>DB Agenturen</v>
          </cell>
          <cell r="D384" t="str">
            <v>Erscheinungsbild/Auftreten</v>
          </cell>
          <cell r="E384">
            <v>0</v>
          </cell>
          <cell r="F384" t="str">
            <v>Vertrieb</v>
          </cell>
        </row>
        <row r="385">
          <cell r="A385" t="str">
            <v>DB Fernverkehr AGDB AgenturenFreundlichkeit</v>
          </cell>
          <cell r="B385" t="str">
            <v>DB Fernverkehr AG</v>
          </cell>
          <cell r="C385" t="str">
            <v>DB Agenturen</v>
          </cell>
          <cell r="D385" t="str">
            <v>Freundlichkeit</v>
          </cell>
          <cell r="E385">
            <v>0</v>
          </cell>
          <cell r="F385" t="str">
            <v>Vertrieb</v>
          </cell>
        </row>
        <row r="386">
          <cell r="A386" t="str">
            <v>DB Fernverkehr AGDB AgenturenGestaltung</v>
          </cell>
          <cell r="B386" t="str">
            <v>DB Fernverkehr AG</v>
          </cell>
          <cell r="C386" t="str">
            <v>DB Agenturen</v>
          </cell>
          <cell r="D386" t="str">
            <v>Gestaltung</v>
          </cell>
          <cell r="E386">
            <v>0</v>
          </cell>
          <cell r="F386" t="str">
            <v>Vertrieb</v>
          </cell>
        </row>
        <row r="387">
          <cell r="A387" t="str">
            <v>DB Fernverkehr AGDB AgenturenInformation ü. Unregelmäßigk.</v>
          </cell>
          <cell r="B387" t="str">
            <v>DB Fernverkehr AG</v>
          </cell>
          <cell r="C387" t="str">
            <v>DB Agenturen</v>
          </cell>
          <cell r="D387" t="str">
            <v>Information ü. Unregelmäßigk.</v>
          </cell>
          <cell r="E387">
            <v>0</v>
          </cell>
          <cell r="F387" t="str">
            <v>Vertrieb</v>
          </cell>
        </row>
        <row r="388">
          <cell r="A388" t="str">
            <v>DB Fernverkehr AGDB AgenturenWartezeit</v>
          </cell>
          <cell r="B388" t="str">
            <v>DB Fernverkehr AG</v>
          </cell>
          <cell r="C388" t="str">
            <v>DB Agenturen</v>
          </cell>
          <cell r="D388" t="str">
            <v>Wartezeit</v>
          </cell>
          <cell r="E388">
            <v>0</v>
          </cell>
          <cell r="F388" t="str">
            <v>Vertrieb</v>
          </cell>
        </row>
        <row r="389">
          <cell r="A389" t="str">
            <v>DB Fernverkehr AGEntwerterVerfügbarkeit</v>
          </cell>
          <cell r="B389" t="str">
            <v>DB Fernverkehr AG</v>
          </cell>
          <cell r="C389" t="str">
            <v>Entwerter</v>
          </cell>
          <cell r="D389" t="str">
            <v>Verfügbarkeit</v>
          </cell>
          <cell r="E389">
            <v>0</v>
          </cell>
          <cell r="F389" t="str">
            <v>Vertrieb</v>
          </cell>
        </row>
        <row r="390">
          <cell r="A390" t="str">
            <v>DB Fernverkehr AGEntwertertechnische Zuverlässigkeit</v>
          </cell>
          <cell r="B390" t="str">
            <v>DB Fernverkehr AG</v>
          </cell>
          <cell r="C390" t="str">
            <v>Entwerter</v>
          </cell>
          <cell r="D390" t="str">
            <v>technische Zuverlässigkeit</v>
          </cell>
          <cell r="E390">
            <v>0</v>
          </cell>
          <cell r="F390" t="str">
            <v>Vertrieb</v>
          </cell>
        </row>
        <row r="391">
          <cell r="A391" t="str">
            <v>DB Fernverkehr AGFahrplangestaltungAnschlüsse</v>
          </cell>
          <cell r="B391" t="str">
            <v>DB Fernverkehr AG</v>
          </cell>
          <cell r="C391" t="str">
            <v>Fahrplangestaltung</v>
          </cell>
          <cell r="D391" t="str">
            <v>Anschlüsse</v>
          </cell>
          <cell r="E391">
            <v>0</v>
          </cell>
          <cell r="F391" t="str">
            <v>Fahrplanangebot</v>
          </cell>
        </row>
        <row r="392">
          <cell r="A392" t="str">
            <v>DB Regio AGFahrplangestaltungAnschlüsseNicht spezifiziert</v>
          </cell>
          <cell r="B392" t="str">
            <v>DB Regio AG</v>
          </cell>
          <cell r="C392" t="str">
            <v>Fahrplangestaltung</v>
          </cell>
          <cell r="D392" t="str">
            <v>Anschlüsse</v>
          </cell>
          <cell r="E392" t="str">
            <v>Nicht spezifiziert</v>
          </cell>
          <cell r="F392" t="str">
            <v>Fahrplanangebot</v>
          </cell>
        </row>
        <row r="393">
          <cell r="A393" t="str">
            <v>DB Fernverkehr AGFahrplangestaltungHäufigkeit Verbindung</v>
          </cell>
          <cell r="B393" t="str">
            <v>DB Fernverkehr AG</v>
          </cell>
          <cell r="C393" t="str">
            <v>Fahrplangestaltung</v>
          </cell>
          <cell r="D393" t="str">
            <v>Häufigkeit Verbindung</v>
          </cell>
          <cell r="E393">
            <v>0</v>
          </cell>
          <cell r="F393" t="str">
            <v>Fahrplanangebot</v>
          </cell>
        </row>
        <row r="394">
          <cell r="A394" t="str">
            <v>DB Fernverkehr AGFahrplangestaltungÄnderung Produkt</v>
          </cell>
          <cell r="B394" t="str">
            <v>DB Fernverkehr AG</v>
          </cell>
          <cell r="C394" t="str">
            <v>Fahrplangestaltung</v>
          </cell>
          <cell r="D394" t="str">
            <v>Änderung Produkt</v>
          </cell>
          <cell r="E394">
            <v>0</v>
          </cell>
          <cell r="F394" t="str">
            <v>Fahrplanangebot</v>
          </cell>
        </row>
        <row r="395">
          <cell r="A395" t="str">
            <v>DB Fernverkehr AGFahrplangestaltungÄnderung Reiseweg</v>
          </cell>
          <cell r="B395" t="str">
            <v>DB Fernverkehr AG</v>
          </cell>
          <cell r="C395" t="str">
            <v>Fahrplangestaltung</v>
          </cell>
          <cell r="D395" t="str">
            <v>Änderung Reiseweg</v>
          </cell>
          <cell r="E395">
            <v>0</v>
          </cell>
          <cell r="F395" t="str">
            <v>Fahrplanangebot</v>
          </cell>
        </row>
        <row r="396">
          <cell r="A396" t="str">
            <v>DB Fernverkehr AGFahrplangestaltungÄnderung Reisezeit</v>
          </cell>
          <cell r="B396" t="str">
            <v>DB Fernverkehr AG</v>
          </cell>
          <cell r="C396" t="str">
            <v>Fahrplangestaltung</v>
          </cell>
          <cell r="D396" t="str">
            <v>Änderung Reisezeit</v>
          </cell>
          <cell r="E396">
            <v>0</v>
          </cell>
          <cell r="F396" t="str">
            <v>Fahrplanangebot</v>
          </cell>
        </row>
        <row r="397">
          <cell r="A397" t="str">
            <v>DB Fernverkehr AGFahrpreisnacherhebungBearbeitung und Reaktion</v>
          </cell>
          <cell r="B397" t="str">
            <v>DB Fernverkehr AG</v>
          </cell>
          <cell r="C397" t="str">
            <v>Fahrpreisnacherhebung</v>
          </cell>
          <cell r="D397" t="str">
            <v>Bearbeitung und Reaktion</v>
          </cell>
          <cell r="E397">
            <v>0</v>
          </cell>
          <cell r="F397" t="str">
            <v>Vertrieb</v>
          </cell>
        </row>
        <row r="398">
          <cell r="A398" t="str">
            <v>DB Fernverkehr AGFahrpreisnacherhebungBeratungsqualität</v>
          </cell>
          <cell r="B398" t="str">
            <v>DB Fernverkehr AG</v>
          </cell>
          <cell r="C398" t="str">
            <v>Fahrpreisnacherhebung</v>
          </cell>
          <cell r="D398" t="str">
            <v>Beratungsqualität</v>
          </cell>
          <cell r="E398">
            <v>0</v>
          </cell>
          <cell r="F398" t="str">
            <v>Vertrieb</v>
          </cell>
        </row>
        <row r="399">
          <cell r="A399" t="str">
            <v>DB Fernverkehr AGFahrpreisnacherhebungDauer der Bearbeitung</v>
          </cell>
          <cell r="B399" t="str">
            <v>DB Fernverkehr AG</v>
          </cell>
          <cell r="C399" t="str">
            <v>Fahrpreisnacherhebung</v>
          </cell>
          <cell r="D399" t="str">
            <v>Dauer der Bearbeitung</v>
          </cell>
          <cell r="E399">
            <v>0</v>
          </cell>
          <cell r="F399" t="str">
            <v>Vertrieb</v>
          </cell>
        </row>
        <row r="400">
          <cell r="A400" t="str">
            <v>DB Fernverkehr AGFahrpreisnacherhebungEinfachheit Kontaktaufnahme</v>
          </cell>
          <cell r="B400" t="str">
            <v>DB Fernverkehr AG</v>
          </cell>
          <cell r="C400" t="str">
            <v>Fahrpreisnacherhebung</v>
          </cell>
          <cell r="D400" t="str">
            <v>Einfachheit Kontaktaufnahme</v>
          </cell>
          <cell r="E400">
            <v>0</v>
          </cell>
          <cell r="F400" t="str">
            <v>Vertrieb</v>
          </cell>
        </row>
        <row r="401">
          <cell r="A401" t="str">
            <v>DB Fernverkehr AGFahrpreisnacherhebungFreundlichkeit</v>
          </cell>
          <cell r="B401" t="str">
            <v>DB Fernverkehr AG</v>
          </cell>
          <cell r="C401" t="str">
            <v>Fahrpreisnacherhebung</v>
          </cell>
          <cell r="D401" t="str">
            <v>Freundlichkeit</v>
          </cell>
          <cell r="E401">
            <v>0</v>
          </cell>
          <cell r="F401" t="str">
            <v>Vertrieb</v>
          </cell>
        </row>
        <row r="402">
          <cell r="A402" t="str">
            <v>DB Fernverkehr AGFahrpreisnacherhebungKosten</v>
          </cell>
          <cell r="B402" t="str">
            <v>DB Fernverkehr AG</v>
          </cell>
          <cell r="C402" t="str">
            <v>Fahrpreisnacherhebung</v>
          </cell>
          <cell r="D402" t="str">
            <v>Kosten</v>
          </cell>
          <cell r="E402">
            <v>0</v>
          </cell>
          <cell r="F402" t="str">
            <v>Vertrieb</v>
          </cell>
        </row>
        <row r="403">
          <cell r="A403" t="str">
            <v>DB Fernverkehr AGFahrpreisnacherhebungMahngebühren</v>
          </cell>
          <cell r="B403" t="str">
            <v>DB Fernverkehr AG</v>
          </cell>
          <cell r="C403" t="str">
            <v>Fahrpreisnacherhebung</v>
          </cell>
          <cell r="D403" t="str">
            <v>Mahngebühren</v>
          </cell>
          <cell r="E403">
            <v>0</v>
          </cell>
          <cell r="F403" t="str">
            <v>Vertrieb</v>
          </cell>
        </row>
        <row r="404">
          <cell r="A404" t="str">
            <v>DB Fernverkehr AGFahrpreisnacherhebungWartezeit Telefon</v>
          </cell>
          <cell r="B404" t="str">
            <v>DB Fernverkehr AG</v>
          </cell>
          <cell r="C404" t="str">
            <v>Fahrpreisnacherhebung</v>
          </cell>
          <cell r="D404" t="str">
            <v>Wartezeit Telefon</v>
          </cell>
          <cell r="E404">
            <v>0</v>
          </cell>
          <cell r="F404" t="str">
            <v>Vertrieb</v>
          </cell>
        </row>
        <row r="405">
          <cell r="A405" t="str">
            <v>DB Fernverkehr AGGruppenhotlineBearbeitung und Reaktion</v>
          </cell>
          <cell r="B405" t="str">
            <v>DB Fernverkehr AG</v>
          </cell>
          <cell r="C405" t="str">
            <v>Gruppenhotline</v>
          </cell>
          <cell r="D405" t="str">
            <v>Bearbeitung und Reaktion</v>
          </cell>
          <cell r="E405">
            <v>0</v>
          </cell>
          <cell r="F405" t="str">
            <v>Vertrieb</v>
          </cell>
        </row>
        <row r="406">
          <cell r="A406" t="str">
            <v>DB Fernverkehr AGGruppenhotlineBeratungsqualität</v>
          </cell>
          <cell r="B406" t="str">
            <v>DB Fernverkehr AG</v>
          </cell>
          <cell r="C406" t="str">
            <v>Gruppenhotline</v>
          </cell>
          <cell r="D406" t="str">
            <v>Beratungsqualität</v>
          </cell>
          <cell r="E406">
            <v>0</v>
          </cell>
          <cell r="F406" t="str">
            <v>Vertrieb</v>
          </cell>
        </row>
        <row r="407">
          <cell r="A407" t="str">
            <v>DB Fernverkehr AGGruppenhotlineDauer der Bearbeitung</v>
          </cell>
          <cell r="B407" t="str">
            <v>DB Fernverkehr AG</v>
          </cell>
          <cell r="C407" t="str">
            <v>Gruppenhotline</v>
          </cell>
          <cell r="D407" t="str">
            <v>Dauer der Bearbeitung</v>
          </cell>
          <cell r="E407">
            <v>0</v>
          </cell>
          <cell r="F407" t="str">
            <v>Vertrieb</v>
          </cell>
        </row>
        <row r="408">
          <cell r="A408" t="str">
            <v>DB Fernverkehr AGGruppenhotlineEinfachheit Kontaktaufnahme</v>
          </cell>
          <cell r="B408" t="str">
            <v>DB Fernverkehr AG</v>
          </cell>
          <cell r="C408" t="str">
            <v>Gruppenhotline</v>
          </cell>
          <cell r="D408" t="str">
            <v>Einfachheit Kontaktaufnahme</v>
          </cell>
          <cell r="E408">
            <v>0</v>
          </cell>
          <cell r="F408" t="str">
            <v>Vertrieb</v>
          </cell>
        </row>
        <row r="409">
          <cell r="A409" t="str">
            <v>DB Fernverkehr AGGruppenhotlineFreundlichkeit</v>
          </cell>
          <cell r="B409" t="str">
            <v>DB Fernverkehr AG</v>
          </cell>
          <cell r="C409" t="str">
            <v>Gruppenhotline</v>
          </cell>
          <cell r="D409" t="str">
            <v>Freundlichkeit</v>
          </cell>
          <cell r="E409">
            <v>0</v>
          </cell>
          <cell r="F409" t="str">
            <v>Vertrieb</v>
          </cell>
        </row>
        <row r="410">
          <cell r="A410" t="str">
            <v>DB Fernverkehr AGGruppenhotlineKosten</v>
          </cell>
          <cell r="B410" t="str">
            <v>DB Fernverkehr AG</v>
          </cell>
          <cell r="C410" t="str">
            <v>Gruppenhotline</v>
          </cell>
          <cell r="D410" t="str">
            <v>Kosten</v>
          </cell>
          <cell r="E410">
            <v>0</v>
          </cell>
          <cell r="F410" t="str">
            <v>Vertrieb</v>
          </cell>
        </row>
        <row r="411">
          <cell r="A411" t="str">
            <v>DB Fernverkehr AGGruppenhotlineWartezeit Telefon</v>
          </cell>
          <cell r="B411" t="str">
            <v>DB Fernverkehr AG</v>
          </cell>
          <cell r="C411" t="str">
            <v>Gruppenhotline</v>
          </cell>
          <cell r="D411" t="str">
            <v>Wartezeit Telefon</v>
          </cell>
          <cell r="E411">
            <v>0</v>
          </cell>
          <cell r="F411" t="str">
            <v>Vertrieb</v>
          </cell>
        </row>
        <row r="412">
          <cell r="A412" t="str">
            <v>DB Fernverkehr AGHandyDarstellung Preisinformationen</v>
          </cell>
          <cell r="B412" t="str">
            <v>DB Fernverkehr AG</v>
          </cell>
          <cell r="C412" t="str">
            <v>Handy</v>
          </cell>
          <cell r="D412" t="str">
            <v>Darstellung Preisinformationen</v>
          </cell>
          <cell r="E412">
            <v>0</v>
          </cell>
          <cell r="F412" t="str">
            <v>Vertrieb</v>
          </cell>
        </row>
        <row r="413">
          <cell r="A413" t="str">
            <v>DB Fernverkehr AGHandyDarstellung Zugverbindungen</v>
          </cell>
          <cell r="B413" t="str">
            <v>DB Fernverkehr AG</v>
          </cell>
          <cell r="C413" t="str">
            <v>Handy</v>
          </cell>
          <cell r="D413" t="str">
            <v>Darstellung Zugverbindungen</v>
          </cell>
          <cell r="E413">
            <v>0</v>
          </cell>
          <cell r="F413" t="str">
            <v>Vertrieb</v>
          </cell>
        </row>
        <row r="414">
          <cell r="A414" t="str">
            <v>DB Fernverkehr AGHandyDauer des Kaufvorgangs</v>
          </cell>
          <cell r="B414" t="str">
            <v>DB Fernverkehr AG</v>
          </cell>
          <cell r="C414" t="str">
            <v>Handy</v>
          </cell>
          <cell r="D414" t="str">
            <v>Dauer des Kaufvorgangs</v>
          </cell>
          <cell r="E414">
            <v>0</v>
          </cell>
          <cell r="F414" t="str">
            <v>Vertrieb</v>
          </cell>
        </row>
        <row r="415">
          <cell r="A415" t="str">
            <v>DB Fernverkehr AGHandyEinfachheit des Kaufs</v>
          </cell>
          <cell r="B415" t="str">
            <v>DB Fernverkehr AG</v>
          </cell>
          <cell r="C415" t="str">
            <v>Handy</v>
          </cell>
          <cell r="D415" t="str">
            <v>Einfachheit des Kaufs</v>
          </cell>
          <cell r="E415">
            <v>0</v>
          </cell>
          <cell r="F415" t="str">
            <v>Vertrieb</v>
          </cell>
        </row>
        <row r="416">
          <cell r="A416" t="str">
            <v>DB Fernverkehr AGHandyGestaltung/Design</v>
          </cell>
          <cell r="B416" t="str">
            <v>DB Fernverkehr AG</v>
          </cell>
          <cell r="C416" t="str">
            <v>Handy</v>
          </cell>
          <cell r="D416" t="str">
            <v>Gestaltung/Design</v>
          </cell>
          <cell r="E416">
            <v>0</v>
          </cell>
          <cell r="F416" t="str">
            <v>Vertrieb</v>
          </cell>
        </row>
        <row r="417">
          <cell r="A417" t="str">
            <v>DB Fernverkehr AGHandyInformation ü. Unregelmäßigk.</v>
          </cell>
          <cell r="B417" t="str">
            <v>DB Fernverkehr AG</v>
          </cell>
          <cell r="C417" t="str">
            <v>Handy</v>
          </cell>
          <cell r="D417" t="str">
            <v>Information ü. Unregelmäßigk.</v>
          </cell>
          <cell r="E417">
            <v>0</v>
          </cell>
          <cell r="F417" t="str">
            <v>Vertrieb</v>
          </cell>
        </row>
        <row r="418">
          <cell r="A418" t="str">
            <v>DB Fernverkehr AGHandyInformationsqualität</v>
          </cell>
          <cell r="B418" t="str">
            <v>DB Fernverkehr AG</v>
          </cell>
          <cell r="C418" t="str">
            <v>Handy</v>
          </cell>
          <cell r="D418" t="str">
            <v>Informationsqualität</v>
          </cell>
          <cell r="E418">
            <v>0</v>
          </cell>
          <cell r="F418" t="str">
            <v>Vertrieb</v>
          </cell>
        </row>
        <row r="419">
          <cell r="A419" t="str">
            <v>DB Fernverkehr AGHandyMöglichk. Fahrkartenüberm.</v>
          </cell>
          <cell r="B419" t="str">
            <v>DB Fernverkehr AG</v>
          </cell>
          <cell r="C419" t="str">
            <v>Handy</v>
          </cell>
          <cell r="D419" t="str">
            <v>Möglichk. Fahrkartenüberm.</v>
          </cell>
          <cell r="E419">
            <v>0</v>
          </cell>
          <cell r="F419" t="str">
            <v>Vertrieb</v>
          </cell>
        </row>
        <row r="420">
          <cell r="A420" t="str">
            <v>DB Fernverkehr AGHandyZahlungsmöglichkeiten</v>
          </cell>
          <cell r="B420" t="str">
            <v>DB Fernverkehr AG</v>
          </cell>
          <cell r="C420" t="str">
            <v>Handy</v>
          </cell>
          <cell r="D420" t="str">
            <v>Zahlungsmöglichkeiten</v>
          </cell>
          <cell r="E420">
            <v>0</v>
          </cell>
          <cell r="F420" t="str">
            <v>Vertrieb</v>
          </cell>
        </row>
        <row r="421">
          <cell r="A421" t="str">
            <v>DB Fernverkehr AGInternetDarstellung Preisinformationen</v>
          </cell>
          <cell r="B421" t="str">
            <v>DB Fernverkehr AG</v>
          </cell>
          <cell r="C421" t="str">
            <v>Internet</v>
          </cell>
          <cell r="D421" t="str">
            <v>Darstellung Preisinformationen</v>
          </cell>
          <cell r="E421">
            <v>0</v>
          </cell>
          <cell r="F421" t="str">
            <v>Vertrieb</v>
          </cell>
        </row>
        <row r="422">
          <cell r="A422" t="str">
            <v>DB Fernverkehr AGInternetDarstellung Zugverbindungen</v>
          </cell>
          <cell r="B422" t="str">
            <v>DB Fernverkehr AG</v>
          </cell>
          <cell r="C422" t="str">
            <v>Internet</v>
          </cell>
          <cell r="D422" t="str">
            <v>Darstellung Zugverbindungen</v>
          </cell>
          <cell r="E422">
            <v>0</v>
          </cell>
          <cell r="F422" t="str">
            <v>Vertrieb</v>
          </cell>
        </row>
        <row r="423">
          <cell r="A423" t="str">
            <v>DB Fernverkehr AGInternetDauer des Kaufvorgangs</v>
          </cell>
          <cell r="B423" t="str">
            <v>DB Fernverkehr AG</v>
          </cell>
          <cell r="C423" t="str">
            <v>Internet</v>
          </cell>
          <cell r="D423" t="str">
            <v>Dauer des Kaufvorgangs</v>
          </cell>
          <cell r="E423">
            <v>0</v>
          </cell>
          <cell r="F423" t="str">
            <v>Vertrieb</v>
          </cell>
        </row>
        <row r="424">
          <cell r="A424" t="str">
            <v>DB Fernverkehr AGInternetEinfachheit des Kaufs</v>
          </cell>
          <cell r="B424" t="str">
            <v>DB Fernverkehr AG</v>
          </cell>
          <cell r="C424" t="str">
            <v>Internet</v>
          </cell>
          <cell r="D424" t="str">
            <v>Einfachheit des Kaufs</v>
          </cell>
          <cell r="E424">
            <v>0</v>
          </cell>
          <cell r="F424" t="str">
            <v>Vertrieb</v>
          </cell>
        </row>
        <row r="425">
          <cell r="A425" t="str">
            <v>DB Fernverkehr AGInternetGestaltung/Design Seite</v>
          </cell>
          <cell r="B425" t="str">
            <v>DB Fernverkehr AG</v>
          </cell>
          <cell r="C425" t="str">
            <v>Internet</v>
          </cell>
          <cell r="D425" t="str">
            <v>Gestaltung/Design Seite</v>
          </cell>
          <cell r="E425">
            <v>0</v>
          </cell>
          <cell r="F425" t="str">
            <v>Vertrieb</v>
          </cell>
        </row>
        <row r="426">
          <cell r="A426" t="str">
            <v>DB Fernverkehr AGInternetInformation ü. Unregelmäßigk.</v>
          </cell>
          <cell r="B426" t="str">
            <v>DB Fernverkehr AG</v>
          </cell>
          <cell r="C426" t="str">
            <v>Internet</v>
          </cell>
          <cell r="D426" t="str">
            <v>Information ü. Unregelmäßigk.</v>
          </cell>
          <cell r="E426">
            <v>0</v>
          </cell>
          <cell r="F426" t="str">
            <v>Vertrieb</v>
          </cell>
        </row>
        <row r="427">
          <cell r="A427" t="str">
            <v>DB Fernverkehr AGInternetInformationsqualität</v>
          </cell>
          <cell r="B427" t="str">
            <v>DB Fernverkehr AG</v>
          </cell>
          <cell r="C427" t="str">
            <v>Internet</v>
          </cell>
          <cell r="D427" t="str">
            <v>Informationsqualität</v>
          </cell>
          <cell r="E427">
            <v>0</v>
          </cell>
          <cell r="F427" t="str">
            <v>Vertrieb</v>
          </cell>
        </row>
        <row r="428">
          <cell r="A428" t="str">
            <v>DB Fernverkehr AGInternetMöglichk. Fahrkartenüberm.</v>
          </cell>
          <cell r="B428" t="str">
            <v>DB Fernverkehr AG</v>
          </cell>
          <cell r="C428" t="str">
            <v>Internet</v>
          </cell>
          <cell r="D428" t="str">
            <v>Möglichk. Fahrkartenüberm.</v>
          </cell>
          <cell r="E428">
            <v>0</v>
          </cell>
          <cell r="F428" t="str">
            <v>Vertrieb</v>
          </cell>
        </row>
        <row r="429">
          <cell r="A429" t="str">
            <v>DB Fernverkehr AGInternetZahlungsmöglichkeiten</v>
          </cell>
          <cell r="B429" t="str">
            <v>DB Fernverkehr AG</v>
          </cell>
          <cell r="C429" t="str">
            <v>Internet</v>
          </cell>
          <cell r="D429" t="str">
            <v>Zahlungsmöglichkeiten</v>
          </cell>
          <cell r="E429">
            <v>0</v>
          </cell>
          <cell r="F429" t="str">
            <v>Vertrieb</v>
          </cell>
        </row>
        <row r="430">
          <cell r="A430" t="str">
            <v>DB Fernverkehr AGInternettechnische Zuverlässigkeit</v>
          </cell>
          <cell r="B430" t="str">
            <v>DB Fernverkehr AG</v>
          </cell>
          <cell r="C430" t="str">
            <v>Internet</v>
          </cell>
          <cell r="D430" t="str">
            <v>technische Zuverlässigkeit</v>
          </cell>
          <cell r="E430">
            <v>0</v>
          </cell>
          <cell r="F430" t="str">
            <v>Vertrieb</v>
          </cell>
        </row>
        <row r="431">
          <cell r="A431" t="str">
            <v>DB Fernverkehr AGKategorie nicht vorhanden</v>
          </cell>
          <cell r="B431" t="str">
            <v>DB Fernverkehr AG</v>
          </cell>
          <cell r="C431" t="str">
            <v>Kategorie nicht vorhanden</v>
          </cell>
          <cell r="D431">
            <v>0</v>
          </cell>
          <cell r="E431">
            <v>0</v>
          </cell>
          <cell r="F431" t="str">
            <v>Sonstiges</v>
          </cell>
        </row>
        <row r="432">
          <cell r="A432" t="str">
            <v>DB Fernverkehr AGKonzernthemenMobilitätseingeschr. ReisendeEinrichtungen</v>
          </cell>
          <cell r="B432" t="str">
            <v>DB Fernverkehr AG</v>
          </cell>
          <cell r="C432" t="str">
            <v>Konzernthemen</v>
          </cell>
          <cell r="D432" t="str">
            <v>Mobilitätseingeschr. Reisende</v>
          </cell>
          <cell r="E432" t="str">
            <v>Einrichtungen</v>
          </cell>
          <cell r="F432" t="str">
            <v>Sonstiges</v>
          </cell>
        </row>
        <row r="433">
          <cell r="A433" t="str">
            <v>DB Fernverkehr AGKonzernthemenMobilitätseingeschr. ReisendeInformation</v>
          </cell>
          <cell r="B433" t="str">
            <v>DB Fernverkehr AG</v>
          </cell>
          <cell r="C433" t="str">
            <v>Konzernthemen</v>
          </cell>
          <cell r="D433" t="str">
            <v>Mobilitätseingeschr. Reisende</v>
          </cell>
          <cell r="E433" t="str">
            <v>Information</v>
          </cell>
          <cell r="F433" t="str">
            <v>Sonstiges</v>
          </cell>
        </row>
        <row r="434">
          <cell r="A434" t="str">
            <v>DB Fernverkehr AGKonzernthemenMobilitätseingeschr. ReisendeTarif/Angebote</v>
          </cell>
          <cell r="B434" t="str">
            <v>DB Fernverkehr AG</v>
          </cell>
          <cell r="C434" t="str">
            <v>Konzernthemen</v>
          </cell>
          <cell r="D434" t="str">
            <v>Mobilitätseingeschr. Reisende</v>
          </cell>
          <cell r="E434" t="str">
            <v>Tarif/Angebote</v>
          </cell>
          <cell r="F434" t="str">
            <v>Sonstiges</v>
          </cell>
        </row>
        <row r="435">
          <cell r="A435" t="str">
            <v>DB Fernverkehr AGKonzernthemenEntschuldigungskarte</v>
          </cell>
          <cell r="B435" t="str">
            <v>DB Fernverkehr AG</v>
          </cell>
          <cell r="C435" t="str">
            <v>Konzernthemen</v>
          </cell>
          <cell r="D435" t="str">
            <v>Entschuldigungskarte</v>
          </cell>
          <cell r="E435">
            <v>0</v>
          </cell>
          <cell r="F435" t="str">
            <v>Sonstiges</v>
          </cell>
        </row>
        <row r="436">
          <cell r="A436" t="str">
            <v>DB Fernverkehr AGKonzernthemenStreik</v>
          </cell>
          <cell r="B436" t="str">
            <v>DB Fernverkehr AG</v>
          </cell>
          <cell r="C436" t="str">
            <v>Konzernthemen</v>
          </cell>
          <cell r="D436" t="str">
            <v>Streik</v>
          </cell>
          <cell r="E436">
            <v>0</v>
          </cell>
          <cell r="F436" t="str">
            <v>Sonstiges</v>
          </cell>
        </row>
        <row r="437">
          <cell r="A437" t="str">
            <v>DB Fernverkehr AGKonzernthemenStuttgart 21</v>
          </cell>
          <cell r="B437" t="str">
            <v>DB Fernverkehr AG</v>
          </cell>
          <cell r="C437" t="str">
            <v>Konzernthemen</v>
          </cell>
          <cell r="D437" t="str">
            <v>Stuttgart 21</v>
          </cell>
          <cell r="E437">
            <v>0</v>
          </cell>
          <cell r="F437" t="str">
            <v>Sonstiges</v>
          </cell>
        </row>
        <row r="438">
          <cell r="A438" t="str">
            <v>DB Fernverkehr AGKonzernthemenUmweltAbfall</v>
          </cell>
          <cell r="B438" t="str">
            <v>DB Fernverkehr AG</v>
          </cell>
          <cell r="C438" t="str">
            <v>Konzernthemen</v>
          </cell>
          <cell r="D438" t="str">
            <v>Umwelt</v>
          </cell>
          <cell r="E438" t="str">
            <v>Abfall</v>
          </cell>
          <cell r="F438" t="str">
            <v>Sonstiges</v>
          </cell>
        </row>
        <row r="439">
          <cell r="A439" t="str">
            <v>DB Fernverkehr AGKonzernthemenUmweltLärmbelastung</v>
          </cell>
          <cell r="B439" t="str">
            <v>DB Fernverkehr AG</v>
          </cell>
          <cell r="C439" t="str">
            <v>Konzernthemen</v>
          </cell>
          <cell r="D439" t="str">
            <v>Umwelt</v>
          </cell>
          <cell r="E439" t="str">
            <v>Lärmbelastung</v>
          </cell>
          <cell r="F439" t="str">
            <v>Sonstiges</v>
          </cell>
        </row>
        <row r="440">
          <cell r="A440" t="str">
            <v>DB Fernverkehr AGKonzernthemenUmweltPartikelemission</v>
          </cell>
          <cell r="B440" t="str">
            <v>DB Fernverkehr AG</v>
          </cell>
          <cell r="C440" t="str">
            <v>Konzernthemen</v>
          </cell>
          <cell r="D440" t="str">
            <v>Umwelt</v>
          </cell>
          <cell r="E440" t="str">
            <v>Partikelemission</v>
          </cell>
          <cell r="F440" t="str">
            <v>Sonstiges</v>
          </cell>
        </row>
        <row r="441">
          <cell r="A441" t="str">
            <v>DB Fernverkehr AGKonzernthemenVerbesserungsvorschlag</v>
          </cell>
          <cell r="B441" t="str">
            <v>DB Fernverkehr AG</v>
          </cell>
          <cell r="C441" t="str">
            <v>Konzernthemen</v>
          </cell>
          <cell r="D441" t="str">
            <v>Verbesserungsvorschlag</v>
          </cell>
          <cell r="E441">
            <v>0</v>
          </cell>
          <cell r="F441" t="str">
            <v>Sonstiges</v>
          </cell>
        </row>
        <row r="442">
          <cell r="A442" t="str">
            <v>DB Fernverkehr AGKonzernthemenIC Bus</v>
          </cell>
          <cell r="B442" t="str">
            <v>DB Fernverkehr AG</v>
          </cell>
          <cell r="C442" t="str">
            <v>Konzernthemen</v>
          </cell>
          <cell r="D442" t="str">
            <v>IC Bus</v>
          </cell>
          <cell r="E442">
            <v>0</v>
          </cell>
          <cell r="F442" t="str">
            <v>Sonstiges</v>
          </cell>
        </row>
        <row r="443">
          <cell r="A443" t="str">
            <v>DB Fernverkehr AGKonzernthemenUmstellung Rufnummer</v>
          </cell>
          <cell r="B443" t="str">
            <v>DB Fernverkehr AG</v>
          </cell>
          <cell r="C443" t="str">
            <v>Konzernthemen</v>
          </cell>
          <cell r="D443" t="str">
            <v>Umstellung Rufnummer</v>
          </cell>
          <cell r="E443">
            <v>0</v>
          </cell>
          <cell r="F443" t="str">
            <v>Sonstiges</v>
          </cell>
        </row>
        <row r="444">
          <cell r="A444" t="str">
            <v>DB Fernverkehr AGKundendialogBearbeitung und ReaktionAnf. v. Unterlagen</v>
          </cell>
          <cell r="B444" t="str">
            <v>DB Fernverkehr AG</v>
          </cell>
          <cell r="C444" t="str">
            <v>Kundendialog</v>
          </cell>
          <cell r="D444" t="str">
            <v>Bearbeitung und Reaktion</v>
          </cell>
          <cell r="E444" t="str">
            <v>Anf. v. Unterlagen</v>
          </cell>
          <cell r="F444" t="str">
            <v>Sonstiges</v>
          </cell>
        </row>
        <row r="445">
          <cell r="A445" t="str">
            <v>DB Fernverkehr AGKundendialogBearbeitung und ReaktionAnsprache aller Themen</v>
          </cell>
          <cell r="B445" t="str">
            <v>DB Fernverkehr AG</v>
          </cell>
          <cell r="C445" t="str">
            <v>Kundendialog</v>
          </cell>
          <cell r="D445" t="str">
            <v>Bearbeitung und Reaktion</v>
          </cell>
          <cell r="E445" t="str">
            <v>Ansprache aller Themen</v>
          </cell>
          <cell r="F445" t="str">
            <v>Sonstiges</v>
          </cell>
        </row>
        <row r="446">
          <cell r="A446" t="str">
            <v>DB Fernverkehr AGKundendialogBearbeitung und ReaktionGutschein Kulanzumtausch</v>
          </cell>
          <cell r="B446" t="str">
            <v>DB Fernverkehr AG</v>
          </cell>
          <cell r="C446" t="str">
            <v>Kundendialog</v>
          </cell>
          <cell r="D446" t="str">
            <v>Bearbeitung und Reaktion</v>
          </cell>
          <cell r="E446" t="str">
            <v>Gutschein Kulanzumtausch</v>
          </cell>
          <cell r="F446" t="str">
            <v>Sonstiges</v>
          </cell>
        </row>
        <row r="447">
          <cell r="A447" t="str">
            <v>DB Fernverkehr AGKundendialogBearbeitung und ReaktionVerwendung Textbaustein</v>
          </cell>
          <cell r="B447" t="str">
            <v>DB Fernverkehr AG</v>
          </cell>
          <cell r="C447" t="str">
            <v>Kundendialog</v>
          </cell>
          <cell r="D447" t="str">
            <v>Bearbeitung und Reaktion</v>
          </cell>
          <cell r="E447" t="str">
            <v>Verwendung Textbaustein</v>
          </cell>
          <cell r="F447" t="str">
            <v>Sonstiges</v>
          </cell>
        </row>
        <row r="448">
          <cell r="A448" t="str">
            <v>DB Fernverkehr AGKundendialogBearbeitung und ReaktionKompensation/Ablehnung</v>
          </cell>
          <cell r="B448" t="str">
            <v>DB Fernverkehr AG</v>
          </cell>
          <cell r="C448" t="str">
            <v>Kundendialog</v>
          </cell>
          <cell r="D448" t="str">
            <v>Bearbeitung und Reaktion</v>
          </cell>
          <cell r="E448" t="str">
            <v>Kompensation/Ablehnung</v>
          </cell>
          <cell r="F448" t="str">
            <v>Sonstiges</v>
          </cell>
        </row>
        <row r="449">
          <cell r="A449" t="str">
            <v>DB Fernverkehr AGKundendialogBearbeitung und ReaktionVerständnis für Anliegen</v>
          </cell>
          <cell r="B449" t="str">
            <v>DB Fernverkehr AG</v>
          </cell>
          <cell r="C449" t="str">
            <v>Kundendialog</v>
          </cell>
          <cell r="D449" t="str">
            <v>Bearbeitung und Reaktion</v>
          </cell>
          <cell r="E449" t="str">
            <v>Verständnis für Anliegen</v>
          </cell>
          <cell r="F449" t="str">
            <v>Sonstiges</v>
          </cell>
        </row>
        <row r="450">
          <cell r="A450" t="str">
            <v>DB Fernverkehr AGKundendialogBeratungsqualität</v>
          </cell>
          <cell r="B450" t="str">
            <v>DB Fernverkehr AG</v>
          </cell>
          <cell r="C450" t="str">
            <v>Kundendialog</v>
          </cell>
          <cell r="D450" t="str">
            <v>Beratungsqualität</v>
          </cell>
          <cell r="E450">
            <v>0</v>
          </cell>
          <cell r="F450" t="str">
            <v>Sonstiges</v>
          </cell>
        </row>
        <row r="451">
          <cell r="A451" t="str">
            <v>DB Fernverkehr AGKundendialogDauer der Bearbeitung</v>
          </cell>
          <cell r="B451" t="str">
            <v>DB Fernverkehr AG</v>
          </cell>
          <cell r="C451" t="str">
            <v>Kundendialog</v>
          </cell>
          <cell r="D451" t="str">
            <v>Dauer der Bearbeitung</v>
          </cell>
          <cell r="E451">
            <v>0</v>
          </cell>
          <cell r="F451" t="str">
            <v>Sonstiges</v>
          </cell>
        </row>
        <row r="452">
          <cell r="A452" t="str">
            <v>DB Fernverkehr AGKundendialogEinfachheit Kontaktaufnahme</v>
          </cell>
          <cell r="B452" t="str">
            <v>DB Fernverkehr AG</v>
          </cell>
          <cell r="C452" t="str">
            <v>Kundendialog</v>
          </cell>
          <cell r="D452" t="str">
            <v>Einfachheit Kontaktaufnahme</v>
          </cell>
          <cell r="E452">
            <v>0</v>
          </cell>
          <cell r="F452" t="str">
            <v>Sonstiges</v>
          </cell>
        </row>
        <row r="453">
          <cell r="A453" t="str">
            <v>DB Fernverkehr AGKundendialogFreundlichkeit</v>
          </cell>
          <cell r="B453" t="str">
            <v>DB Fernverkehr AG</v>
          </cell>
          <cell r="C453" t="str">
            <v>Kundendialog</v>
          </cell>
          <cell r="D453" t="str">
            <v>Freundlichkeit</v>
          </cell>
          <cell r="E453">
            <v>0</v>
          </cell>
          <cell r="F453" t="str">
            <v>Sonstiges</v>
          </cell>
        </row>
        <row r="454">
          <cell r="A454" t="str">
            <v>DB Fernverkehr AGKundendialogWartezeit Telefon</v>
          </cell>
          <cell r="B454" t="str">
            <v>DB Fernverkehr AG</v>
          </cell>
          <cell r="C454" t="str">
            <v>Kundendialog</v>
          </cell>
          <cell r="D454" t="str">
            <v>Wartezeit Telefon</v>
          </cell>
          <cell r="E454">
            <v>0</v>
          </cell>
          <cell r="F454" t="str">
            <v>Sonstiges</v>
          </cell>
        </row>
        <row r="455">
          <cell r="A455" t="str">
            <v>DB Fernverkehr AGKundendialog DB RegioBearbeitung und ReaktionAnsprache aller Themen</v>
          </cell>
          <cell r="B455" t="str">
            <v>DB Fernverkehr AG</v>
          </cell>
          <cell r="C455" t="str">
            <v>Kundendialog DB Regio</v>
          </cell>
          <cell r="D455" t="str">
            <v>Bearbeitung und Reaktion</v>
          </cell>
          <cell r="E455" t="str">
            <v>Ansprache aller Themen</v>
          </cell>
          <cell r="F455" t="str">
            <v>Sonstiges</v>
          </cell>
        </row>
        <row r="456">
          <cell r="A456" t="str">
            <v>DB Fernverkehr AGKundendialog DB RegioBearbeitung und ReaktionBescheinigung</v>
          </cell>
          <cell r="B456" t="str">
            <v>DB Fernverkehr AG</v>
          </cell>
          <cell r="C456" t="str">
            <v>Kundendialog DB Regio</v>
          </cell>
          <cell r="D456" t="str">
            <v>Bearbeitung und Reaktion</v>
          </cell>
          <cell r="E456" t="str">
            <v>Bescheinigung</v>
          </cell>
          <cell r="F456" t="str">
            <v>Sonstiges</v>
          </cell>
        </row>
        <row r="457">
          <cell r="A457" t="str">
            <v>DB Fernverkehr AGKundendialog DB RegioBearbeitung und ReaktionFundsachen</v>
          </cell>
          <cell r="B457" t="str">
            <v>DB Fernverkehr AG</v>
          </cell>
          <cell r="C457" t="str">
            <v>Kundendialog DB Regio</v>
          </cell>
          <cell r="D457" t="str">
            <v>Bearbeitung und Reaktion</v>
          </cell>
          <cell r="E457" t="str">
            <v>Fundsachen</v>
          </cell>
          <cell r="F457" t="str">
            <v>Sonstiges</v>
          </cell>
        </row>
        <row r="458">
          <cell r="A458" t="str">
            <v>DB Fernverkehr AGKundendialog DB RegioBearbeitung und ReaktionVerwendung Textbaustein</v>
          </cell>
          <cell r="B458" t="str">
            <v>DB Fernverkehr AG</v>
          </cell>
          <cell r="C458" t="str">
            <v>Kundendialog DB Regio</v>
          </cell>
          <cell r="D458" t="str">
            <v>Bearbeitung und Reaktion</v>
          </cell>
          <cell r="E458" t="str">
            <v>Verwendung Textbaustein</v>
          </cell>
          <cell r="F458" t="str">
            <v>Sonstiges</v>
          </cell>
        </row>
        <row r="459">
          <cell r="A459" t="str">
            <v>DB Fernverkehr AGKundendialog DB RegioBearbeitung und ReaktionKlasse unterwegs</v>
          </cell>
          <cell r="B459" t="str">
            <v>DB Fernverkehr AG</v>
          </cell>
          <cell r="C459" t="str">
            <v>Kundendialog DB Regio</v>
          </cell>
          <cell r="D459" t="str">
            <v>Bearbeitung und Reaktion</v>
          </cell>
          <cell r="E459" t="str">
            <v>Klasse unterwegs</v>
          </cell>
          <cell r="F459" t="str">
            <v>Sonstiges</v>
          </cell>
        </row>
        <row r="460">
          <cell r="A460" t="str">
            <v>DB Fernverkehr AGKundendialog DB RegioBearbeitung und ReaktionKompensation/Ablehnung</v>
          </cell>
          <cell r="B460" t="str">
            <v>DB Fernverkehr AG</v>
          </cell>
          <cell r="C460" t="str">
            <v>Kundendialog DB Regio</v>
          </cell>
          <cell r="D460" t="str">
            <v>Bearbeitung und Reaktion</v>
          </cell>
          <cell r="E460" t="str">
            <v>Kompensation/Ablehnung</v>
          </cell>
          <cell r="F460" t="str">
            <v>Sonstiges</v>
          </cell>
        </row>
        <row r="461">
          <cell r="A461" t="str">
            <v>DB Fernverkehr AGKundendialog DB RegioBearbeitung und ReaktionVerständnis für Anliegen</v>
          </cell>
          <cell r="B461" t="str">
            <v>DB Fernverkehr AG</v>
          </cell>
          <cell r="C461" t="str">
            <v>Kundendialog DB Regio</v>
          </cell>
          <cell r="D461" t="str">
            <v>Bearbeitung und Reaktion</v>
          </cell>
          <cell r="E461" t="str">
            <v>Verständnis für Anliegen</v>
          </cell>
          <cell r="F461" t="str">
            <v>Sonstiges</v>
          </cell>
        </row>
        <row r="462">
          <cell r="A462" t="str">
            <v>DB Fernverkehr AGKundendialog DB RegioBearbeitung und ReaktionWeiterleitung/Vermittlung</v>
          </cell>
          <cell r="B462" t="str">
            <v>DB Fernverkehr AG</v>
          </cell>
          <cell r="C462" t="str">
            <v>Kundendialog DB Regio</v>
          </cell>
          <cell r="D462" t="str">
            <v>Bearbeitung und Reaktion</v>
          </cell>
          <cell r="E462" t="str">
            <v>Weiterleitung/Vermittlung</v>
          </cell>
          <cell r="F462" t="str">
            <v>Sonstiges</v>
          </cell>
        </row>
        <row r="463">
          <cell r="A463" t="str">
            <v>DB Fernverkehr AGKundendialog DB RegioDauer der Bearbeitung</v>
          </cell>
          <cell r="B463" t="str">
            <v>DB Fernverkehr AG</v>
          </cell>
          <cell r="C463" t="str">
            <v>Kundendialog DB Regio</v>
          </cell>
          <cell r="D463" t="str">
            <v>Dauer der Bearbeitung</v>
          </cell>
          <cell r="E463">
            <v>0</v>
          </cell>
          <cell r="F463" t="str">
            <v>Sonstiges</v>
          </cell>
        </row>
        <row r="464">
          <cell r="A464" t="str">
            <v>DB Fernverkehr AGKundendialog DB RegioEinfachheit Kontaktaufnahme</v>
          </cell>
          <cell r="B464" t="str">
            <v>DB Fernverkehr AG</v>
          </cell>
          <cell r="C464" t="str">
            <v>Kundendialog DB Regio</v>
          </cell>
          <cell r="D464" t="str">
            <v>Einfachheit Kontaktaufnahme</v>
          </cell>
          <cell r="E464">
            <v>0</v>
          </cell>
          <cell r="F464" t="str">
            <v>Sonstiges</v>
          </cell>
        </row>
        <row r="465">
          <cell r="A465" t="str">
            <v>DB Fernverkehr AGKundendialog DB RegioFreundlichkeit</v>
          </cell>
          <cell r="B465" t="str">
            <v>DB Fernverkehr AG</v>
          </cell>
          <cell r="C465" t="str">
            <v>Kundendialog DB Regio</v>
          </cell>
          <cell r="D465" t="str">
            <v>Freundlichkeit</v>
          </cell>
          <cell r="E465">
            <v>0</v>
          </cell>
          <cell r="F465" t="str">
            <v>Sonstiges</v>
          </cell>
        </row>
        <row r="466">
          <cell r="A466" t="str">
            <v>DB Fernverkehr AGKundendialog DB RegioKosten</v>
          </cell>
          <cell r="B466" t="str">
            <v>DB Fernverkehr AG</v>
          </cell>
          <cell r="C466" t="str">
            <v>Kundendialog DB Regio</v>
          </cell>
          <cell r="D466" t="str">
            <v>Kosten</v>
          </cell>
          <cell r="E466">
            <v>0</v>
          </cell>
          <cell r="F466" t="str">
            <v>Sonstiges</v>
          </cell>
        </row>
        <row r="467">
          <cell r="A467" t="str">
            <v>DB Fernverkehr AGKundendialog DB RegioWartezeit</v>
          </cell>
          <cell r="B467" t="str">
            <v>DB Fernverkehr AG</v>
          </cell>
          <cell r="C467" t="str">
            <v>Kundendialog DB Regio</v>
          </cell>
          <cell r="D467" t="str">
            <v>Wartezeit</v>
          </cell>
          <cell r="E467">
            <v>0</v>
          </cell>
          <cell r="F467" t="str">
            <v>Sonstiges</v>
          </cell>
        </row>
        <row r="468">
          <cell r="A468" t="str">
            <v>DB Fernverkehr AGLoungeAngebot</v>
          </cell>
          <cell r="B468" t="str">
            <v>DB Fernverkehr AG</v>
          </cell>
          <cell r="C468" t="str">
            <v>Lounge</v>
          </cell>
          <cell r="D468" t="str">
            <v>Angebot</v>
          </cell>
          <cell r="E468">
            <v>0</v>
          </cell>
          <cell r="F468" t="str">
            <v>Sonstiges</v>
          </cell>
        </row>
        <row r="469">
          <cell r="A469" t="str">
            <v>DB Fernverkehr AGLoungeAuslastung</v>
          </cell>
          <cell r="B469" t="str">
            <v>DB Fernverkehr AG</v>
          </cell>
          <cell r="C469" t="str">
            <v>Lounge</v>
          </cell>
          <cell r="D469" t="str">
            <v>Auslastung</v>
          </cell>
          <cell r="E469">
            <v>0</v>
          </cell>
          <cell r="F469" t="str">
            <v>Sonstiges</v>
          </cell>
        </row>
        <row r="470">
          <cell r="A470" t="str">
            <v>DB Fernverkehr AGLoungeBeratungsqualität</v>
          </cell>
          <cell r="B470" t="str">
            <v>DB Fernverkehr AG</v>
          </cell>
          <cell r="C470" t="str">
            <v>Lounge</v>
          </cell>
          <cell r="D470" t="str">
            <v>Beratungsqualität</v>
          </cell>
          <cell r="E470">
            <v>0</v>
          </cell>
          <cell r="F470" t="str">
            <v>Sonstiges</v>
          </cell>
        </row>
        <row r="471">
          <cell r="A471" t="str">
            <v>DB Fernverkehr AGLoungeDauer des Kaufvorgangs</v>
          </cell>
          <cell r="B471" t="str">
            <v>DB Fernverkehr AG</v>
          </cell>
          <cell r="C471" t="str">
            <v>Lounge</v>
          </cell>
          <cell r="D471" t="str">
            <v>Dauer des Kaufvorgangs</v>
          </cell>
          <cell r="E471">
            <v>0</v>
          </cell>
          <cell r="F471" t="str">
            <v>Sonstiges</v>
          </cell>
        </row>
        <row r="472">
          <cell r="A472" t="str">
            <v>DB Fernverkehr AGLoungeEinfachheit des Verkaufs</v>
          </cell>
          <cell r="B472" t="str">
            <v>DB Fernverkehr AG</v>
          </cell>
          <cell r="C472" t="str">
            <v>Lounge</v>
          </cell>
          <cell r="D472" t="str">
            <v>Einfachheit des Verkaufs</v>
          </cell>
          <cell r="E472">
            <v>0</v>
          </cell>
          <cell r="F472" t="str">
            <v>Sonstiges</v>
          </cell>
        </row>
        <row r="473">
          <cell r="A473" t="str">
            <v>DB Fernverkehr AGLoungeErscheinungsbild/Auftreten</v>
          </cell>
          <cell r="B473" t="str">
            <v>DB Fernverkehr AG</v>
          </cell>
          <cell r="C473" t="str">
            <v>Lounge</v>
          </cell>
          <cell r="D473" t="str">
            <v>Erscheinungsbild/Auftreten</v>
          </cell>
          <cell r="E473">
            <v>0</v>
          </cell>
          <cell r="F473" t="str">
            <v>Sonstiges</v>
          </cell>
        </row>
        <row r="474">
          <cell r="A474" t="str">
            <v>DB Fernverkehr AGLoungeFreundlichkeit</v>
          </cell>
          <cell r="B474" t="str">
            <v>DB Fernverkehr AG</v>
          </cell>
          <cell r="C474" t="str">
            <v>Lounge</v>
          </cell>
          <cell r="D474" t="str">
            <v>Freundlichkeit</v>
          </cell>
          <cell r="E474">
            <v>0</v>
          </cell>
          <cell r="F474" t="str">
            <v>Sonstiges</v>
          </cell>
        </row>
        <row r="475">
          <cell r="A475" t="str">
            <v>DB Fernverkehr AGLoungeGestaltung</v>
          </cell>
          <cell r="B475" t="str">
            <v>DB Fernverkehr AG</v>
          </cell>
          <cell r="C475" t="str">
            <v>Lounge</v>
          </cell>
          <cell r="D475" t="str">
            <v>Gestaltung</v>
          </cell>
          <cell r="E475">
            <v>0</v>
          </cell>
          <cell r="F475" t="str">
            <v>Sonstiges</v>
          </cell>
        </row>
        <row r="476">
          <cell r="A476" t="str">
            <v>DB Fernverkehr AGLoungeInformation ü. Unregelmäßigk.</v>
          </cell>
          <cell r="B476" t="str">
            <v>DB Fernverkehr AG</v>
          </cell>
          <cell r="C476" t="str">
            <v>Lounge</v>
          </cell>
          <cell r="D476" t="str">
            <v>Information ü. Unregelmäßigk.</v>
          </cell>
          <cell r="E476">
            <v>0</v>
          </cell>
          <cell r="F476" t="str">
            <v>Sonstiges</v>
          </cell>
        </row>
        <row r="477">
          <cell r="A477" t="str">
            <v>DB Fernverkehr AGLoungeInformationsqualität</v>
          </cell>
          <cell r="B477" t="str">
            <v>DB Fernverkehr AG</v>
          </cell>
          <cell r="C477" t="str">
            <v>Lounge</v>
          </cell>
          <cell r="D477" t="str">
            <v>Informationsqualität</v>
          </cell>
          <cell r="E477">
            <v>0</v>
          </cell>
          <cell r="F477" t="str">
            <v>Sonstiges</v>
          </cell>
        </row>
        <row r="478">
          <cell r="A478" t="str">
            <v>DB Fernverkehr AGLoungeVerfügbarkeit</v>
          </cell>
          <cell r="B478" t="str">
            <v>DB Fernverkehr AG</v>
          </cell>
          <cell r="C478" t="str">
            <v>Lounge</v>
          </cell>
          <cell r="D478" t="str">
            <v>Verfügbarkeit</v>
          </cell>
          <cell r="E478">
            <v>0</v>
          </cell>
          <cell r="F478" t="str">
            <v>Sonstiges</v>
          </cell>
        </row>
        <row r="479">
          <cell r="A479" t="str">
            <v>DB Fernverkehr AGLoungeWartezeit</v>
          </cell>
          <cell r="B479" t="str">
            <v>DB Fernverkehr AG</v>
          </cell>
          <cell r="C479" t="str">
            <v>Lounge</v>
          </cell>
          <cell r="D479" t="str">
            <v>Wartezeit</v>
          </cell>
          <cell r="E479">
            <v>0</v>
          </cell>
          <cell r="F479" t="str">
            <v>Sonstiges</v>
          </cell>
        </row>
        <row r="480">
          <cell r="A480" t="str">
            <v>DB Fernverkehr AGMobilitätshotline/Kids on tourBearbeitung und Reaktion</v>
          </cell>
          <cell r="B480" t="str">
            <v>DB Fernverkehr AG</v>
          </cell>
          <cell r="C480" t="str">
            <v>Mobilitätshotline/Kids on tour</v>
          </cell>
          <cell r="D480" t="str">
            <v>Bearbeitung und Reaktion</v>
          </cell>
          <cell r="E480">
            <v>0</v>
          </cell>
          <cell r="F480" t="str">
            <v>Sonstiges</v>
          </cell>
        </row>
        <row r="481">
          <cell r="A481" t="str">
            <v>DB Fernverkehr AGMobilitätshotline/Kids on tourBeratungsqualität</v>
          </cell>
          <cell r="B481" t="str">
            <v>DB Fernverkehr AG</v>
          </cell>
          <cell r="C481" t="str">
            <v>Mobilitätshotline/Kids on tour</v>
          </cell>
          <cell r="D481" t="str">
            <v>Beratungsqualität</v>
          </cell>
          <cell r="E481">
            <v>0</v>
          </cell>
          <cell r="F481" t="str">
            <v>Sonstiges</v>
          </cell>
        </row>
        <row r="482">
          <cell r="A482" t="str">
            <v>DB Fernverkehr AGMobilitätshotline/Kids on tourDauer der Bearbeitung</v>
          </cell>
          <cell r="B482" t="str">
            <v>DB Fernverkehr AG</v>
          </cell>
          <cell r="C482" t="str">
            <v>Mobilitätshotline/Kids on tour</v>
          </cell>
          <cell r="D482" t="str">
            <v>Dauer der Bearbeitung</v>
          </cell>
          <cell r="E482">
            <v>0</v>
          </cell>
          <cell r="F482" t="str">
            <v>Sonstiges</v>
          </cell>
        </row>
        <row r="483">
          <cell r="A483" t="str">
            <v>DB Fernverkehr AGMobilitätshotline/Kids on tourEinfachheit Kontaktaufnahme</v>
          </cell>
          <cell r="B483" t="str">
            <v>DB Fernverkehr AG</v>
          </cell>
          <cell r="C483" t="str">
            <v>Mobilitätshotline/Kids on tour</v>
          </cell>
          <cell r="D483" t="str">
            <v>Einfachheit Kontaktaufnahme</v>
          </cell>
          <cell r="E483">
            <v>0</v>
          </cell>
          <cell r="F483" t="str">
            <v>Sonstiges</v>
          </cell>
        </row>
        <row r="484">
          <cell r="A484" t="str">
            <v>DB Fernverkehr AGMobilitätshotline/Kids on tourFreundlichkeit</v>
          </cell>
          <cell r="B484" t="str">
            <v>DB Fernverkehr AG</v>
          </cell>
          <cell r="C484" t="str">
            <v>Mobilitätshotline/Kids on tour</v>
          </cell>
          <cell r="D484" t="str">
            <v>Freundlichkeit</v>
          </cell>
          <cell r="E484">
            <v>0</v>
          </cell>
          <cell r="F484" t="str">
            <v>Sonstiges</v>
          </cell>
        </row>
        <row r="485">
          <cell r="A485" t="str">
            <v>DB Fernverkehr AGMobilitätshotline/Kids on tourKosten</v>
          </cell>
          <cell r="B485" t="str">
            <v>DB Fernverkehr AG</v>
          </cell>
          <cell r="C485" t="str">
            <v>Mobilitätshotline/Kids on tour</v>
          </cell>
          <cell r="D485" t="str">
            <v>Kosten</v>
          </cell>
          <cell r="E485">
            <v>0</v>
          </cell>
          <cell r="F485" t="str">
            <v>Sonstiges</v>
          </cell>
        </row>
        <row r="486">
          <cell r="A486" t="str">
            <v>DB Fernverkehr AGMobilitätshotline/Kids on tourWartezeit Telefon</v>
          </cell>
          <cell r="B486" t="str">
            <v>DB Fernverkehr AG</v>
          </cell>
          <cell r="C486" t="str">
            <v>Mobilitätshotline/Kids on tour</v>
          </cell>
          <cell r="D486" t="str">
            <v>Wartezeit Telefon</v>
          </cell>
          <cell r="E486">
            <v>0</v>
          </cell>
          <cell r="F486" t="str">
            <v>Sonstiges</v>
          </cell>
        </row>
        <row r="487">
          <cell r="A487" t="str">
            <v>DB Fernverkehr AGOnline-ServiceBearbeitung und Reaktion</v>
          </cell>
          <cell r="B487" t="str">
            <v>DB Fernverkehr AG</v>
          </cell>
          <cell r="C487" t="str">
            <v>Online-Service</v>
          </cell>
          <cell r="D487" t="str">
            <v>Bearbeitung und Reaktion</v>
          </cell>
          <cell r="E487">
            <v>0</v>
          </cell>
          <cell r="F487" t="str">
            <v>Vertrieb</v>
          </cell>
        </row>
        <row r="488">
          <cell r="A488" t="str">
            <v>DB Fernverkehr AGOnline-ServiceBeratungsqualität</v>
          </cell>
          <cell r="B488" t="str">
            <v>DB Fernverkehr AG</v>
          </cell>
          <cell r="C488" t="str">
            <v>Online-Service</v>
          </cell>
          <cell r="D488" t="str">
            <v>Beratungsqualität</v>
          </cell>
          <cell r="E488">
            <v>0</v>
          </cell>
          <cell r="F488" t="str">
            <v>Vertrieb</v>
          </cell>
        </row>
        <row r="489">
          <cell r="A489" t="str">
            <v>DB Fernverkehr AGOnline-ServiceDauer der Bearbeitung</v>
          </cell>
          <cell r="B489" t="str">
            <v>DB Fernverkehr AG</v>
          </cell>
          <cell r="C489" t="str">
            <v>Online-Service</v>
          </cell>
          <cell r="D489" t="str">
            <v>Dauer der Bearbeitung</v>
          </cell>
          <cell r="E489">
            <v>0</v>
          </cell>
          <cell r="F489" t="str">
            <v>Vertrieb</v>
          </cell>
        </row>
        <row r="490">
          <cell r="A490" t="str">
            <v>DB Fernverkehr AGOnline-ServiceEinfachheit Kontaktaufnahme</v>
          </cell>
          <cell r="B490" t="str">
            <v>DB Fernverkehr AG</v>
          </cell>
          <cell r="C490" t="str">
            <v>Online-Service</v>
          </cell>
          <cell r="D490" t="str">
            <v>Einfachheit Kontaktaufnahme</v>
          </cell>
          <cell r="E490">
            <v>0</v>
          </cell>
          <cell r="F490" t="str">
            <v>Vertrieb</v>
          </cell>
        </row>
        <row r="491">
          <cell r="A491" t="str">
            <v>DB Fernverkehr AGOnline-ServiceFreundlichkeit</v>
          </cell>
          <cell r="B491" t="str">
            <v>DB Fernverkehr AG</v>
          </cell>
          <cell r="C491" t="str">
            <v>Online-Service</v>
          </cell>
          <cell r="D491" t="str">
            <v>Freundlichkeit</v>
          </cell>
          <cell r="E491">
            <v>0</v>
          </cell>
          <cell r="F491" t="str">
            <v>Vertrieb</v>
          </cell>
        </row>
        <row r="492">
          <cell r="A492" t="str">
            <v>DB Fernverkehr AGOnline-ServiceKosten</v>
          </cell>
          <cell r="B492" t="str">
            <v>DB Fernverkehr AG</v>
          </cell>
          <cell r="C492" t="str">
            <v>Online-Service</v>
          </cell>
          <cell r="D492" t="str">
            <v>Kosten</v>
          </cell>
          <cell r="E492">
            <v>0</v>
          </cell>
          <cell r="F492" t="str">
            <v>Vertrieb</v>
          </cell>
        </row>
        <row r="493">
          <cell r="A493" t="str">
            <v>DB Fernverkehr AGOnline-ServiceWartezeit Telefon</v>
          </cell>
          <cell r="B493" t="str">
            <v>DB Fernverkehr AG</v>
          </cell>
          <cell r="C493" t="str">
            <v>Online-Service</v>
          </cell>
          <cell r="D493" t="str">
            <v>Wartezeit Telefon</v>
          </cell>
          <cell r="E493">
            <v>0</v>
          </cell>
          <cell r="F493" t="str">
            <v>Vertrieb</v>
          </cell>
        </row>
        <row r="494">
          <cell r="A494" t="str">
            <v>DB Fernverkehr AGReise-ServiceBeratungsqualität</v>
          </cell>
          <cell r="B494" t="str">
            <v>DB Fernverkehr AG</v>
          </cell>
          <cell r="C494" t="str">
            <v>Reise-Service</v>
          </cell>
          <cell r="D494" t="str">
            <v>Beratungsqualität</v>
          </cell>
          <cell r="E494">
            <v>0</v>
          </cell>
          <cell r="F494" t="str">
            <v>Vertrieb</v>
          </cell>
        </row>
        <row r="495">
          <cell r="A495" t="str">
            <v>DB Fernverkehr AGReise-ServiceDauer des Kaufvorgangs</v>
          </cell>
          <cell r="B495" t="str">
            <v>DB Fernverkehr AG</v>
          </cell>
          <cell r="C495" t="str">
            <v>Reise-Service</v>
          </cell>
          <cell r="D495" t="str">
            <v>Dauer des Kaufvorgangs</v>
          </cell>
          <cell r="E495">
            <v>0</v>
          </cell>
          <cell r="F495" t="str">
            <v>Vertrieb</v>
          </cell>
        </row>
        <row r="496">
          <cell r="A496" t="str">
            <v>DB Fernverkehr AGReise-ServiceEinfachheit des Kaufs</v>
          </cell>
          <cell r="B496" t="str">
            <v>DB Fernverkehr AG</v>
          </cell>
          <cell r="C496" t="str">
            <v>Reise-Service</v>
          </cell>
          <cell r="D496" t="str">
            <v>Einfachheit des Kaufs</v>
          </cell>
          <cell r="E496">
            <v>0</v>
          </cell>
          <cell r="F496" t="str">
            <v>Vertrieb</v>
          </cell>
        </row>
        <row r="497">
          <cell r="A497" t="str">
            <v>DB Fernverkehr AGReise-ServiceFahrkartenübermittlung</v>
          </cell>
          <cell r="B497" t="str">
            <v>DB Fernverkehr AG</v>
          </cell>
          <cell r="C497" t="str">
            <v>Reise-Service</v>
          </cell>
          <cell r="D497" t="str">
            <v>Fahrkartenübermittlung</v>
          </cell>
          <cell r="E497">
            <v>0</v>
          </cell>
          <cell r="F497" t="str">
            <v>Vertrieb</v>
          </cell>
        </row>
        <row r="498">
          <cell r="A498" t="str">
            <v>DB Fernverkehr AGReise-ServiceFreundlichkeit des Personals</v>
          </cell>
          <cell r="B498" t="str">
            <v>DB Fernverkehr AG</v>
          </cell>
          <cell r="C498" t="str">
            <v>Reise-Service</v>
          </cell>
          <cell r="D498" t="str">
            <v>Freundlichkeit des Personals</v>
          </cell>
          <cell r="E498">
            <v>0</v>
          </cell>
          <cell r="F498" t="str">
            <v>Vertrieb</v>
          </cell>
        </row>
        <row r="499">
          <cell r="A499" t="str">
            <v>DB Fernverkehr AGReise-ServiceInformation ü. Unregelmäßigk.</v>
          </cell>
          <cell r="B499" t="str">
            <v>DB Fernverkehr AG</v>
          </cell>
          <cell r="C499" t="str">
            <v>Reise-Service</v>
          </cell>
          <cell r="D499" t="str">
            <v>Information ü. Unregelmäßigk.</v>
          </cell>
          <cell r="E499">
            <v>0</v>
          </cell>
          <cell r="F499" t="str">
            <v>Vertrieb</v>
          </cell>
        </row>
        <row r="500">
          <cell r="A500" t="str">
            <v>DB Fernverkehr AGReise-ServiceWartezeit</v>
          </cell>
          <cell r="B500" t="str">
            <v>DB Fernverkehr AG</v>
          </cell>
          <cell r="C500" t="str">
            <v>Reise-Service</v>
          </cell>
          <cell r="D500" t="str">
            <v>Wartezeit</v>
          </cell>
          <cell r="E500">
            <v>0</v>
          </cell>
          <cell r="F500" t="str">
            <v>Vertrieb</v>
          </cell>
        </row>
        <row r="501">
          <cell r="A501" t="str">
            <v>DB Fernverkehr AGReise-ServiceZahlungsmöglichkeiten</v>
          </cell>
          <cell r="B501" t="str">
            <v>DB Fernverkehr AG</v>
          </cell>
          <cell r="C501" t="str">
            <v>Reise-Service</v>
          </cell>
          <cell r="D501" t="str">
            <v>Zahlungsmöglichkeiten</v>
          </cell>
          <cell r="E501">
            <v>0</v>
          </cell>
          <cell r="F501" t="str">
            <v>Vertrieb</v>
          </cell>
        </row>
        <row r="502">
          <cell r="A502" t="str">
            <v>DB Fernverkehr AGReisezentrumAusstellung Reiseunterlagen</v>
          </cell>
          <cell r="B502" t="str">
            <v>DB Fernverkehr AG</v>
          </cell>
          <cell r="C502" t="str">
            <v>Reisezentrum</v>
          </cell>
          <cell r="D502" t="str">
            <v>Ausstellung Reiseunterlagen</v>
          </cell>
          <cell r="E502">
            <v>0</v>
          </cell>
          <cell r="F502" t="str">
            <v>Vertrieb</v>
          </cell>
        </row>
        <row r="503">
          <cell r="A503" t="str">
            <v>DB Fernverkehr AGReisezentrumBeratungsqualität</v>
          </cell>
          <cell r="B503" t="str">
            <v>DB Fernverkehr AG</v>
          </cell>
          <cell r="C503" t="str">
            <v>Reisezentrum</v>
          </cell>
          <cell r="D503" t="str">
            <v>Beratungsqualität</v>
          </cell>
          <cell r="E503">
            <v>0</v>
          </cell>
          <cell r="F503" t="str">
            <v>Vertrieb</v>
          </cell>
        </row>
        <row r="504">
          <cell r="A504" t="str">
            <v>DB Fernverkehr AGReisezentrumDauer des Kaufvorgangs</v>
          </cell>
          <cell r="B504" t="str">
            <v>DB Fernverkehr AG</v>
          </cell>
          <cell r="C504" t="str">
            <v>Reisezentrum</v>
          </cell>
          <cell r="D504" t="str">
            <v>Dauer des Kaufvorgangs</v>
          </cell>
          <cell r="E504">
            <v>0</v>
          </cell>
          <cell r="F504" t="str">
            <v>Vertrieb</v>
          </cell>
        </row>
        <row r="505">
          <cell r="A505" t="str">
            <v>DB Fernverkehr AGReisezentrumEinfachheit des Verkaufs</v>
          </cell>
          <cell r="B505" t="str">
            <v>DB Fernverkehr AG</v>
          </cell>
          <cell r="C505" t="str">
            <v>Reisezentrum</v>
          </cell>
          <cell r="D505" t="str">
            <v>Einfachheit des Verkaufs</v>
          </cell>
          <cell r="E505">
            <v>0</v>
          </cell>
          <cell r="F505" t="str">
            <v>Vertrieb</v>
          </cell>
        </row>
        <row r="506">
          <cell r="A506" t="str">
            <v>DB Fernverkehr AGReisezentrumErscheinungsbild/Auftreten</v>
          </cell>
          <cell r="B506" t="str">
            <v>DB Fernverkehr AG</v>
          </cell>
          <cell r="C506" t="str">
            <v>Reisezentrum</v>
          </cell>
          <cell r="D506" t="str">
            <v>Erscheinungsbild/Auftreten</v>
          </cell>
          <cell r="E506">
            <v>0</v>
          </cell>
          <cell r="F506" t="str">
            <v>Vertrieb</v>
          </cell>
        </row>
        <row r="507">
          <cell r="A507" t="str">
            <v>DB Fernverkehr AGReisezentrumFreundlichkeit</v>
          </cell>
          <cell r="B507" t="str">
            <v>DB Fernverkehr AG</v>
          </cell>
          <cell r="C507" t="str">
            <v>Reisezentrum</v>
          </cell>
          <cell r="D507" t="str">
            <v>Freundlichkeit</v>
          </cell>
          <cell r="E507">
            <v>0</v>
          </cell>
          <cell r="F507" t="str">
            <v>Vertrieb</v>
          </cell>
        </row>
        <row r="508">
          <cell r="A508" t="str">
            <v>DB Fernverkehr AGReisezentrumGestaltung</v>
          </cell>
          <cell r="B508" t="str">
            <v>DB Fernverkehr AG</v>
          </cell>
          <cell r="C508" t="str">
            <v>Reisezentrum</v>
          </cell>
          <cell r="D508" t="str">
            <v>Gestaltung</v>
          </cell>
          <cell r="E508">
            <v>0</v>
          </cell>
          <cell r="F508" t="str">
            <v>Vertrieb</v>
          </cell>
        </row>
        <row r="509">
          <cell r="A509" t="str">
            <v>DB Fernverkehr AGReisezentrumInformation ü. Unregelmäßigk.</v>
          </cell>
          <cell r="B509" t="str">
            <v>DB Fernverkehr AG</v>
          </cell>
          <cell r="C509" t="str">
            <v>Reisezentrum</v>
          </cell>
          <cell r="D509" t="str">
            <v>Information ü. Unregelmäßigk.</v>
          </cell>
          <cell r="E509">
            <v>0</v>
          </cell>
          <cell r="F509" t="str">
            <v>Vertrieb</v>
          </cell>
        </row>
        <row r="510">
          <cell r="A510" t="str">
            <v>DB Fernverkehr AGReisezentrumWartezeit</v>
          </cell>
          <cell r="B510" t="str">
            <v>DB Fernverkehr AG</v>
          </cell>
          <cell r="C510" t="str">
            <v>Reisezentrum</v>
          </cell>
          <cell r="D510" t="str">
            <v>Wartezeit</v>
          </cell>
          <cell r="E510">
            <v>0</v>
          </cell>
          <cell r="F510" t="str">
            <v>Vertrieb</v>
          </cell>
        </row>
        <row r="511">
          <cell r="A511" t="str">
            <v>DB Fernverkehr AGSC FahrgastrechteAblehnung</v>
          </cell>
          <cell r="B511" t="str">
            <v>DB Fernverkehr AG</v>
          </cell>
          <cell r="C511" t="str">
            <v>SC Fahrgastrechte</v>
          </cell>
          <cell r="D511" t="str">
            <v>Ablehnung</v>
          </cell>
          <cell r="E511">
            <v>0</v>
          </cell>
          <cell r="F511" t="str">
            <v>Sonstiges</v>
          </cell>
        </row>
        <row r="512">
          <cell r="A512" t="str">
            <v>DB Fernverkehr AGSC FahrgastrechteBeratungsqualität</v>
          </cell>
          <cell r="B512" t="str">
            <v>DB Fernverkehr AG</v>
          </cell>
          <cell r="C512" t="str">
            <v>SC Fahrgastrechte</v>
          </cell>
          <cell r="D512" t="str">
            <v>Beratungsqualität</v>
          </cell>
          <cell r="E512">
            <v>0</v>
          </cell>
          <cell r="F512" t="str">
            <v>Sonstiges</v>
          </cell>
        </row>
        <row r="513">
          <cell r="A513" t="str">
            <v>DB Fernverkehr AGSC FahrgastrechteDauer der Bearbeitung</v>
          </cell>
          <cell r="B513" t="str">
            <v>DB Fernverkehr AG</v>
          </cell>
          <cell r="C513" t="str">
            <v>SC Fahrgastrechte</v>
          </cell>
          <cell r="D513" t="str">
            <v>Dauer der Bearbeitung</v>
          </cell>
          <cell r="E513">
            <v>0</v>
          </cell>
          <cell r="F513" t="str">
            <v>Sonstiges</v>
          </cell>
        </row>
        <row r="514">
          <cell r="A514" t="str">
            <v>DB Fernverkehr AGSC FahrgastrechteEinfachheit Kontaktaufnahme</v>
          </cell>
          <cell r="B514" t="str">
            <v>DB Fernverkehr AG</v>
          </cell>
          <cell r="C514" t="str">
            <v>SC Fahrgastrechte</v>
          </cell>
          <cell r="D514" t="str">
            <v>Einfachheit Kontaktaufnahme</v>
          </cell>
          <cell r="E514">
            <v>0</v>
          </cell>
          <cell r="F514" t="str">
            <v>Sonstiges</v>
          </cell>
        </row>
        <row r="515">
          <cell r="A515" t="str">
            <v>DB Fernverkehr AGSC FahrgastrechteFehler Abwicklung DB Info</v>
          </cell>
          <cell r="B515" t="str">
            <v>DB Fernverkehr AG</v>
          </cell>
          <cell r="C515" t="str">
            <v>SC Fahrgastrechte</v>
          </cell>
          <cell r="D515" t="str">
            <v>Fehler Abwicklung DB Info</v>
          </cell>
          <cell r="E515">
            <v>0</v>
          </cell>
          <cell r="F515" t="str">
            <v>Sonstiges</v>
          </cell>
        </row>
        <row r="516">
          <cell r="A516" t="str">
            <v>DB Fernverkehr AGSC FahrgastrechteFehler Abwicklung KiN</v>
          </cell>
          <cell r="B516" t="str">
            <v>DB Fernverkehr AG</v>
          </cell>
          <cell r="C516" t="str">
            <v>SC Fahrgastrechte</v>
          </cell>
          <cell r="D516" t="str">
            <v>Fehler Abwicklung KiN</v>
          </cell>
          <cell r="E516">
            <v>0</v>
          </cell>
          <cell r="F516" t="str">
            <v>Sonstiges</v>
          </cell>
        </row>
        <row r="517">
          <cell r="A517" t="str">
            <v>DB Fernverkehr AGSC FahrgastrechteFehler Abwicklung Reisebüro</v>
          </cell>
          <cell r="B517" t="str">
            <v>DB Fernverkehr AG</v>
          </cell>
          <cell r="C517" t="str">
            <v>SC Fahrgastrechte</v>
          </cell>
          <cell r="D517" t="str">
            <v>Fehler Abwicklung Reisebüro</v>
          </cell>
          <cell r="E517">
            <v>0</v>
          </cell>
          <cell r="F517" t="str">
            <v>Sonstiges</v>
          </cell>
        </row>
        <row r="518">
          <cell r="A518" t="str">
            <v>DB Fernverkehr AGSC FahrgastrechteFehler Abwicklung Reisezentrum</v>
          </cell>
          <cell r="B518" t="str">
            <v>DB Fernverkehr AG</v>
          </cell>
          <cell r="C518" t="str">
            <v>SC Fahrgastrechte</v>
          </cell>
          <cell r="D518" t="str">
            <v>Fehler Abwicklung Reisezentrum</v>
          </cell>
          <cell r="E518">
            <v>0</v>
          </cell>
          <cell r="F518" t="str">
            <v>Sonstiges</v>
          </cell>
        </row>
        <row r="519">
          <cell r="A519" t="str">
            <v>DB Fernverkehr AGSC FahrgastrechteFehler Abwicklung SC FGR</v>
          </cell>
          <cell r="B519" t="str">
            <v>DB Fernverkehr AG</v>
          </cell>
          <cell r="C519" t="str">
            <v>SC Fahrgastrechte</v>
          </cell>
          <cell r="D519" t="str">
            <v>Fehler Abwicklung SC FGR</v>
          </cell>
          <cell r="E519">
            <v>0</v>
          </cell>
          <cell r="F519" t="str">
            <v>Sonstiges</v>
          </cell>
        </row>
        <row r="520">
          <cell r="A520" t="str">
            <v>DB Fernverkehr AGSC FahrgastrechteFehler Abwicklung Zub</v>
          </cell>
          <cell r="B520" t="str">
            <v>DB Fernverkehr AG</v>
          </cell>
          <cell r="C520" t="str">
            <v>SC Fahrgastrechte</v>
          </cell>
          <cell r="D520" t="str">
            <v>Fehler Abwicklung Zub</v>
          </cell>
          <cell r="E520">
            <v>0</v>
          </cell>
          <cell r="F520" t="str">
            <v>Sonstiges</v>
          </cell>
        </row>
        <row r="521">
          <cell r="A521" t="str">
            <v>DB Fernverkehr AGSC FahrgastrechteFreundlichkeit</v>
          </cell>
          <cell r="B521" t="str">
            <v>DB Fernverkehr AG</v>
          </cell>
          <cell r="C521" t="str">
            <v>SC Fahrgastrechte</v>
          </cell>
          <cell r="D521" t="str">
            <v>Freundlichkeit</v>
          </cell>
          <cell r="E521">
            <v>0</v>
          </cell>
          <cell r="F521" t="str">
            <v>Sonstiges</v>
          </cell>
        </row>
        <row r="522">
          <cell r="A522" t="str">
            <v>DB Fernverkehr AGSC FahrgastrechteRegelungen allgemein</v>
          </cell>
          <cell r="B522" t="str">
            <v>DB Fernverkehr AG</v>
          </cell>
          <cell r="C522" t="str">
            <v>SC Fahrgastrechte</v>
          </cell>
          <cell r="D522" t="str">
            <v>Regelungen allgemein</v>
          </cell>
          <cell r="E522">
            <v>0</v>
          </cell>
          <cell r="F522" t="str">
            <v>Sonstiges</v>
          </cell>
        </row>
        <row r="523">
          <cell r="A523" t="str">
            <v>DB Fernverkehr AGSC FahrgastrechteWartezeit Telefon</v>
          </cell>
          <cell r="B523" t="str">
            <v>DB Fernverkehr AG</v>
          </cell>
          <cell r="C523" t="str">
            <v>SC Fahrgastrechte</v>
          </cell>
          <cell r="D523" t="str">
            <v>Wartezeit Telefon</v>
          </cell>
          <cell r="E523">
            <v>0</v>
          </cell>
          <cell r="F523" t="str">
            <v>Sonstiges</v>
          </cell>
        </row>
        <row r="524">
          <cell r="A524" t="str">
            <v>DB Fernverkehr AGSocial Media FacebookBearbeitungsdauer</v>
          </cell>
          <cell r="B524" t="str">
            <v>DB Fernverkehr AG</v>
          </cell>
          <cell r="C524" t="str">
            <v>Social Media Facebook</v>
          </cell>
          <cell r="D524" t="str">
            <v>Bearbeitungsdauer</v>
          </cell>
          <cell r="E524">
            <v>0</v>
          </cell>
          <cell r="F524" t="str">
            <v>Sonstiges</v>
          </cell>
        </row>
        <row r="525">
          <cell r="A525" t="str">
            <v>DB Fernverkehr AGSocial Media FacebookGestaltung/Design</v>
          </cell>
          <cell r="B525" t="str">
            <v>DB Fernverkehr AG</v>
          </cell>
          <cell r="C525" t="str">
            <v>Social Media Facebook</v>
          </cell>
          <cell r="D525" t="str">
            <v>Gestaltung/Design</v>
          </cell>
          <cell r="E525">
            <v>0</v>
          </cell>
          <cell r="F525" t="str">
            <v>Fahrgastinformation</v>
          </cell>
        </row>
        <row r="526">
          <cell r="A526" t="str">
            <v>DB Fernverkehr AGSocial Media FacebookInformation ü. Unregelmäßigk.</v>
          </cell>
          <cell r="B526" t="str">
            <v>DB Fernverkehr AG</v>
          </cell>
          <cell r="C526" t="str">
            <v>Social Media Facebook</v>
          </cell>
          <cell r="D526" t="str">
            <v>Information ü. Unregelmäßigk.</v>
          </cell>
          <cell r="E526">
            <v>0</v>
          </cell>
          <cell r="F526" t="str">
            <v>Sonstiges</v>
          </cell>
        </row>
        <row r="527">
          <cell r="A527" t="str">
            <v>DB Fernverkehr AGSocial Media FacebookInformationsqualität</v>
          </cell>
          <cell r="B527" t="str">
            <v>DB Fernverkehr AG</v>
          </cell>
          <cell r="C527" t="str">
            <v>Social Media Facebook</v>
          </cell>
          <cell r="D527" t="str">
            <v>Informationsqualität</v>
          </cell>
          <cell r="E527">
            <v>0</v>
          </cell>
          <cell r="F527" t="str">
            <v>Sonstiges</v>
          </cell>
        </row>
        <row r="528">
          <cell r="A528" t="str">
            <v>DB Fernverkehr AGSocial Media TwitterBearbeitungsdauer</v>
          </cell>
          <cell r="B528" t="str">
            <v>DB Fernverkehr AG</v>
          </cell>
          <cell r="C528" t="str">
            <v>Social Media Twitter</v>
          </cell>
          <cell r="D528" t="str">
            <v>Bearbeitungsdauer</v>
          </cell>
          <cell r="E528">
            <v>0</v>
          </cell>
          <cell r="F528" t="str">
            <v>Sonstiges</v>
          </cell>
        </row>
        <row r="529">
          <cell r="A529" t="str">
            <v>DB Fernverkehr AGSocial Media TwitterGestaltung/Design</v>
          </cell>
          <cell r="B529" t="str">
            <v>DB Fernverkehr AG</v>
          </cell>
          <cell r="C529" t="str">
            <v>Social Media Twitter</v>
          </cell>
          <cell r="D529" t="str">
            <v>Gestaltung/Design</v>
          </cell>
          <cell r="E529">
            <v>0</v>
          </cell>
          <cell r="F529" t="str">
            <v>Fahrgastinformation</v>
          </cell>
        </row>
        <row r="530">
          <cell r="A530" t="str">
            <v>DB Fernverkehr AGSocial Media TwitterInformation ü. Unregelmäßigk.</v>
          </cell>
          <cell r="B530" t="str">
            <v>DB Fernverkehr AG</v>
          </cell>
          <cell r="C530" t="str">
            <v>Social Media Twitter</v>
          </cell>
          <cell r="D530" t="str">
            <v>Information ü. Unregelmäßigk.</v>
          </cell>
          <cell r="E530">
            <v>0</v>
          </cell>
          <cell r="F530" t="str">
            <v>Sonstiges</v>
          </cell>
        </row>
        <row r="531">
          <cell r="A531" t="str">
            <v>DB Fernverkehr AGSocial Media TwitterInformationsqualität</v>
          </cell>
          <cell r="B531" t="str">
            <v>DB Fernverkehr AG</v>
          </cell>
          <cell r="C531" t="str">
            <v>Social Media Twitter</v>
          </cell>
          <cell r="D531" t="str">
            <v>Informationsqualität</v>
          </cell>
          <cell r="E531">
            <v>0</v>
          </cell>
          <cell r="F531" t="str">
            <v>Sonstiges</v>
          </cell>
        </row>
        <row r="532">
          <cell r="A532" t="str">
            <v>DB Fernverkehr AGSonstige HotlinesBearbeitung und Reaktion</v>
          </cell>
          <cell r="B532" t="str">
            <v>DB Fernverkehr AG</v>
          </cell>
          <cell r="C532" t="str">
            <v>Sonstige Hotlines</v>
          </cell>
          <cell r="D532" t="str">
            <v>Bearbeitung und Reaktion</v>
          </cell>
          <cell r="E532">
            <v>0</v>
          </cell>
          <cell r="F532" t="str">
            <v>Sonstiges</v>
          </cell>
        </row>
        <row r="533">
          <cell r="A533" t="str">
            <v>DB Fernverkehr AGSonstige HotlinesBeratungsqualität</v>
          </cell>
          <cell r="B533" t="str">
            <v>DB Fernverkehr AG</v>
          </cell>
          <cell r="C533" t="str">
            <v>Sonstige Hotlines</v>
          </cell>
          <cell r="D533" t="str">
            <v>Beratungsqualität</v>
          </cell>
          <cell r="E533">
            <v>0</v>
          </cell>
          <cell r="F533" t="str">
            <v>Sonstiges</v>
          </cell>
        </row>
        <row r="534">
          <cell r="A534" t="str">
            <v>DB Fernverkehr AGSonstige HotlinesDauer der Bearbeitung</v>
          </cell>
          <cell r="B534" t="str">
            <v>DB Fernverkehr AG</v>
          </cell>
          <cell r="C534" t="str">
            <v>Sonstige Hotlines</v>
          </cell>
          <cell r="D534" t="str">
            <v>Dauer der Bearbeitung</v>
          </cell>
          <cell r="E534">
            <v>0</v>
          </cell>
          <cell r="F534" t="str">
            <v>Sonstiges</v>
          </cell>
        </row>
        <row r="535">
          <cell r="A535" t="str">
            <v>DB Fernverkehr AGSonstige HotlinesEinfachheit Kontaktaufnahme</v>
          </cell>
          <cell r="B535" t="str">
            <v>DB Fernverkehr AG</v>
          </cell>
          <cell r="C535" t="str">
            <v>Sonstige Hotlines</v>
          </cell>
          <cell r="D535" t="str">
            <v>Einfachheit Kontaktaufnahme</v>
          </cell>
          <cell r="E535">
            <v>0</v>
          </cell>
          <cell r="F535" t="str">
            <v>Sonstiges</v>
          </cell>
        </row>
        <row r="536">
          <cell r="A536" t="str">
            <v>DB Fernverkehr AGSonstige HotlinesFreundlichkeit</v>
          </cell>
          <cell r="B536" t="str">
            <v>DB Fernverkehr AG</v>
          </cell>
          <cell r="C536" t="str">
            <v>Sonstige Hotlines</v>
          </cell>
          <cell r="D536" t="str">
            <v>Freundlichkeit</v>
          </cell>
          <cell r="E536">
            <v>0</v>
          </cell>
          <cell r="F536" t="str">
            <v>Sonstiges</v>
          </cell>
        </row>
        <row r="537">
          <cell r="A537" t="str">
            <v>DB Fernverkehr AGSonstige HotlinesKosten</v>
          </cell>
          <cell r="B537" t="str">
            <v>DB Fernverkehr AG</v>
          </cell>
          <cell r="C537" t="str">
            <v>Sonstige Hotlines</v>
          </cell>
          <cell r="D537" t="str">
            <v>Kosten</v>
          </cell>
          <cell r="E537">
            <v>0</v>
          </cell>
          <cell r="F537" t="str">
            <v>Sonstiges</v>
          </cell>
        </row>
        <row r="538">
          <cell r="A538" t="str">
            <v>DB Fernverkehr AGSonstige HotlinesWartezeit Telefon</v>
          </cell>
          <cell r="B538" t="str">
            <v>DB Fernverkehr AG</v>
          </cell>
          <cell r="C538" t="str">
            <v>Sonstige Hotlines</v>
          </cell>
          <cell r="D538" t="str">
            <v>Wartezeit Telefon</v>
          </cell>
          <cell r="E538">
            <v>0</v>
          </cell>
          <cell r="F538" t="str">
            <v>Sonstiges</v>
          </cell>
        </row>
        <row r="539">
          <cell r="A539" t="str">
            <v>DB Fernverkehr AGTarif/AngeboteAmeropa</v>
          </cell>
          <cell r="B539" t="str">
            <v>DB Fernverkehr AG</v>
          </cell>
          <cell r="C539" t="str">
            <v>Tarif/Angebote</v>
          </cell>
          <cell r="D539" t="str">
            <v>Ameropa</v>
          </cell>
          <cell r="E539">
            <v>0</v>
          </cell>
          <cell r="F539" t="str">
            <v>Vertrieb</v>
          </cell>
        </row>
        <row r="540">
          <cell r="A540" t="str">
            <v>DB Fernverkehr AGTarif/AngeboteCity Night Line</v>
          </cell>
          <cell r="B540" t="str">
            <v>DB Fernverkehr AG</v>
          </cell>
          <cell r="C540" t="str">
            <v>Tarif/Angebote</v>
          </cell>
          <cell r="D540" t="str">
            <v>City Night Line</v>
          </cell>
          <cell r="E540">
            <v>0</v>
          </cell>
          <cell r="F540" t="str">
            <v>Vertrieb</v>
          </cell>
        </row>
        <row r="541">
          <cell r="A541" t="str">
            <v>DB Fernverkehr AGTarif/AngeboteDB AutoZug</v>
          </cell>
          <cell r="B541" t="str">
            <v>DB Fernverkehr AG</v>
          </cell>
          <cell r="C541" t="str">
            <v>Tarif/Angebote</v>
          </cell>
          <cell r="D541" t="str">
            <v>DB AutoZug</v>
          </cell>
          <cell r="E541">
            <v>0</v>
          </cell>
          <cell r="F541" t="str">
            <v>Vertrieb</v>
          </cell>
        </row>
        <row r="542">
          <cell r="A542" t="str">
            <v>DB Fernverkehr AGTarif/AngeboteFernverkehrAktionsangebote</v>
          </cell>
          <cell r="B542" t="str">
            <v>DB Fernverkehr AG</v>
          </cell>
          <cell r="C542" t="str">
            <v>Tarif/Angebote</v>
          </cell>
          <cell r="D542" t="str">
            <v>Fernverkehr</v>
          </cell>
          <cell r="E542" t="str">
            <v>Aktionsangebote</v>
          </cell>
          <cell r="F542" t="str">
            <v>Vertrieb</v>
          </cell>
        </row>
        <row r="543">
          <cell r="A543" t="str">
            <v>DB Fernverkehr AGTarif/AngeboteFernverkehrAufpreise</v>
          </cell>
          <cell r="B543" t="str">
            <v>DB Fernverkehr AG</v>
          </cell>
          <cell r="C543" t="str">
            <v>Tarif/Angebote</v>
          </cell>
          <cell r="D543" t="str">
            <v>Fernverkehr</v>
          </cell>
          <cell r="E543" t="str">
            <v>Aufpreise</v>
          </cell>
          <cell r="F543" t="str">
            <v>Vertrieb</v>
          </cell>
        </row>
        <row r="544">
          <cell r="A544" t="str">
            <v>DB Fernverkehr AGTarif/AngeboteFernverkehrBahnCard</v>
          </cell>
          <cell r="B544" t="str">
            <v>DB Fernverkehr AG</v>
          </cell>
          <cell r="C544" t="str">
            <v>Tarif/Angebote</v>
          </cell>
          <cell r="D544" t="str">
            <v>Fernverkehr</v>
          </cell>
          <cell r="E544" t="str">
            <v>BahnCard</v>
          </cell>
          <cell r="F544" t="str">
            <v>Vertrieb</v>
          </cell>
        </row>
        <row r="545">
          <cell r="A545" t="str">
            <v>DB Fernverkehr AGTarif/AngeboteFernverkehrCharter/RIT/R&amp;F/Tagesfahrten</v>
          </cell>
          <cell r="B545" t="str">
            <v>DB Fernverkehr AG</v>
          </cell>
          <cell r="C545" t="str">
            <v>Tarif/Angebote</v>
          </cell>
          <cell r="D545" t="str">
            <v>Fernverkehr</v>
          </cell>
          <cell r="E545" t="str">
            <v>Charter/RIT/R&amp;F/Tagesfahrten</v>
          </cell>
          <cell r="F545" t="str">
            <v>Vertrieb</v>
          </cell>
        </row>
        <row r="546">
          <cell r="A546" t="str">
            <v>DB Fernverkehr AGTarif/AngeboteFernverkehrErstattungsentgelt</v>
          </cell>
          <cell r="B546" t="str">
            <v>DB Fernverkehr AG</v>
          </cell>
          <cell r="C546" t="str">
            <v>Tarif/Angebote</v>
          </cell>
          <cell r="D546" t="str">
            <v>Fernverkehr</v>
          </cell>
          <cell r="E546" t="str">
            <v>Erstattungsentgelt</v>
          </cell>
          <cell r="F546" t="str">
            <v>Vertrieb</v>
          </cell>
        </row>
        <row r="547">
          <cell r="A547" t="str">
            <v>DB Fernverkehr AGTarif/AngeboteFernverkehrAblehnung Erstattung</v>
          </cell>
          <cell r="B547" t="str">
            <v>DB Fernverkehr AG</v>
          </cell>
          <cell r="C547" t="str">
            <v>Tarif/Angebote</v>
          </cell>
          <cell r="D547" t="str">
            <v>Fernverkehr</v>
          </cell>
          <cell r="E547" t="str">
            <v>Ablehnung Erstattung</v>
          </cell>
          <cell r="F547" t="str">
            <v>Vertrieb</v>
          </cell>
        </row>
        <row r="548">
          <cell r="A548" t="str">
            <v>DB Fernverkehr AGTarif/AngeboteFernverkehrFahrpreisnacherhebung</v>
          </cell>
          <cell r="B548" t="str">
            <v>DB Fernverkehr AG</v>
          </cell>
          <cell r="C548" t="str">
            <v>Tarif/Angebote</v>
          </cell>
          <cell r="D548" t="str">
            <v>Fernverkehr</v>
          </cell>
          <cell r="E548" t="str">
            <v>Fahrpreisnacherhebung</v>
          </cell>
          <cell r="F548" t="str">
            <v>Vertrieb</v>
          </cell>
        </row>
        <row r="549">
          <cell r="A549" t="str">
            <v>DB Fernverkehr AGTarif/AngeboteFernverkehrFirmenkunden</v>
          </cell>
          <cell r="B549" t="str">
            <v>DB Fernverkehr AG</v>
          </cell>
          <cell r="C549" t="str">
            <v>Tarif/Angebote</v>
          </cell>
          <cell r="D549" t="str">
            <v>Fernverkehr</v>
          </cell>
          <cell r="E549" t="str">
            <v>Firmenkunden</v>
          </cell>
          <cell r="F549" t="str">
            <v>Vertrieb</v>
          </cell>
        </row>
        <row r="550">
          <cell r="A550" t="str">
            <v>DB Fernverkehr AGTarif/AngeboteFernverkehrGruppe&amp;Spar</v>
          </cell>
          <cell r="B550" t="str">
            <v>DB Fernverkehr AG</v>
          </cell>
          <cell r="C550" t="str">
            <v>Tarif/Angebote</v>
          </cell>
          <cell r="D550" t="str">
            <v>Fernverkehr</v>
          </cell>
          <cell r="E550" t="str">
            <v>Gruppe&amp;Spar</v>
          </cell>
          <cell r="F550" t="str">
            <v>Vertrieb</v>
          </cell>
        </row>
        <row r="551">
          <cell r="A551" t="str">
            <v>DB Fernverkehr AGTarif/AngeboteFernverkehrHundemitnahme</v>
          </cell>
          <cell r="B551" t="str">
            <v>DB Fernverkehr AG</v>
          </cell>
          <cell r="C551" t="str">
            <v>Tarif/Angebote</v>
          </cell>
          <cell r="D551" t="str">
            <v>Fernverkehr</v>
          </cell>
          <cell r="E551" t="str">
            <v>Hundemitnahme</v>
          </cell>
          <cell r="F551" t="str">
            <v>Vertrieb</v>
          </cell>
        </row>
        <row r="552">
          <cell r="A552" t="str">
            <v>DB Fernverkehr AGTarif/AngeboteFernverkehrInternationaler Verkehr</v>
          </cell>
          <cell r="B552" t="str">
            <v>DB Fernverkehr AG</v>
          </cell>
          <cell r="C552" t="str">
            <v>Tarif/Angebote</v>
          </cell>
          <cell r="D552" t="str">
            <v>Fernverkehr</v>
          </cell>
          <cell r="E552" t="str">
            <v>Internationaler Verkehr</v>
          </cell>
          <cell r="F552" t="str">
            <v>Vertrieb</v>
          </cell>
        </row>
        <row r="553">
          <cell r="A553" t="str">
            <v>DB Fernverkehr AGTarif/AngeboteFernverkehrKulanzerstattung</v>
          </cell>
          <cell r="B553" t="str">
            <v>DB Fernverkehr AG</v>
          </cell>
          <cell r="C553" t="str">
            <v>Tarif/Angebote</v>
          </cell>
          <cell r="D553" t="str">
            <v>Fernverkehr</v>
          </cell>
          <cell r="E553" t="str">
            <v>Kulanzerstattung</v>
          </cell>
          <cell r="F553" t="str">
            <v>Vertrieb</v>
          </cell>
        </row>
        <row r="554">
          <cell r="A554" t="str">
            <v>DB Fernverkehr AGTarif/AngeboteFernverkehrNormalpreis</v>
          </cell>
          <cell r="B554" t="str">
            <v>DB Fernverkehr AG</v>
          </cell>
          <cell r="C554" t="str">
            <v>Tarif/Angebote</v>
          </cell>
          <cell r="D554" t="str">
            <v>Fernverkehr</v>
          </cell>
          <cell r="E554" t="str">
            <v>Normalpreis</v>
          </cell>
          <cell r="F554" t="str">
            <v>Vertrieb</v>
          </cell>
        </row>
        <row r="555">
          <cell r="A555" t="str">
            <v>DB Fernverkehr AGTarif/AngeboteFernverkehrPreisdifferenzierung</v>
          </cell>
          <cell r="B555" t="str">
            <v>DB Fernverkehr AG</v>
          </cell>
          <cell r="C555" t="str">
            <v>Tarif/Angebote</v>
          </cell>
          <cell r="D555" t="str">
            <v>Fernverkehr</v>
          </cell>
          <cell r="E555" t="str">
            <v>Preisdifferenzierung</v>
          </cell>
          <cell r="F555" t="str">
            <v>Vertrieb</v>
          </cell>
        </row>
        <row r="556">
          <cell r="A556" t="str">
            <v>DB Fernverkehr AGTarif/AngeboteFernverkehrReiseabbruch vor Fahrtantritt</v>
          </cell>
          <cell r="B556" t="str">
            <v>DB Fernverkehr AG</v>
          </cell>
          <cell r="C556" t="str">
            <v>Tarif/Angebote</v>
          </cell>
          <cell r="D556" t="str">
            <v>Fernverkehr</v>
          </cell>
          <cell r="E556" t="str">
            <v>Reiseabbruch vor Fahrtantritt</v>
          </cell>
          <cell r="F556" t="str">
            <v>Vertrieb</v>
          </cell>
        </row>
        <row r="557">
          <cell r="A557" t="str">
            <v>DB Fernverkehr AGTarif/AngeboteFernverkehrReservierung</v>
          </cell>
          <cell r="B557" t="str">
            <v>DB Fernverkehr AG</v>
          </cell>
          <cell r="C557" t="str">
            <v>Tarif/Angebote</v>
          </cell>
          <cell r="D557" t="str">
            <v>Fernverkehr</v>
          </cell>
          <cell r="E557" t="str">
            <v>Reservierung</v>
          </cell>
          <cell r="F557" t="str">
            <v>Vertrieb</v>
          </cell>
        </row>
        <row r="558">
          <cell r="A558" t="str">
            <v>DB Fernverkehr AGTarif/AngeboteFernverkehrSonstige Angebote Fernverkehr</v>
          </cell>
          <cell r="B558" t="str">
            <v>DB Fernverkehr AG</v>
          </cell>
          <cell r="C558" t="str">
            <v>Tarif/Angebote</v>
          </cell>
          <cell r="D558" t="str">
            <v>Fernverkehr</v>
          </cell>
          <cell r="E558" t="str">
            <v>Sonstige Angebote Fernverkehr</v>
          </cell>
          <cell r="F558" t="str">
            <v>Vertrieb</v>
          </cell>
        </row>
        <row r="559">
          <cell r="A559" t="str">
            <v>DB Fernverkehr AGTarif/AngeboteFernverkehrSparpreis</v>
          </cell>
          <cell r="B559" t="str">
            <v>DB Fernverkehr AG</v>
          </cell>
          <cell r="C559" t="str">
            <v>Tarif/Angebote</v>
          </cell>
          <cell r="D559" t="str">
            <v>Fernverkehr</v>
          </cell>
          <cell r="E559" t="str">
            <v>Sparpreis</v>
          </cell>
          <cell r="F559" t="str">
            <v>Vertrieb</v>
          </cell>
        </row>
        <row r="560">
          <cell r="A560" t="str">
            <v>DB Fernverkehr AGTarif/AngeboteFernverkehrZeitkarten</v>
          </cell>
          <cell r="B560" t="str">
            <v>DB Fernverkehr AG</v>
          </cell>
          <cell r="C560" t="str">
            <v>Tarif/Angebote</v>
          </cell>
          <cell r="D560" t="str">
            <v>Fernverkehr</v>
          </cell>
          <cell r="E560" t="str">
            <v>Zeitkarten</v>
          </cell>
          <cell r="F560" t="str">
            <v>Vertrieb</v>
          </cell>
        </row>
        <row r="561">
          <cell r="A561" t="str">
            <v>DB Fernverkehr AGTarif/AngeboteSonstige Angebote Dritter</v>
          </cell>
          <cell r="B561" t="str">
            <v>DB Fernverkehr AG</v>
          </cell>
          <cell r="C561" t="str">
            <v>Tarif/Angebote</v>
          </cell>
          <cell r="D561" t="str">
            <v>Sonstige Angebote Dritter</v>
          </cell>
          <cell r="E561">
            <v>0</v>
          </cell>
          <cell r="F561" t="str">
            <v>Vertrieb</v>
          </cell>
        </row>
        <row r="562">
          <cell r="A562" t="str">
            <v>DB Fernverkehr AGTarif/AngeboteWerbung/MarketingmaßnahmenInfo-Material</v>
          </cell>
          <cell r="B562" t="str">
            <v>DB Fernverkehr AG</v>
          </cell>
          <cell r="C562" t="str">
            <v>Tarif/Angebote</v>
          </cell>
          <cell r="D562" t="str">
            <v>Werbung/Marketingmaßnahmen</v>
          </cell>
          <cell r="E562" t="str">
            <v>Info-Material</v>
          </cell>
          <cell r="F562" t="str">
            <v>Vertrieb</v>
          </cell>
        </row>
        <row r="563">
          <cell r="A563" t="str">
            <v>DB Fernverkehr AGTarif/AngeboteWerbung/MarketingmaßnahmenSonderaktionen</v>
          </cell>
          <cell r="B563" t="str">
            <v>DB Fernverkehr AG</v>
          </cell>
          <cell r="C563" t="str">
            <v>Tarif/Angebote</v>
          </cell>
          <cell r="D563" t="str">
            <v>Werbung/Marketingmaßnahmen</v>
          </cell>
          <cell r="E563" t="str">
            <v>Sonderaktionen</v>
          </cell>
          <cell r="F563" t="str">
            <v>Vertrieb</v>
          </cell>
        </row>
        <row r="564">
          <cell r="A564" t="str">
            <v>DB Fernverkehr AGZentraler KundendialogBearbeitung und ReaktionAnf. v. Unterlagen</v>
          </cell>
          <cell r="B564" t="str">
            <v>DB Fernverkehr AG</v>
          </cell>
          <cell r="C564" t="str">
            <v>Zentraler Kundendialog</v>
          </cell>
          <cell r="D564" t="str">
            <v>Bearbeitung und Reaktion</v>
          </cell>
          <cell r="E564" t="str">
            <v>Anf. v. Unterlagen</v>
          </cell>
          <cell r="F564" t="str">
            <v>Sonstiges</v>
          </cell>
        </row>
        <row r="565">
          <cell r="A565" t="str">
            <v>DB Fernverkehr AGZentraler KundendialogBearbeitung und ReaktionAnsprache aller Themen</v>
          </cell>
          <cell r="B565" t="str">
            <v>DB Fernverkehr AG</v>
          </cell>
          <cell r="C565" t="str">
            <v>Zentraler Kundendialog</v>
          </cell>
          <cell r="D565" t="str">
            <v>Bearbeitung und Reaktion</v>
          </cell>
          <cell r="E565" t="str">
            <v>Ansprache aller Themen</v>
          </cell>
          <cell r="F565" t="str">
            <v>Sonstiges</v>
          </cell>
        </row>
        <row r="566">
          <cell r="A566" t="str">
            <v>DB Fernverkehr AGZentraler KundendialogBearbeitung und ReaktionInteresse am Anliegen/TB</v>
          </cell>
          <cell r="B566" t="str">
            <v>DB Fernverkehr AG</v>
          </cell>
          <cell r="C566" t="str">
            <v>Zentraler Kundendialog</v>
          </cell>
          <cell r="D566" t="str">
            <v>Bearbeitung und Reaktion</v>
          </cell>
          <cell r="E566" t="str">
            <v>Interesse am Anliegen/TB</v>
          </cell>
          <cell r="F566" t="str">
            <v>Sonstiges</v>
          </cell>
        </row>
        <row r="567">
          <cell r="A567" t="str">
            <v>DB Fernverkehr AGZentraler KundendialogBearbeitung und ReaktionKompensation/Ablehnung</v>
          </cell>
          <cell r="B567" t="str">
            <v>DB Fernverkehr AG</v>
          </cell>
          <cell r="C567" t="str">
            <v>Zentraler Kundendialog</v>
          </cell>
          <cell r="D567" t="str">
            <v>Bearbeitung und Reaktion</v>
          </cell>
          <cell r="E567" t="str">
            <v>Kompensation/Ablehnung</v>
          </cell>
          <cell r="F567" t="str">
            <v>Sonstiges</v>
          </cell>
        </row>
        <row r="568">
          <cell r="A568" t="str">
            <v>DB Fernverkehr AGZentraler KundendialogBearbeitung und ReaktionGutschein Kulanzumtausch</v>
          </cell>
          <cell r="B568" t="str">
            <v>DB Fernverkehr AG</v>
          </cell>
          <cell r="C568" t="str">
            <v>Zentraler Kundendialog</v>
          </cell>
          <cell r="D568" t="str">
            <v>Bearbeitung und Reaktion</v>
          </cell>
          <cell r="E568" t="str">
            <v>Gutschein Kulanzumtausch</v>
          </cell>
          <cell r="F568" t="str">
            <v>Sonstiges</v>
          </cell>
        </row>
        <row r="569">
          <cell r="A569" t="str">
            <v>DB Fernverkehr AGZentraler KundendialogBearbeitung und ReaktionSÖP Info</v>
          </cell>
          <cell r="B569" t="str">
            <v>DB Fernverkehr AG</v>
          </cell>
          <cell r="C569" t="str">
            <v>Zentraler Kundendialog</v>
          </cell>
          <cell r="D569" t="str">
            <v>Bearbeitung und Reaktion</v>
          </cell>
          <cell r="E569" t="str">
            <v>SÖP Info</v>
          </cell>
          <cell r="F569" t="str">
            <v>Sonstiges</v>
          </cell>
        </row>
        <row r="570">
          <cell r="A570" t="str">
            <v>DB Fernverkehr AGZentraler KundendialogBearbeitung und ReaktionVerständnis für Anliegen</v>
          </cell>
          <cell r="B570" t="str">
            <v>DB Fernverkehr AG</v>
          </cell>
          <cell r="C570" t="str">
            <v>Zentraler Kundendialog</v>
          </cell>
          <cell r="D570" t="str">
            <v>Bearbeitung und Reaktion</v>
          </cell>
          <cell r="E570" t="str">
            <v>Verständnis für Anliegen</v>
          </cell>
          <cell r="F570" t="str">
            <v>Sonstiges</v>
          </cell>
        </row>
        <row r="571">
          <cell r="A571" t="str">
            <v>DB Fernverkehr AGZentraler KundendialogBeratungsqualität</v>
          </cell>
          <cell r="B571" t="str">
            <v>DB Fernverkehr AG</v>
          </cell>
          <cell r="C571" t="str">
            <v>Zentraler Kundendialog</v>
          </cell>
          <cell r="D571" t="str">
            <v>Beratungsqualität</v>
          </cell>
          <cell r="E571">
            <v>0</v>
          </cell>
          <cell r="F571" t="str">
            <v>Sonstiges</v>
          </cell>
        </row>
        <row r="572">
          <cell r="A572" t="str">
            <v>DB Fernverkehr AGZentraler KundendialogDauer der Bearbeitung</v>
          </cell>
          <cell r="B572" t="str">
            <v>DB Fernverkehr AG</v>
          </cell>
          <cell r="C572" t="str">
            <v>Zentraler Kundendialog</v>
          </cell>
          <cell r="D572" t="str">
            <v>Dauer der Bearbeitung</v>
          </cell>
          <cell r="E572">
            <v>0</v>
          </cell>
          <cell r="F572" t="str">
            <v>Sonstiges</v>
          </cell>
        </row>
        <row r="573">
          <cell r="A573" t="str">
            <v>DB Fernverkehr AGZentraler KundendialogEinfachheit Kontaktaufnahme</v>
          </cell>
          <cell r="B573" t="str">
            <v>DB Fernverkehr AG</v>
          </cell>
          <cell r="C573" t="str">
            <v>Zentraler Kundendialog</v>
          </cell>
          <cell r="D573" t="str">
            <v>Einfachheit Kontaktaufnahme</v>
          </cell>
          <cell r="E573">
            <v>0</v>
          </cell>
          <cell r="F573" t="str">
            <v>Sonstiges</v>
          </cell>
        </row>
        <row r="574">
          <cell r="A574" t="str">
            <v>DB Fernverkehr AGZentraler KundendialogFreundlichkeit</v>
          </cell>
          <cell r="B574" t="str">
            <v>DB Fernverkehr AG</v>
          </cell>
          <cell r="C574" t="str">
            <v>Zentraler Kundendialog</v>
          </cell>
          <cell r="D574" t="str">
            <v>Freundlichkeit</v>
          </cell>
          <cell r="E574">
            <v>0</v>
          </cell>
          <cell r="F574" t="str">
            <v>Sonstiges</v>
          </cell>
        </row>
        <row r="575">
          <cell r="A575" t="str">
            <v>DB Fernverkehr AGZentraler KundendialogWartezeit Telefon</v>
          </cell>
          <cell r="B575" t="str">
            <v>DB Fernverkehr AG</v>
          </cell>
          <cell r="C575" t="str">
            <v>Zentraler Kundendialog</v>
          </cell>
          <cell r="D575" t="str">
            <v>Wartezeit Telefon</v>
          </cell>
          <cell r="E575">
            <v>0</v>
          </cell>
          <cell r="F575" t="str">
            <v>Sonstiges</v>
          </cell>
        </row>
        <row r="576">
          <cell r="A576" t="str">
            <v>DB Fernverkehr AGZug DB FernverkehrKomfort und AusstattungAm-Platz-Service</v>
          </cell>
          <cell r="B576" t="str">
            <v>DB Fernverkehr AG</v>
          </cell>
          <cell r="C576" t="str">
            <v>Zug DB Fernverkehr</v>
          </cell>
          <cell r="D576" t="str">
            <v>Komfort und Ausstattung</v>
          </cell>
          <cell r="E576" t="str">
            <v>Am-Platz-Service</v>
          </cell>
          <cell r="F576" t="str">
            <v>Sonstiges</v>
          </cell>
        </row>
        <row r="577">
          <cell r="A577" t="str">
            <v>DB Fernverkehr AGZug DB FernverkehrKomfort und AusstattungBeleuchtung</v>
          </cell>
          <cell r="B577" t="str">
            <v>DB Fernverkehr AG</v>
          </cell>
          <cell r="C577" t="str">
            <v>Zug DB Fernverkehr</v>
          </cell>
          <cell r="D577" t="str">
            <v>Komfort und Ausstattung</v>
          </cell>
          <cell r="E577" t="str">
            <v>Beleuchtung</v>
          </cell>
          <cell r="F577" t="str">
            <v>Sonstiges</v>
          </cell>
        </row>
        <row r="578">
          <cell r="A578" t="str">
            <v>DB Fernverkehr AGZug DB FernverkehrKomfort und AusstattungBequemlichkeit der Sitze</v>
          </cell>
          <cell r="B578" t="str">
            <v>DB Fernverkehr AG</v>
          </cell>
          <cell r="C578" t="str">
            <v>Zug DB Fernverkehr</v>
          </cell>
          <cell r="D578" t="str">
            <v>Komfort und Ausstattung</v>
          </cell>
          <cell r="E578" t="str">
            <v>Bequemlichkeit der Sitze</v>
          </cell>
          <cell r="F578" t="str">
            <v>Sonstiges</v>
          </cell>
        </row>
        <row r="579">
          <cell r="A579" t="str">
            <v>DB Fernverkehr AGZug DB FernverkehrKomfort und AusstattungBordrestaurant/BordBistro</v>
          </cell>
          <cell r="B579" t="str">
            <v>DB Fernverkehr AG</v>
          </cell>
          <cell r="C579" t="str">
            <v>Zug DB Fernverkehr</v>
          </cell>
          <cell r="D579" t="str">
            <v>Komfort und Ausstattung</v>
          </cell>
          <cell r="E579" t="str">
            <v>Bordrestaurant/BordBistro</v>
          </cell>
          <cell r="F579" t="str">
            <v>Sonstiges</v>
          </cell>
        </row>
        <row r="580">
          <cell r="A580" t="str">
            <v>DB Fernverkehr AGZug DB FernverkehrKomfort und AusstattungFahrradstellplätze</v>
          </cell>
          <cell r="B580" t="str">
            <v>DB Fernverkehr AG</v>
          </cell>
          <cell r="C580" t="str">
            <v>Zug DB Fernverkehr</v>
          </cell>
          <cell r="D580" t="str">
            <v>Komfort und Ausstattung</v>
          </cell>
          <cell r="E580" t="str">
            <v>Fahrradstellplätze</v>
          </cell>
          <cell r="F580" t="str">
            <v>Sonstiges</v>
          </cell>
        </row>
        <row r="581">
          <cell r="A581" t="str">
            <v>DB Fernverkehr AGZug DB FernverkehrKomfort und AusstattungGepäckstauraum</v>
          </cell>
          <cell r="B581" t="str">
            <v>DB Fernverkehr AG</v>
          </cell>
          <cell r="C581" t="str">
            <v>Zug DB Fernverkehr</v>
          </cell>
          <cell r="D581" t="str">
            <v>Komfort und Ausstattung</v>
          </cell>
          <cell r="E581" t="str">
            <v>Gepäckstauraum</v>
          </cell>
          <cell r="F581" t="str">
            <v>Sonstiges</v>
          </cell>
        </row>
        <row r="582">
          <cell r="A582" t="str">
            <v>DB Fernverkehr AGZug DB FernverkehrKomfort und AusstattungHeizungsstörung</v>
          </cell>
          <cell r="B582" t="str">
            <v>DB Fernverkehr AG</v>
          </cell>
          <cell r="C582" t="str">
            <v>Zug DB Fernverkehr</v>
          </cell>
          <cell r="D582" t="str">
            <v>Komfort und Ausstattung</v>
          </cell>
          <cell r="E582" t="str">
            <v>Heizungsstörung</v>
          </cell>
          <cell r="F582" t="str">
            <v>Sonstiges</v>
          </cell>
        </row>
        <row r="583">
          <cell r="A583" t="str">
            <v>DB Fernverkehr AGZug DB FernverkehrKomfort und AusstattungIC anstatt ICE</v>
          </cell>
          <cell r="B583" t="str">
            <v>DB Fernverkehr AG</v>
          </cell>
          <cell r="C583" t="str">
            <v>Zug DB Fernverkehr</v>
          </cell>
          <cell r="D583" t="str">
            <v>Komfort und Ausstattung</v>
          </cell>
          <cell r="E583" t="str">
            <v>IC anstatt ICE</v>
          </cell>
          <cell r="F583" t="str">
            <v>Sonstiges</v>
          </cell>
        </row>
        <row r="584">
          <cell r="A584" t="str">
            <v>DB Fernverkehr AGZug DB FernverkehrKomfort und AusstattungInternet via UMTS n. verfügb.</v>
          </cell>
          <cell r="B584" t="str">
            <v>DB Fernverkehr AG</v>
          </cell>
          <cell r="C584" t="str">
            <v>Zug DB Fernverkehr</v>
          </cell>
          <cell r="D584" t="str">
            <v>Komfort und Ausstattung</v>
          </cell>
          <cell r="E584" t="str">
            <v>Internet via UMTS n. verfügb.</v>
          </cell>
          <cell r="F584" t="str">
            <v>Sonstiges</v>
          </cell>
        </row>
        <row r="585">
          <cell r="A585" t="str">
            <v>DB Fernverkehr AGZug DB FernverkehrKomfort und AusstattungInternet via WLAN n. verfügb.</v>
          </cell>
          <cell r="B585" t="str">
            <v>DB Fernverkehr AG</v>
          </cell>
          <cell r="C585" t="str">
            <v>Zug DB Fernverkehr</v>
          </cell>
          <cell r="D585" t="str">
            <v>Komfort und Ausstattung</v>
          </cell>
          <cell r="E585" t="str">
            <v>Internet via WLAN n. verfügb.</v>
          </cell>
          <cell r="F585" t="str">
            <v>Sonstiges</v>
          </cell>
        </row>
        <row r="586">
          <cell r="A586" t="str">
            <v>DB Fernverkehr AGZug DB FernverkehrKomfort und AusstattungInternet/WLAN Datenübertragung</v>
          </cell>
          <cell r="B586" t="str">
            <v>DB Fernverkehr AG</v>
          </cell>
          <cell r="C586" t="str">
            <v>Zug DB Fernverkehr</v>
          </cell>
          <cell r="D586" t="str">
            <v>Komfort und Ausstattung</v>
          </cell>
          <cell r="E586" t="str">
            <v>Internet/WLAN Datenübertragung</v>
          </cell>
          <cell r="F586" t="str">
            <v>Sonstiges</v>
          </cell>
        </row>
        <row r="587">
          <cell r="A587" t="str">
            <v>DB Fernverkehr AGZug DB FernverkehrKomfort und AusstattungKleinkindabteil</v>
          </cell>
          <cell r="B587" t="str">
            <v>DB Fernverkehr AG</v>
          </cell>
          <cell r="C587" t="str">
            <v>Zug DB Fernverkehr</v>
          </cell>
          <cell r="D587" t="str">
            <v>Komfort und Ausstattung</v>
          </cell>
          <cell r="E587" t="str">
            <v>Kleinkindabteil</v>
          </cell>
          <cell r="F587" t="str">
            <v>Sonstiges</v>
          </cell>
        </row>
        <row r="588">
          <cell r="A588" t="str">
            <v>DB Fernverkehr AGZug DB FernverkehrKomfort und AusstattungKlimatisierung</v>
          </cell>
          <cell r="B588" t="str">
            <v>DB Fernverkehr AG</v>
          </cell>
          <cell r="C588" t="str">
            <v>Zug DB Fernverkehr</v>
          </cell>
          <cell r="D588" t="str">
            <v>Komfort und Ausstattung</v>
          </cell>
          <cell r="E588" t="str">
            <v>Klimatisierung</v>
          </cell>
          <cell r="F588" t="str">
            <v>Sonstiges</v>
          </cell>
        </row>
        <row r="589">
          <cell r="A589" t="str">
            <v>DB Fernverkehr AGZug DB FernverkehrKomfort und AusstattungKlimaanlagenstörung</v>
          </cell>
          <cell r="B589" t="str">
            <v>DB Fernverkehr AG</v>
          </cell>
          <cell r="C589" t="str">
            <v>Zug DB Fernverkehr</v>
          </cell>
          <cell r="D589" t="str">
            <v>Komfort und Ausstattung</v>
          </cell>
          <cell r="E589" t="str">
            <v>Klimaanlagenstörung</v>
          </cell>
          <cell r="F589" t="str">
            <v>Sonstiges</v>
          </cell>
        </row>
        <row r="590">
          <cell r="A590" t="str">
            <v>DB Fernverkehr AGZug DB FernverkehrKomfort und AusstattungPlatzreservierung</v>
          </cell>
          <cell r="B590" t="str">
            <v>DB Fernverkehr AG</v>
          </cell>
          <cell r="C590" t="str">
            <v>Zug DB Fernverkehr</v>
          </cell>
          <cell r="D590" t="str">
            <v>Komfort und Ausstattung</v>
          </cell>
          <cell r="E590" t="str">
            <v>Platzreservierung</v>
          </cell>
          <cell r="F590" t="str">
            <v>Sonstiges</v>
          </cell>
        </row>
        <row r="591">
          <cell r="A591" t="str">
            <v>DB Fernverkehr AGZug DB FernverkehrKomfort und AusstattungPlatzverfügbarkeit 1. Klasse</v>
          </cell>
          <cell r="B591" t="str">
            <v>DB Fernverkehr AG</v>
          </cell>
          <cell r="C591" t="str">
            <v>Zug DB Fernverkehr</v>
          </cell>
          <cell r="D591" t="str">
            <v>Komfort und Ausstattung</v>
          </cell>
          <cell r="E591" t="str">
            <v>Platzverfügbarkeit 1. Klasse</v>
          </cell>
          <cell r="F591" t="str">
            <v>Sonstiges</v>
          </cell>
        </row>
        <row r="592">
          <cell r="A592" t="str">
            <v>DB Fernverkehr AGZug DB FernverkehrKomfort und AusstattungPlatzverfügbarkeit 2. Klasse</v>
          </cell>
          <cell r="B592" t="str">
            <v>DB Fernverkehr AG</v>
          </cell>
          <cell r="C592" t="str">
            <v>Zug DB Fernverkehr</v>
          </cell>
          <cell r="D592" t="str">
            <v>Komfort und Ausstattung</v>
          </cell>
          <cell r="E592" t="str">
            <v>Platzverfügbarkeit 2. Klasse</v>
          </cell>
          <cell r="F592" t="str">
            <v>Sonstiges</v>
          </cell>
        </row>
        <row r="593">
          <cell r="A593" t="str">
            <v>DB Fernverkehr AGZug DB FernverkehrKomfort und AusstattungSauberkeit Sanitäreinrichtung</v>
          </cell>
          <cell r="B593" t="str">
            <v>DB Fernverkehr AG</v>
          </cell>
          <cell r="C593" t="str">
            <v>Zug DB Fernverkehr</v>
          </cell>
          <cell r="D593" t="str">
            <v>Komfort und Ausstattung</v>
          </cell>
          <cell r="E593" t="str">
            <v>Sauberkeit Sanitäreinrichtung</v>
          </cell>
          <cell r="F593" t="str">
            <v>Sonstiges</v>
          </cell>
        </row>
        <row r="594">
          <cell r="A594" t="str">
            <v>DB Fernverkehr AGZug DB FernverkehrKomfort und AusstattungSauberkeit Wagen</v>
          </cell>
          <cell r="B594" t="str">
            <v>DB Fernverkehr AG</v>
          </cell>
          <cell r="C594" t="str">
            <v>Zug DB Fernverkehr</v>
          </cell>
          <cell r="D594" t="str">
            <v>Komfort und Ausstattung</v>
          </cell>
          <cell r="E594" t="str">
            <v>Sauberkeit Wagen</v>
          </cell>
          <cell r="F594" t="str">
            <v>Sonstiges</v>
          </cell>
        </row>
        <row r="595">
          <cell r="A595" t="str">
            <v>DB Fernverkehr AGZug DB FernverkehrKomfort und AusstattungSitzkomfort/Platzgestaltung</v>
          </cell>
          <cell r="B595" t="str">
            <v>DB Fernverkehr AG</v>
          </cell>
          <cell r="C595" t="str">
            <v>Zug DB Fernverkehr</v>
          </cell>
          <cell r="D595" t="str">
            <v>Komfort und Ausstattung</v>
          </cell>
          <cell r="E595" t="str">
            <v>Sitzkomfort/Platzgestaltung</v>
          </cell>
          <cell r="F595" t="str">
            <v>Sonstiges</v>
          </cell>
        </row>
        <row r="596">
          <cell r="A596" t="str">
            <v>DB Fernverkehr AGZug DB FernverkehrKomfort und AusstattungStauraum Kinderwagen</v>
          </cell>
          <cell r="B596" t="str">
            <v>DB Fernverkehr AG</v>
          </cell>
          <cell r="C596" t="str">
            <v>Zug DB Fernverkehr</v>
          </cell>
          <cell r="D596" t="str">
            <v>Komfort und Ausstattung</v>
          </cell>
          <cell r="E596" t="str">
            <v>Stauraum Kinderwagen</v>
          </cell>
          <cell r="F596" t="str">
            <v>Sonstiges</v>
          </cell>
        </row>
        <row r="597">
          <cell r="A597" t="str">
            <v>DB Fernverkehr AGZug DB FernverkehrKomfort und AusstattungTürstörung</v>
          </cell>
          <cell r="B597" t="str">
            <v>DB Fernverkehr AG</v>
          </cell>
          <cell r="C597" t="str">
            <v>Zug DB Fernverkehr</v>
          </cell>
          <cell r="D597" t="str">
            <v>Komfort und Ausstattung</v>
          </cell>
          <cell r="E597" t="str">
            <v>Türstörung</v>
          </cell>
          <cell r="F597" t="str">
            <v>Sonstiges</v>
          </cell>
        </row>
        <row r="598">
          <cell r="A598" t="str">
            <v>DB Fernverkehr AGZug DB FernverkehrKomfort und AusstattungUMTS Empfangsqualität</v>
          </cell>
          <cell r="B598" t="str">
            <v>DB Fernverkehr AG</v>
          </cell>
          <cell r="C598" t="str">
            <v>Zug DB Fernverkehr</v>
          </cell>
          <cell r="D598" t="str">
            <v>Komfort und Ausstattung</v>
          </cell>
          <cell r="E598" t="str">
            <v>UMTS Empfangsqualität</v>
          </cell>
          <cell r="F598" t="str">
            <v>Sonstiges</v>
          </cell>
        </row>
        <row r="599">
          <cell r="A599" t="str">
            <v>DB Fernverkehr AGZug DB FernverkehrKomfort und AusstattungUnterbringung Rollstühle</v>
          </cell>
          <cell r="B599" t="str">
            <v>DB Fernverkehr AG</v>
          </cell>
          <cell r="C599" t="str">
            <v>Zug DB Fernverkehr</v>
          </cell>
          <cell r="D599" t="str">
            <v>Komfort und Ausstattung</v>
          </cell>
          <cell r="E599" t="str">
            <v>Unterbringung Rollstühle</v>
          </cell>
          <cell r="F599" t="str">
            <v>Sonstiges</v>
          </cell>
        </row>
        <row r="600">
          <cell r="A600" t="str">
            <v>DB Fernverkehr AGZug DB FernverkehrKomfort und AusstattungVerfügbark. Sanitäreinrichtung</v>
          </cell>
          <cell r="B600" t="str">
            <v>DB Fernverkehr AG</v>
          </cell>
          <cell r="C600" t="str">
            <v>Zug DB Fernverkehr</v>
          </cell>
          <cell r="D600" t="str">
            <v>Komfort und Ausstattung</v>
          </cell>
          <cell r="E600" t="str">
            <v>Verfügbark. Sanitäreinrichtung</v>
          </cell>
          <cell r="F600" t="str">
            <v>Sonstiges</v>
          </cell>
        </row>
        <row r="601">
          <cell r="A601" t="str">
            <v>DB Fernverkehr AGZug DB FernverkehrKomfort und AusstattungWagen fehlt</v>
          </cell>
          <cell r="B601" t="str">
            <v>DB Fernverkehr AG</v>
          </cell>
          <cell r="C601" t="str">
            <v>Zug DB Fernverkehr</v>
          </cell>
          <cell r="D601" t="str">
            <v>Komfort und Ausstattung</v>
          </cell>
          <cell r="E601" t="str">
            <v>Wagen fehlt</v>
          </cell>
          <cell r="F601" t="str">
            <v>Sonstiges</v>
          </cell>
        </row>
        <row r="602">
          <cell r="A602" t="str">
            <v>DB Fernverkehr AGZug DB FernverkehrKomfort und AusstattungWagenreihung</v>
          </cell>
          <cell r="B602" t="str">
            <v>DB Fernverkehr AG</v>
          </cell>
          <cell r="C602" t="str">
            <v>Zug DB Fernverkehr</v>
          </cell>
          <cell r="D602" t="str">
            <v>Komfort und Ausstattung</v>
          </cell>
          <cell r="E602" t="str">
            <v>Wagenreihung</v>
          </cell>
          <cell r="F602" t="str">
            <v>Sonstiges</v>
          </cell>
        </row>
        <row r="603">
          <cell r="A603" t="str">
            <v>DB Fernverkehr AGZug DB FernverkehrKomfort und Ausstattungbarrierefreier Zugang</v>
          </cell>
          <cell r="B603" t="str">
            <v>DB Fernverkehr AG</v>
          </cell>
          <cell r="C603" t="str">
            <v>Zug DB Fernverkehr</v>
          </cell>
          <cell r="D603" t="str">
            <v>Komfort und Ausstattung</v>
          </cell>
          <cell r="E603" t="str">
            <v>barrierefreier Zugang</v>
          </cell>
          <cell r="F603" t="str">
            <v>Sonstiges</v>
          </cell>
        </row>
        <row r="604">
          <cell r="A604" t="str">
            <v>DB Fernverkehr AGZug DB FernverkehrKomfort und Ausstattungbehindertenger. Sanitäreinr.</v>
          </cell>
          <cell r="B604" t="str">
            <v>DB Fernverkehr AG</v>
          </cell>
          <cell r="C604" t="str">
            <v>Zug DB Fernverkehr</v>
          </cell>
          <cell r="D604" t="str">
            <v>Komfort und Ausstattung</v>
          </cell>
          <cell r="E604" t="str">
            <v>behindertenger. Sanitäreinr.</v>
          </cell>
          <cell r="F604" t="str">
            <v>Sonstiges</v>
          </cell>
        </row>
        <row r="605">
          <cell r="A605" t="str">
            <v>DB Fernverkehr AGZug DB FernverkehrKomfort und Ausstattungbehindertenger. Sitzplätze</v>
          </cell>
          <cell r="B605" t="str">
            <v>DB Fernverkehr AG</v>
          </cell>
          <cell r="C605" t="str">
            <v>Zug DB Fernverkehr</v>
          </cell>
          <cell r="D605" t="str">
            <v>Komfort und Ausstattung</v>
          </cell>
          <cell r="E605" t="str">
            <v>behindertenger. Sitzplätze</v>
          </cell>
          <cell r="F605" t="str">
            <v>Sonstiges</v>
          </cell>
        </row>
        <row r="606">
          <cell r="A606" t="str">
            <v>DB Fernverkehr AGZug DB FernverkehrPersonalBeratungsqualität</v>
          </cell>
          <cell r="B606" t="str">
            <v>DB Fernverkehr AG</v>
          </cell>
          <cell r="C606" t="str">
            <v>Zug DB Fernverkehr</v>
          </cell>
          <cell r="D606" t="str">
            <v>Personal</v>
          </cell>
          <cell r="E606" t="str">
            <v>Beratungsqualität</v>
          </cell>
          <cell r="F606" t="str">
            <v>Sonstiges</v>
          </cell>
        </row>
        <row r="607">
          <cell r="A607" t="str">
            <v>DB Fernverkehr AGZug DB FernverkehrPersonalErreichbarkeit/Verfügbarkeit</v>
          </cell>
          <cell r="B607" t="str">
            <v>DB Fernverkehr AG</v>
          </cell>
          <cell r="C607" t="str">
            <v>Zug DB Fernverkehr</v>
          </cell>
          <cell r="D607" t="str">
            <v>Personal</v>
          </cell>
          <cell r="E607" t="str">
            <v>Erreichbarkeit/Verfügbarkeit</v>
          </cell>
          <cell r="F607" t="str">
            <v>Sonstiges</v>
          </cell>
        </row>
        <row r="608">
          <cell r="A608" t="str">
            <v>DB Fernverkehr AGZug DB FernverkehrPersonalFahrscheinprüfung</v>
          </cell>
          <cell r="B608" t="str">
            <v>DB Fernverkehr AG</v>
          </cell>
          <cell r="C608" t="str">
            <v>Zug DB Fernverkehr</v>
          </cell>
          <cell r="D608" t="str">
            <v>Personal</v>
          </cell>
          <cell r="E608" t="str">
            <v>Fahrscheinprüfung</v>
          </cell>
          <cell r="F608" t="str">
            <v>Sonstiges</v>
          </cell>
        </row>
        <row r="609">
          <cell r="A609" t="str">
            <v>DB Fernverkehr AGZug DB FernverkehrPersonalFahrscheinprüfung mit FN</v>
          </cell>
          <cell r="B609" t="str">
            <v>DB Fernverkehr AG</v>
          </cell>
          <cell r="C609" t="str">
            <v>Zug DB Fernverkehr</v>
          </cell>
          <cell r="D609" t="str">
            <v>Personal</v>
          </cell>
          <cell r="E609" t="str">
            <v>Fahrscheinprüfung mit FN</v>
          </cell>
          <cell r="F609" t="str">
            <v>Sonstiges</v>
          </cell>
        </row>
        <row r="610">
          <cell r="A610" t="str">
            <v>DB Fernverkehr AGZug DB FernverkehrPersonalFreundlichkeit</v>
          </cell>
          <cell r="B610" t="str">
            <v>DB Fernverkehr AG</v>
          </cell>
          <cell r="C610" t="str">
            <v>Zug DB Fernverkehr</v>
          </cell>
          <cell r="D610" t="str">
            <v>Personal</v>
          </cell>
          <cell r="E610" t="str">
            <v>Freundlichkeit</v>
          </cell>
          <cell r="F610" t="str">
            <v>Sonstiges</v>
          </cell>
        </row>
        <row r="611">
          <cell r="A611" t="str">
            <v>DB Fernverkehr AGZug DB FernverkehrPersonalInformation ü. Unregelmäßigk.</v>
          </cell>
          <cell r="B611" t="str">
            <v>DB Fernverkehr AG</v>
          </cell>
          <cell r="C611" t="str">
            <v>Zug DB Fernverkehr</v>
          </cell>
          <cell r="D611" t="str">
            <v>Personal</v>
          </cell>
          <cell r="E611" t="str">
            <v>Information ü. Unregelmäßigk.</v>
          </cell>
          <cell r="F611" t="str">
            <v>Sonstiges</v>
          </cell>
        </row>
        <row r="612">
          <cell r="A612" t="str">
            <v>DB Fernverkehr AGZug DB FernverkehrPersonalLautsprecherdurchsagen</v>
          </cell>
          <cell r="B612" t="str">
            <v>DB Fernverkehr AG</v>
          </cell>
          <cell r="C612" t="str">
            <v>Zug DB Fernverkehr</v>
          </cell>
          <cell r="D612" t="str">
            <v>Personal</v>
          </cell>
          <cell r="E612" t="str">
            <v>Lautsprecherdurchsagen</v>
          </cell>
          <cell r="F612" t="str">
            <v>Sonstiges</v>
          </cell>
        </row>
        <row r="613">
          <cell r="A613" t="str">
            <v>DB Fernverkehr AGZug DB FernverkehrPersonalnicht spezifiziert</v>
          </cell>
          <cell r="B613" t="str">
            <v>DB Fernverkehr AG</v>
          </cell>
          <cell r="C613" t="str">
            <v>Zug DB Fernverkehr</v>
          </cell>
          <cell r="D613" t="str">
            <v>Personal</v>
          </cell>
          <cell r="E613" t="str">
            <v>nicht spezifiziert</v>
          </cell>
          <cell r="F613" t="str">
            <v>Sonstiges</v>
          </cell>
        </row>
        <row r="614">
          <cell r="A614" t="str">
            <v>DB Fernverkehr AGZug DB FernverkehrPersonalServiceorientierung</v>
          </cell>
          <cell r="B614" t="str">
            <v>DB Fernverkehr AG</v>
          </cell>
          <cell r="C614" t="str">
            <v>Zug DB Fernverkehr</v>
          </cell>
          <cell r="D614" t="str">
            <v>Personal</v>
          </cell>
          <cell r="E614" t="str">
            <v>Serviceorientierung</v>
          </cell>
          <cell r="F614" t="str">
            <v>Sonstiges</v>
          </cell>
        </row>
        <row r="615">
          <cell r="A615" t="str">
            <v>DB Fernverkehr AGZug DB FernverkehrVerbindung und ReisezeitBusnotverkehr</v>
          </cell>
          <cell r="B615" t="str">
            <v>DB Fernverkehr AG</v>
          </cell>
          <cell r="C615" t="str">
            <v>Zug DB Fernverkehr</v>
          </cell>
          <cell r="D615" t="str">
            <v>Verbindung und Reisezeit</v>
          </cell>
          <cell r="E615" t="str">
            <v>Busnotverkehr</v>
          </cell>
          <cell r="F615" t="str">
            <v>Sonstiges</v>
          </cell>
        </row>
        <row r="616">
          <cell r="A616" t="str">
            <v>DB Fernverkehr AGZug DB FernverkehrVerbindung und ReisezeitErsatzzug</v>
          </cell>
          <cell r="B616" t="str">
            <v>DB Fernverkehr AG</v>
          </cell>
          <cell r="C616" t="str">
            <v>Zug DB Fernverkehr</v>
          </cell>
          <cell r="D616" t="str">
            <v>Verbindung und Reisezeit</v>
          </cell>
          <cell r="E616" t="str">
            <v>Ersatzzug</v>
          </cell>
          <cell r="F616" t="str">
            <v>Sonstiges</v>
          </cell>
        </row>
        <row r="617">
          <cell r="A617" t="str">
            <v>DB Fernverkehr AGZug DB FernverkehrVerbindung und ReisezeitPünklichk. ohne Anschluss</v>
          </cell>
          <cell r="B617" t="str">
            <v>DB Fernverkehr AG</v>
          </cell>
          <cell r="C617" t="str">
            <v>Zug DB Fernverkehr</v>
          </cell>
          <cell r="D617" t="str">
            <v>Verbindung und Reisezeit</v>
          </cell>
          <cell r="E617" t="str">
            <v>Pünklichk. ohne Anschluss</v>
          </cell>
          <cell r="F617" t="str">
            <v>Sonstiges</v>
          </cell>
        </row>
        <row r="618">
          <cell r="A618" t="str">
            <v>DB Fernverkehr AGZug DB FernverkehrVerbindung und ReisezeitPünktlichk. mit Anschluss</v>
          </cell>
          <cell r="B618" t="str">
            <v>DB Fernverkehr AG</v>
          </cell>
          <cell r="C618" t="str">
            <v>Zug DB Fernverkehr</v>
          </cell>
          <cell r="D618" t="str">
            <v>Verbindung und Reisezeit</v>
          </cell>
          <cell r="E618" t="str">
            <v>Pünktlichk. mit Anschluss</v>
          </cell>
          <cell r="F618" t="str">
            <v>Sonstiges</v>
          </cell>
        </row>
        <row r="619">
          <cell r="A619" t="str">
            <v>DB Fernverkehr AGZug DB FernverkehrVerbindung und ReisezeitSEV</v>
          </cell>
          <cell r="B619" t="str">
            <v>DB Fernverkehr AG</v>
          </cell>
          <cell r="C619" t="str">
            <v>Zug DB Fernverkehr</v>
          </cell>
          <cell r="D619" t="str">
            <v>Verbindung und Reisezeit</v>
          </cell>
          <cell r="E619" t="str">
            <v>SEV</v>
          </cell>
          <cell r="F619" t="str">
            <v>Sonstiges</v>
          </cell>
        </row>
        <row r="620">
          <cell r="A620" t="str">
            <v>DB Fernverkehr AGZug DB FernverkehrVerbindung und ReisezeitZugausfall mit Ersatz</v>
          </cell>
          <cell r="B620" t="str">
            <v>DB Fernverkehr AG</v>
          </cell>
          <cell r="C620" t="str">
            <v>Zug DB Fernverkehr</v>
          </cell>
          <cell r="D620" t="str">
            <v>Verbindung und Reisezeit</v>
          </cell>
          <cell r="E620" t="str">
            <v>Zugausfall mit Ersatz</v>
          </cell>
          <cell r="F620" t="str">
            <v>Sonstiges</v>
          </cell>
        </row>
        <row r="621">
          <cell r="A621" t="str">
            <v>DB Fernverkehr AGZug DB FernverkehrVerbindung und ReisezeitZugausfall ohne Ersatz</v>
          </cell>
          <cell r="B621" t="str">
            <v>DB Fernverkehr AG</v>
          </cell>
          <cell r="C621" t="str">
            <v>Zug DB Fernverkehr</v>
          </cell>
          <cell r="D621" t="str">
            <v>Verbindung und Reisezeit</v>
          </cell>
          <cell r="E621" t="str">
            <v>Zugausfall ohne Ersatz</v>
          </cell>
          <cell r="F621" t="str">
            <v>Sonstiges</v>
          </cell>
        </row>
        <row r="622">
          <cell r="A622" t="str">
            <v>DB Fernverkehr AGZug DB FernverkehrVerbindung und ReisezeitZugräumung</v>
          </cell>
          <cell r="B622" t="str">
            <v>DB Fernverkehr AG</v>
          </cell>
          <cell r="C622" t="str">
            <v>Zug DB Fernverkehr</v>
          </cell>
          <cell r="D622" t="str">
            <v>Verbindung und Reisezeit</v>
          </cell>
          <cell r="E622" t="str">
            <v>Zugräumung</v>
          </cell>
          <cell r="F622" t="str">
            <v>Sonstiges</v>
          </cell>
        </row>
        <row r="623">
          <cell r="A623" t="str">
            <v>DB Fernverkehr AGZug DB FernverkehrVerbindung und ReisezeitÜberfüllung</v>
          </cell>
          <cell r="B623" t="str">
            <v>DB Fernverkehr AG</v>
          </cell>
          <cell r="C623" t="str">
            <v>Zug DB Fernverkehr</v>
          </cell>
          <cell r="D623" t="str">
            <v>Verbindung und Reisezeit</v>
          </cell>
          <cell r="E623" t="str">
            <v>Überfüllung</v>
          </cell>
          <cell r="F623" t="str">
            <v>Sonstiges</v>
          </cell>
        </row>
        <row r="624">
          <cell r="A624" t="str">
            <v>DB Fernverkehr AGandere DB Stelle</v>
          </cell>
          <cell r="B624" t="str">
            <v>DB Fernverkehr AG</v>
          </cell>
          <cell r="C624" t="str">
            <v>andere DB Stelle</v>
          </cell>
          <cell r="D624">
            <v>0</v>
          </cell>
          <cell r="E624">
            <v>0</v>
          </cell>
          <cell r="F624" t="str">
            <v>Sonstiges</v>
          </cell>
        </row>
        <row r="625">
          <cell r="A625" t="str">
            <v>DB Fernverkehr AGbahn.bonus comfort-ServiceDatenschutzHerausgabe Kundendaten</v>
          </cell>
          <cell r="B625" t="str">
            <v>DB Fernverkehr AG</v>
          </cell>
          <cell r="C625" t="str">
            <v>bahn.bonus comfort-Service</v>
          </cell>
          <cell r="D625" t="str">
            <v>Datenschutz</v>
          </cell>
          <cell r="E625" t="str">
            <v>Herausgabe Kundendaten</v>
          </cell>
          <cell r="F625" t="str">
            <v>Sonstiges</v>
          </cell>
        </row>
        <row r="626">
          <cell r="A626" t="str">
            <v>DB Fernverkehr AGbahn.bonus comfort-ServiceDatenschutzIdentifikationsregeln</v>
          </cell>
          <cell r="B626" t="str">
            <v>DB Fernverkehr AG</v>
          </cell>
          <cell r="C626" t="str">
            <v>bahn.bonus comfort-Service</v>
          </cell>
          <cell r="D626" t="str">
            <v>Datenschutz</v>
          </cell>
          <cell r="E626" t="str">
            <v>Identifikationsregeln</v>
          </cell>
          <cell r="F626" t="str">
            <v>Sonstiges</v>
          </cell>
        </row>
        <row r="627">
          <cell r="A627" t="str">
            <v>DB Fernverkehr AGbahn.bonus comfort-ServiceKundenbindungsprogrammAngebote f. Comfort-Kunden</v>
          </cell>
          <cell r="B627" t="str">
            <v>DB Fernverkehr AG</v>
          </cell>
          <cell r="C627" t="str">
            <v>bahn.bonus comfort-Service</v>
          </cell>
          <cell r="D627" t="str">
            <v>Kundenbindungsprogramm</v>
          </cell>
          <cell r="E627" t="str">
            <v>Angebote f. Comfort-Kunden</v>
          </cell>
          <cell r="F627" t="str">
            <v>Sonstiges</v>
          </cell>
        </row>
        <row r="628">
          <cell r="A628" t="str">
            <v>DB Fernverkehr AGbahn.bonus comfort-ServiceKundenbindungsprogrammComfort-Status</v>
          </cell>
          <cell r="B628" t="str">
            <v>DB Fernverkehr AG</v>
          </cell>
          <cell r="C628" t="str">
            <v>bahn.bonus comfort-Service</v>
          </cell>
          <cell r="D628" t="str">
            <v>Kundenbindungsprogramm</v>
          </cell>
          <cell r="E628" t="str">
            <v>Comfort-Status</v>
          </cell>
          <cell r="F628" t="str">
            <v>Sonstiges</v>
          </cell>
        </row>
        <row r="629">
          <cell r="A629" t="str">
            <v>DB Fernverkehr AGbahn.bonus comfort-ServiceKundenbindungsprogrammPunktestand unklar</v>
          </cell>
          <cell r="B629" t="str">
            <v>DB Fernverkehr AG</v>
          </cell>
          <cell r="C629" t="str">
            <v>bahn.bonus comfort-Service</v>
          </cell>
          <cell r="D629" t="str">
            <v>Kundenbindungsprogramm</v>
          </cell>
          <cell r="E629" t="str">
            <v>Punktestand unklar</v>
          </cell>
          <cell r="F629" t="str">
            <v>Sonstiges</v>
          </cell>
        </row>
        <row r="630">
          <cell r="A630" t="str">
            <v>DB Fernverkehr AGbahn.bonus comfort-ServiceKundenbindungsprogrammPunkteübersicht</v>
          </cell>
          <cell r="B630" t="str">
            <v>DB Fernverkehr AG</v>
          </cell>
          <cell r="C630" t="str">
            <v>bahn.bonus comfort-Service</v>
          </cell>
          <cell r="D630" t="str">
            <v>Kundenbindungsprogramm</v>
          </cell>
          <cell r="E630" t="str">
            <v>Punkteübersicht</v>
          </cell>
          <cell r="F630" t="str">
            <v>Sonstiges</v>
          </cell>
        </row>
        <row r="631">
          <cell r="A631" t="str">
            <v>DB Fernverkehr AGbahn.bonus comfort-ServiceKundenbindungsprogrammSammeln/Punkteberechnung</v>
          </cell>
          <cell r="B631" t="str">
            <v>DB Fernverkehr AG</v>
          </cell>
          <cell r="C631" t="str">
            <v>bahn.bonus comfort-Service</v>
          </cell>
          <cell r="D631" t="str">
            <v>Kundenbindungsprogramm</v>
          </cell>
          <cell r="E631" t="str">
            <v>Sammeln/Punkteberechnung</v>
          </cell>
          <cell r="F631" t="str">
            <v>Sonstiges</v>
          </cell>
        </row>
        <row r="632">
          <cell r="A632" t="str">
            <v>DB Fernverkehr AGbahn.bonus comfort-ServiceOnline ServiceBenutzerführung</v>
          </cell>
          <cell r="B632" t="str">
            <v>DB Fernverkehr AG</v>
          </cell>
          <cell r="C632" t="str">
            <v>bahn.bonus comfort-Service</v>
          </cell>
          <cell r="D632" t="str">
            <v>Online Service</v>
          </cell>
          <cell r="E632" t="str">
            <v>Benutzerführung</v>
          </cell>
          <cell r="F632" t="str">
            <v>Sonstiges</v>
          </cell>
        </row>
        <row r="633">
          <cell r="A633" t="str">
            <v>DB Fernverkehr AGbahn.bonus comfort-ServiceOnline ServiceInformationsgehalt</v>
          </cell>
          <cell r="B633" t="str">
            <v>DB Fernverkehr AG</v>
          </cell>
          <cell r="C633" t="str">
            <v>bahn.bonus comfort-Service</v>
          </cell>
          <cell r="D633" t="str">
            <v>Online Service</v>
          </cell>
          <cell r="E633" t="str">
            <v>Informationsgehalt</v>
          </cell>
          <cell r="F633" t="str">
            <v>Sonstiges</v>
          </cell>
        </row>
        <row r="634">
          <cell r="A634" t="str">
            <v>DB Fernverkehr AGbahn.bonus comfort-ServiceOnline ServiceNutzung mit PIN</v>
          </cell>
          <cell r="B634" t="str">
            <v>DB Fernverkehr AG</v>
          </cell>
          <cell r="C634" t="str">
            <v>bahn.bonus comfort-Service</v>
          </cell>
          <cell r="D634" t="str">
            <v>Online Service</v>
          </cell>
          <cell r="E634" t="str">
            <v>Nutzung mit PIN</v>
          </cell>
          <cell r="F634" t="str">
            <v>Sonstiges</v>
          </cell>
        </row>
        <row r="635">
          <cell r="A635" t="str">
            <v>DB Fernverkehr AGbahn.bonus comfort-ServiceOnline Servicekeine BC Bestellung möglich</v>
          </cell>
          <cell r="B635" t="str">
            <v>DB Fernverkehr AG</v>
          </cell>
          <cell r="C635" t="str">
            <v>bahn.bonus comfort-Service</v>
          </cell>
          <cell r="D635" t="str">
            <v>Online Service</v>
          </cell>
          <cell r="E635" t="str">
            <v>keine BC Bestellung möglich</v>
          </cell>
          <cell r="F635" t="str">
            <v>Sonstiges</v>
          </cell>
        </row>
        <row r="636">
          <cell r="A636" t="str">
            <v>DB Fernverkehr AGbahn.bonus comfort-ServiceProzessHotlinekosten</v>
          </cell>
          <cell r="B636" t="str">
            <v>DB Fernverkehr AG</v>
          </cell>
          <cell r="C636" t="str">
            <v>bahn.bonus comfort-Service</v>
          </cell>
          <cell r="D636" t="str">
            <v>Prozess</v>
          </cell>
          <cell r="E636" t="str">
            <v>Hotlinekosten</v>
          </cell>
          <cell r="F636" t="str">
            <v>Sonstiges</v>
          </cell>
        </row>
        <row r="637">
          <cell r="A637" t="str">
            <v>DB Fernverkehr AGbahn.bonus comfort-ServiceProzessmit Kompens. nicht einverst.</v>
          </cell>
          <cell r="B637" t="str">
            <v>DB Fernverkehr AG</v>
          </cell>
          <cell r="C637" t="str">
            <v>bahn.bonus comfort-Service</v>
          </cell>
          <cell r="D637" t="str">
            <v>Prozess</v>
          </cell>
          <cell r="E637" t="str">
            <v>mit Kompens. nicht einverst.</v>
          </cell>
          <cell r="F637" t="str">
            <v>Sonstiges</v>
          </cell>
        </row>
        <row r="638">
          <cell r="A638" t="str">
            <v>DB Fernverkehr AGbahn.bonus comfort-ServiceServiceleistungAnliegen nicht erkannt</v>
          </cell>
          <cell r="B638" t="str">
            <v>DB Fernverkehr AG</v>
          </cell>
          <cell r="C638" t="str">
            <v>bahn.bonus comfort-Service</v>
          </cell>
          <cell r="D638" t="str">
            <v>Serviceleistung</v>
          </cell>
          <cell r="E638" t="str">
            <v>Anliegen nicht erkannt</v>
          </cell>
          <cell r="F638" t="str">
            <v>Sonstiges</v>
          </cell>
        </row>
        <row r="639">
          <cell r="A639" t="str">
            <v>DB Fernverkehr AGbahn.bonus comfort-ServiceServiceleistungBearbeitungsdauer</v>
          </cell>
          <cell r="B639" t="str">
            <v>DB Fernverkehr AG</v>
          </cell>
          <cell r="C639" t="str">
            <v>bahn.bonus comfort-Service</v>
          </cell>
          <cell r="D639" t="str">
            <v>Serviceleistung</v>
          </cell>
          <cell r="E639" t="str">
            <v>Bearbeitungsdauer</v>
          </cell>
          <cell r="F639" t="str">
            <v>Sonstiges</v>
          </cell>
        </row>
        <row r="640">
          <cell r="A640" t="str">
            <v>DB Fernverkehr AGbahn.bonus comfort-ServiceServiceleistungErreichbarkeit</v>
          </cell>
          <cell r="B640" t="str">
            <v>DB Fernverkehr AG</v>
          </cell>
          <cell r="C640" t="str">
            <v>bahn.bonus comfort-Service</v>
          </cell>
          <cell r="D640" t="str">
            <v>Serviceleistung</v>
          </cell>
          <cell r="E640" t="str">
            <v>Erreichbarkeit</v>
          </cell>
          <cell r="F640" t="str">
            <v>Sonstiges</v>
          </cell>
        </row>
        <row r="641">
          <cell r="A641" t="str">
            <v>DB Fernverkehr AGbahn.bonus comfort-ServiceServiceleistungWortlaut/Grammatik</v>
          </cell>
          <cell r="B641" t="str">
            <v>DB Fernverkehr AG</v>
          </cell>
          <cell r="C641" t="str">
            <v>bahn.bonus comfort-Service</v>
          </cell>
          <cell r="D641" t="str">
            <v>Serviceleistung</v>
          </cell>
          <cell r="E641" t="str">
            <v>Wortlaut/Grammatik</v>
          </cell>
          <cell r="F641" t="str">
            <v>Sonstiges</v>
          </cell>
        </row>
        <row r="642">
          <cell r="A642" t="str">
            <v>DB Fernverkehr AGbahn.bonus comfort-ServiceServiceleistungVerhalten/Kompetenz</v>
          </cell>
          <cell r="B642" t="str">
            <v>DB Fernverkehr AG</v>
          </cell>
          <cell r="C642" t="str">
            <v>bahn.bonus comfort-Service</v>
          </cell>
          <cell r="D642" t="str">
            <v>Serviceleistung</v>
          </cell>
          <cell r="E642" t="str">
            <v>Verhalten/Kompetenz</v>
          </cell>
          <cell r="F642" t="str">
            <v>Sonstiges</v>
          </cell>
        </row>
        <row r="643">
          <cell r="A643" t="str">
            <v>DB Fernverkehr AGbahn.bonus comfort-ServiceServiceleistungunzureichende Bearbeitung</v>
          </cell>
          <cell r="B643" t="str">
            <v>DB Fernverkehr AG</v>
          </cell>
          <cell r="C643" t="str">
            <v>bahn.bonus comfort-Service</v>
          </cell>
          <cell r="D643" t="str">
            <v>Serviceleistung</v>
          </cell>
          <cell r="E643" t="str">
            <v>unzureichende Bearbeitung</v>
          </cell>
          <cell r="F643" t="str">
            <v>Sonstiges</v>
          </cell>
        </row>
        <row r="644">
          <cell r="A644" t="str">
            <v>DB Fernverkehr AGbahn.bonus-ServiceDatenschutzHerausgabe Kundendaten</v>
          </cell>
          <cell r="B644" t="str">
            <v>DB Fernverkehr AG</v>
          </cell>
          <cell r="C644" t="str">
            <v>bahn.bonus-Service</v>
          </cell>
          <cell r="D644" t="str">
            <v>Datenschutz</v>
          </cell>
          <cell r="E644" t="str">
            <v>Herausgabe Kundendaten</v>
          </cell>
          <cell r="F644" t="str">
            <v>Sonstiges</v>
          </cell>
        </row>
        <row r="645">
          <cell r="A645" t="str">
            <v>DB Fernverkehr AGbahn.bonus-ServiceDatenschutzIdentifikationsregeln</v>
          </cell>
          <cell r="B645" t="str">
            <v>DB Fernverkehr AG</v>
          </cell>
          <cell r="C645" t="str">
            <v>bahn.bonus-Service</v>
          </cell>
          <cell r="D645" t="str">
            <v>Datenschutz</v>
          </cell>
          <cell r="E645" t="str">
            <v>Identifikationsregeln</v>
          </cell>
          <cell r="F645" t="str">
            <v>Sonstiges</v>
          </cell>
        </row>
        <row r="646">
          <cell r="A646" t="str">
            <v>DB Fernverkehr AGbahn.bonus-ServiceKundenbindungsprogrammPrintkatalog/Bestellschein</v>
          </cell>
          <cell r="B646" t="str">
            <v>DB Fernverkehr AG</v>
          </cell>
          <cell r="C646" t="str">
            <v>bahn.bonus-Service</v>
          </cell>
          <cell r="D646" t="str">
            <v>Kundenbindungsprogramm</v>
          </cell>
          <cell r="E646" t="str">
            <v>Printkatalog/Bestellschein</v>
          </cell>
          <cell r="F646" t="str">
            <v>Sonstiges</v>
          </cell>
        </row>
        <row r="647">
          <cell r="A647" t="str">
            <v>DB Fernverkehr AGbahn.bonus-ServiceKundenbindungsprogrammPrämie zu spät erhalten</v>
          </cell>
          <cell r="B647" t="str">
            <v>DB Fernverkehr AG</v>
          </cell>
          <cell r="C647" t="str">
            <v>bahn.bonus-Service</v>
          </cell>
          <cell r="D647" t="str">
            <v>Kundenbindungsprogramm</v>
          </cell>
          <cell r="E647" t="str">
            <v>Prämie zu spät erhalten</v>
          </cell>
          <cell r="F647" t="str">
            <v>Sonstiges</v>
          </cell>
        </row>
        <row r="648">
          <cell r="A648" t="str">
            <v>DB Fernverkehr AGbahn.bonus-ServiceKundenbindungsprogrammPrämienangebot/-vielfalt</v>
          </cell>
          <cell r="B648" t="str">
            <v>DB Fernverkehr AG</v>
          </cell>
          <cell r="C648" t="str">
            <v>bahn.bonus-Service</v>
          </cell>
          <cell r="D648" t="str">
            <v>Kundenbindungsprogramm</v>
          </cell>
          <cell r="E648" t="str">
            <v>Prämienangebot/-vielfalt</v>
          </cell>
          <cell r="F648" t="str">
            <v>Sonstiges</v>
          </cell>
        </row>
        <row r="649">
          <cell r="A649" t="str">
            <v>DB Fernverkehr AGbahn.bonus-ServiceKundenbindungsprogrammPunktestand unklar</v>
          </cell>
          <cell r="B649" t="str">
            <v>DB Fernverkehr AG</v>
          </cell>
          <cell r="C649" t="str">
            <v>bahn.bonus-Service</v>
          </cell>
          <cell r="D649" t="str">
            <v>Kundenbindungsprogramm</v>
          </cell>
          <cell r="E649" t="str">
            <v>Punktestand unklar</v>
          </cell>
          <cell r="F649" t="str">
            <v>Sonstiges</v>
          </cell>
        </row>
        <row r="650">
          <cell r="A650" t="str">
            <v>DB Fernverkehr AGbahn.bonus-ServiceKundenbindungsprogrammPunkteübersicht</v>
          </cell>
          <cell r="B650" t="str">
            <v>DB Fernverkehr AG</v>
          </cell>
          <cell r="C650" t="str">
            <v>bahn.bonus-Service</v>
          </cell>
          <cell r="D650" t="str">
            <v>Kundenbindungsprogramm</v>
          </cell>
          <cell r="E650" t="str">
            <v>Punkteübersicht</v>
          </cell>
          <cell r="F650" t="str">
            <v>Sonstiges</v>
          </cell>
        </row>
        <row r="651">
          <cell r="A651" t="str">
            <v>DB Fernverkehr AGbahn.bonus-ServiceKundenbindungsprogrammSammeln/Punkteberechnung</v>
          </cell>
          <cell r="B651" t="str">
            <v>DB Fernverkehr AG</v>
          </cell>
          <cell r="C651" t="str">
            <v>bahn.bonus-Service</v>
          </cell>
          <cell r="D651" t="str">
            <v>Kundenbindungsprogramm</v>
          </cell>
          <cell r="E651" t="str">
            <v>Sammeln/Punkteberechnung</v>
          </cell>
          <cell r="F651" t="str">
            <v>Sonstiges</v>
          </cell>
        </row>
        <row r="652">
          <cell r="A652" t="str">
            <v>DB Fernverkehr AGbahn.bonus-ServiceKundenbindungsprogrammSammelpartner</v>
          </cell>
          <cell r="B652" t="str">
            <v>DB Fernverkehr AG</v>
          </cell>
          <cell r="C652" t="str">
            <v>bahn.bonus-Service</v>
          </cell>
          <cell r="D652" t="str">
            <v>Kundenbindungsprogramm</v>
          </cell>
          <cell r="E652" t="str">
            <v>Sammelpartner</v>
          </cell>
          <cell r="F652" t="str">
            <v>Sonstiges</v>
          </cell>
        </row>
        <row r="653">
          <cell r="A653" t="str">
            <v>DB Fernverkehr AGbahn.bonus-ServiceKundenbindungsprogrammTeilnahmebedingungen</v>
          </cell>
          <cell r="B653" t="str">
            <v>DB Fernverkehr AG</v>
          </cell>
          <cell r="C653" t="str">
            <v>bahn.bonus-Service</v>
          </cell>
          <cell r="D653" t="str">
            <v>Kundenbindungsprogramm</v>
          </cell>
          <cell r="E653" t="str">
            <v>Teilnahmebedingungen</v>
          </cell>
          <cell r="F653" t="str">
            <v>Sonstiges</v>
          </cell>
        </row>
        <row r="654">
          <cell r="A654" t="str">
            <v>DB Fernverkehr AGbahn.bonus-ServiceOnline ServiceBenutzerführung</v>
          </cell>
          <cell r="B654" t="str">
            <v>DB Fernverkehr AG</v>
          </cell>
          <cell r="C654" t="str">
            <v>bahn.bonus-Service</v>
          </cell>
          <cell r="D654" t="str">
            <v>Online Service</v>
          </cell>
          <cell r="E654" t="str">
            <v>Benutzerführung</v>
          </cell>
          <cell r="F654" t="str">
            <v>Sonstiges</v>
          </cell>
        </row>
        <row r="655">
          <cell r="A655" t="str">
            <v>DB Fernverkehr AGbahn.bonus-ServiceOnline ServiceInformationsgehalt</v>
          </cell>
          <cell r="B655" t="str">
            <v>DB Fernverkehr AG</v>
          </cell>
          <cell r="C655" t="str">
            <v>bahn.bonus-Service</v>
          </cell>
          <cell r="D655" t="str">
            <v>Online Service</v>
          </cell>
          <cell r="E655" t="str">
            <v>Informationsgehalt</v>
          </cell>
          <cell r="F655" t="str">
            <v>Sonstiges</v>
          </cell>
        </row>
        <row r="656">
          <cell r="A656" t="str">
            <v>DB Fernverkehr AGbahn.bonus-ServiceOnline ServiceNutzung mit PIN</v>
          </cell>
          <cell r="B656" t="str">
            <v>DB Fernverkehr AG</v>
          </cell>
          <cell r="C656" t="str">
            <v>bahn.bonus-Service</v>
          </cell>
          <cell r="D656" t="str">
            <v>Online Service</v>
          </cell>
          <cell r="E656" t="str">
            <v>Nutzung mit PIN</v>
          </cell>
          <cell r="F656" t="str">
            <v>Sonstiges</v>
          </cell>
        </row>
        <row r="657">
          <cell r="A657" t="str">
            <v>DB Fernverkehr AGbahn.bonus-ServiceProzessHotlinekosten</v>
          </cell>
          <cell r="B657" t="str">
            <v>DB Fernverkehr AG</v>
          </cell>
          <cell r="C657" t="str">
            <v>bahn.bonus-Service</v>
          </cell>
          <cell r="D657" t="str">
            <v>Prozess</v>
          </cell>
          <cell r="E657" t="str">
            <v>Hotlinekosten</v>
          </cell>
          <cell r="F657" t="str">
            <v>Sonstiges</v>
          </cell>
        </row>
        <row r="658">
          <cell r="A658" t="str">
            <v>DB Fernverkehr AGbahn.bonus-ServiceProzessmit Kompens. nicht einverst.</v>
          </cell>
          <cell r="B658" t="str">
            <v>DB Fernverkehr AG</v>
          </cell>
          <cell r="C658" t="str">
            <v>bahn.bonus-Service</v>
          </cell>
          <cell r="D658" t="str">
            <v>Prozess</v>
          </cell>
          <cell r="E658" t="str">
            <v>mit Kompens. nicht einverst.</v>
          </cell>
          <cell r="F658" t="str">
            <v>Sonstiges</v>
          </cell>
        </row>
        <row r="659">
          <cell r="A659" t="str">
            <v>DB Fernverkehr AGbahn.bonus-ServiceServiceleistungAnliegen nicht erkannt</v>
          </cell>
          <cell r="B659" t="str">
            <v>DB Fernverkehr AG</v>
          </cell>
          <cell r="C659" t="str">
            <v>bahn.bonus-Service</v>
          </cell>
          <cell r="D659" t="str">
            <v>Serviceleistung</v>
          </cell>
          <cell r="E659" t="str">
            <v>Anliegen nicht erkannt</v>
          </cell>
          <cell r="F659" t="str">
            <v>Sonstiges</v>
          </cell>
        </row>
        <row r="660">
          <cell r="A660" t="str">
            <v>DB Fernverkehr AGbahn.bonus-ServiceServiceleistungBearbeitungsdauer</v>
          </cell>
          <cell r="B660" t="str">
            <v>DB Fernverkehr AG</v>
          </cell>
          <cell r="C660" t="str">
            <v>bahn.bonus-Service</v>
          </cell>
          <cell r="D660" t="str">
            <v>Serviceleistung</v>
          </cell>
          <cell r="E660" t="str">
            <v>Bearbeitungsdauer</v>
          </cell>
          <cell r="F660" t="str">
            <v>Sonstiges</v>
          </cell>
        </row>
        <row r="661">
          <cell r="A661" t="str">
            <v>DB Fernverkehr AGbahn.bonus-ServiceServiceleistungErreichbarkeit</v>
          </cell>
          <cell r="B661" t="str">
            <v>DB Fernverkehr AG</v>
          </cell>
          <cell r="C661" t="str">
            <v>bahn.bonus-Service</v>
          </cell>
          <cell r="D661" t="str">
            <v>Serviceleistung</v>
          </cell>
          <cell r="E661" t="str">
            <v>Erreichbarkeit</v>
          </cell>
          <cell r="F661" t="str">
            <v>Sonstiges</v>
          </cell>
        </row>
        <row r="662">
          <cell r="A662" t="str">
            <v>DB Fernverkehr AGbahn.bonus-ServiceServiceleistungWortlaut/Grammatik</v>
          </cell>
          <cell r="B662" t="str">
            <v>DB Fernverkehr AG</v>
          </cell>
          <cell r="C662" t="str">
            <v>bahn.bonus-Service</v>
          </cell>
          <cell r="D662" t="str">
            <v>Serviceleistung</v>
          </cell>
          <cell r="E662" t="str">
            <v>Wortlaut/Grammatik</v>
          </cell>
          <cell r="F662" t="str">
            <v>Sonstiges</v>
          </cell>
        </row>
        <row r="663">
          <cell r="A663" t="str">
            <v>DB Fernverkehr AGbahn.bonus-ServiceServiceleistungVerhalten/Kompetenz</v>
          </cell>
          <cell r="B663" t="str">
            <v>DB Fernverkehr AG</v>
          </cell>
          <cell r="C663" t="str">
            <v>bahn.bonus-Service</v>
          </cell>
          <cell r="D663" t="str">
            <v>Serviceleistung</v>
          </cell>
          <cell r="E663" t="str">
            <v>Verhalten/Kompetenz</v>
          </cell>
          <cell r="F663" t="str">
            <v>Sonstiges</v>
          </cell>
        </row>
        <row r="664">
          <cell r="A664" t="str">
            <v>DB Fernverkehr AGbahn.bonus-ServiceServiceleistungunzureichende Bearbeitung</v>
          </cell>
          <cell r="B664" t="str">
            <v>DB Fernverkehr AG</v>
          </cell>
          <cell r="C664" t="str">
            <v>bahn.bonus-Service</v>
          </cell>
          <cell r="D664" t="str">
            <v>Serviceleistung</v>
          </cell>
          <cell r="E664" t="str">
            <v>unzureichende Bearbeitung</v>
          </cell>
          <cell r="F664" t="str">
            <v>Sonstiges</v>
          </cell>
        </row>
        <row r="665">
          <cell r="A665" t="str">
            <v>DB Station&amp;Service AGBahnhofsonstigesNicht spezifiziert</v>
          </cell>
          <cell r="B665" t="str">
            <v>DB Station&amp;Service AG</v>
          </cell>
          <cell r="C665" t="str">
            <v>Bahnhof</v>
          </cell>
          <cell r="D665" t="str">
            <v>sonstiges</v>
          </cell>
          <cell r="E665" t="str">
            <v>Nicht spezifiziert</v>
          </cell>
          <cell r="F665" t="str">
            <v>Bahnhof</v>
          </cell>
        </row>
        <row r="666">
          <cell r="A666" t="str">
            <v>DB Station&amp;Service AGBahnhofInformationInformation ü. Unregelmäßig</v>
          </cell>
          <cell r="B666" t="str">
            <v>DB Station&amp;Service AG</v>
          </cell>
          <cell r="C666" t="str">
            <v>Bahnhof</v>
          </cell>
          <cell r="D666" t="str">
            <v>Information</v>
          </cell>
          <cell r="E666" t="str">
            <v>Information ü. Unregelmäßig</v>
          </cell>
          <cell r="F666" t="str">
            <v>Haltepunkte/Anlagen</v>
          </cell>
        </row>
        <row r="667">
          <cell r="A667" t="str">
            <v>DB Regio AGFahrplangestaltungFahrplanwechselNicht spezifiziert</v>
          </cell>
          <cell r="B667" t="str">
            <v>DB Regio AG</v>
          </cell>
          <cell r="C667" t="str">
            <v>Fahrplangestaltung</v>
          </cell>
          <cell r="D667" t="str">
            <v>Fahrplanwechsel</v>
          </cell>
          <cell r="E667" t="str">
            <v>Nicht spezifiziert</v>
          </cell>
          <cell r="F667" t="str">
            <v>Fahrplanangebot</v>
          </cell>
        </row>
        <row r="668">
          <cell r="A668" t="str">
            <v>DB Regio AGFahrplangestaltungFahrplanwechselNicht spezifiziert</v>
          </cell>
          <cell r="B668" t="str">
            <v>DB Regio AG</v>
          </cell>
          <cell r="C668" t="str">
            <v>Fahrplangestaltung</v>
          </cell>
          <cell r="D668" t="str">
            <v>Fahrplanwechsel</v>
          </cell>
          <cell r="E668" t="str">
            <v>Nicht spezifiziert</v>
          </cell>
          <cell r="F668" t="str">
            <v>Fahrplanangebot</v>
          </cell>
        </row>
        <row r="669">
          <cell r="A669" t="str">
            <v>DB Regio AGFahrplangestaltungÄnderung ReisezeitNicht spezifiziert</v>
          </cell>
          <cell r="B669" t="str">
            <v>DB Regio AG</v>
          </cell>
          <cell r="C669" t="str">
            <v>Fahrplangestaltung</v>
          </cell>
          <cell r="D669" t="str">
            <v>Änderung Reisezeit</v>
          </cell>
          <cell r="E669" t="str">
            <v>Nicht spezifiziert</v>
          </cell>
          <cell r="F669" t="str">
            <v>Fahrplanangebot</v>
          </cell>
        </row>
        <row r="670">
          <cell r="A670" t="str">
            <v>DB Regio AGandere DB StelleNicht spezifiziertNicht spezifiziert</v>
          </cell>
          <cell r="B670" t="str">
            <v>DB Regio AG</v>
          </cell>
          <cell r="C670" t="str">
            <v>andere DB Stelle</v>
          </cell>
          <cell r="D670" t="str">
            <v>Nicht spezifiziert</v>
          </cell>
          <cell r="E670" t="str">
            <v>Nicht spezifiziert</v>
          </cell>
          <cell r="F670" t="str">
            <v>Sonstiges</v>
          </cell>
        </row>
        <row r="671">
          <cell r="A671" t="str">
            <v>DB Regio AGFahrplangestaltungÄnderung ReisewegNicht spezifiziert</v>
          </cell>
          <cell r="B671" t="str">
            <v>DB Regio AG</v>
          </cell>
          <cell r="C671" t="str">
            <v>Fahrplangestaltung</v>
          </cell>
          <cell r="D671" t="str">
            <v>Änderung Reiseweg</v>
          </cell>
          <cell r="E671" t="str">
            <v>Nicht spezifiziert</v>
          </cell>
          <cell r="F671" t="str">
            <v>Fahrplanangebot</v>
          </cell>
        </row>
        <row r="672">
          <cell r="A672" t="str">
            <v>DB Regio AGZug DB RegioNicht spezifiziertNicht spezifiziert</v>
          </cell>
          <cell r="B672" t="str">
            <v>DB Regio AG</v>
          </cell>
          <cell r="C672" t="str">
            <v>Zug DB Regio</v>
          </cell>
          <cell r="D672" t="str">
            <v>Nicht spezifiziert</v>
          </cell>
          <cell r="E672" t="str">
            <v>Nicht spezifiziert</v>
          </cell>
          <cell r="F672" t="str">
            <v>Sonstiges</v>
          </cell>
        </row>
        <row r="673">
          <cell r="A673" t="str">
            <v>DB Regio AGTarif/AngeboteVerbündeNicht spezifiziert</v>
          </cell>
          <cell r="B673" t="str">
            <v>DB Regio AG</v>
          </cell>
          <cell r="C673" t="str">
            <v>Tarif/Angebote</v>
          </cell>
          <cell r="D673" t="str">
            <v>Verbünde</v>
          </cell>
          <cell r="E673" t="str">
            <v>Nicht spezifiziert</v>
          </cell>
          <cell r="F673" t="str">
            <v>Tarif</v>
          </cell>
        </row>
        <row r="674">
          <cell r="A674" t="str">
            <v>DB Regio AGFahrplangestaltungFahrplanwechselNicht spezifiziert</v>
          </cell>
          <cell r="B674" t="str">
            <v>DB Regio AG</v>
          </cell>
          <cell r="C674" t="str">
            <v>Fahrplangestaltung</v>
          </cell>
          <cell r="D674" t="str">
            <v>Fahrplanwechsel</v>
          </cell>
          <cell r="E674" t="str">
            <v>Nicht spezifiziert</v>
          </cell>
          <cell r="F674" t="str">
            <v>Fahrplanangebot</v>
          </cell>
        </row>
        <row r="675">
          <cell r="A675" t="str">
            <v>DB Regio AGFahrplangestaltungVerbesserungsvorschlagNicht spezifiziert</v>
          </cell>
          <cell r="B675" t="str">
            <v>DB Regio AG</v>
          </cell>
          <cell r="C675" t="str">
            <v>Fahrplangestaltung</v>
          </cell>
          <cell r="D675" t="str">
            <v>Verbesserungsvorschlag</v>
          </cell>
          <cell r="E675" t="str">
            <v>Nicht spezifiziert</v>
          </cell>
          <cell r="F675" t="str">
            <v>Fahrplanangebot</v>
          </cell>
        </row>
        <row r="676">
          <cell r="A676" t="str">
            <v>DB Regio AGFahrplangestaltungFahrplanwechselNicht spezifiziert</v>
          </cell>
          <cell r="B676" t="str">
            <v>DB Regio AG</v>
          </cell>
          <cell r="C676" t="str">
            <v>Fahrplangestaltung</v>
          </cell>
          <cell r="D676" t="str">
            <v>Fahrplanwechsel</v>
          </cell>
          <cell r="E676" t="str">
            <v>Nicht spezifiziert</v>
          </cell>
          <cell r="F676" t="str">
            <v>Fahrplanangebot</v>
          </cell>
        </row>
        <row r="677">
          <cell r="A677" t="str">
            <v>DB Regio AGFahrplangestaltungÄnderung ReisezeitNicht spezifiziert</v>
          </cell>
          <cell r="B677" t="str">
            <v>DB Regio AG</v>
          </cell>
          <cell r="C677" t="str">
            <v>Fahrplangestaltung</v>
          </cell>
          <cell r="D677" t="str">
            <v>Änderung Reisezeit</v>
          </cell>
          <cell r="E677" t="str">
            <v>Nicht spezifiziert</v>
          </cell>
          <cell r="F677" t="str">
            <v>Fahrplanangebot</v>
          </cell>
        </row>
        <row r="678">
          <cell r="A678" t="str">
            <v>DB Regio AGKundendialog DB RegioBearbeitung und ReaktionWeiterleitung/Vermittlung</v>
          </cell>
          <cell r="B678" t="str">
            <v>DB Regio AG</v>
          </cell>
          <cell r="C678" t="str">
            <v>Kundendialog DB Regio</v>
          </cell>
          <cell r="D678" t="str">
            <v>Bearbeitung und Reaktion</v>
          </cell>
          <cell r="E678" t="str">
            <v>Weiterleitung/Vermittlung</v>
          </cell>
          <cell r="F678" t="str">
            <v>Fahrgastinformation</v>
          </cell>
        </row>
        <row r="679">
          <cell r="A679" t="str">
            <v>DB Regio AGFahrplangestaltungFahrplanwechselNicht spezifiziert</v>
          </cell>
          <cell r="B679" t="str">
            <v>DB Regio AG</v>
          </cell>
          <cell r="C679" t="str">
            <v>Fahrplangestaltung</v>
          </cell>
          <cell r="D679" t="str">
            <v>Fahrplanwechsel</v>
          </cell>
          <cell r="E679" t="str">
            <v>Nicht spezifiziert</v>
          </cell>
          <cell r="F679" t="str">
            <v>Fahrplanangebot</v>
          </cell>
        </row>
        <row r="680">
          <cell r="A680" t="str">
            <v>DB Regio AGFahrplangestaltungFahrplanwechselNicht spezifiziert</v>
          </cell>
          <cell r="B680" t="str">
            <v>DB Regio AG</v>
          </cell>
          <cell r="C680" t="str">
            <v>Fahrplangestaltung</v>
          </cell>
          <cell r="D680" t="str">
            <v>Fahrplanwechsel</v>
          </cell>
          <cell r="E680" t="str">
            <v>Nicht spezifiziert</v>
          </cell>
          <cell r="F680" t="str">
            <v>Fahrplanangebot</v>
          </cell>
        </row>
        <row r="681">
          <cell r="A681" t="str">
            <v>DB Regio AGKundendialog DB RegioBearbeitung und ReaktionAnsprache aller Themen</v>
          </cell>
          <cell r="B681" t="str">
            <v>DB Regio AG</v>
          </cell>
          <cell r="C681" t="str">
            <v>Kundendialog DB Regio</v>
          </cell>
          <cell r="D681" t="str">
            <v>Bearbeitung und Reaktion</v>
          </cell>
          <cell r="E681" t="str">
            <v>Ansprache aller Themen</v>
          </cell>
          <cell r="F681" t="str">
            <v>Fahrgastinformation</v>
          </cell>
        </row>
        <row r="682">
          <cell r="A682" t="str">
            <v>DB Regio AGFahrplangestaltungÄnderung ReisezeitNicht spezifiziert</v>
          </cell>
          <cell r="B682" t="str">
            <v>DB Regio AG</v>
          </cell>
          <cell r="C682" t="str">
            <v>Fahrplangestaltung</v>
          </cell>
          <cell r="D682" t="str">
            <v>Änderung Reisezeit</v>
          </cell>
          <cell r="E682" t="str">
            <v>Nicht spezifiziert</v>
          </cell>
          <cell r="F682" t="str">
            <v>Fahrplanangebot</v>
          </cell>
        </row>
        <row r="683">
          <cell r="A683" t="str">
            <v>DB Regio AGFahrplangestaltungFahrplanwechselNicht spezifiziert</v>
          </cell>
          <cell r="B683" t="str">
            <v>DB Regio AG</v>
          </cell>
          <cell r="C683" t="str">
            <v>Fahrplangestaltung</v>
          </cell>
          <cell r="D683" t="str">
            <v>Fahrplanwechsel</v>
          </cell>
          <cell r="E683" t="str">
            <v>Nicht spezifiziert</v>
          </cell>
          <cell r="F683" t="str">
            <v>Fahrplanangebot</v>
          </cell>
        </row>
        <row r="684">
          <cell r="A684" t="str">
            <v>DB Regio AGFahrplangestaltungÄnderung ReisewegNicht spezifiziert</v>
          </cell>
          <cell r="B684" t="str">
            <v>DB Regio AG</v>
          </cell>
          <cell r="C684" t="str">
            <v>Fahrplangestaltung</v>
          </cell>
          <cell r="D684" t="str">
            <v>Änderung Reiseweg</v>
          </cell>
          <cell r="E684" t="str">
            <v>Nicht spezifiziert</v>
          </cell>
          <cell r="F684" t="str">
            <v>Fahrplanangebot</v>
          </cell>
        </row>
        <row r="685">
          <cell r="A685" t="str">
            <v>DB Regio AGFahrplangestaltungFahrplanwechselNicht spezifiziert</v>
          </cell>
          <cell r="B685" t="str">
            <v>DB Regio AG</v>
          </cell>
          <cell r="C685" t="str">
            <v>Fahrplangestaltung</v>
          </cell>
          <cell r="D685" t="str">
            <v>Fahrplanwechsel</v>
          </cell>
          <cell r="E685" t="str">
            <v>Nicht spezifiziert</v>
          </cell>
          <cell r="F685" t="str">
            <v>Fahrplanangebot</v>
          </cell>
        </row>
        <row r="686">
          <cell r="A686" t="str">
            <v>DB Regio AGFahrplangestaltungFahrplanwechselNicht spezifiziert</v>
          </cell>
          <cell r="B686" t="str">
            <v>DB Regio AG</v>
          </cell>
          <cell r="C686" t="str">
            <v>Fahrplangestaltung</v>
          </cell>
          <cell r="D686" t="str">
            <v>Fahrplanwechsel</v>
          </cell>
          <cell r="E686" t="str">
            <v>Nicht spezifiziert</v>
          </cell>
          <cell r="F686" t="str">
            <v>Fahrplanangebot</v>
          </cell>
        </row>
        <row r="687">
          <cell r="A687" t="str">
            <v>DB Regio AGZug DB RegioKomfort und AusstattungNicht spezifiziert</v>
          </cell>
          <cell r="B687" t="str">
            <v>DB Regio AG</v>
          </cell>
          <cell r="C687" t="str">
            <v>Zug DB Regio</v>
          </cell>
          <cell r="D687" t="str">
            <v>Komfort und Ausstattung</v>
          </cell>
          <cell r="E687" t="str">
            <v>Nicht spezifiziert</v>
          </cell>
          <cell r="F687" t="str">
            <v>Fahrzeug</v>
          </cell>
        </row>
        <row r="688">
          <cell r="A688" t="str">
            <v>DB Regio AGInternetGestaltung/Design SeiteNicht spezifiziert</v>
          </cell>
          <cell r="B688" t="str">
            <v>DB Regio AG</v>
          </cell>
          <cell r="C688" t="str">
            <v>Internet</v>
          </cell>
          <cell r="D688" t="str">
            <v>Gestaltung/Design Seite</v>
          </cell>
          <cell r="E688" t="str">
            <v>Nicht spezifiziert</v>
          </cell>
          <cell r="F688" t="str">
            <v>Fahrzeug</v>
          </cell>
        </row>
        <row r="689">
          <cell r="A689" t="str">
            <v>DB Regio AGKundendialog DB RegioBearbeitung und ReaktionWeiterleitung/Vermittlung</v>
          </cell>
          <cell r="B689" t="str">
            <v>DB Regio AG</v>
          </cell>
          <cell r="C689" t="str">
            <v>Kundendialog DB Regio</v>
          </cell>
          <cell r="D689" t="str">
            <v>Bearbeitung und Reaktion</v>
          </cell>
          <cell r="E689" t="str">
            <v>Weiterleitung/Vermittlung</v>
          </cell>
          <cell r="F689" t="str">
            <v>Fahrgastinformation</v>
          </cell>
        </row>
        <row r="690">
          <cell r="A690" t="str">
            <v>DB Regio AGFahrplangestaltungFahrplanwechselNicht spezifiziert</v>
          </cell>
          <cell r="B690" t="str">
            <v>DB Regio AG</v>
          </cell>
          <cell r="C690" t="str">
            <v>Fahrplangestaltung</v>
          </cell>
          <cell r="D690" t="str">
            <v>Fahrplanwechsel</v>
          </cell>
          <cell r="E690" t="str">
            <v>Nicht spezifiziert</v>
          </cell>
          <cell r="F690" t="str">
            <v>Fahrplanangebot</v>
          </cell>
        </row>
        <row r="691">
          <cell r="A691" t="str">
            <v>DB Regio AGFahrplangestaltungVerbesserungsvorschlagNicht spezifiziert</v>
          </cell>
          <cell r="B691" t="str">
            <v>DB Regio AG</v>
          </cell>
          <cell r="C691" t="str">
            <v>Fahrplangestaltung</v>
          </cell>
          <cell r="D691" t="str">
            <v>Verbesserungsvorschlag</v>
          </cell>
          <cell r="E691" t="str">
            <v>Nicht spezifiziert</v>
          </cell>
          <cell r="F691" t="str">
            <v>Fahrplanangebot</v>
          </cell>
        </row>
        <row r="692">
          <cell r="A692" t="str">
            <v>DB Regio AGFahrplangestaltungÄnderung ReisezeitNicht spezifiziert</v>
          </cell>
          <cell r="B692" t="str">
            <v>DB Regio AG</v>
          </cell>
          <cell r="C692" t="str">
            <v>Fahrplangestaltung</v>
          </cell>
          <cell r="D692" t="str">
            <v>Änderung Reisezeit</v>
          </cell>
          <cell r="E692" t="str">
            <v>Nicht spezifiziert</v>
          </cell>
          <cell r="F692" t="str">
            <v>Fahrplanangebot</v>
          </cell>
        </row>
        <row r="693">
          <cell r="A693" t="str">
            <v>DB Regio AGKonzernthemenPresse-ÖffentlichkeitsarbNicht spezifiziert</v>
          </cell>
          <cell r="B693" t="str">
            <v>DB Regio AG</v>
          </cell>
          <cell r="C693" t="str">
            <v>Konzernthemen</v>
          </cell>
          <cell r="D693" t="str">
            <v>Presse-Öffentlichkeitsarb</v>
          </cell>
          <cell r="E693" t="str">
            <v>Nicht spezifiziert</v>
          </cell>
          <cell r="F693" t="str">
            <v>Fahrgastinformation</v>
          </cell>
        </row>
        <row r="694">
          <cell r="A694" t="str">
            <v>DB Regio AGDB AgenturenNicht spezifiziertNicht spezifiziert</v>
          </cell>
          <cell r="B694" t="str">
            <v>DB Regio AG</v>
          </cell>
          <cell r="C694" t="str">
            <v>DB Agenturen</v>
          </cell>
          <cell r="D694" t="str">
            <v>Nicht spezifiziert</v>
          </cell>
          <cell r="E694" t="str">
            <v>Nicht spezifiziert</v>
          </cell>
          <cell r="F694" t="str">
            <v>Vertrieb</v>
          </cell>
        </row>
        <row r="695">
          <cell r="A695" t="str">
            <v>DB Regio AGTarif/AngeboteWerbung/MarketingmaßnahmenInfo-Material</v>
          </cell>
          <cell r="B695" t="str">
            <v>DB Regio AG</v>
          </cell>
          <cell r="C695" t="str">
            <v>Tarif/Angebote</v>
          </cell>
          <cell r="D695" t="str">
            <v>Werbung/Marketingmaßnahmen</v>
          </cell>
          <cell r="E695" t="str">
            <v>Info-Material</v>
          </cell>
          <cell r="F695" t="str">
            <v>Sonstiges</v>
          </cell>
        </row>
        <row r="696">
          <cell r="A696" t="str">
            <v>DB Regio AGZug DB RegioVerbindung und ReisezeitNicht spezifiziert</v>
          </cell>
          <cell r="B696" t="str">
            <v>DB Regio AG</v>
          </cell>
          <cell r="C696" t="str">
            <v>Zug DB Regio</v>
          </cell>
          <cell r="D696" t="str">
            <v>Verbindung und Reisezeit</v>
          </cell>
          <cell r="E696" t="str">
            <v>Nicht spezifiziert</v>
          </cell>
          <cell r="F696" t="str">
            <v>Fahrplanangebot</v>
          </cell>
        </row>
        <row r="697">
          <cell r="A697" t="str">
            <v>DB Regio AGZug DB RegioKiNNicht spezifiziert</v>
          </cell>
          <cell r="B697" t="str">
            <v>DB Regio AG</v>
          </cell>
          <cell r="C697" t="str">
            <v>Zug DB Regio</v>
          </cell>
          <cell r="D697" t="str">
            <v>KiN</v>
          </cell>
          <cell r="E697" t="str">
            <v>Nicht spezifiziert</v>
          </cell>
          <cell r="F697" t="str">
            <v>Personal</v>
          </cell>
        </row>
        <row r="698">
          <cell r="A698" t="str">
            <v>DB Regio AGZug DB RegioKategorie nicht vorhandenNicht spezifiziert</v>
          </cell>
          <cell r="B698" t="str">
            <v>DB Regio AG</v>
          </cell>
          <cell r="C698" t="str">
            <v>Zug DB Regio</v>
          </cell>
          <cell r="D698" t="str">
            <v>Kategorie nicht vorhanden</v>
          </cell>
          <cell r="E698" t="str">
            <v>Nicht spezifiziert</v>
          </cell>
          <cell r="F698" t="str">
            <v>Fahrzeug</v>
          </cell>
        </row>
        <row r="699">
          <cell r="A699" t="str">
            <v>DB Regio AGInternetInformationsqualitätNicht spezifiziert</v>
          </cell>
          <cell r="B699" t="str">
            <v>DB Regio AG</v>
          </cell>
          <cell r="C699" t="str">
            <v>Internet</v>
          </cell>
          <cell r="D699" t="str">
            <v>Informationsqualität</v>
          </cell>
          <cell r="E699" t="str">
            <v>Nicht spezifiziert</v>
          </cell>
          <cell r="F699" t="str">
            <v>Fahrgastinformation</v>
          </cell>
        </row>
        <row r="700">
          <cell r="A700" t="str">
            <v>DB Regio AGFahrplangestaltungNicht spezifiziertNicht spezifiziert</v>
          </cell>
          <cell r="B700" t="str">
            <v>DB Regio AG</v>
          </cell>
          <cell r="C700" t="str">
            <v>Fahrplangestaltung</v>
          </cell>
          <cell r="D700" t="str">
            <v>Nicht spezifiziert</v>
          </cell>
          <cell r="E700" t="str">
            <v>Nicht spezifiziert</v>
          </cell>
          <cell r="F700" t="str">
            <v>Haltepunkte/Anlagen</v>
          </cell>
        </row>
        <row r="701">
          <cell r="A701" t="str">
            <v>DB Regio AGInternetDarstellung ZugverbindungenNicht spezifiziert</v>
          </cell>
          <cell r="B701" t="str">
            <v>DB Regio AG</v>
          </cell>
          <cell r="C701" t="str">
            <v>Internet</v>
          </cell>
          <cell r="D701" t="str">
            <v>Darstellung Zugverbindungen</v>
          </cell>
          <cell r="E701" t="str">
            <v>Nicht spezifiziert</v>
          </cell>
          <cell r="F701" t="str">
            <v>Fahrgastinformation</v>
          </cell>
        </row>
        <row r="702">
          <cell r="A702" t="str">
            <v>DB Regio AGTarif/AngeboteWerbung/MarketingmaßnahmenSonderaktionen</v>
          </cell>
          <cell r="B702" t="str">
            <v>DB Regio AG</v>
          </cell>
          <cell r="C702" t="str">
            <v>Tarif/Angebote</v>
          </cell>
          <cell r="D702" t="str">
            <v>Werbung/Marketingmaßnahmen</v>
          </cell>
          <cell r="E702" t="str">
            <v>Sonderaktionen</v>
          </cell>
          <cell r="F702" t="str">
            <v>Sonstiges</v>
          </cell>
        </row>
        <row r="703">
          <cell r="A703" t="str">
            <v>DB Regio AGZug DB RegioKomfort und AusstattungWarnton</v>
          </cell>
          <cell r="B703" t="str">
            <v>DB Regio AG</v>
          </cell>
          <cell r="C703" t="str">
            <v>Zug DB Regio</v>
          </cell>
          <cell r="D703" t="str">
            <v>Komfort und Ausstattung</v>
          </cell>
          <cell r="E703" t="str">
            <v>Warnton</v>
          </cell>
          <cell r="F703" t="str">
            <v>Fahrzeug</v>
          </cell>
        </row>
        <row r="704">
          <cell r="A704" t="str">
            <v>DB Regio AGFahrplangestaltungKategorie nicht vorhandenNicht spezifiziert</v>
          </cell>
          <cell r="B704" t="str">
            <v>DB Regio AG</v>
          </cell>
          <cell r="C704" t="str">
            <v>Fahrplangestaltung</v>
          </cell>
          <cell r="D704" t="str">
            <v>Kategorie nicht vorhanden</v>
          </cell>
          <cell r="E704" t="str">
            <v>Nicht spezifiziert</v>
          </cell>
          <cell r="F704" t="str">
            <v>Haltepunkte/Anlagen</v>
          </cell>
        </row>
        <row r="705">
          <cell r="A705" t="str">
            <v>DB Regio AGKundendialog DB RegioKategorie nicht vorhandenNicht spezifiziert</v>
          </cell>
          <cell r="B705" t="str">
            <v>DB Regio AG</v>
          </cell>
          <cell r="C705" t="str">
            <v>Kundendialog DB Regio</v>
          </cell>
          <cell r="D705" t="str">
            <v>Kategorie nicht vorhanden</v>
          </cell>
          <cell r="E705" t="str">
            <v>Nicht spezifiziert</v>
          </cell>
          <cell r="F705" t="str">
            <v>Fahrplanangebot</v>
          </cell>
        </row>
        <row r="706">
          <cell r="A706" t="str">
            <v>DB Regio AGFahrplangestaltungÄnderung ProduktNicht spezifiziert</v>
          </cell>
          <cell r="B706" t="str">
            <v>DB Regio AG</v>
          </cell>
          <cell r="C706" t="str">
            <v>Fahrplangestaltung</v>
          </cell>
          <cell r="D706" t="str">
            <v>Änderung Produkt</v>
          </cell>
          <cell r="E706" t="str">
            <v>Nicht spezifiziert</v>
          </cell>
          <cell r="F706" t="str">
            <v>Fahrplanangebot</v>
          </cell>
        </row>
        <row r="707">
          <cell r="A707" t="str">
            <v>DB Regio AGInternetGestaltung/Design SeiteNicht spezifiziert</v>
          </cell>
          <cell r="B707" t="str">
            <v>DB Regio AG</v>
          </cell>
          <cell r="C707" t="str">
            <v>Internet</v>
          </cell>
          <cell r="D707" t="str">
            <v>Gestaltung/Design Seite</v>
          </cell>
          <cell r="E707" t="str">
            <v>Nicht spezifiziert</v>
          </cell>
          <cell r="F707" t="str">
            <v>Fahrgastinformation</v>
          </cell>
        </row>
        <row r="708">
          <cell r="A708" t="str">
            <v>DB Regio AGZug DB RegioKomfort und AusstattungFahrradplatzkapazität</v>
          </cell>
          <cell r="B708" t="str">
            <v>DB Regio AG</v>
          </cell>
          <cell r="C708" t="str">
            <v>Zug DB Regio</v>
          </cell>
          <cell r="D708" t="str">
            <v>Komfort und Ausstattung</v>
          </cell>
          <cell r="E708" t="str">
            <v>Fahrradplatzkapazität</v>
          </cell>
          <cell r="F708" t="str">
            <v>Fahrzeug</v>
          </cell>
        </row>
        <row r="709">
          <cell r="A709" t="str">
            <v>DB Regio AGKundendialog DB RegioBearbeitung und ReaktionAnf. v. Unterlagen</v>
          </cell>
          <cell r="B709" t="str">
            <v>DB Regio AG</v>
          </cell>
          <cell r="C709" t="str">
            <v>Kundendialog DB Regio</v>
          </cell>
          <cell r="D709" t="str">
            <v>Bearbeitung und Reaktion</v>
          </cell>
          <cell r="E709" t="str">
            <v>Anf. v. Unterlagen</v>
          </cell>
          <cell r="F709" t="str">
            <v>Sonstiges</v>
          </cell>
        </row>
        <row r="710">
          <cell r="A710" t="str">
            <v>DB Regio AGKundendialog DB RegioBearbeitung und ReaktionNicht spezifiziert</v>
          </cell>
          <cell r="B710" t="str">
            <v>DB Regio AG</v>
          </cell>
          <cell r="C710" t="str">
            <v>Kundendialog DB Regio</v>
          </cell>
          <cell r="D710" t="str">
            <v>Bearbeitung und Reaktion</v>
          </cell>
          <cell r="E710" t="str">
            <v>Nicht spezifiziert</v>
          </cell>
          <cell r="F710" t="str">
            <v>Sonstiges</v>
          </cell>
        </row>
        <row r="711">
          <cell r="A711" t="str">
            <v>DB Regio AGInternettechnische ZuverlässigkeitNicht spezifiziert</v>
          </cell>
          <cell r="B711" t="str">
            <v>DB Regio AG</v>
          </cell>
          <cell r="C711" t="str">
            <v>Internet</v>
          </cell>
          <cell r="D711" t="str">
            <v>technische Zuverlässigkeit</v>
          </cell>
          <cell r="E711" t="str">
            <v>Nicht spezifiziert</v>
          </cell>
          <cell r="F711" t="str">
            <v>Sonstiges</v>
          </cell>
        </row>
        <row r="712">
          <cell r="A712" t="str">
            <v>DB Regio AGKundendialog DB RegioVerbesserungsvorschlagNicht spezifiziert</v>
          </cell>
          <cell r="B712" t="str">
            <v>DB Regio AG</v>
          </cell>
          <cell r="C712" t="str">
            <v>Kundendialog DB Regio</v>
          </cell>
          <cell r="D712" t="str">
            <v>Verbesserungsvorschlag</v>
          </cell>
          <cell r="E712" t="str">
            <v>Nicht spezifiziert</v>
          </cell>
          <cell r="F712" t="str">
            <v>Sonstiges</v>
          </cell>
        </row>
        <row r="713">
          <cell r="A713" t="str">
            <v>DB Regio AGKundendialog DB RegioBearbeitung und ReaktionFundsachen</v>
          </cell>
          <cell r="B713" t="str">
            <v>DB Regio AG</v>
          </cell>
          <cell r="C713" t="str">
            <v>Kundendialog DB Regio</v>
          </cell>
          <cell r="D713" t="str">
            <v>Bearbeitung und Reaktion</v>
          </cell>
          <cell r="E713" t="str">
            <v>Fundsachen</v>
          </cell>
          <cell r="F713" t="str">
            <v>Sonstiges</v>
          </cell>
        </row>
        <row r="714">
          <cell r="A714" t="str">
            <v>DB Regio AGInternetDarstellung PreisinformationenNicht spezifiziert</v>
          </cell>
          <cell r="B714" t="str">
            <v>DB Regio AG</v>
          </cell>
          <cell r="C714" t="str">
            <v>Internet</v>
          </cell>
          <cell r="D714" t="str">
            <v>Darstellung Preisinformationen</v>
          </cell>
          <cell r="E714" t="str">
            <v>Nicht spezifiziert</v>
          </cell>
          <cell r="F714" t="str">
            <v>Fahrgastinformation</v>
          </cell>
        </row>
        <row r="715">
          <cell r="A715" t="str">
            <v>DB Regio AGAutomatVerfügbarkeitNicht spezifiziert</v>
          </cell>
          <cell r="B715" t="str">
            <v>DB Regio AG</v>
          </cell>
          <cell r="C715" t="str">
            <v>Automat</v>
          </cell>
          <cell r="D715" t="str">
            <v>Verfügbarkeit</v>
          </cell>
          <cell r="E715" t="str">
            <v>Nicht spezifiziert</v>
          </cell>
          <cell r="F715" t="str">
            <v>Vertrieb</v>
          </cell>
        </row>
        <row r="716">
          <cell r="A716" t="str">
            <v>DB Regio AGAutomatAngebote VerfügbarkeitNicht spezifiziert</v>
          </cell>
          <cell r="B716" t="str">
            <v>DB Regio AG</v>
          </cell>
          <cell r="C716" t="str">
            <v>Automat</v>
          </cell>
          <cell r="D716" t="str">
            <v>Angebote Verfügbarkeit</v>
          </cell>
          <cell r="E716" t="str">
            <v>Nicht spezifiziert</v>
          </cell>
          <cell r="F716" t="str">
            <v>Vertrieb</v>
          </cell>
        </row>
        <row r="717">
          <cell r="A717" t="str">
            <v>DB Regio AGTarif/AngeboteKategorie nicht vorhandenNicht spezifiziert</v>
          </cell>
          <cell r="B717" t="str">
            <v>DB Regio AG</v>
          </cell>
          <cell r="C717" t="str">
            <v>Tarif/Angebote</v>
          </cell>
          <cell r="D717" t="str">
            <v>Kategorie nicht vorhanden</v>
          </cell>
          <cell r="E717" t="str">
            <v>Nicht spezifiziert</v>
          </cell>
          <cell r="F717" t="str">
            <v>Tarif</v>
          </cell>
        </row>
        <row r="718">
          <cell r="A718" t="str">
            <v>DB Regio AGZug DB RegioKomfort und AusstattungKlimatisierung</v>
          </cell>
          <cell r="B718" t="str">
            <v>DB Regio AG</v>
          </cell>
          <cell r="C718" t="str">
            <v>Zug DB Regio</v>
          </cell>
          <cell r="D718" t="str">
            <v>Komfort und Ausstattung</v>
          </cell>
          <cell r="E718" t="str">
            <v>Klimatisierung</v>
          </cell>
          <cell r="F718" t="str">
            <v>Fahrzeug</v>
          </cell>
        </row>
        <row r="719">
          <cell r="A719" t="str">
            <v>DB Regio AGKundendialog DB RegioBearbeitung und ReaktionVerständnis für Anliegen</v>
          </cell>
          <cell r="B719" t="str">
            <v>DB Regio AG</v>
          </cell>
          <cell r="C719" t="str">
            <v>Kundendialog DB Regio</v>
          </cell>
          <cell r="D719" t="str">
            <v>Bearbeitung und Reaktion</v>
          </cell>
          <cell r="E719" t="str">
            <v>Verständnis für Anliegen</v>
          </cell>
          <cell r="F719" t="str">
            <v>Sonstiges</v>
          </cell>
        </row>
        <row r="720">
          <cell r="A720" t="str">
            <v>DB Regio AGZug DB RegioKomfort und AusstattungHeizungsstörung</v>
          </cell>
          <cell r="B720" t="str">
            <v>DB Regio AG</v>
          </cell>
          <cell r="C720" t="str">
            <v>Zug DB Regio</v>
          </cell>
          <cell r="D720" t="str">
            <v>Komfort und Ausstattung</v>
          </cell>
          <cell r="E720" t="str">
            <v>Heizungsstörung</v>
          </cell>
          <cell r="F720" t="str">
            <v>Fahrzeug</v>
          </cell>
        </row>
        <row r="721">
          <cell r="A721" t="str">
            <v>DB Regio AGKonzernthemenMobilitätseingeschr. ReisendeInformation</v>
          </cell>
          <cell r="B721" t="str">
            <v>DB Regio AG</v>
          </cell>
          <cell r="C721" t="str">
            <v>Konzernthemen</v>
          </cell>
          <cell r="D721" t="str">
            <v>Mobilitätseingeschr. Reisende</v>
          </cell>
          <cell r="E721" t="str">
            <v>Information</v>
          </cell>
          <cell r="F721" t="str">
            <v>Fahrzeug</v>
          </cell>
        </row>
        <row r="722">
          <cell r="A722" t="str">
            <v>DB Regio AGZug DB RegioKiNInformationsqualität</v>
          </cell>
          <cell r="B722" t="str">
            <v>DB Regio AG</v>
          </cell>
          <cell r="C722" t="str">
            <v>Zug DB Regio</v>
          </cell>
          <cell r="D722" t="str">
            <v>KiN</v>
          </cell>
          <cell r="E722" t="str">
            <v>Informationsqualität</v>
          </cell>
          <cell r="F722" t="str">
            <v>Fahrgastinformation</v>
          </cell>
        </row>
        <row r="723">
          <cell r="A723" t="str">
            <v>DB Regio AGAutomatDarstellung PreisinformationenNicht spezifiziert</v>
          </cell>
          <cell r="B723" t="str">
            <v>DB Regio AG</v>
          </cell>
          <cell r="C723" t="str">
            <v>Automat</v>
          </cell>
          <cell r="D723" t="str">
            <v>Darstellung Preisinformationen</v>
          </cell>
          <cell r="E723" t="str">
            <v>Nicht spezifiziert</v>
          </cell>
          <cell r="F723" t="str">
            <v>Vertrieb</v>
          </cell>
        </row>
        <row r="724">
          <cell r="A724" t="str">
            <v>DB Regio AGZug DB RegioKomfort und AusstattungFahrradunterbringung</v>
          </cell>
          <cell r="B724" t="str">
            <v>DB Regio AG</v>
          </cell>
          <cell r="C724" t="str">
            <v>Zug DB Regio</v>
          </cell>
          <cell r="D724" t="str">
            <v>Komfort und Ausstattung</v>
          </cell>
          <cell r="E724" t="str">
            <v>Fahrradunterbringung</v>
          </cell>
          <cell r="F724" t="str">
            <v>Fahrzeug</v>
          </cell>
        </row>
        <row r="725">
          <cell r="A725" t="str">
            <v>DB Regio AGAutomatDarstellung ZugverbindungenNicht spezifiziert</v>
          </cell>
          <cell r="B725" t="str">
            <v>DB Regio AG</v>
          </cell>
          <cell r="C725" t="str">
            <v>Automat</v>
          </cell>
          <cell r="D725" t="str">
            <v>Darstellung Zugverbindungen</v>
          </cell>
          <cell r="E725" t="str">
            <v>Nicht spezifiziert</v>
          </cell>
          <cell r="F725" t="str">
            <v>Fahrgastinformation</v>
          </cell>
        </row>
        <row r="726">
          <cell r="A726" t="str">
            <v>DB Regio AGAutomatDauer des KaufvorgangsNicht spezifiziert</v>
          </cell>
          <cell r="B726" t="str">
            <v>DB Regio AG</v>
          </cell>
          <cell r="C726" t="str">
            <v>Automat</v>
          </cell>
          <cell r="D726" t="str">
            <v>Dauer des Kaufvorgangs</v>
          </cell>
          <cell r="E726" t="str">
            <v>Nicht spezifiziert</v>
          </cell>
          <cell r="F726" t="str">
            <v>Vertrieb</v>
          </cell>
        </row>
        <row r="727">
          <cell r="A727" t="str">
            <v>DB Regio AGAutomatGestaltung/Design BildschirmNicht spezifiziert</v>
          </cell>
          <cell r="B727" t="str">
            <v>DB Regio AG</v>
          </cell>
          <cell r="C727" t="str">
            <v>Automat</v>
          </cell>
          <cell r="D727" t="str">
            <v>Gestaltung/Design Bildschirm</v>
          </cell>
          <cell r="E727" t="str">
            <v>Nicht spezifiziert</v>
          </cell>
          <cell r="F727" t="str">
            <v>Vertrieb</v>
          </cell>
        </row>
        <row r="728">
          <cell r="A728" t="str">
            <v>DB Regio AGZug DB RegioVerbesserungsvorschlagNicht spezifiziert</v>
          </cell>
          <cell r="B728" t="str">
            <v>DB Regio AG</v>
          </cell>
          <cell r="C728" t="str">
            <v>Zug DB Regio</v>
          </cell>
          <cell r="D728" t="str">
            <v>Verbesserungsvorschlag</v>
          </cell>
          <cell r="E728" t="str">
            <v>Nicht spezifiziert</v>
          </cell>
          <cell r="F728" t="str">
            <v>Sonstiges</v>
          </cell>
        </row>
        <row r="729">
          <cell r="A729" t="str">
            <v>DB Regio AGAutomatInformationsqualitätNicht spezifiziert</v>
          </cell>
          <cell r="B729" t="str">
            <v>DB Regio AG</v>
          </cell>
          <cell r="C729" t="str">
            <v>Automat</v>
          </cell>
          <cell r="D729" t="str">
            <v>Informationsqualität</v>
          </cell>
          <cell r="E729" t="str">
            <v>Nicht spezifiziert</v>
          </cell>
          <cell r="F729" t="str">
            <v>Vertrieb</v>
          </cell>
        </row>
        <row r="730">
          <cell r="A730" t="str">
            <v>DB Regio AGKundendialog DB RegioBearbeitung und ReaktionGutschein Kulanzumtausch</v>
          </cell>
          <cell r="B730" t="str">
            <v>DB Regio AG</v>
          </cell>
          <cell r="C730" t="str">
            <v>Kundendialog DB Regio</v>
          </cell>
          <cell r="D730" t="str">
            <v>Bearbeitung und Reaktion</v>
          </cell>
          <cell r="E730" t="str">
            <v>Gutschein Kulanzumtausch</v>
          </cell>
          <cell r="F730" t="str">
            <v>Sonstiges</v>
          </cell>
        </row>
        <row r="731">
          <cell r="A731" t="str">
            <v>DB Regio AGAutomattechnische ZuverlässigkeitNicht spezifiziert</v>
          </cell>
          <cell r="B731" t="str">
            <v>DB Regio AG</v>
          </cell>
          <cell r="C731" t="str">
            <v>Automat</v>
          </cell>
          <cell r="D731" t="str">
            <v>technische Zuverlässigkeit</v>
          </cell>
          <cell r="E731" t="str">
            <v>Nicht spezifiziert</v>
          </cell>
          <cell r="F731" t="str">
            <v>Vertrieb</v>
          </cell>
        </row>
        <row r="732">
          <cell r="A732" t="str">
            <v>DB Regio AGZug DB RegioVerbindung und ReisezeitLeit-/Sicherungstechnik o. AV</v>
          </cell>
          <cell r="B732" t="str">
            <v>DB Regio AG</v>
          </cell>
          <cell r="C732" t="str">
            <v>Zug DB Regio</v>
          </cell>
          <cell r="D732" t="str">
            <v>Verbindung und Reisezeit</v>
          </cell>
          <cell r="E732" t="str">
            <v>Leit-/Sicherungstechnik o. AV</v>
          </cell>
          <cell r="F732" t="str">
            <v>Fahrplaneinhaltung</v>
          </cell>
        </row>
        <row r="733">
          <cell r="A733" t="str">
            <v>DB Regio AGKonzernthemenKategorie nicht vorhandenNicht spezifiziert</v>
          </cell>
          <cell r="B733" t="str">
            <v>DB Regio AG</v>
          </cell>
          <cell r="C733" t="str">
            <v>Konzernthemen</v>
          </cell>
          <cell r="D733" t="str">
            <v>Kategorie nicht vorhanden</v>
          </cell>
          <cell r="E733" t="str">
            <v>Nicht spezifiziert</v>
          </cell>
          <cell r="F733" t="str">
            <v>Sonstiges</v>
          </cell>
        </row>
        <row r="734">
          <cell r="A734" t="str">
            <v>DB Regio AGEntwertertechnische ZuverlässigkeitNicht spezifiziert</v>
          </cell>
          <cell r="B734" t="str">
            <v>DB Regio AG</v>
          </cell>
          <cell r="C734" t="str">
            <v>Entwerter</v>
          </cell>
          <cell r="D734" t="str">
            <v>technische Zuverlässigkeit</v>
          </cell>
          <cell r="E734" t="str">
            <v>Nicht spezifiziert</v>
          </cell>
          <cell r="F734" t="str">
            <v>Vertrieb</v>
          </cell>
        </row>
        <row r="735">
          <cell r="A735" t="str">
            <v>DB Regio AGTarif/AngeboteNicht spezifiziertNicht spezifiziert</v>
          </cell>
          <cell r="B735" t="str">
            <v>DB Regio AG</v>
          </cell>
          <cell r="C735" t="str">
            <v>Tarif/Angebote</v>
          </cell>
          <cell r="D735" t="str">
            <v>Nicht spezifiziert</v>
          </cell>
          <cell r="E735" t="str">
            <v>Nicht spezifiziert</v>
          </cell>
          <cell r="F735" t="str">
            <v>Tarif</v>
          </cell>
        </row>
        <row r="736">
          <cell r="A736" t="str">
            <v>DB Regio AGInternetEinfachheit des KaufsNicht spezifiziert</v>
          </cell>
          <cell r="B736" t="str">
            <v>DB Regio AG</v>
          </cell>
          <cell r="C736" t="str">
            <v>Internet</v>
          </cell>
          <cell r="D736" t="str">
            <v>Einfachheit des Kaufs</v>
          </cell>
          <cell r="E736" t="str">
            <v>Nicht spezifiziert</v>
          </cell>
          <cell r="F736" t="str">
            <v>Vertrieb</v>
          </cell>
        </row>
        <row r="737">
          <cell r="A737" t="str">
            <v>DB Regio AGReise-ServiceInformation ü. UnregelmäßigNicht spezifiziert</v>
          </cell>
          <cell r="B737" t="str">
            <v>DB Regio AG</v>
          </cell>
          <cell r="C737" t="str">
            <v>Reise-Service</v>
          </cell>
          <cell r="D737" t="str">
            <v>Information ü. Unregelmäßig</v>
          </cell>
          <cell r="E737" t="str">
            <v>Nicht spezifiziert</v>
          </cell>
          <cell r="F737" t="str">
            <v>Fahrgastinformation</v>
          </cell>
        </row>
        <row r="738">
          <cell r="A738" t="str">
            <v>DB Regio AGKonzernthemenNicht spezifiziertNicht spezifiziert</v>
          </cell>
          <cell r="B738" t="str">
            <v>DB Regio AG</v>
          </cell>
          <cell r="C738" t="str">
            <v>Konzernthemen</v>
          </cell>
          <cell r="D738" t="str">
            <v>Nicht spezifiziert</v>
          </cell>
          <cell r="E738" t="str">
            <v>Nicht spezifiziert</v>
          </cell>
          <cell r="F738" t="str">
            <v>Sonstiges</v>
          </cell>
        </row>
        <row r="739">
          <cell r="A739" t="str">
            <v>DB Regio AGTarif/AngeboteSonstige Angebote DritterNicht spezifiziert</v>
          </cell>
          <cell r="B739" t="str">
            <v>DB Regio AG</v>
          </cell>
          <cell r="C739" t="str">
            <v>Tarif/Angebote</v>
          </cell>
          <cell r="D739" t="str">
            <v>Sonstige Angebote Dritter</v>
          </cell>
          <cell r="E739" t="str">
            <v>Nicht spezifiziert</v>
          </cell>
          <cell r="F739" t="str">
            <v>Tarif</v>
          </cell>
        </row>
        <row r="740">
          <cell r="A740" t="str">
            <v>DB Regio AGKundendialog DB RegioNicht spezifiziertNicht spezifiziert</v>
          </cell>
          <cell r="B740" t="str">
            <v>DB Regio AG</v>
          </cell>
          <cell r="C740" t="str">
            <v>Kundendialog DB Regio</v>
          </cell>
          <cell r="D740" t="str">
            <v>Nicht spezifiziert</v>
          </cell>
          <cell r="E740" t="str">
            <v>Nicht spezifiziert</v>
          </cell>
          <cell r="F740" t="str">
            <v>Sonstiges</v>
          </cell>
        </row>
        <row r="741">
          <cell r="A741" t="str">
            <v>DB Regio AGApp/Mobile AnwendungFahrkartenkauf KonditionenNicht spezifiziert</v>
          </cell>
          <cell r="B741" t="str">
            <v>DB Regio AG</v>
          </cell>
          <cell r="C741" t="str">
            <v>App/Mobile Anwendung</v>
          </cell>
          <cell r="D741" t="str">
            <v>Fahrkartenkauf Konditionen</v>
          </cell>
          <cell r="E741" t="str">
            <v>Nicht spezifiziert</v>
          </cell>
          <cell r="F741" t="str">
            <v>Sonstiges</v>
          </cell>
        </row>
        <row r="742">
          <cell r="A742" t="str">
            <v>DB Regio AGKundendialog DB RegioBearbeitung und ReaktionKompensation/Ablehnung</v>
          </cell>
          <cell r="B742" t="str">
            <v>DB Regio AG</v>
          </cell>
          <cell r="C742" t="str">
            <v>Kundendialog DB Regio</v>
          </cell>
          <cell r="D742" t="str">
            <v>Bearbeitung und Reaktion</v>
          </cell>
          <cell r="E742" t="str">
            <v>Kompensation/Ablehnung</v>
          </cell>
          <cell r="F742" t="str">
            <v>Sonstiges</v>
          </cell>
        </row>
        <row r="743">
          <cell r="A743" t="str">
            <v>DB Regio AGEntwerterVerfügbarkeitNicht spezifiziert</v>
          </cell>
          <cell r="B743" t="str">
            <v>DB Regio AG</v>
          </cell>
          <cell r="C743" t="str">
            <v>Entwerter</v>
          </cell>
          <cell r="D743" t="str">
            <v>Verfügbarkeit</v>
          </cell>
          <cell r="E743" t="str">
            <v>Nicht spezifiziert</v>
          </cell>
          <cell r="F743" t="str">
            <v>Vertrieb</v>
          </cell>
        </row>
        <row r="744">
          <cell r="A744" t="str">
            <v>DB Regio AGReisezentrumInformation ü. UnregelmäßigNicht spezifiziert</v>
          </cell>
          <cell r="B744" t="str">
            <v>DB Regio AG</v>
          </cell>
          <cell r="C744" t="str">
            <v>Reisezentrum</v>
          </cell>
          <cell r="D744" t="str">
            <v>Information ü. Unregelmäßig</v>
          </cell>
          <cell r="E744" t="str">
            <v>Nicht spezifiziert</v>
          </cell>
          <cell r="F744" t="str">
            <v>Vertrieb</v>
          </cell>
        </row>
        <row r="745">
          <cell r="A745" t="str">
            <v>DB Regio AGKundendialog DB RegioBearbeitung und ReaktionBescheinigung</v>
          </cell>
          <cell r="B745" t="str">
            <v>DB Regio AG</v>
          </cell>
          <cell r="C745" t="str">
            <v>Kundendialog DB Regio</v>
          </cell>
          <cell r="D745" t="str">
            <v>Bearbeitung und Reaktion</v>
          </cell>
          <cell r="E745" t="str">
            <v>Bescheinigung</v>
          </cell>
          <cell r="F745" t="str">
            <v>Sonstiges</v>
          </cell>
        </row>
        <row r="746">
          <cell r="A746" t="str">
            <v>DB Regio AGKundendialog DB RegioBearbeitungsdauerNicht spezifiziert</v>
          </cell>
          <cell r="B746" t="str">
            <v>DB Regio AG</v>
          </cell>
          <cell r="C746" t="str">
            <v>Kundendialog DB Regio</v>
          </cell>
          <cell r="D746" t="str">
            <v>Bearbeitungsdauer</v>
          </cell>
          <cell r="E746" t="str">
            <v>Nicht spezifiziert</v>
          </cell>
          <cell r="F746" t="str">
            <v>Sonstiges</v>
          </cell>
        </row>
        <row r="747">
          <cell r="A747" t="str">
            <v>DB Regio AGZug DB RegioTfInformationsqualität</v>
          </cell>
          <cell r="B747" t="str">
            <v>DB Regio AG</v>
          </cell>
          <cell r="C747" t="str">
            <v>Zug DB Regio</v>
          </cell>
          <cell r="D747" t="str">
            <v>Tf</v>
          </cell>
          <cell r="E747" t="str">
            <v>Informationsqualität</v>
          </cell>
          <cell r="F747" t="str">
            <v>Personal</v>
          </cell>
        </row>
        <row r="748">
          <cell r="A748" t="str">
            <v>DB Regio AGAutomatVerbesserungsvorschlagNicht spezifiziert</v>
          </cell>
          <cell r="B748" t="str">
            <v>DB Regio AG</v>
          </cell>
          <cell r="C748" t="str">
            <v>Automat</v>
          </cell>
          <cell r="D748" t="str">
            <v>Verbesserungsvorschlag</v>
          </cell>
          <cell r="E748" t="str">
            <v>Nicht spezifiziert</v>
          </cell>
          <cell r="F748" t="str">
            <v>Vertrieb</v>
          </cell>
        </row>
        <row r="749">
          <cell r="A749" t="str">
            <v>DB Regio AGZug DB RegioKomfort und AusstattungVerfügbark. Sanitäreinrichtu</v>
          </cell>
          <cell r="B749" t="str">
            <v>DB Regio AG</v>
          </cell>
          <cell r="C749" t="str">
            <v>Zug DB Regio</v>
          </cell>
          <cell r="D749" t="str">
            <v>Komfort und Ausstattung</v>
          </cell>
          <cell r="E749" t="str">
            <v>Verfügbark. Sanitäreinrichtu</v>
          </cell>
          <cell r="F749" t="str">
            <v>Fahrzeug</v>
          </cell>
        </row>
        <row r="750">
          <cell r="A750" t="str">
            <v>DB Regio AGTarif/AngeboteNahverkehrNicht spezifiziert</v>
          </cell>
          <cell r="B750" t="str">
            <v>DB Regio AG</v>
          </cell>
          <cell r="C750" t="str">
            <v>Tarif/Angebote</v>
          </cell>
          <cell r="D750" t="str">
            <v>Nahverkehr</v>
          </cell>
          <cell r="E750" t="str">
            <v>Nicht spezifiziert</v>
          </cell>
          <cell r="F750" t="str">
            <v>Vertrieb</v>
          </cell>
        </row>
        <row r="751">
          <cell r="A751" t="str">
            <v>DB Regio AGKundendialog DB RegioEinfachheit KontaktaufnahmeNicht spezifiziert</v>
          </cell>
          <cell r="B751" t="str">
            <v>DB Regio AG</v>
          </cell>
          <cell r="C751" t="str">
            <v>Kundendialog DB Regio</v>
          </cell>
          <cell r="D751" t="str">
            <v>Einfachheit Kontaktaufnahme</v>
          </cell>
          <cell r="E751" t="str">
            <v>Nicht spezifiziert</v>
          </cell>
          <cell r="F751" t="str">
            <v>Fahrgastinformation</v>
          </cell>
        </row>
        <row r="752">
          <cell r="A752" t="str">
            <v>DB Regio AGDB AgenturenEinfachheit des KaufsNicht spezifiziert</v>
          </cell>
          <cell r="B752" t="str">
            <v>DB Regio AG</v>
          </cell>
          <cell r="C752" t="str">
            <v>DB Agenturen</v>
          </cell>
          <cell r="D752" t="str">
            <v>Einfachheit des Kaufs</v>
          </cell>
          <cell r="E752" t="str">
            <v>Nicht spezifiziert</v>
          </cell>
          <cell r="F752" t="str">
            <v>Vertrieb</v>
          </cell>
        </row>
        <row r="753">
          <cell r="A753" t="str">
            <v>DB Regio AGReisezentrumÖffnungszeit/VerfügbarkeitNicht spezifiziert</v>
          </cell>
          <cell r="B753" t="str">
            <v>DB Regio AG</v>
          </cell>
          <cell r="C753" t="str">
            <v>Reisezentrum</v>
          </cell>
          <cell r="D753" t="str">
            <v>Öffnungszeit/Verfügbarkeit</v>
          </cell>
          <cell r="E753" t="str">
            <v>Nicht spezifiziert</v>
          </cell>
          <cell r="F753" t="str">
            <v>Vertrieb</v>
          </cell>
        </row>
        <row r="754">
          <cell r="A754" t="str">
            <v>DB Regio AGZug DB RegioKiNFreundlichk/Serviceorient.</v>
          </cell>
          <cell r="B754" t="str">
            <v>DB Regio AG</v>
          </cell>
          <cell r="C754" t="str">
            <v>Zug DB Regio</v>
          </cell>
          <cell r="D754" t="str">
            <v>KiN</v>
          </cell>
          <cell r="E754" t="str">
            <v>Freundlichk/Serviceorient.</v>
          </cell>
          <cell r="F754" t="str">
            <v>Personal</v>
          </cell>
        </row>
        <row r="755">
          <cell r="A755" t="str">
            <v>DB Regio AGSC FahrgastrechteRegelungen allgemeinNicht spezifiziert</v>
          </cell>
          <cell r="B755" t="str">
            <v>DB Regio AG</v>
          </cell>
          <cell r="C755" t="str">
            <v>SC Fahrgastrechte</v>
          </cell>
          <cell r="D755" t="str">
            <v>Regelungen allgemein</v>
          </cell>
          <cell r="E755" t="str">
            <v>Nicht spezifiziert</v>
          </cell>
          <cell r="F755" t="str">
            <v>Fahrplaneinhaltung</v>
          </cell>
        </row>
        <row r="756">
          <cell r="A756" t="str">
            <v>DB Regio AGAutomatEinfachheit des KaufsNicht spezifiziert</v>
          </cell>
          <cell r="B756" t="str">
            <v>DB Regio AG</v>
          </cell>
          <cell r="C756" t="str">
            <v>Automat</v>
          </cell>
          <cell r="D756" t="str">
            <v>Einfachheit des Kaufs</v>
          </cell>
          <cell r="E756" t="str">
            <v>Nicht spezifiziert</v>
          </cell>
          <cell r="F756" t="str">
            <v>Tarif</v>
          </cell>
        </row>
        <row r="757">
          <cell r="A757" t="str">
            <v>DB Regio AGZug DB RegioSicherheitsgefühlNicht spezifiziert</v>
          </cell>
          <cell r="B757" t="str">
            <v>DB Regio AG</v>
          </cell>
          <cell r="C757" t="str">
            <v>Zug DB Regio</v>
          </cell>
          <cell r="D757" t="str">
            <v>Sicherheitsgefühl</v>
          </cell>
          <cell r="E757" t="str">
            <v>Nicht spezifiziert</v>
          </cell>
          <cell r="F757" t="str">
            <v>Fahrzeug</v>
          </cell>
        </row>
        <row r="758">
          <cell r="A758" t="str">
            <v>DB Regio AGZug DB RegioVerbindung und ReisezeitPolizei/Feuerwehr o. AV</v>
          </cell>
          <cell r="B758" t="str">
            <v>DB Regio AG</v>
          </cell>
          <cell r="C758" t="str">
            <v>Zug DB Regio</v>
          </cell>
          <cell r="D758" t="str">
            <v>Verbindung und Reisezeit</v>
          </cell>
          <cell r="E758" t="str">
            <v>Polizei/Feuerwehr o. AV</v>
          </cell>
          <cell r="F758" t="str">
            <v>Fahrplaneinhaltung</v>
          </cell>
        </row>
        <row r="759">
          <cell r="A759" t="str">
            <v>DB Regio AGZug DB RegioTfFreundlichk/Serviceorient.</v>
          </cell>
          <cell r="B759" t="str">
            <v>DB Regio AG</v>
          </cell>
          <cell r="C759" t="str">
            <v>Zug DB Regio</v>
          </cell>
          <cell r="D759" t="str">
            <v>Tf</v>
          </cell>
          <cell r="E759" t="str">
            <v>Freundlichk/Serviceorient.</v>
          </cell>
          <cell r="F759" t="str">
            <v>Personal</v>
          </cell>
        </row>
        <row r="760">
          <cell r="A760" t="str">
            <v>DB Regio AGKonzernthemenMobilitätseingeschr. ReisendeTarif/Angebote</v>
          </cell>
          <cell r="B760" t="str">
            <v>DB Regio AG</v>
          </cell>
          <cell r="C760" t="str">
            <v>Konzernthemen</v>
          </cell>
          <cell r="D760" t="str">
            <v>Mobilitätseingeschr. Reisende</v>
          </cell>
          <cell r="E760" t="str">
            <v>Tarif/Angebote</v>
          </cell>
          <cell r="F760" t="str">
            <v>Tarif</v>
          </cell>
        </row>
        <row r="761">
          <cell r="A761" t="str">
            <v>DB Regio AGKonzernthemenMarketingaktion/WerbungNicht spezifiziert</v>
          </cell>
          <cell r="B761" t="str">
            <v>DB Regio AG</v>
          </cell>
          <cell r="C761" t="str">
            <v>Konzernthemen</v>
          </cell>
          <cell r="D761" t="str">
            <v>Marketingaktion/Werbung</v>
          </cell>
          <cell r="E761" t="str">
            <v>Nicht spezifiziert</v>
          </cell>
          <cell r="F761" t="str">
            <v>Sonstiges</v>
          </cell>
        </row>
        <row r="762">
          <cell r="A762" t="str">
            <v>DB Regio AGZug DB RegioKomfort und AusstattungKlimaanlagenstörung</v>
          </cell>
          <cell r="B762" t="str">
            <v>DB Regio AG</v>
          </cell>
          <cell r="C762" t="str">
            <v>Zug DB Regio</v>
          </cell>
          <cell r="D762" t="str">
            <v>Komfort und Ausstattung</v>
          </cell>
          <cell r="E762" t="str">
            <v>Klimaanlagenstörung</v>
          </cell>
          <cell r="F762" t="str">
            <v>Fahrzeug</v>
          </cell>
        </row>
        <row r="763">
          <cell r="A763" t="str">
            <v>DB Regio AGZug DB RegioZivilprüferFreundlichk/Serviceorient.</v>
          </cell>
          <cell r="B763" t="str">
            <v>DB Regio AG</v>
          </cell>
          <cell r="C763" t="str">
            <v>Zug DB Regio</v>
          </cell>
          <cell r="D763" t="str">
            <v>Zivilprüfer</v>
          </cell>
          <cell r="E763" t="str">
            <v>Freundlichk/Serviceorient.</v>
          </cell>
          <cell r="F763" t="str">
            <v>Personal</v>
          </cell>
        </row>
        <row r="764">
          <cell r="A764" t="str">
            <v>DB Regio AGApp/Mobile AnwendungKategorie nicht vorhandenNicht spezifiziert</v>
          </cell>
          <cell r="B764" t="str">
            <v>DB Regio AG</v>
          </cell>
          <cell r="C764" t="str">
            <v>App/Mobile Anwendung</v>
          </cell>
          <cell r="D764" t="str">
            <v>Kategorie nicht vorhanden</v>
          </cell>
          <cell r="E764" t="str">
            <v>Nicht spezifiziert</v>
          </cell>
          <cell r="F764" t="str">
            <v>Sonstiges</v>
          </cell>
        </row>
        <row r="765">
          <cell r="A765" t="str">
            <v>DB Regio AGZug DB RegioVerbindung und ReisezeitPolizei/Feuerwehr m. AV</v>
          </cell>
          <cell r="B765" t="str">
            <v>DB Regio AG</v>
          </cell>
          <cell r="C765" t="str">
            <v>Zug DB Regio</v>
          </cell>
          <cell r="D765" t="str">
            <v>Verbindung und Reisezeit</v>
          </cell>
          <cell r="E765" t="str">
            <v>Polizei/Feuerwehr m. AV</v>
          </cell>
          <cell r="F765" t="str">
            <v>Fahrplaneinhaltung</v>
          </cell>
        </row>
        <row r="766">
          <cell r="A766" t="str">
            <v>DB Regio AGKundendialog DB RegioBearbeitung und ReaktionVerwendung Textbaustein</v>
          </cell>
          <cell r="B766" t="str">
            <v>DB Regio AG</v>
          </cell>
          <cell r="C766" t="str">
            <v>Kundendialog DB Regio</v>
          </cell>
          <cell r="D766" t="str">
            <v>Bearbeitung und Reaktion</v>
          </cell>
          <cell r="E766" t="str">
            <v>Verwendung Textbaustein</v>
          </cell>
          <cell r="F766" t="str">
            <v>Fahrplanangebot</v>
          </cell>
        </row>
        <row r="767">
          <cell r="A767" t="str">
            <v>DB Regio AGKundendialog DB RegioFreundlichkeitNicht spezifiziert</v>
          </cell>
          <cell r="B767" t="str">
            <v>DB Regio AG</v>
          </cell>
          <cell r="C767" t="str">
            <v>Kundendialog DB Regio</v>
          </cell>
          <cell r="D767" t="str">
            <v>Freundlichkeit</v>
          </cell>
          <cell r="E767" t="str">
            <v>Nicht spezifiziert</v>
          </cell>
          <cell r="F767" t="str">
            <v>Sonstiges</v>
          </cell>
        </row>
        <row r="768">
          <cell r="A768" t="str">
            <v>DB Regio AGInternetKategorie nicht vorhandenNicht spezifiziert</v>
          </cell>
          <cell r="B768" t="str">
            <v>DB Regio AG</v>
          </cell>
          <cell r="C768" t="str">
            <v>Internet</v>
          </cell>
          <cell r="D768" t="str">
            <v>Kategorie nicht vorhanden</v>
          </cell>
          <cell r="E768" t="str">
            <v>Nicht spezifiziert</v>
          </cell>
          <cell r="F768" t="str">
            <v>Sonstiges</v>
          </cell>
        </row>
        <row r="769">
          <cell r="A769" t="str">
            <v>DB Station&amp;Service AGBahnhofKomfort und Ausstattungtechn. Anlagen</v>
          </cell>
          <cell r="B769" t="str">
            <v>DB Station&amp;Service AG</v>
          </cell>
          <cell r="C769" t="str">
            <v>Bahnhof</v>
          </cell>
          <cell r="D769" t="str">
            <v>Komfort und Ausstattung</v>
          </cell>
          <cell r="E769" t="str">
            <v>techn. Anlagen</v>
          </cell>
          <cell r="F769" t="str">
            <v>Haltepunkte/Anlagen</v>
          </cell>
        </row>
        <row r="770">
          <cell r="A770" t="str">
            <v>DB Station&amp;Service AGBahnhofPersonal KompetenzDB Information</v>
          </cell>
          <cell r="B770" t="str">
            <v>DB Station&amp;Service AG</v>
          </cell>
          <cell r="C770" t="str">
            <v>Bahnhof</v>
          </cell>
          <cell r="D770" t="str">
            <v>Personal Kompetenz</v>
          </cell>
          <cell r="E770" t="str">
            <v>DB Information</v>
          </cell>
          <cell r="F770" t="str">
            <v>Haltepunkte/Anlagen</v>
          </cell>
        </row>
        <row r="771">
          <cell r="A771" t="str">
            <v>DB Station&amp;Service AGBahnhofVerbesserungsvorschlagNicht spezifiziert</v>
          </cell>
          <cell r="B771" t="str">
            <v>DB Station&amp;Service AG</v>
          </cell>
          <cell r="C771" t="str">
            <v>Bahnhof</v>
          </cell>
          <cell r="D771" t="str">
            <v>Verbesserungsvorschlag</v>
          </cell>
          <cell r="E771" t="str">
            <v>Nicht spezifiziert</v>
          </cell>
          <cell r="F771" t="str">
            <v>Haltepunkte/Anlagen</v>
          </cell>
        </row>
        <row r="772">
          <cell r="A772" t="str">
            <v>DB Station&amp;Service AGBahnhofZustand/SauberkeitGrundqualität</v>
          </cell>
          <cell r="B772" t="str">
            <v>DB Station&amp;Service AG</v>
          </cell>
          <cell r="C772" t="str">
            <v>Bahnhof</v>
          </cell>
          <cell r="D772" t="str">
            <v>Zustand/Sauberkeit</v>
          </cell>
          <cell r="E772" t="str">
            <v>Grundqualität</v>
          </cell>
          <cell r="F772" t="str">
            <v>Haltepunkte/Anlagen</v>
          </cell>
        </row>
        <row r="773">
          <cell r="A773" t="str">
            <v>DB Station&amp;Service AGBahnhofInformationAnsagen</v>
          </cell>
          <cell r="B773" t="str">
            <v>DB Station&amp;Service AG</v>
          </cell>
          <cell r="C773" t="str">
            <v>Bahnhof</v>
          </cell>
          <cell r="D773" t="str">
            <v>Information</v>
          </cell>
          <cell r="E773" t="str">
            <v>Ansagen</v>
          </cell>
          <cell r="F773" t="str">
            <v>Haltepunkte/Anlagen</v>
          </cell>
        </row>
        <row r="774">
          <cell r="A774" t="str">
            <v>DB Station&amp;Service AGBahnhofKomfort und AusstattungVerfügbark. Serviceeinrichtun</v>
          </cell>
          <cell r="B774" t="str">
            <v>DB Station&amp;Service AG</v>
          </cell>
          <cell r="C774" t="str">
            <v>Bahnhof</v>
          </cell>
          <cell r="D774" t="str">
            <v>Komfort und Ausstattung</v>
          </cell>
          <cell r="E774" t="str">
            <v>Verfügbark. Serviceeinrichtun</v>
          </cell>
          <cell r="F774" t="str">
            <v>Haltepunkte/Anlagen</v>
          </cell>
        </row>
        <row r="775">
          <cell r="A775" t="str">
            <v>DB Station&amp;Service AGBahnhofKomfort und Ausstattungbarrierefreier Zugang</v>
          </cell>
          <cell r="B775" t="str">
            <v>DB Station&amp;Service AG</v>
          </cell>
          <cell r="C775" t="str">
            <v>Bahnhof</v>
          </cell>
          <cell r="D775" t="str">
            <v>Komfort und Ausstattung</v>
          </cell>
          <cell r="E775" t="str">
            <v>barrierefreier Zugang</v>
          </cell>
          <cell r="F775" t="str">
            <v>Haltepunkte/Anlagen</v>
          </cell>
        </row>
        <row r="776">
          <cell r="A776" t="str">
            <v>DB Station&amp;Service AGBahnhofInformationAnzeigen (elektr.)</v>
          </cell>
          <cell r="B776" t="str">
            <v>DB Station&amp;Service AG</v>
          </cell>
          <cell r="C776" t="str">
            <v>Bahnhof</v>
          </cell>
          <cell r="D776" t="str">
            <v>Information</v>
          </cell>
          <cell r="E776" t="str">
            <v>Anzeigen (elektr.)</v>
          </cell>
          <cell r="F776" t="str">
            <v>Haltepunkte/Anlagen</v>
          </cell>
        </row>
        <row r="777">
          <cell r="A777" t="str">
            <v>DB Regio AGAutomatWartezeit am AutomatenNicht spezifiziert</v>
          </cell>
          <cell r="B777" t="str">
            <v>DB Regio AG</v>
          </cell>
          <cell r="C777" t="str">
            <v>Automat</v>
          </cell>
          <cell r="D777" t="str">
            <v>Wartezeit am Automaten</v>
          </cell>
          <cell r="E777" t="str">
            <v>Nicht spezifiziert</v>
          </cell>
          <cell r="F777" t="str">
            <v>Vertrieb</v>
          </cell>
        </row>
        <row r="778">
          <cell r="A778" t="str">
            <v>DB Regio AGKundendialog DB RegioAnf. v. UnterlagenNicht spezifiziert</v>
          </cell>
          <cell r="B778" t="str">
            <v>DB Regio AG</v>
          </cell>
          <cell r="C778" t="str">
            <v>Kundendialog DB Regio</v>
          </cell>
          <cell r="D778" t="str">
            <v>Anf. v. Unterlagen</v>
          </cell>
          <cell r="E778" t="str">
            <v>Nicht spezifiziert</v>
          </cell>
          <cell r="F778" t="str">
            <v>Sonstiges</v>
          </cell>
        </row>
        <row r="779">
          <cell r="A779" t="str">
            <v>DB Regio AGZug DB RegioVerbindung und ReisezeitPersonen im Gleis o. AV</v>
          </cell>
          <cell r="B779" t="str">
            <v>DB Regio AG</v>
          </cell>
          <cell r="C779" t="str">
            <v>Zug DB Regio</v>
          </cell>
          <cell r="D779" t="str">
            <v>Verbindung und Reisezeit</v>
          </cell>
          <cell r="E779" t="str">
            <v>Personen im Gleis o. AV</v>
          </cell>
          <cell r="F779" t="str">
            <v>Fahrplaneinhaltung</v>
          </cell>
        </row>
        <row r="780">
          <cell r="A780" t="str">
            <v>DB Regio AGZug DB RegioVerbindung und ReisezeitPersonen im Gleis o. AV</v>
          </cell>
          <cell r="B780" t="str">
            <v>DB Regio AG</v>
          </cell>
          <cell r="C780" t="str">
            <v>Zug DB Regio</v>
          </cell>
          <cell r="D780" t="str">
            <v>Verbindung und Reisezeit</v>
          </cell>
          <cell r="E780" t="str">
            <v>Personen im Gleis o. AV</v>
          </cell>
          <cell r="F780" t="str">
            <v>Fahrplaneinhaltung</v>
          </cell>
        </row>
        <row r="781">
          <cell r="A781" t="str">
            <v>DB Regio AGZug DB RegioVerbindung und ReisezeitUnwetter</v>
          </cell>
          <cell r="B781" t="str">
            <v>DB Regio AG</v>
          </cell>
          <cell r="C781" t="str">
            <v>Zug DB Regio</v>
          </cell>
          <cell r="D781" t="str">
            <v>Verbindung und Reisezeit</v>
          </cell>
          <cell r="E781" t="str">
            <v>Unwetter</v>
          </cell>
          <cell r="F781" t="str">
            <v>Fahrplaneinhaltung</v>
          </cell>
        </row>
        <row r="782">
          <cell r="A782" t="str">
            <v>DB Regio AGAutomatKategorie nicht vorhandenNicht spezifiziert</v>
          </cell>
          <cell r="B782" t="str">
            <v>DB Regio AG</v>
          </cell>
          <cell r="C782" t="str">
            <v>Automat</v>
          </cell>
          <cell r="D782" t="str">
            <v>Kategorie nicht vorhanden</v>
          </cell>
          <cell r="E782" t="str">
            <v>Nicht spezifiziert</v>
          </cell>
          <cell r="F782" t="str">
            <v>Vertrieb</v>
          </cell>
        </row>
        <row r="783">
          <cell r="A783" t="str">
            <v>DB Regio AGKonzernthemenUmweltLärmbelastung</v>
          </cell>
          <cell r="B783" t="str">
            <v>DB Regio AG</v>
          </cell>
          <cell r="C783" t="str">
            <v>Konzernthemen</v>
          </cell>
          <cell r="D783" t="str">
            <v>Umwelt</v>
          </cell>
          <cell r="E783" t="str">
            <v>Lärmbelastung</v>
          </cell>
          <cell r="F783" t="str">
            <v>Sonstiges</v>
          </cell>
        </row>
        <row r="784">
          <cell r="A784" t="str">
            <v>DB Station&amp;Service AGBahnhofZustand/SauberkeitTagesqualität</v>
          </cell>
          <cell r="B784" t="str">
            <v>DB Station&amp;Service AG</v>
          </cell>
          <cell r="C784" t="str">
            <v>Bahnhof</v>
          </cell>
          <cell r="D784" t="str">
            <v>Zustand/Sauberkeit</v>
          </cell>
          <cell r="E784" t="str">
            <v>Tagesqualität</v>
          </cell>
          <cell r="F784" t="str">
            <v>Haltepunkte/Anlagen</v>
          </cell>
        </row>
        <row r="785">
          <cell r="A785" t="str">
            <v>DB Regio AGSC FahrgastrechteBearbeitungsdauerNicht spezifiziert</v>
          </cell>
          <cell r="B785" t="str">
            <v>DB Regio AG</v>
          </cell>
          <cell r="C785" t="str">
            <v>SC Fahrgastrechte</v>
          </cell>
          <cell r="D785" t="str">
            <v>Bearbeitungsdauer</v>
          </cell>
          <cell r="E785" t="str">
            <v>Nicht spezifiziert</v>
          </cell>
          <cell r="F785" t="str">
            <v>Sonstiges</v>
          </cell>
        </row>
        <row r="786">
          <cell r="A786" t="str">
            <v>DB Regio AGApp/Mobile AnwendungZahlungsmöglichkeitenNicht spezifiziert</v>
          </cell>
          <cell r="B786" t="str">
            <v>DB Regio AG</v>
          </cell>
          <cell r="C786" t="str">
            <v>App/Mobile Anwendung</v>
          </cell>
          <cell r="D786" t="str">
            <v>Zahlungsmöglichkeiten</v>
          </cell>
          <cell r="E786" t="str">
            <v>Nicht spezifiziert</v>
          </cell>
          <cell r="F786" t="str">
            <v>Vertrieb</v>
          </cell>
        </row>
        <row r="787">
          <cell r="A787" t="str">
            <v>DB Regio AGZug DB RegioSicherheitspersonalFreundlichk/Serviceorient.</v>
          </cell>
          <cell r="B787" t="str">
            <v>DB Regio AG</v>
          </cell>
          <cell r="C787" t="str">
            <v>Zug DB Regio</v>
          </cell>
          <cell r="D787" t="str">
            <v>Sicherheitspersonal</v>
          </cell>
          <cell r="E787" t="str">
            <v>Freundlichk/Serviceorient.</v>
          </cell>
          <cell r="F787" t="str">
            <v>Personal</v>
          </cell>
        </row>
        <row r="788">
          <cell r="A788" t="str">
            <v>DB Station&amp;Service AGBahnhofSicherheitNicht spezifiziert</v>
          </cell>
          <cell r="B788" t="str">
            <v>DB Station&amp;Service AG</v>
          </cell>
          <cell r="C788" t="str">
            <v>Bahnhof</v>
          </cell>
          <cell r="D788" t="str">
            <v>Sicherheit</v>
          </cell>
          <cell r="E788" t="str">
            <v>Nicht spezifiziert</v>
          </cell>
          <cell r="F788" t="str">
            <v>Haltepunkte/Anlagen</v>
          </cell>
        </row>
        <row r="789">
          <cell r="A789" t="str">
            <v>DB Regio AGAutomatNicht spezifiziertNicht spezifiziert</v>
          </cell>
          <cell r="B789" t="str">
            <v>DB Regio AG</v>
          </cell>
          <cell r="C789" t="str">
            <v>Automat</v>
          </cell>
          <cell r="D789" t="str">
            <v>Nicht spezifiziert</v>
          </cell>
          <cell r="E789" t="str">
            <v>Nicht spezifiziert</v>
          </cell>
          <cell r="F789" t="str">
            <v>Vertrieb</v>
          </cell>
        </row>
        <row r="790">
          <cell r="A790">
            <v>0</v>
          </cell>
        </row>
        <row r="791">
          <cell r="A791">
            <v>0</v>
          </cell>
        </row>
        <row r="792">
          <cell r="A792">
            <v>0</v>
          </cell>
        </row>
        <row r="793">
          <cell r="A793">
            <v>0</v>
          </cell>
        </row>
        <row r="794">
          <cell r="A794">
            <v>0</v>
          </cell>
        </row>
        <row r="795">
          <cell r="A795">
            <v>0</v>
          </cell>
        </row>
        <row r="796">
          <cell r="A796">
            <v>0</v>
          </cell>
        </row>
        <row r="797">
          <cell r="A797">
            <v>0</v>
          </cell>
        </row>
        <row r="798">
          <cell r="A798">
            <v>0</v>
          </cell>
        </row>
        <row r="799">
          <cell r="A799">
            <v>0</v>
          </cell>
        </row>
        <row r="800">
          <cell r="A800">
            <v>0</v>
          </cell>
        </row>
        <row r="801">
          <cell r="A801">
            <v>0</v>
          </cell>
        </row>
        <row r="802">
          <cell r="A802">
            <v>0</v>
          </cell>
        </row>
        <row r="803">
          <cell r="A803">
            <v>0</v>
          </cell>
        </row>
        <row r="804">
          <cell r="A804">
            <v>0</v>
          </cell>
        </row>
        <row r="805">
          <cell r="A805">
            <v>0</v>
          </cell>
        </row>
        <row r="806">
          <cell r="A806">
            <v>0</v>
          </cell>
        </row>
        <row r="807">
          <cell r="A807">
            <v>0</v>
          </cell>
        </row>
        <row r="808">
          <cell r="A808">
            <v>0</v>
          </cell>
        </row>
        <row r="809">
          <cell r="A809">
            <v>0</v>
          </cell>
        </row>
        <row r="810">
          <cell r="A810">
            <v>0</v>
          </cell>
        </row>
        <row r="811">
          <cell r="A811">
            <v>0</v>
          </cell>
        </row>
        <row r="812">
          <cell r="A812">
            <v>0</v>
          </cell>
        </row>
        <row r="813">
          <cell r="A813">
            <v>0</v>
          </cell>
        </row>
        <row r="814">
          <cell r="A814">
            <v>0</v>
          </cell>
        </row>
        <row r="815">
          <cell r="A815">
            <v>0</v>
          </cell>
        </row>
        <row r="816">
          <cell r="A816">
            <v>0</v>
          </cell>
        </row>
        <row r="817">
          <cell r="A817">
            <v>0</v>
          </cell>
        </row>
        <row r="818">
          <cell r="A818">
            <v>0</v>
          </cell>
        </row>
        <row r="819">
          <cell r="A819">
            <v>0</v>
          </cell>
        </row>
        <row r="820">
          <cell r="A820">
            <v>0</v>
          </cell>
        </row>
        <row r="821">
          <cell r="A821">
            <v>0</v>
          </cell>
        </row>
        <row r="822">
          <cell r="A822">
            <v>0</v>
          </cell>
        </row>
        <row r="823">
          <cell r="A823">
            <v>0</v>
          </cell>
        </row>
        <row r="824">
          <cell r="A824">
            <v>0</v>
          </cell>
        </row>
        <row r="825">
          <cell r="A825">
            <v>0</v>
          </cell>
        </row>
        <row r="826">
          <cell r="A826">
            <v>0</v>
          </cell>
        </row>
        <row r="827">
          <cell r="A827">
            <v>0</v>
          </cell>
        </row>
        <row r="828">
          <cell r="A828">
            <v>0</v>
          </cell>
        </row>
        <row r="829">
          <cell r="A829">
            <v>0</v>
          </cell>
        </row>
        <row r="830">
          <cell r="A830">
            <v>0</v>
          </cell>
        </row>
        <row r="831">
          <cell r="A831">
            <v>0</v>
          </cell>
        </row>
        <row r="832">
          <cell r="A832">
            <v>0</v>
          </cell>
        </row>
        <row r="833">
          <cell r="A833">
            <v>0</v>
          </cell>
        </row>
        <row r="834">
          <cell r="A834">
            <v>0</v>
          </cell>
        </row>
        <row r="835">
          <cell r="A835">
            <v>0</v>
          </cell>
        </row>
        <row r="836">
          <cell r="A836">
            <v>0</v>
          </cell>
        </row>
        <row r="837">
          <cell r="A837">
            <v>0</v>
          </cell>
        </row>
        <row r="838">
          <cell r="A838">
            <v>0</v>
          </cell>
        </row>
        <row r="839">
          <cell r="A839">
            <v>0</v>
          </cell>
        </row>
        <row r="840">
          <cell r="A840">
            <v>0</v>
          </cell>
        </row>
        <row r="841">
          <cell r="A841">
            <v>0</v>
          </cell>
        </row>
        <row r="842">
          <cell r="A842">
            <v>0</v>
          </cell>
        </row>
        <row r="843">
          <cell r="A843">
            <v>0</v>
          </cell>
        </row>
        <row r="844">
          <cell r="A844">
            <v>0</v>
          </cell>
        </row>
        <row r="845">
          <cell r="A845">
            <v>0</v>
          </cell>
        </row>
        <row r="846">
          <cell r="A846">
            <v>0</v>
          </cell>
        </row>
        <row r="847">
          <cell r="A847">
            <v>0</v>
          </cell>
        </row>
        <row r="848">
          <cell r="A848">
            <v>0</v>
          </cell>
        </row>
        <row r="849">
          <cell r="A849">
            <v>0</v>
          </cell>
        </row>
        <row r="850">
          <cell r="A850">
            <v>0</v>
          </cell>
        </row>
        <row r="851">
          <cell r="A851">
            <v>0</v>
          </cell>
        </row>
        <row r="852">
          <cell r="A852">
            <v>0</v>
          </cell>
        </row>
        <row r="853">
          <cell r="A853">
            <v>0</v>
          </cell>
        </row>
        <row r="854">
          <cell r="A854">
            <v>0</v>
          </cell>
        </row>
        <row r="855">
          <cell r="A855">
            <v>0</v>
          </cell>
        </row>
        <row r="856">
          <cell r="A856">
            <v>0</v>
          </cell>
        </row>
        <row r="857">
          <cell r="A857">
            <v>0</v>
          </cell>
        </row>
        <row r="858">
          <cell r="A858">
            <v>0</v>
          </cell>
        </row>
        <row r="859">
          <cell r="A859">
            <v>0</v>
          </cell>
        </row>
        <row r="860">
          <cell r="A860">
            <v>0</v>
          </cell>
        </row>
        <row r="861">
          <cell r="A861">
            <v>0</v>
          </cell>
        </row>
        <row r="862">
          <cell r="A862">
            <v>0</v>
          </cell>
        </row>
        <row r="863">
          <cell r="A863">
            <v>0</v>
          </cell>
        </row>
        <row r="864">
          <cell r="A864">
            <v>0</v>
          </cell>
        </row>
        <row r="865">
          <cell r="A865">
            <v>0</v>
          </cell>
        </row>
        <row r="866">
          <cell r="A866">
            <v>0</v>
          </cell>
        </row>
        <row r="867">
          <cell r="A867">
            <v>0</v>
          </cell>
        </row>
        <row r="868">
          <cell r="A868">
            <v>0</v>
          </cell>
        </row>
        <row r="869">
          <cell r="A869">
            <v>0</v>
          </cell>
        </row>
        <row r="870">
          <cell r="A870">
            <v>0</v>
          </cell>
        </row>
        <row r="871">
          <cell r="A871">
            <v>0</v>
          </cell>
        </row>
        <row r="872">
          <cell r="A872">
            <v>0</v>
          </cell>
        </row>
        <row r="873">
          <cell r="A873">
            <v>0</v>
          </cell>
        </row>
        <row r="874">
          <cell r="A874">
            <v>0</v>
          </cell>
        </row>
        <row r="875">
          <cell r="A875">
            <v>0</v>
          </cell>
        </row>
        <row r="876">
          <cell r="A876">
            <v>0</v>
          </cell>
        </row>
        <row r="877">
          <cell r="A877">
            <v>0</v>
          </cell>
        </row>
        <row r="878">
          <cell r="A878">
            <v>0</v>
          </cell>
        </row>
        <row r="879">
          <cell r="A879">
            <v>0</v>
          </cell>
        </row>
        <row r="880">
          <cell r="A880">
            <v>0</v>
          </cell>
        </row>
        <row r="881">
          <cell r="A881">
            <v>0</v>
          </cell>
        </row>
        <row r="882">
          <cell r="A882">
            <v>0</v>
          </cell>
        </row>
        <row r="883">
          <cell r="A883">
            <v>0</v>
          </cell>
        </row>
        <row r="884">
          <cell r="A884">
            <v>0</v>
          </cell>
        </row>
        <row r="885">
          <cell r="A885">
            <v>0</v>
          </cell>
        </row>
        <row r="886">
          <cell r="A886">
            <v>0</v>
          </cell>
        </row>
        <row r="887">
          <cell r="A887">
            <v>0</v>
          </cell>
        </row>
        <row r="888">
          <cell r="A888">
            <v>0</v>
          </cell>
        </row>
        <row r="889">
          <cell r="A889">
            <v>0</v>
          </cell>
        </row>
        <row r="890">
          <cell r="A890">
            <v>0</v>
          </cell>
        </row>
        <row r="891">
          <cell r="A891">
            <v>0</v>
          </cell>
        </row>
        <row r="892">
          <cell r="A892">
            <v>0</v>
          </cell>
        </row>
        <row r="893">
          <cell r="A893">
            <v>0</v>
          </cell>
        </row>
        <row r="894">
          <cell r="A894">
            <v>0</v>
          </cell>
        </row>
        <row r="895">
          <cell r="A895">
            <v>0</v>
          </cell>
        </row>
        <row r="896">
          <cell r="A896">
            <v>0</v>
          </cell>
        </row>
        <row r="897">
          <cell r="A897">
            <v>0</v>
          </cell>
        </row>
        <row r="898">
          <cell r="A898">
            <v>0</v>
          </cell>
        </row>
        <row r="899">
          <cell r="A899">
            <v>0</v>
          </cell>
        </row>
        <row r="900">
          <cell r="A900">
            <v>0</v>
          </cell>
        </row>
        <row r="901">
          <cell r="A901">
            <v>0</v>
          </cell>
        </row>
        <row r="902">
          <cell r="A902">
            <v>0</v>
          </cell>
        </row>
        <row r="903">
          <cell r="A903">
            <v>0</v>
          </cell>
        </row>
        <row r="904">
          <cell r="A904">
            <v>0</v>
          </cell>
        </row>
        <row r="905">
          <cell r="A905">
            <v>0</v>
          </cell>
        </row>
        <row r="906">
          <cell r="A906">
            <v>0</v>
          </cell>
        </row>
        <row r="907">
          <cell r="A907">
            <v>0</v>
          </cell>
        </row>
        <row r="908">
          <cell r="A908">
            <v>0</v>
          </cell>
        </row>
        <row r="909">
          <cell r="A909">
            <v>0</v>
          </cell>
        </row>
        <row r="910">
          <cell r="A910">
            <v>0</v>
          </cell>
        </row>
        <row r="911">
          <cell r="A911">
            <v>0</v>
          </cell>
        </row>
        <row r="912">
          <cell r="A912">
            <v>0</v>
          </cell>
        </row>
        <row r="913">
          <cell r="A913">
            <v>0</v>
          </cell>
        </row>
        <row r="914">
          <cell r="A914">
            <v>0</v>
          </cell>
        </row>
        <row r="915">
          <cell r="A915">
            <v>0</v>
          </cell>
        </row>
        <row r="916">
          <cell r="A916">
            <v>0</v>
          </cell>
        </row>
        <row r="917">
          <cell r="A917">
            <v>0</v>
          </cell>
        </row>
        <row r="918">
          <cell r="A918">
            <v>0</v>
          </cell>
        </row>
        <row r="919">
          <cell r="A919">
            <v>0</v>
          </cell>
        </row>
        <row r="920">
          <cell r="A920">
            <v>0</v>
          </cell>
        </row>
        <row r="921">
          <cell r="A921">
            <v>0</v>
          </cell>
        </row>
        <row r="922">
          <cell r="A922">
            <v>0</v>
          </cell>
        </row>
        <row r="923">
          <cell r="A923">
            <v>0</v>
          </cell>
        </row>
        <row r="924">
          <cell r="A924">
            <v>0</v>
          </cell>
        </row>
        <row r="925">
          <cell r="A925">
            <v>0</v>
          </cell>
        </row>
        <row r="926">
          <cell r="A926">
            <v>0</v>
          </cell>
        </row>
        <row r="927">
          <cell r="A927">
            <v>0</v>
          </cell>
        </row>
        <row r="928">
          <cell r="A928">
            <v>0</v>
          </cell>
        </row>
        <row r="929">
          <cell r="A929">
            <v>0</v>
          </cell>
        </row>
        <row r="930">
          <cell r="A930">
            <v>0</v>
          </cell>
        </row>
        <row r="931">
          <cell r="A931">
            <v>0</v>
          </cell>
        </row>
        <row r="932">
          <cell r="A932">
            <v>0</v>
          </cell>
        </row>
        <row r="933">
          <cell r="A933">
            <v>0</v>
          </cell>
        </row>
        <row r="934">
          <cell r="A934">
            <v>0</v>
          </cell>
        </row>
        <row r="935">
          <cell r="A935">
            <v>0</v>
          </cell>
        </row>
        <row r="936">
          <cell r="A936">
            <v>0</v>
          </cell>
        </row>
        <row r="937">
          <cell r="A937">
            <v>0</v>
          </cell>
        </row>
        <row r="938">
          <cell r="A938">
            <v>0</v>
          </cell>
        </row>
        <row r="939">
          <cell r="A939">
            <v>0</v>
          </cell>
        </row>
        <row r="940">
          <cell r="A940">
            <v>0</v>
          </cell>
        </row>
        <row r="941">
          <cell r="A941">
            <v>0</v>
          </cell>
        </row>
        <row r="942">
          <cell r="A942">
            <v>0</v>
          </cell>
        </row>
        <row r="943">
          <cell r="A943">
            <v>0</v>
          </cell>
        </row>
        <row r="944">
          <cell r="A944">
            <v>0</v>
          </cell>
        </row>
        <row r="945">
          <cell r="A945">
            <v>0</v>
          </cell>
        </row>
        <row r="946">
          <cell r="A946">
            <v>0</v>
          </cell>
        </row>
        <row r="947">
          <cell r="A947">
            <v>0</v>
          </cell>
        </row>
        <row r="948">
          <cell r="A948">
            <v>0</v>
          </cell>
        </row>
        <row r="949">
          <cell r="A949">
            <v>0</v>
          </cell>
        </row>
        <row r="950">
          <cell r="A950">
            <v>0</v>
          </cell>
        </row>
        <row r="951">
          <cell r="A951">
            <v>0</v>
          </cell>
        </row>
        <row r="952">
          <cell r="A952">
            <v>0</v>
          </cell>
        </row>
        <row r="953">
          <cell r="A953">
            <v>0</v>
          </cell>
        </row>
        <row r="954">
          <cell r="A954">
            <v>0</v>
          </cell>
        </row>
        <row r="955">
          <cell r="A955">
            <v>0</v>
          </cell>
        </row>
        <row r="956">
          <cell r="A956">
            <v>0</v>
          </cell>
        </row>
        <row r="957">
          <cell r="A957">
            <v>0</v>
          </cell>
        </row>
        <row r="958">
          <cell r="A958">
            <v>0</v>
          </cell>
        </row>
        <row r="959">
          <cell r="A959">
            <v>0</v>
          </cell>
        </row>
        <row r="960">
          <cell r="A960">
            <v>0</v>
          </cell>
        </row>
        <row r="961">
          <cell r="A961">
            <v>0</v>
          </cell>
        </row>
        <row r="962">
          <cell r="A962">
            <v>0</v>
          </cell>
        </row>
        <row r="963">
          <cell r="A963">
            <v>0</v>
          </cell>
        </row>
        <row r="964">
          <cell r="A964">
            <v>0</v>
          </cell>
        </row>
        <row r="965">
          <cell r="A965">
            <v>0</v>
          </cell>
        </row>
        <row r="966">
          <cell r="A966">
            <v>0</v>
          </cell>
        </row>
        <row r="967">
          <cell r="A967">
            <v>0</v>
          </cell>
        </row>
        <row r="968">
          <cell r="A968">
            <v>0</v>
          </cell>
        </row>
        <row r="969">
          <cell r="A969">
            <v>0</v>
          </cell>
        </row>
        <row r="970">
          <cell r="A970">
            <v>0</v>
          </cell>
        </row>
        <row r="971">
          <cell r="A971">
            <v>0</v>
          </cell>
        </row>
        <row r="972">
          <cell r="A972">
            <v>0</v>
          </cell>
        </row>
        <row r="973">
          <cell r="A973">
            <v>0</v>
          </cell>
        </row>
        <row r="974">
          <cell r="A974">
            <v>0</v>
          </cell>
        </row>
        <row r="975">
          <cell r="A975">
            <v>0</v>
          </cell>
        </row>
        <row r="976">
          <cell r="A976">
            <v>0</v>
          </cell>
        </row>
        <row r="977">
          <cell r="A977">
            <v>0</v>
          </cell>
        </row>
        <row r="978">
          <cell r="A978">
            <v>0</v>
          </cell>
        </row>
        <row r="979">
          <cell r="A979">
            <v>0</v>
          </cell>
        </row>
        <row r="980">
          <cell r="A980">
            <v>0</v>
          </cell>
        </row>
        <row r="981">
          <cell r="A981">
            <v>0</v>
          </cell>
        </row>
        <row r="982">
          <cell r="A982">
            <v>0</v>
          </cell>
        </row>
        <row r="983">
          <cell r="A983">
            <v>0</v>
          </cell>
        </row>
        <row r="984">
          <cell r="A984">
            <v>0</v>
          </cell>
        </row>
        <row r="985">
          <cell r="A985">
            <v>0</v>
          </cell>
        </row>
        <row r="986">
          <cell r="A986">
            <v>0</v>
          </cell>
        </row>
        <row r="987">
          <cell r="A987">
            <v>0</v>
          </cell>
        </row>
        <row r="988">
          <cell r="A988">
            <v>0</v>
          </cell>
        </row>
        <row r="989">
          <cell r="A989">
            <v>0</v>
          </cell>
        </row>
        <row r="990">
          <cell r="A990">
            <v>0</v>
          </cell>
        </row>
        <row r="991">
          <cell r="A991">
            <v>0</v>
          </cell>
        </row>
        <row r="992">
          <cell r="A992">
            <v>0</v>
          </cell>
        </row>
        <row r="993">
          <cell r="A993">
            <v>0</v>
          </cell>
        </row>
        <row r="994">
          <cell r="A994">
            <v>0</v>
          </cell>
        </row>
        <row r="995">
          <cell r="A995">
            <v>0</v>
          </cell>
        </row>
        <row r="996">
          <cell r="A996">
            <v>0</v>
          </cell>
        </row>
        <row r="997">
          <cell r="A997">
            <v>0</v>
          </cell>
        </row>
        <row r="998">
          <cell r="A998">
            <v>0</v>
          </cell>
        </row>
        <row r="999">
          <cell r="A999">
            <v>0</v>
          </cell>
        </row>
        <row r="1000">
          <cell r="A1000">
            <v>0</v>
          </cell>
        </row>
        <row r="1001">
          <cell r="A1001">
            <v>0</v>
          </cell>
        </row>
        <row r="1002">
          <cell r="A1002">
            <v>0</v>
          </cell>
        </row>
        <row r="1003">
          <cell r="A1003">
            <v>0</v>
          </cell>
        </row>
        <row r="1004">
          <cell r="A1004">
            <v>0</v>
          </cell>
        </row>
        <row r="1005">
          <cell r="A1005">
            <v>0</v>
          </cell>
        </row>
        <row r="1006">
          <cell r="A1006">
            <v>0</v>
          </cell>
        </row>
        <row r="1007">
          <cell r="A1007">
            <v>0</v>
          </cell>
        </row>
        <row r="1008">
          <cell r="A1008">
            <v>0</v>
          </cell>
        </row>
        <row r="1009">
          <cell r="A1009">
            <v>0</v>
          </cell>
        </row>
        <row r="1010">
          <cell r="A1010">
            <v>0</v>
          </cell>
        </row>
        <row r="1011">
          <cell r="A1011">
            <v>0</v>
          </cell>
        </row>
        <row r="1012">
          <cell r="A1012">
            <v>0</v>
          </cell>
        </row>
        <row r="1013">
          <cell r="A1013">
            <v>0</v>
          </cell>
        </row>
        <row r="1014">
          <cell r="A1014">
            <v>0</v>
          </cell>
        </row>
        <row r="1015">
          <cell r="A1015">
            <v>0</v>
          </cell>
        </row>
        <row r="1016">
          <cell r="A1016">
            <v>0</v>
          </cell>
        </row>
        <row r="1017">
          <cell r="A1017">
            <v>0</v>
          </cell>
        </row>
        <row r="1018">
          <cell r="A1018">
            <v>0</v>
          </cell>
        </row>
        <row r="1019">
          <cell r="A1019">
            <v>0</v>
          </cell>
        </row>
        <row r="1020">
          <cell r="A1020">
            <v>0</v>
          </cell>
        </row>
        <row r="1021">
          <cell r="A1021">
            <v>0</v>
          </cell>
        </row>
        <row r="1022">
          <cell r="A1022">
            <v>0</v>
          </cell>
        </row>
        <row r="1023">
          <cell r="A1023">
            <v>0</v>
          </cell>
        </row>
        <row r="1024">
          <cell r="A1024">
            <v>0</v>
          </cell>
        </row>
        <row r="1025">
          <cell r="A1025">
            <v>0</v>
          </cell>
        </row>
        <row r="1026">
          <cell r="A1026">
            <v>0</v>
          </cell>
        </row>
        <row r="1027">
          <cell r="A1027">
            <v>0</v>
          </cell>
        </row>
        <row r="1028">
          <cell r="A1028">
            <v>0</v>
          </cell>
        </row>
        <row r="1029">
          <cell r="A1029">
            <v>0</v>
          </cell>
        </row>
        <row r="1030">
          <cell r="A1030">
            <v>0</v>
          </cell>
        </row>
        <row r="1031">
          <cell r="A1031">
            <v>0</v>
          </cell>
        </row>
        <row r="1032">
          <cell r="A1032">
            <v>0</v>
          </cell>
        </row>
        <row r="1033">
          <cell r="A1033">
            <v>0</v>
          </cell>
        </row>
        <row r="1034">
          <cell r="A1034">
            <v>0</v>
          </cell>
        </row>
        <row r="1035">
          <cell r="A1035">
            <v>0</v>
          </cell>
        </row>
        <row r="1036">
          <cell r="A1036">
            <v>0</v>
          </cell>
        </row>
        <row r="1037">
          <cell r="A1037">
            <v>0</v>
          </cell>
        </row>
        <row r="1038">
          <cell r="A1038">
            <v>0</v>
          </cell>
        </row>
        <row r="1039">
          <cell r="A1039">
            <v>0</v>
          </cell>
        </row>
        <row r="1040">
          <cell r="A1040">
            <v>0</v>
          </cell>
        </row>
        <row r="1041">
          <cell r="A1041">
            <v>0</v>
          </cell>
        </row>
        <row r="1042">
          <cell r="A1042">
            <v>0</v>
          </cell>
        </row>
        <row r="1043">
          <cell r="A1043">
            <v>0</v>
          </cell>
        </row>
        <row r="1044">
          <cell r="A1044">
            <v>0</v>
          </cell>
        </row>
        <row r="1045">
          <cell r="A1045">
            <v>0</v>
          </cell>
        </row>
        <row r="1046">
          <cell r="A1046">
            <v>0</v>
          </cell>
        </row>
        <row r="1047">
          <cell r="A1047">
            <v>0</v>
          </cell>
        </row>
        <row r="1048">
          <cell r="A1048">
            <v>0</v>
          </cell>
        </row>
        <row r="1049">
          <cell r="A1049">
            <v>0</v>
          </cell>
        </row>
      </sheetData>
      <sheetData sheetId="2"/>
      <sheetData sheetId="3">
        <row r="3">
          <cell r="D3">
            <v>2</v>
          </cell>
        </row>
        <row r="5">
          <cell r="D5">
            <v>30</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usammenfassung"/>
      <sheetName val="Verteilerschlüssel"/>
      <sheetName val="Fpl-Soll"/>
      <sheetName val="02_Linien-Pkt"/>
      <sheetName val="03_Züge &lt; 85%"/>
      <sheetName val="04_Nachweis Anschluss"/>
      <sheetName val="05_Vsp.Min Messstellen"/>
      <sheetName val="06_Vsp.Min Tunnel"/>
      <sheetName val="07_Abfahrten vor Plan"/>
      <sheetName val="08_Operative Zugausfälle"/>
      <sheetName val="09_Planmäßige Zugausfälle "/>
      <sheetName val="10_Ausfälle wg. Versp.&gt;Takt"/>
      <sheetName val="11_ Nichbedienung Halte"/>
      <sheetName val="12_Statistik Zugausfälle"/>
      <sheetName val="13_Zugbildungsabweichung"/>
      <sheetName val="14_Statistik Zugbildung"/>
      <sheetName val="16_Fahrzeugschäden"/>
      <sheetName val="17+18_Außen-Innenreinigung"/>
      <sheetName val="33_Grafitti"/>
      <sheetName val="Züge unter 85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6">
          <cell r="J6">
            <v>6000</v>
          </cell>
        </row>
      </sheetData>
      <sheetData sheetId="19" refreshError="1"/>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H71"/>
  <sheetViews>
    <sheetView view="pageLayout" zoomScaleNormal="80" workbookViewId="0">
      <selection activeCell="D32" sqref="D32"/>
    </sheetView>
  </sheetViews>
  <sheetFormatPr baseColWidth="10" defaultRowHeight="12.75"/>
  <cols>
    <col min="1" max="1" width="15" customWidth="1"/>
    <col min="2" max="2" width="63.140625" bestFit="1" customWidth="1"/>
    <col min="4" max="4" width="59.42578125" customWidth="1"/>
    <col min="5" max="5" width="13" bestFit="1" customWidth="1"/>
    <col min="7" max="7" width="20.140625" customWidth="1"/>
  </cols>
  <sheetData>
    <row r="1" spans="1:7">
      <c r="A1" s="246" t="s">
        <v>1457</v>
      </c>
    </row>
    <row r="2" spans="1:7">
      <c r="A2" s="252" t="s">
        <v>698</v>
      </c>
      <c r="B2" s="252" t="s">
        <v>281</v>
      </c>
      <c r="G2" s="197"/>
    </row>
    <row r="3" spans="1:7">
      <c r="G3" s="197"/>
    </row>
    <row r="4" spans="1:7">
      <c r="A4" s="195" t="s">
        <v>312</v>
      </c>
    </row>
    <row r="5" spans="1:7">
      <c r="A5" s="195"/>
    </row>
    <row r="6" spans="1:7">
      <c r="A6" s="247" t="s">
        <v>243</v>
      </c>
    </row>
    <row r="7" spans="1:7">
      <c r="A7" s="540"/>
      <c r="B7" s="195" t="s">
        <v>299</v>
      </c>
      <c r="D7" s="253"/>
    </row>
    <row r="8" spans="1:7">
      <c r="A8" s="541">
        <v>0</v>
      </c>
      <c r="B8" s="369" t="s">
        <v>252</v>
      </c>
      <c r="D8" s="251"/>
    </row>
    <row r="9" spans="1:7">
      <c r="A9" s="369" t="s">
        <v>244</v>
      </c>
      <c r="B9" s="369" t="s">
        <v>253</v>
      </c>
      <c r="D9" s="251"/>
    </row>
    <row r="10" spans="1:7">
      <c r="A10" s="369" t="s">
        <v>245</v>
      </c>
      <c r="B10" s="369" t="s">
        <v>1340</v>
      </c>
      <c r="D10" s="251"/>
    </row>
    <row r="11" spans="1:7">
      <c r="A11" s="541" t="s">
        <v>287</v>
      </c>
      <c r="B11" s="369" t="s">
        <v>311</v>
      </c>
      <c r="D11" s="251"/>
    </row>
    <row r="12" spans="1:7">
      <c r="A12" s="541" t="s">
        <v>288</v>
      </c>
      <c r="B12" s="369" t="s">
        <v>1148</v>
      </c>
      <c r="D12" s="251"/>
    </row>
    <row r="13" spans="1:7">
      <c r="A13" s="541" t="s">
        <v>489</v>
      </c>
      <c r="B13" s="369" t="s">
        <v>300</v>
      </c>
      <c r="D13" s="251"/>
    </row>
    <row r="14" spans="1:7">
      <c r="A14" s="541" t="s">
        <v>699</v>
      </c>
      <c r="B14" s="369" t="s">
        <v>700</v>
      </c>
      <c r="D14" s="251"/>
    </row>
    <row r="15" spans="1:7">
      <c r="A15" s="541" t="s">
        <v>1149</v>
      </c>
      <c r="B15" s="369" t="s">
        <v>703</v>
      </c>
      <c r="D15" s="251"/>
    </row>
    <row r="16" spans="1:7">
      <c r="A16" s="542">
        <v>3</v>
      </c>
      <c r="B16" s="195" t="s">
        <v>246</v>
      </c>
    </row>
    <row r="17" spans="1:4">
      <c r="A17" s="542">
        <v>4</v>
      </c>
      <c r="B17" s="195" t="s">
        <v>25</v>
      </c>
      <c r="D17" s="251"/>
    </row>
    <row r="18" spans="1:4">
      <c r="A18" s="542">
        <v>5</v>
      </c>
      <c r="B18" s="195" t="s">
        <v>217</v>
      </c>
      <c r="D18" s="251"/>
    </row>
    <row r="19" spans="1:4">
      <c r="A19" s="3033" t="s">
        <v>1215</v>
      </c>
      <c r="B19" s="2943" t="s">
        <v>1214</v>
      </c>
      <c r="D19" s="3034" t="s">
        <v>1708</v>
      </c>
    </row>
    <row r="20" spans="1:4">
      <c r="A20" s="541" t="s">
        <v>1216</v>
      </c>
      <c r="B20" s="195" t="s">
        <v>195</v>
      </c>
      <c r="D20" s="251"/>
    </row>
    <row r="21" spans="1:4">
      <c r="A21" s="541" t="s">
        <v>1217</v>
      </c>
      <c r="B21" s="195" t="s">
        <v>1219</v>
      </c>
      <c r="D21" s="251"/>
    </row>
    <row r="22" spans="1:4">
      <c r="A22" s="541">
        <v>7</v>
      </c>
      <c r="B22" s="195" t="s">
        <v>247</v>
      </c>
      <c r="D22" s="251"/>
    </row>
    <row r="23" spans="1:4">
      <c r="A23" s="542">
        <v>8</v>
      </c>
      <c r="B23" s="195" t="s">
        <v>248</v>
      </c>
      <c r="D23" s="251"/>
    </row>
    <row r="24" spans="1:4">
      <c r="A24" s="542">
        <v>9</v>
      </c>
      <c r="B24" s="195" t="s">
        <v>318</v>
      </c>
      <c r="D24" s="251"/>
    </row>
    <row r="25" spans="1:4">
      <c r="A25" s="542">
        <v>10</v>
      </c>
      <c r="B25" t="s">
        <v>320</v>
      </c>
      <c r="D25" s="251"/>
    </row>
    <row r="26" spans="1:4">
      <c r="A26" s="542">
        <v>11</v>
      </c>
      <c r="B26" s="195" t="s">
        <v>471</v>
      </c>
      <c r="D26" s="251"/>
    </row>
    <row r="27" spans="1:4">
      <c r="A27" s="542">
        <v>12</v>
      </c>
      <c r="B27" s="195" t="s">
        <v>472</v>
      </c>
      <c r="D27" s="251"/>
    </row>
    <row r="28" spans="1:4">
      <c r="A28" s="542">
        <v>13</v>
      </c>
      <c r="B28" s="369" t="s">
        <v>505</v>
      </c>
    </row>
    <row r="29" spans="1:4">
      <c r="A29" s="541" t="s">
        <v>1221</v>
      </c>
      <c r="B29" s="195" t="s">
        <v>1226</v>
      </c>
      <c r="D29" s="195" t="s">
        <v>503</v>
      </c>
    </row>
    <row r="30" spans="1:4">
      <c r="A30" s="541" t="s">
        <v>1222</v>
      </c>
      <c r="B30" s="369" t="s">
        <v>1393</v>
      </c>
      <c r="C30" s="436"/>
      <c r="D30" s="369" t="s">
        <v>1589</v>
      </c>
    </row>
    <row r="31" spans="1:4">
      <c r="A31" s="541" t="s">
        <v>1223</v>
      </c>
      <c r="B31" s="369" t="s">
        <v>1588</v>
      </c>
      <c r="C31" s="436"/>
      <c r="D31" s="369" t="s">
        <v>1590</v>
      </c>
    </row>
    <row r="32" spans="1:4">
      <c r="A32" s="541" t="s">
        <v>1224</v>
      </c>
      <c r="B32" s="369" t="s">
        <v>1591</v>
      </c>
      <c r="C32" s="436"/>
      <c r="D32" s="369" t="s">
        <v>1592</v>
      </c>
    </row>
    <row r="33" spans="1:4">
      <c r="A33" s="541" t="s">
        <v>1225</v>
      </c>
      <c r="B33" s="369" t="s">
        <v>1593</v>
      </c>
      <c r="C33" s="436"/>
      <c r="D33" s="369" t="s">
        <v>1594</v>
      </c>
    </row>
    <row r="34" spans="1:4">
      <c r="A34" s="541" t="s">
        <v>1394</v>
      </c>
      <c r="B34" s="369" t="s">
        <v>1595</v>
      </c>
      <c r="C34" s="436"/>
      <c r="D34" s="369" t="s">
        <v>1596</v>
      </c>
    </row>
    <row r="35" spans="1:4">
      <c r="A35" s="541" t="s">
        <v>1395</v>
      </c>
      <c r="B35" s="369" t="s">
        <v>1597</v>
      </c>
      <c r="C35" s="436"/>
      <c r="D35" s="369" t="s">
        <v>1598</v>
      </c>
    </row>
    <row r="36" spans="1:4">
      <c r="A36" s="542">
        <v>15</v>
      </c>
      <c r="B36" s="195" t="s">
        <v>1227</v>
      </c>
    </row>
    <row r="37" spans="1:4">
      <c r="A37" s="542">
        <v>16</v>
      </c>
      <c r="B37" s="195" t="s">
        <v>1228</v>
      </c>
    </row>
    <row r="38" spans="1:4">
      <c r="A38" s="542">
        <v>17</v>
      </c>
      <c r="B38" s="195" t="s">
        <v>1229</v>
      </c>
    </row>
    <row r="39" spans="1:4">
      <c r="A39" s="542">
        <v>18</v>
      </c>
      <c r="B39" s="195" t="s">
        <v>1230</v>
      </c>
    </row>
    <row r="40" spans="1:4">
      <c r="A40" s="541" t="s">
        <v>1231</v>
      </c>
      <c r="B40" s="195" t="s">
        <v>473</v>
      </c>
    </row>
    <row r="41" spans="1:4">
      <c r="A41" s="541" t="s">
        <v>1232</v>
      </c>
      <c r="B41" s="195" t="s">
        <v>1233</v>
      </c>
    </row>
    <row r="42" spans="1:4">
      <c r="A42" s="542">
        <v>20</v>
      </c>
      <c r="B42" s="195" t="s">
        <v>1234</v>
      </c>
    </row>
    <row r="43" spans="1:4">
      <c r="A43" s="542">
        <v>21</v>
      </c>
      <c r="B43" s="195" t="s">
        <v>322</v>
      </c>
    </row>
    <row r="44" spans="1:4">
      <c r="A44" s="542">
        <v>22</v>
      </c>
      <c r="B44" s="195" t="s">
        <v>495</v>
      </c>
    </row>
    <row r="45" spans="1:4">
      <c r="A45" s="541" t="s">
        <v>1271</v>
      </c>
      <c r="B45" s="195" t="s">
        <v>249</v>
      </c>
    </row>
    <row r="46" spans="1:4">
      <c r="A46" s="541" t="s">
        <v>1272</v>
      </c>
      <c r="B46" s="369" t="s">
        <v>1273</v>
      </c>
    </row>
    <row r="47" spans="1:4">
      <c r="A47" s="542">
        <v>24</v>
      </c>
      <c r="B47" s="369" t="s">
        <v>749</v>
      </c>
    </row>
    <row r="48" spans="1:4">
      <c r="A48" s="542">
        <v>25</v>
      </c>
      <c r="B48" s="369" t="s">
        <v>750</v>
      </c>
    </row>
    <row r="49" spans="1:2">
      <c r="A49" s="542">
        <v>26</v>
      </c>
      <c r="B49" s="369" t="s">
        <v>174</v>
      </c>
    </row>
    <row r="50" spans="1:2">
      <c r="A50" s="541" t="s">
        <v>1235</v>
      </c>
      <c r="B50" s="369" t="s">
        <v>161</v>
      </c>
    </row>
    <row r="51" spans="1:2">
      <c r="A51" s="369" t="s">
        <v>1236</v>
      </c>
      <c r="B51" s="369" t="s">
        <v>454</v>
      </c>
    </row>
    <row r="52" spans="1:2">
      <c r="A52" s="541" t="s">
        <v>1300</v>
      </c>
      <c r="B52" s="369" t="s">
        <v>1237</v>
      </c>
    </row>
    <row r="53" spans="1:2">
      <c r="A53" s="541" t="s">
        <v>1301</v>
      </c>
      <c r="B53" s="369" t="s">
        <v>1302</v>
      </c>
    </row>
    <row r="54" spans="1:2">
      <c r="A54" s="542">
        <v>29</v>
      </c>
      <c r="B54" s="195" t="s">
        <v>474</v>
      </c>
    </row>
    <row r="55" spans="1:2">
      <c r="A55" s="542">
        <v>30</v>
      </c>
      <c r="B55" s="195" t="s">
        <v>494</v>
      </c>
    </row>
    <row r="56" spans="1:2">
      <c r="A56" s="542">
        <v>31</v>
      </c>
      <c r="B56" s="369" t="s">
        <v>1238</v>
      </c>
    </row>
    <row r="57" spans="1:2">
      <c r="A57" s="542">
        <v>32</v>
      </c>
      <c r="B57" s="369" t="s">
        <v>781</v>
      </c>
    </row>
    <row r="58" spans="1:2">
      <c r="A58" s="541" t="s">
        <v>1328</v>
      </c>
      <c r="B58" s="369" t="s">
        <v>1239</v>
      </c>
    </row>
    <row r="59" spans="1:2">
      <c r="A59" s="541" t="s">
        <v>1329</v>
      </c>
      <c r="B59" s="195" t="s">
        <v>1330</v>
      </c>
    </row>
    <row r="60" spans="1:2">
      <c r="A60" s="541" t="s">
        <v>1663</v>
      </c>
      <c r="B60" s="195" t="s">
        <v>1044</v>
      </c>
    </row>
    <row r="61" spans="1:2">
      <c r="A61" s="541" t="s">
        <v>1664</v>
      </c>
      <c r="B61" s="195" t="s">
        <v>1045</v>
      </c>
    </row>
    <row r="62" spans="1:2">
      <c r="A62" s="541" t="s">
        <v>1665</v>
      </c>
      <c r="B62" s="195" t="s">
        <v>1046</v>
      </c>
    </row>
    <row r="63" spans="1:2">
      <c r="A63" s="542">
        <v>34</v>
      </c>
      <c r="B63" s="195" t="s">
        <v>724</v>
      </c>
    </row>
    <row r="67" spans="1:8">
      <c r="A67" s="335" t="s">
        <v>1434</v>
      </c>
      <c r="B67" s="335" t="s">
        <v>1435</v>
      </c>
    </row>
    <row r="68" spans="1:8">
      <c r="A68" s="335" t="s">
        <v>1554</v>
      </c>
      <c r="B68" s="335" t="s">
        <v>1550</v>
      </c>
      <c r="C68" s="2196" t="s">
        <v>1442</v>
      </c>
    </row>
    <row r="70" spans="1:8">
      <c r="A70" s="194" t="s">
        <v>219</v>
      </c>
      <c r="B70" s="195" t="s">
        <v>224</v>
      </c>
      <c r="C70" s="195"/>
      <c r="D70" s="369"/>
      <c r="E70" s="369"/>
      <c r="H70" s="2"/>
    </row>
    <row r="71" spans="1:8">
      <c r="A71" s="195"/>
      <c r="B71" s="195" t="s">
        <v>1645</v>
      </c>
      <c r="C71" s="195"/>
      <c r="D71" s="369"/>
      <c r="E71" s="369"/>
      <c r="H71" s="2"/>
    </row>
  </sheetData>
  <sheetProtection algorithmName="SHA-512" hashValue="od826QMfeA67DfBoT/62edYvDJ/BwXT4UZilSz7ZY+nQgZrsx9pxVBSzolSf58E4mOlxj72KDxiFOhpGqZPAWA==" saltValue="9cVQ+aUUVMqGB1fHte1pQA==" spinCount="100000" sheet="1" objects="1" scenarios="1"/>
  <pageMargins left="0.7" right="0.7" top="0.78740157499999996" bottom="0.78740157499999996" header="0.3" footer="0.3"/>
  <pageSetup paperSize="9" scale="55" orientation="portrait" r:id="rId1"/>
  <headerFooter>
    <oddHeader>&amp;LVDV SUN Jahresschlussrechnung JJJJ&amp;R&amp;KFF0000&amp;F</oddHeader>
    <oddFooter>&amp;C&amp;P&amp;R&amp;A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L111"/>
  <sheetViews>
    <sheetView topLeftCell="A52" zoomScale="80" zoomScaleNormal="80" zoomScalePageLayoutView="80" workbookViewId="0">
      <selection activeCell="P92" sqref="P92"/>
    </sheetView>
  </sheetViews>
  <sheetFormatPr baseColWidth="10" defaultRowHeight="12.75"/>
  <cols>
    <col min="1" max="1" width="21.5703125" customWidth="1"/>
    <col min="2" max="2" width="63.5703125" customWidth="1"/>
    <col min="3" max="3" width="15.5703125" customWidth="1"/>
    <col min="4" max="4" width="14.42578125" bestFit="1" customWidth="1"/>
    <col min="5" max="5" width="20.140625" customWidth="1"/>
    <col min="6" max="6" width="13.5703125" customWidth="1"/>
    <col min="7" max="8" width="14.5703125" customWidth="1"/>
    <col min="9" max="9" width="15.42578125" customWidth="1"/>
    <col min="10" max="10" width="21.85546875" bestFit="1" customWidth="1"/>
  </cols>
  <sheetData>
    <row r="1" spans="1:12" ht="20.25">
      <c r="A1" s="3043" t="s">
        <v>1459</v>
      </c>
      <c r="B1" s="3043"/>
      <c r="C1" s="3043"/>
    </row>
    <row r="2" spans="1:12" ht="18">
      <c r="A2" s="3037" t="str">
        <f>INHALT!A2&amp;" "&amp;INHALT!B2</f>
        <v>Monat JJJJ</v>
      </c>
      <c r="B2" s="3037"/>
      <c r="C2" s="3037"/>
      <c r="D2" s="692"/>
      <c r="E2" s="692"/>
      <c r="F2" s="692"/>
      <c r="G2" s="692"/>
      <c r="H2" s="692"/>
      <c r="I2" s="692"/>
      <c r="J2" s="692"/>
      <c r="K2" s="692"/>
    </row>
    <row r="3" spans="1:12">
      <c r="A3" s="27"/>
      <c r="B3" s="7"/>
      <c r="C3" s="7"/>
    </row>
    <row r="4" spans="1:12">
      <c r="A4" s="3044" t="s">
        <v>0</v>
      </c>
      <c r="B4" s="3046" t="s">
        <v>250</v>
      </c>
      <c r="C4" s="3049" t="s">
        <v>59</v>
      </c>
      <c r="D4" s="3050"/>
      <c r="E4" s="3050"/>
      <c r="F4" s="3050"/>
      <c r="G4" s="3050"/>
      <c r="H4" s="3050"/>
      <c r="I4" s="3050"/>
      <c r="J4" s="3051"/>
    </row>
    <row r="5" spans="1:12" ht="25.5">
      <c r="A5" s="3045"/>
      <c r="B5" s="3047"/>
      <c r="C5" s="713" t="s">
        <v>1526</v>
      </c>
      <c r="D5" s="2274" t="s">
        <v>1658</v>
      </c>
      <c r="E5" s="2274" t="s">
        <v>1659</v>
      </c>
      <c r="F5" s="2274" t="s">
        <v>1551</v>
      </c>
      <c r="G5" s="2274" t="s">
        <v>1660</v>
      </c>
      <c r="H5" s="2275" t="s">
        <v>1661</v>
      </c>
      <c r="I5" s="2275" t="s">
        <v>1553</v>
      </c>
      <c r="J5" s="2274" t="s">
        <v>35</v>
      </c>
    </row>
    <row r="6" spans="1:12">
      <c r="A6" s="582" t="s">
        <v>1529</v>
      </c>
      <c r="B6" s="581" t="s">
        <v>1540</v>
      </c>
      <c r="C6" s="1853">
        <v>1750</v>
      </c>
      <c r="D6" s="1853">
        <v>1777</v>
      </c>
      <c r="E6" s="1853"/>
      <c r="F6" s="1853"/>
      <c r="G6" s="1853"/>
      <c r="H6" s="2177"/>
      <c r="I6" s="2177"/>
      <c r="J6" s="1853">
        <f t="shared" ref="J6:J16" si="0">SUM(C6:I6)</f>
        <v>3527</v>
      </c>
    </row>
    <row r="7" spans="1:12">
      <c r="A7" s="582" t="s">
        <v>1530</v>
      </c>
      <c r="B7" s="581" t="s">
        <v>1541</v>
      </c>
      <c r="C7" s="1853"/>
      <c r="D7" s="1853">
        <v>177</v>
      </c>
      <c r="E7" s="1853"/>
      <c r="F7" s="1853"/>
      <c r="G7" s="1853"/>
      <c r="H7" s="2177"/>
      <c r="I7" s="2177"/>
      <c r="J7" s="1853">
        <f t="shared" si="0"/>
        <v>177</v>
      </c>
    </row>
    <row r="8" spans="1:12">
      <c r="A8" s="2642" t="s">
        <v>1531</v>
      </c>
      <c r="B8" s="2728" t="s">
        <v>1542</v>
      </c>
      <c r="C8" s="2177">
        <v>138</v>
      </c>
      <c r="D8" s="2177"/>
      <c r="E8" s="2177"/>
      <c r="F8" s="2177"/>
      <c r="G8" s="2177"/>
      <c r="H8" s="2177"/>
      <c r="I8" s="2177"/>
      <c r="J8" s="1853">
        <f t="shared" si="0"/>
        <v>138</v>
      </c>
    </row>
    <row r="9" spans="1:12">
      <c r="A9" s="582" t="s">
        <v>1532</v>
      </c>
      <c r="B9" s="581" t="s">
        <v>1543</v>
      </c>
      <c r="C9" s="1853"/>
      <c r="D9" s="1853"/>
      <c r="E9" s="1853">
        <v>1000</v>
      </c>
      <c r="F9" s="1853"/>
      <c r="G9" s="1853"/>
      <c r="H9" s="2177"/>
      <c r="I9" s="2177"/>
      <c r="J9" s="1853">
        <f t="shared" si="0"/>
        <v>1000</v>
      </c>
    </row>
    <row r="10" spans="1:12">
      <c r="A10" s="582" t="s">
        <v>1533</v>
      </c>
      <c r="B10" s="581" t="s">
        <v>1544</v>
      </c>
      <c r="C10" s="2869">
        <v>0</v>
      </c>
      <c r="D10" s="2869">
        <v>0</v>
      </c>
      <c r="E10" s="1853"/>
      <c r="F10" s="2869">
        <v>1750</v>
      </c>
      <c r="G10" s="2869">
        <v>1083</v>
      </c>
      <c r="H10" s="2177"/>
      <c r="I10" s="2177"/>
      <c r="J10" s="1853">
        <f t="shared" si="0"/>
        <v>2833</v>
      </c>
      <c r="L10" s="2863" t="s">
        <v>1706</v>
      </c>
    </row>
    <row r="11" spans="1:12">
      <c r="A11" s="582" t="s">
        <v>1534</v>
      </c>
      <c r="B11" s="581" t="s">
        <v>1542</v>
      </c>
      <c r="C11" s="2869">
        <v>0</v>
      </c>
      <c r="D11" s="2869"/>
      <c r="E11" s="1853"/>
      <c r="F11" s="2869">
        <v>388</v>
      </c>
      <c r="G11" s="2869"/>
      <c r="H11" s="2177"/>
      <c r="I11" s="2177"/>
      <c r="J11" s="1853">
        <f t="shared" si="0"/>
        <v>388</v>
      </c>
      <c r="L11" s="2863" t="s">
        <v>1706</v>
      </c>
    </row>
    <row r="12" spans="1:12">
      <c r="A12" s="582" t="s">
        <v>1535</v>
      </c>
      <c r="B12" s="581" t="s">
        <v>1545</v>
      </c>
      <c r="C12" s="1853"/>
      <c r="D12" s="1853"/>
      <c r="E12" s="1853"/>
      <c r="F12" s="1853">
        <v>6200</v>
      </c>
      <c r="G12" s="1853"/>
      <c r="H12" s="2177"/>
      <c r="I12" s="2177"/>
      <c r="J12" s="1853">
        <f t="shared" si="0"/>
        <v>6200</v>
      </c>
    </row>
    <row r="13" spans="1:12">
      <c r="A13" s="2642" t="s">
        <v>1536</v>
      </c>
      <c r="B13" s="2728" t="s">
        <v>1546</v>
      </c>
      <c r="C13" s="2177"/>
      <c r="D13" s="2177"/>
      <c r="E13" s="2177"/>
      <c r="F13" s="2177">
        <v>1055</v>
      </c>
      <c r="G13" s="2177"/>
      <c r="H13" s="2177"/>
      <c r="I13" s="2177"/>
      <c r="J13" s="2177">
        <f t="shared" si="0"/>
        <v>1055</v>
      </c>
    </row>
    <row r="14" spans="1:12">
      <c r="A14" s="2642" t="s">
        <v>1537</v>
      </c>
      <c r="B14" s="2728" t="s">
        <v>1547</v>
      </c>
      <c r="C14" s="2177"/>
      <c r="D14" s="2177"/>
      <c r="E14" s="2177"/>
      <c r="F14" s="2177"/>
      <c r="G14" s="2177"/>
      <c r="H14" s="2177"/>
      <c r="I14" s="2177">
        <v>38</v>
      </c>
      <c r="J14" s="2177">
        <f t="shared" si="0"/>
        <v>38</v>
      </c>
    </row>
    <row r="15" spans="1:12">
      <c r="A15" s="2642" t="s">
        <v>1538</v>
      </c>
      <c r="B15" s="2728" t="s">
        <v>1548</v>
      </c>
      <c r="C15" s="2177"/>
      <c r="D15" s="2177"/>
      <c r="E15" s="2177"/>
      <c r="F15" s="2177"/>
      <c r="G15" s="2177">
        <v>2583</v>
      </c>
      <c r="H15" s="2177">
        <v>300</v>
      </c>
      <c r="I15" s="2177"/>
      <c r="J15" s="2177">
        <f t="shared" si="0"/>
        <v>2883</v>
      </c>
    </row>
    <row r="16" spans="1:12">
      <c r="A16" s="2642" t="s">
        <v>1539</v>
      </c>
      <c r="B16" s="2728" t="s">
        <v>1549</v>
      </c>
      <c r="C16" s="2177"/>
      <c r="D16" s="2177"/>
      <c r="E16" s="2177"/>
      <c r="F16" s="2177">
        <v>30</v>
      </c>
      <c r="G16" s="2177">
        <v>333</v>
      </c>
      <c r="H16" s="2177"/>
      <c r="I16" s="2177"/>
      <c r="J16" s="2177">
        <f t="shared" si="0"/>
        <v>363</v>
      </c>
    </row>
    <row r="17" spans="1:12">
      <c r="A17" s="831"/>
      <c r="B17" s="832"/>
      <c r="C17" s="2971">
        <f>SUM($C$6:$C$16)</f>
        <v>1888</v>
      </c>
      <c r="D17" s="2870">
        <f>SUM($D$6:$D$16)</f>
        <v>1954</v>
      </c>
      <c r="E17" s="1899">
        <f>SUM($E$6:$E$16)</f>
        <v>1000</v>
      </c>
      <c r="F17" s="2870">
        <f>SUM($F$6:$F$16)</f>
        <v>9423</v>
      </c>
      <c r="G17" s="2870">
        <f>SUM($G$6:$G$16)</f>
        <v>3999</v>
      </c>
      <c r="H17" s="2276">
        <f>SUM($H$6:$H$16)</f>
        <v>300</v>
      </c>
      <c r="I17" s="2276">
        <f>SUM($I$6:$I$16)</f>
        <v>38</v>
      </c>
      <c r="J17" s="1899">
        <f>SUM(C17:I17)</f>
        <v>18602</v>
      </c>
      <c r="L17" s="2863" t="s">
        <v>1706</v>
      </c>
    </row>
    <row r="19" spans="1:12">
      <c r="A19" s="3044" t="s">
        <v>0</v>
      </c>
      <c r="B19" s="3046" t="s">
        <v>250</v>
      </c>
      <c r="C19" s="3049" t="s">
        <v>251</v>
      </c>
      <c r="D19" s="3050"/>
      <c r="E19" s="3050"/>
      <c r="F19" s="3050"/>
      <c r="G19" s="3050"/>
      <c r="H19" s="3050"/>
      <c r="I19" s="3050"/>
      <c r="J19" s="3051"/>
    </row>
    <row r="20" spans="1:12" ht="25.5">
      <c r="A20" s="3045"/>
      <c r="B20" s="3054"/>
      <c r="C20" s="713" t="s">
        <v>1526</v>
      </c>
      <c r="D20" s="2274" t="s">
        <v>1658</v>
      </c>
      <c r="E20" s="2274" t="s">
        <v>1659</v>
      </c>
      <c r="F20" s="2274" t="s">
        <v>1551</v>
      </c>
      <c r="G20" s="2274" t="s">
        <v>1660</v>
      </c>
      <c r="H20" s="2275" t="s">
        <v>1661</v>
      </c>
      <c r="I20" s="2275" t="s">
        <v>1553</v>
      </c>
      <c r="J20" s="841" t="s">
        <v>35</v>
      </c>
    </row>
    <row r="21" spans="1:12">
      <c r="A21" s="582" t="s">
        <v>1529</v>
      </c>
      <c r="B21" s="581" t="s">
        <v>1540</v>
      </c>
      <c r="C21" s="2292">
        <v>52500</v>
      </c>
      <c r="D21" s="2292">
        <v>53333</v>
      </c>
      <c r="E21" s="2292">
        <v>0</v>
      </c>
      <c r="F21" s="2292">
        <v>0</v>
      </c>
      <c r="G21" s="2292">
        <v>0</v>
      </c>
      <c r="H21" s="2293">
        <v>0</v>
      </c>
      <c r="I21" s="2293">
        <v>0</v>
      </c>
      <c r="J21" s="1901">
        <f t="shared" ref="J21:J31" si="1">SUM(C21:I21)</f>
        <v>105833</v>
      </c>
    </row>
    <row r="22" spans="1:12">
      <c r="A22" s="582" t="s">
        <v>1530</v>
      </c>
      <c r="B22" s="581" t="s">
        <v>1541</v>
      </c>
      <c r="C22" s="2292">
        <v>0</v>
      </c>
      <c r="D22" s="2292">
        <v>5333</v>
      </c>
      <c r="E22" s="2292">
        <v>0</v>
      </c>
      <c r="F22" s="2292">
        <v>0</v>
      </c>
      <c r="G22" s="2292">
        <v>0</v>
      </c>
      <c r="H22" s="2293">
        <v>0</v>
      </c>
      <c r="I22" s="2293">
        <v>0</v>
      </c>
      <c r="J22" s="1901">
        <f t="shared" si="1"/>
        <v>5333</v>
      </c>
    </row>
    <row r="23" spans="1:12">
      <c r="A23" s="2642" t="s">
        <v>1531</v>
      </c>
      <c r="B23" s="2728" t="s">
        <v>1542</v>
      </c>
      <c r="C23" s="2293">
        <v>4166</v>
      </c>
      <c r="D23" s="2293">
        <v>0</v>
      </c>
      <c r="E23" s="2293">
        <v>0</v>
      </c>
      <c r="F23" s="2293">
        <v>0</v>
      </c>
      <c r="G23" s="2293">
        <v>0</v>
      </c>
      <c r="H23" s="2293">
        <v>0</v>
      </c>
      <c r="I23" s="2293">
        <v>0</v>
      </c>
      <c r="J23" s="1901">
        <f t="shared" si="1"/>
        <v>4166</v>
      </c>
    </row>
    <row r="24" spans="1:12">
      <c r="A24" s="582" t="s">
        <v>1532</v>
      </c>
      <c r="B24" s="581" t="s">
        <v>1543</v>
      </c>
      <c r="C24" s="2292">
        <v>0</v>
      </c>
      <c r="D24" s="2292">
        <v>0</v>
      </c>
      <c r="E24" s="2292">
        <v>30000</v>
      </c>
      <c r="F24" s="2292">
        <v>0</v>
      </c>
      <c r="G24" s="2292">
        <v>0</v>
      </c>
      <c r="H24" s="2293">
        <v>0</v>
      </c>
      <c r="I24" s="2293">
        <v>0</v>
      </c>
      <c r="J24" s="1901">
        <f t="shared" si="1"/>
        <v>30000</v>
      </c>
    </row>
    <row r="25" spans="1:12">
      <c r="A25" s="2642" t="s">
        <v>1533</v>
      </c>
      <c r="B25" s="2728" t="s">
        <v>1544</v>
      </c>
      <c r="C25" s="2872">
        <v>0</v>
      </c>
      <c r="D25" s="2872">
        <v>0</v>
      </c>
      <c r="E25" s="2292">
        <v>0</v>
      </c>
      <c r="F25" s="2872">
        <v>52500</v>
      </c>
      <c r="G25" s="2872">
        <v>32500</v>
      </c>
      <c r="H25" s="2293">
        <v>0</v>
      </c>
      <c r="I25" s="2293">
        <v>0</v>
      </c>
      <c r="J25" s="2178">
        <f t="shared" si="1"/>
        <v>85000</v>
      </c>
      <c r="L25" s="2863" t="s">
        <v>1706</v>
      </c>
    </row>
    <row r="26" spans="1:12">
      <c r="A26" s="2642" t="s">
        <v>1534</v>
      </c>
      <c r="B26" s="2728" t="s">
        <v>1542</v>
      </c>
      <c r="C26" s="2872">
        <v>0</v>
      </c>
      <c r="D26" s="2292">
        <v>0</v>
      </c>
      <c r="E26" s="2292">
        <v>0</v>
      </c>
      <c r="F26" s="2872">
        <v>11666</v>
      </c>
      <c r="G26" s="2872">
        <v>0</v>
      </c>
      <c r="H26" s="2293">
        <v>0</v>
      </c>
      <c r="I26" s="2293">
        <v>0</v>
      </c>
      <c r="J26" s="2178">
        <f t="shared" si="1"/>
        <v>11666</v>
      </c>
      <c r="L26" s="2863" t="s">
        <v>1706</v>
      </c>
    </row>
    <row r="27" spans="1:12">
      <c r="A27" s="2642" t="s">
        <v>1535</v>
      </c>
      <c r="B27" s="2728" t="s">
        <v>1545</v>
      </c>
      <c r="C27" s="2292">
        <v>0</v>
      </c>
      <c r="D27" s="2292">
        <v>0</v>
      </c>
      <c r="E27" s="2292">
        <v>0</v>
      </c>
      <c r="F27" s="2292">
        <v>169000</v>
      </c>
      <c r="G27" s="2292">
        <v>0</v>
      </c>
      <c r="H27" s="2293">
        <v>0</v>
      </c>
      <c r="I27" s="2293"/>
      <c r="J27" s="2178">
        <f t="shared" si="1"/>
        <v>169000</v>
      </c>
    </row>
    <row r="28" spans="1:12">
      <c r="A28" s="2642" t="s">
        <v>1536</v>
      </c>
      <c r="B28" s="2728" t="s">
        <v>1546</v>
      </c>
      <c r="C28" s="2293">
        <v>0</v>
      </c>
      <c r="D28" s="2293">
        <v>0</v>
      </c>
      <c r="E28" s="2293">
        <v>0</v>
      </c>
      <c r="F28" s="2293">
        <v>31666</v>
      </c>
      <c r="G28" s="2293">
        <v>0</v>
      </c>
      <c r="H28" s="2293">
        <v>0</v>
      </c>
      <c r="I28" s="2293">
        <v>0</v>
      </c>
      <c r="J28" s="2178">
        <f t="shared" si="1"/>
        <v>31666</v>
      </c>
    </row>
    <row r="29" spans="1:12">
      <c r="A29" s="582" t="s">
        <v>1537</v>
      </c>
      <c r="B29" s="581" t="s">
        <v>1547</v>
      </c>
      <c r="C29" s="2293">
        <v>0</v>
      </c>
      <c r="D29" s="2293">
        <v>0</v>
      </c>
      <c r="E29" s="2293">
        <v>0</v>
      </c>
      <c r="F29" s="2293">
        <v>0</v>
      </c>
      <c r="G29" s="2293">
        <v>0</v>
      </c>
      <c r="H29" s="2293">
        <v>0</v>
      </c>
      <c r="I29" s="2293">
        <v>1166</v>
      </c>
      <c r="J29" s="1901">
        <f t="shared" si="1"/>
        <v>1166</v>
      </c>
    </row>
    <row r="30" spans="1:12">
      <c r="A30" s="582" t="s">
        <v>1538</v>
      </c>
      <c r="B30" s="581" t="s">
        <v>1548</v>
      </c>
      <c r="C30" s="2293">
        <v>0</v>
      </c>
      <c r="D30" s="2293">
        <v>0</v>
      </c>
      <c r="E30" s="2293">
        <v>0</v>
      </c>
      <c r="F30" s="2293">
        <v>0</v>
      </c>
      <c r="G30" s="2293">
        <v>68000</v>
      </c>
      <c r="H30" s="2293">
        <v>14000</v>
      </c>
      <c r="I30" s="2293">
        <v>0</v>
      </c>
      <c r="J30" s="1901">
        <f t="shared" si="1"/>
        <v>82000</v>
      </c>
    </row>
    <row r="31" spans="1:12">
      <c r="A31" s="582" t="s">
        <v>1539</v>
      </c>
      <c r="B31" s="581" t="s">
        <v>1549</v>
      </c>
      <c r="C31" s="2293">
        <v>0</v>
      </c>
      <c r="D31" s="2293">
        <v>0</v>
      </c>
      <c r="E31" s="2293">
        <v>0</v>
      </c>
      <c r="F31" s="2293">
        <v>916</v>
      </c>
      <c r="G31" s="2293">
        <v>10000</v>
      </c>
      <c r="H31" s="2293">
        <v>0</v>
      </c>
      <c r="I31" s="2293">
        <v>0</v>
      </c>
      <c r="J31" s="1901">
        <f t="shared" si="1"/>
        <v>10916</v>
      </c>
    </row>
    <row r="32" spans="1:12">
      <c r="A32" s="250"/>
      <c r="B32" s="250"/>
      <c r="C32" s="2873">
        <f>SUM($C$21:$C$31)</f>
        <v>56666</v>
      </c>
      <c r="D32" s="2871">
        <f t="shared" ref="D32:F32" si="2">SUM(D21:D31)</f>
        <v>58666</v>
      </c>
      <c r="E32" s="1903">
        <f t="shared" si="2"/>
        <v>30000</v>
      </c>
      <c r="F32" s="2871">
        <f t="shared" si="2"/>
        <v>265748</v>
      </c>
      <c r="G32" s="2871">
        <f>SUM(G21:G31)</f>
        <v>110500</v>
      </c>
      <c r="H32" s="1903">
        <f>SUM(H21:H31)</f>
        <v>14000</v>
      </c>
      <c r="I32" s="2294">
        <f>SUM(I21:I31)</f>
        <v>1166</v>
      </c>
      <c r="J32" s="1903">
        <f>SUM(C32:I32)</f>
        <v>536746</v>
      </c>
      <c r="L32" s="2863" t="s">
        <v>1706</v>
      </c>
    </row>
    <row r="33" spans="1:10">
      <c r="A33" s="958"/>
      <c r="B33" s="958"/>
      <c r="C33" s="1833"/>
    </row>
    <row r="34" spans="1:10">
      <c r="A34" s="2096" t="s">
        <v>1565</v>
      </c>
      <c r="B34" s="252" t="s">
        <v>1562</v>
      </c>
      <c r="C34" s="2180">
        <v>6.5</v>
      </c>
    </row>
    <row r="35" spans="1:10">
      <c r="A35" s="958"/>
      <c r="B35" s="252" t="s">
        <v>1563</v>
      </c>
      <c r="C35" s="2180">
        <v>8</v>
      </c>
    </row>
    <row r="36" spans="1:10">
      <c r="A36" s="958"/>
      <c r="B36" s="373" t="s">
        <v>792</v>
      </c>
      <c r="C36" s="2180"/>
    </row>
    <row r="37" spans="1:10">
      <c r="A37" s="958"/>
      <c r="C37" s="2180"/>
    </row>
    <row r="38" spans="1:10">
      <c r="A38" s="3044" t="s">
        <v>0</v>
      </c>
      <c r="B38" s="3046" t="s">
        <v>250</v>
      </c>
      <c r="C38" s="3049" t="s">
        <v>1381</v>
      </c>
      <c r="D38" s="3050"/>
      <c r="E38" s="3050"/>
      <c r="F38" s="3050"/>
      <c r="G38" s="3050"/>
      <c r="H38" s="3050"/>
      <c r="I38" s="3050"/>
      <c r="J38" s="3051"/>
    </row>
    <row r="39" spans="1:10" ht="25.5">
      <c r="A39" s="3053"/>
      <c r="B39" s="3048"/>
      <c r="C39" s="713" t="s">
        <v>1526</v>
      </c>
      <c r="D39" s="2274" t="s">
        <v>1658</v>
      </c>
      <c r="E39" s="2274" t="s">
        <v>1659</v>
      </c>
      <c r="F39" s="2274" t="s">
        <v>1551</v>
      </c>
      <c r="G39" s="2274" t="s">
        <v>1660</v>
      </c>
      <c r="H39" s="2275" t="s">
        <v>1661</v>
      </c>
      <c r="I39" s="2275" t="s">
        <v>1553</v>
      </c>
      <c r="J39" s="841" t="s">
        <v>35</v>
      </c>
    </row>
    <row r="40" spans="1:10">
      <c r="A40" s="582" t="s">
        <v>1529</v>
      </c>
      <c r="B40" s="581" t="s">
        <v>1540</v>
      </c>
      <c r="C40" s="1900"/>
      <c r="D40" s="1901"/>
      <c r="E40" s="1901"/>
      <c r="F40" s="1901"/>
      <c r="G40" s="1901"/>
      <c r="H40" s="2178"/>
      <c r="I40" s="2178"/>
      <c r="J40" s="1901"/>
    </row>
    <row r="41" spans="1:10">
      <c r="A41" s="2642" t="s">
        <v>1530</v>
      </c>
      <c r="B41" s="2728" t="s">
        <v>1541</v>
      </c>
      <c r="C41" s="2181"/>
      <c r="D41" s="2178"/>
      <c r="E41" s="2178"/>
      <c r="F41" s="2178"/>
      <c r="G41" s="2178"/>
      <c r="H41" s="2178"/>
      <c r="I41" s="2178"/>
      <c r="J41" s="2178"/>
    </row>
    <row r="42" spans="1:10">
      <c r="A42" s="2642" t="s">
        <v>1531</v>
      </c>
      <c r="B42" s="2728" t="s">
        <v>1542</v>
      </c>
      <c r="C42" s="2181"/>
      <c r="D42" s="2178"/>
      <c r="E42" s="2178"/>
      <c r="F42" s="2178"/>
      <c r="G42" s="2178"/>
      <c r="H42" s="2178"/>
      <c r="I42" s="2178"/>
      <c r="J42" s="2178"/>
    </row>
    <row r="43" spans="1:10">
      <c r="A43" s="2642" t="s">
        <v>1532</v>
      </c>
      <c r="B43" s="2728" t="s">
        <v>1543</v>
      </c>
      <c r="C43" s="2181"/>
      <c r="D43" s="2178"/>
      <c r="E43" s="2178"/>
      <c r="F43" s="2178"/>
      <c r="G43" s="2178"/>
      <c r="H43" s="2178"/>
      <c r="I43" s="2178"/>
      <c r="J43" s="2178"/>
    </row>
    <row r="44" spans="1:10">
      <c r="A44" s="2642" t="s">
        <v>1533</v>
      </c>
      <c r="B44" s="2728" t="s">
        <v>1544</v>
      </c>
      <c r="C44" s="2181"/>
      <c r="D44" s="2178"/>
      <c r="E44" s="2178"/>
      <c r="F44" s="2178"/>
      <c r="G44" s="2178"/>
      <c r="H44" s="2178"/>
      <c r="I44" s="2178"/>
      <c r="J44" s="2178"/>
    </row>
    <row r="45" spans="1:10">
      <c r="A45" s="582" t="s">
        <v>1534</v>
      </c>
      <c r="B45" s="581" t="s">
        <v>1542</v>
      </c>
      <c r="C45" s="1900"/>
      <c r="D45" s="1901"/>
      <c r="E45" s="1901"/>
      <c r="F45" s="1901"/>
      <c r="G45" s="1901"/>
      <c r="H45" s="2178"/>
      <c r="I45" s="2182"/>
      <c r="J45" s="1901"/>
    </row>
    <row r="46" spans="1:10">
      <c r="A46" s="2642" t="s">
        <v>1535</v>
      </c>
      <c r="B46" s="2728" t="s">
        <v>1545</v>
      </c>
      <c r="C46" s="2181"/>
      <c r="D46" s="2178"/>
      <c r="E46" s="2178"/>
      <c r="F46" s="2178"/>
      <c r="G46" s="2178"/>
      <c r="H46" s="2178"/>
      <c r="I46" s="2182"/>
      <c r="J46" s="2182"/>
    </row>
    <row r="47" spans="1:10">
      <c r="A47" s="582" t="s">
        <v>1536</v>
      </c>
      <c r="B47" s="581" t="s">
        <v>1546</v>
      </c>
      <c r="C47" s="1900"/>
      <c r="D47" s="1901"/>
      <c r="E47" s="1901"/>
      <c r="F47" s="1901"/>
      <c r="G47" s="1901"/>
      <c r="H47" s="2178"/>
      <c r="I47" s="2178"/>
      <c r="J47" s="1901"/>
    </row>
    <row r="48" spans="1:10">
      <c r="A48" s="582" t="s">
        <v>1537</v>
      </c>
      <c r="B48" s="581" t="s">
        <v>1547</v>
      </c>
      <c r="C48" s="1900"/>
      <c r="D48" s="1901"/>
      <c r="E48" s="1901"/>
      <c r="F48" s="1901"/>
      <c r="G48" s="1901"/>
      <c r="H48" s="2178"/>
      <c r="I48" s="2178"/>
      <c r="J48" s="1901"/>
    </row>
    <row r="49" spans="1:10">
      <c r="A49" s="582" t="s">
        <v>1538</v>
      </c>
      <c r="B49" s="581" t="s">
        <v>1548</v>
      </c>
      <c r="C49" s="1537"/>
      <c r="D49" s="1901"/>
      <c r="E49" s="1901"/>
      <c r="F49" s="1901"/>
      <c r="G49" s="1901"/>
      <c r="H49" s="2178"/>
      <c r="I49" s="2178"/>
      <c r="J49" s="1901"/>
    </row>
    <row r="50" spans="1:10" ht="12.75" customHeight="1">
      <c r="A50" s="582" t="s">
        <v>1539</v>
      </c>
      <c r="B50" s="581" t="s">
        <v>1549</v>
      </c>
      <c r="C50" s="1900"/>
      <c r="D50" s="1901"/>
      <c r="E50" s="1901"/>
      <c r="F50" s="1901"/>
      <c r="G50" s="1901"/>
      <c r="H50" s="2178"/>
      <c r="I50" s="2178"/>
      <c r="J50" s="1901"/>
    </row>
    <row r="51" spans="1:10">
      <c r="A51" s="250"/>
      <c r="B51" s="250"/>
      <c r="C51" s="1902"/>
      <c r="D51" s="1903"/>
      <c r="E51" s="1903"/>
      <c r="F51" s="1903"/>
      <c r="G51" s="1903"/>
      <c r="H51" s="2294"/>
      <c r="I51" s="2294"/>
      <c r="J51" s="1903"/>
    </row>
    <row r="52" spans="1:10">
      <c r="A52" s="958"/>
      <c r="B52" s="369"/>
      <c r="C52" s="2180"/>
    </row>
    <row r="53" spans="1:10">
      <c r="A53" s="958"/>
      <c r="B53" s="369"/>
      <c r="C53" s="2180"/>
    </row>
    <row r="55" spans="1:10" ht="18">
      <c r="A55" s="3052" t="s">
        <v>1382</v>
      </c>
      <c r="B55" s="3052"/>
      <c r="C55" s="3052"/>
    </row>
    <row r="57" spans="1:10">
      <c r="A57" s="3044" t="s">
        <v>0</v>
      </c>
      <c r="B57" s="3046" t="s">
        <v>250</v>
      </c>
      <c r="C57" s="3049" t="s">
        <v>1384</v>
      </c>
      <c r="D57" s="3050"/>
      <c r="E57" s="3050"/>
      <c r="F57" s="3050"/>
      <c r="G57" s="3050"/>
      <c r="H57" s="3050"/>
      <c r="I57" s="3050"/>
      <c r="J57" s="3051"/>
    </row>
    <row r="58" spans="1:10" ht="25.5">
      <c r="A58" s="3053"/>
      <c r="B58" s="3048"/>
      <c r="C58" s="713" t="s">
        <v>1526</v>
      </c>
      <c r="D58" s="2274" t="s">
        <v>1658</v>
      </c>
      <c r="E58" s="2274" t="s">
        <v>1659</v>
      </c>
      <c r="F58" s="2274" t="s">
        <v>1551</v>
      </c>
      <c r="G58" s="2274" t="s">
        <v>1660</v>
      </c>
      <c r="H58" s="2275" t="s">
        <v>1661</v>
      </c>
      <c r="I58" s="2275" t="s">
        <v>1553</v>
      </c>
      <c r="J58" s="841" t="s">
        <v>35</v>
      </c>
    </row>
    <row r="59" spans="1:10">
      <c r="A59" s="582" t="s">
        <v>1529</v>
      </c>
      <c r="B59" s="581" t="s">
        <v>1540</v>
      </c>
      <c r="C59" s="1900"/>
      <c r="D59" s="1901"/>
      <c r="E59" s="1901"/>
      <c r="F59" s="1901"/>
      <c r="G59" s="1901"/>
      <c r="H59" s="2178"/>
      <c r="I59" s="2178"/>
      <c r="J59" s="1901"/>
    </row>
    <row r="60" spans="1:10">
      <c r="A60" s="2642" t="s">
        <v>1530</v>
      </c>
      <c r="B60" s="2728" t="s">
        <v>1541</v>
      </c>
      <c r="C60" s="2181"/>
      <c r="D60" s="2178"/>
      <c r="E60" s="2178"/>
      <c r="F60" s="2178"/>
      <c r="G60" s="2178"/>
      <c r="H60" s="2178"/>
      <c r="I60" s="2178"/>
      <c r="J60" s="2178"/>
    </row>
    <row r="61" spans="1:10">
      <c r="A61" s="2642" t="s">
        <v>1531</v>
      </c>
      <c r="B61" s="2728" t="s">
        <v>1542</v>
      </c>
      <c r="C61" s="2181"/>
      <c r="D61" s="2178"/>
      <c r="E61" s="2178"/>
      <c r="F61" s="2178"/>
      <c r="G61" s="2178"/>
      <c r="H61" s="2178"/>
      <c r="I61" s="2178"/>
      <c r="J61" s="2178"/>
    </row>
    <row r="62" spans="1:10">
      <c r="A62" s="2642" t="s">
        <v>1532</v>
      </c>
      <c r="B62" s="2728" t="s">
        <v>1543</v>
      </c>
      <c r="C62" s="2181"/>
      <c r="D62" s="2178"/>
      <c r="E62" s="2178"/>
      <c r="F62" s="2178"/>
      <c r="G62" s="2178"/>
      <c r="H62" s="2178"/>
      <c r="I62" s="2178"/>
      <c r="J62" s="2178"/>
    </row>
    <row r="63" spans="1:10">
      <c r="A63" s="2642" t="s">
        <v>1533</v>
      </c>
      <c r="B63" s="2728" t="s">
        <v>1544</v>
      </c>
      <c r="C63" s="2181"/>
      <c r="D63" s="2178"/>
      <c r="E63" s="2178"/>
      <c r="F63" s="2178"/>
      <c r="G63" s="2178"/>
      <c r="H63" s="2178"/>
      <c r="I63" s="2178"/>
      <c r="J63" s="2178"/>
    </row>
    <row r="64" spans="1:10">
      <c r="A64" s="582" t="s">
        <v>1534</v>
      </c>
      <c r="B64" s="581" t="s">
        <v>1542</v>
      </c>
      <c r="C64" s="1900"/>
      <c r="D64" s="1901"/>
      <c r="E64" s="1901"/>
      <c r="F64" s="1901"/>
      <c r="G64" s="1901"/>
      <c r="H64" s="2178"/>
      <c r="I64" s="2178"/>
      <c r="J64" s="1901"/>
    </row>
    <row r="65" spans="1:10">
      <c r="A65" s="2642" t="s">
        <v>1535</v>
      </c>
      <c r="B65" s="2728" t="s">
        <v>1545</v>
      </c>
      <c r="C65" s="2181"/>
      <c r="D65" s="2178"/>
      <c r="E65" s="2178"/>
      <c r="F65" s="2178"/>
      <c r="G65" s="2178"/>
      <c r="H65" s="2178"/>
      <c r="I65" s="2182"/>
      <c r="J65" s="2182"/>
    </row>
    <row r="66" spans="1:10">
      <c r="A66" s="582" t="s">
        <v>1536</v>
      </c>
      <c r="B66" s="581" t="s">
        <v>1546</v>
      </c>
      <c r="C66" s="1900"/>
      <c r="D66" s="1901"/>
      <c r="E66" s="1901"/>
      <c r="F66" s="1901"/>
      <c r="G66" s="1901"/>
      <c r="H66" s="2178"/>
      <c r="I66" s="2178"/>
      <c r="J66" s="1901"/>
    </row>
    <row r="67" spans="1:10">
      <c r="A67" s="582" t="s">
        <v>1537</v>
      </c>
      <c r="B67" s="581" t="s">
        <v>1547</v>
      </c>
      <c r="C67" s="1900"/>
      <c r="D67" s="1901"/>
      <c r="E67" s="1901"/>
      <c r="F67" s="1901"/>
      <c r="G67" s="1901"/>
      <c r="H67" s="2178"/>
      <c r="I67" s="2178"/>
      <c r="J67" s="1901"/>
    </row>
    <row r="68" spans="1:10">
      <c r="A68" s="582" t="s">
        <v>1538</v>
      </c>
      <c r="B68" s="581" t="s">
        <v>1548</v>
      </c>
      <c r="C68" s="1537"/>
      <c r="D68" s="1901"/>
      <c r="E68" s="1901"/>
      <c r="F68" s="1901"/>
      <c r="G68" s="1901"/>
      <c r="H68" s="2178"/>
      <c r="I68" s="2178"/>
      <c r="J68" s="1901"/>
    </row>
    <row r="69" spans="1:10">
      <c r="A69" s="582" t="s">
        <v>1539</v>
      </c>
      <c r="B69" s="581" t="s">
        <v>1549</v>
      </c>
      <c r="C69" s="1900"/>
      <c r="D69" s="1901"/>
      <c r="E69" s="1901"/>
      <c r="F69" s="1901"/>
      <c r="G69" s="1901"/>
      <c r="H69" s="2178"/>
      <c r="I69" s="2178"/>
      <c r="J69" s="1901"/>
    </row>
    <row r="70" spans="1:10">
      <c r="A70" s="250"/>
      <c r="B70" s="250"/>
      <c r="C70" s="1902">
        <f>SUM(C59:C69)</f>
        <v>0</v>
      </c>
      <c r="D70" s="1903">
        <f t="shared" ref="D70:F70" si="3">SUM(D59:D69)</f>
        <v>0</v>
      </c>
      <c r="E70" s="1903">
        <f t="shared" si="3"/>
        <v>0</v>
      </c>
      <c r="F70" s="1903">
        <f t="shared" si="3"/>
        <v>0</v>
      </c>
      <c r="G70" s="1903">
        <f>SUM(G59:G69)</f>
        <v>0</v>
      </c>
      <c r="H70" s="1903">
        <f>SUM(H59:H69)</f>
        <v>0</v>
      </c>
      <c r="I70" s="2294">
        <f>SUM(I59:I69)</f>
        <v>0</v>
      </c>
      <c r="J70" s="1903">
        <f>SUM($C$70:$I$70)</f>
        <v>0</v>
      </c>
    </row>
    <row r="71" spans="1:10">
      <c r="A71" s="958"/>
      <c r="B71" s="958"/>
      <c r="C71" s="963"/>
      <c r="D71" s="2194"/>
      <c r="E71" s="2194"/>
      <c r="F71" s="2194"/>
      <c r="G71" s="2194"/>
      <c r="H71" s="2194"/>
      <c r="I71" s="2194"/>
      <c r="J71" s="2194"/>
    </row>
    <row r="72" spans="1:10" ht="15">
      <c r="A72" s="958"/>
      <c r="B72" s="1831" t="s">
        <v>1564</v>
      </c>
      <c r="C72" s="1832" t="e">
        <f>ROUND($C$70/$J$70,7)</f>
        <v>#DIV/0!</v>
      </c>
      <c r="D72" s="1832" t="e">
        <f>ROUND($D$70/$J$70,7)</f>
        <v>#DIV/0!</v>
      </c>
      <c r="E72" s="1832" t="e">
        <f>ROUND($E$70/$J$70,7)</f>
        <v>#DIV/0!</v>
      </c>
      <c r="F72" s="1832" t="e">
        <f>ROUND($F$70/$J$70,7)</f>
        <v>#DIV/0!</v>
      </c>
      <c r="G72" s="1832" t="e">
        <f>ROUND($G$70/$J$70,7)</f>
        <v>#DIV/0!</v>
      </c>
      <c r="H72" s="1832" t="e">
        <f>ROUND($H$70/$J$70,7)</f>
        <v>#DIV/0!</v>
      </c>
      <c r="I72" s="1832" t="e">
        <f>ROUND($I$70/$J$70,7)</f>
        <v>#DIV/0!</v>
      </c>
      <c r="J72" s="1832" t="e">
        <f>SUM($C$72:$I$72)</f>
        <v>#DIV/0!</v>
      </c>
    </row>
    <row r="73" spans="1:10">
      <c r="A73" s="958"/>
      <c r="B73" s="958"/>
      <c r="C73" s="963"/>
      <c r="D73" s="2194"/>
      <c r="E73" s="2194"/>
      <c r="F73" s="2194"/>
      <c r="G73" s="2194"/>
      <c r="H73" s="2194"/>
      <c r="I73" s="2194"/>
      <c r="J73" s="2194"/>
    </row>
    <row r="74" spans="1:10">
      <c r="A74" s="958"/>
      <c r="B74" s="958"/>
      <c r="C74" s="963"/>
      <c r="D74" s="2194"/>
      <c r="E74" s="2194"/>
      <c r="F74" s="2194"/>
      <c r="G74" s="2194"/>
      <c r="H74" s="2194"/>
      <c r="I74" s="2194"/>
      <c r="J74" s="2194"/>
    </row>
    <row r="75" spans="1:10">
      <c r="C75" s="1848"/>
      <c r="D75" s="1848"/>
      <c r="E75" s="1848"/>
      <c r="F75" s="1848"/>
      <c r="G75" s="1848"/>
      <c r="H75" s="1848"/>
      <c r="I75" s="1848"/>
      <c r="J75" s="1848"/>
    </row>
    <row r="76" spans="1:10" ht="18">
      <c r="A76" s="3052" t="s">
        <v>1387</v>
      </c>
      <c r="B76" s="3052"/>
      <c r="C76" s="3052"/>
    </row>
    <row r="78" spans="1:10">
      <c r="A78" s="3044" t="s">
        <v>0</v>
      </c>
      <c r="B78" s="3046" t="s">
        <v>250</v>
      </c>
      <c r="C78" s="3049" t="s">
        <v>1385</v>
      </c>
      <c r="D78" s="3050"/>
      <c r="E78" s="3050"/>
      <c r="F78" s="3050"/>
      <c r="G78" s="3050"/>
      <c r="H78" s="3050"/>
      <c r="I78" s="3050"/>
      <c r="J78" s="3051"/>
    </row>
    <row r="79" spans="1:10" ht="25.5">
      <c r="A79" s="3053"/>
      <c r="B79" s="3048"/>
      <c r="C79" s="713" t="s">
        <v>1526</v>
      </c>
      <c r="D79" s="2274" t="s">
        <v>1658</v>
      </c>
      <c r="E79" s="2274" t="s">
        <v>1659</v>
      </c>
      <c r="F79" s="2274" t="s">
        <v>1551</v>
      </c>
      <c r="G79" s="2274" t="s">
        <v>1660</v>
      </c>
      <c r="H79" s="2275" t="s">
        <v>1661</v>
      </c>
      <c r="I79" s="2275" t="s">
        <v>1553</v>
      </c>
      <c r="J79" s="1828" t="s">
        <v>35</v>
      </c>
    </row>
    <row r="80" spans="1:10">
      <c r="A80" s="582" t="s">
        <v>1529</v>
      </c>
      <c r="B80" s="581" t="s">
        <v>1540</v>
      </c>
      <c r="C80" s="2292">
        <v>630000</v>
      </c>
      <c r="D80" s="2292">
        <v>640000</v>
      </c>
      <c r="E80" s="2292">
        <v>0</v>
      </c>
      <c r="F80" s="2292">
        <v>0</v>
      </c>
      <c r="G80" s="2292">
        <v>0</v>
      </c>
      <c r="H80" s="2293">
        <v>0</v>
      </c>
      <c r="I80" s="2293">
        <v>0</v>
      </c>
      <c r="J80" s="1901">
        <f t="shared" ref="J80:J90" si="4">SUM(C80:I80)</f>
        <v>1270000</v>
      </c>
    </row>
    <row r="81" spans="1:12">
      <c r="A81" s="2642" t="s">
        <v>1530</v>
      </c>
      <c r="B81" s="2728" t="s">
        <v>1541</v>
      </c>
      <c r="C81" s="2292">
        <v>0</v>
      </c>
      <c r="D81" s="2292">
        <v>64000</v>
      </c>
      <c r="E81" s="2292">
        <v>0</v>
      </c>
      <c r="F81" s="2292">
        <v>0</v>
      </c>
      <c r="G81" s="2292">
        <v>0</v>
      </c>
      <c r="H81" s="2293">
        <v>0</v>
      </c>
      <c r="I81" s="2293">
        <v>0</v>
      </c>
      <c r="J81" s="1901">
        <f t="shared" si="4"/>
        <v>64000</v>
      </c>
    </row>
    <row r="82" spans="1:12">
      <c r="A82" s="2642" t="s">
        <v>1531</v>
      </c>
      <c r="B82" s="2728" t="s">
        <v>1542</v>
      </c>
      <c r="C82" s="2293">
        <v>50000</v>
      </c>
      <c r="D82" s="2293">
        <v>0</v>
      </c>
      <c r="E82" s="2293">
        <v>0</v>
      </c>
      <c r="F82" s="2293">
        <v>0</v>
      </c>
      <c r="G82" s="2293">
        <v>0</v>
      </c>
      <c r="H82" s="2293">
        <v>0</v>
      </c>
      <c r="I82" s="2293">
        <v>0</v>
      </c>
      <c r="J82" s="1901">
        <f t="shared" si="4"/>
        <v>50000</v>
      </c>
    </row>
    <row r="83" spans="1:12">
      <c r="A83" s="2642" t="s">
        <v>1532</v>
      </c>
      <c r="B83" s="2728" t="s">
        <v>1543</v>
      </c>
      <c r="C83" s="2292">
        <v>0</v>
      </c>
      <c r="D83" s="2292">
        <v>0</v>
      </c>
      <c r="E83" s="2292">
        <v>360000</v>
      </c>
      <c r="F83" s="2292">
        <v>0</v>
      </c>
      <c r="G83" s="2292">
        <v>0</v>
      </c>
      <c r="H83" s="2293">
        <v>0</v>
      </c>
      <c r="I83" s="2293">
        <v>0</v>
      </c>
      <c r="J83" s="1901">
        <f t="shared" si="4"/>
        <v>360000</v>
      </c>
    </row>
    <row r="84" spans="1:12">
      <c r="A84" s="2642" t="s">
        <v>1533</v>
      </c>
      <c r="B84" s="2728" t="s">
        <v>1544</v>
      </c>
      <c r="C84" s="2872">
        <v>0</v>
      </c>
      <c r="D84" s="2872">
        <v>0</v>
      </c>
      <c r="E84" s="2292">
        <v>0</v>
      </c>
      <c r="F84" s="2872">
        <v>630000</v>
      </c>
      <c r="G84" s="2872">
        <v>390000</v>
      </c>
      <c r="H84" s="2293">
        <v>0</v>
      </c>
      <c r="I84" s="2293">
        <v>0</v>
      </c>
      <c r="J84" s="2178">
        <f t="shared" si="4"/>
        <v>1020000</v>
      </c>
      <c r="L84" s="2863" t="s">
        <v>1706</v>
      </c>
    </row>
    <row r="85" spans="1:12">
      <c r="A85" s="582" t="s">
        <v>1534</v>
      </c>
      <c r="B85" s="581" t="s">
        <v>1542</v>
      </c>
      <c r="C85" s="2872">
        <v>0</v>
      </c>
      <c r="D85" s="2292">
        <v>0</v>
      </c>
      <c r="E85" s="2292">
        <v>0</v>
      </c>
      <c r="F85" s="2872">
        <v>140000</v>
      </c>
      <c r="G85" s="2292">
        <v>0</v>
      </c>
      <c r="H85" s="2293">
        <v>0</v>
      </c>
      <c r="I85" s="2293">
        <v>0</v>
      </c>
      <c r="J85" s="2178">
        <f t="shared" si="4"/>
        <v>140000</v>
      </c>
      <c r="L85" s="2863" t="s">
        <v>1706</v>
      </c>
    </row>
    <row r="86" spans="1:12">
      <c r="A86" s="2642" t="s">
        <v>1535</v>
      </c>
      <c r="B86" s="2728" t="s">
        <v>1545</v>
      </c>
      <c r="C86" s="2292">
        <v>0</v>
      </c>
      <c r="D86" s="2292">
        <v>0</v>
      </c>
      <c r="E86" s="2292">
        <v>0</v>
      </c>
      <c r="F86" s="2292">
        <v>2000000</v>
      </c>
      <c r="G86" s="2292">
        <v>0</v>
      </c>
      <c r="H86" s="2293">
        <v>0</v>
      </c>
      <c r="I86" s="2293">
        <v>0</v>
      </c>
      <c r="J86" s="2178">
        <f t="shared" si="4"/>
        <v>2000000</v>
      </c>
    </row>
    <row r="87" spans="1:12">
      <c r="A87" s="582" t="s">
        <v>1536</v>
      </c>
      <c r="B87" s="581" t="s">
        <v>1546</v>
      </c>
      <c r="C87" s="2293">
        <v>0</v>
      </c>
      <c r="D87" s="2293">
        <v>0</v>
      </c>
      <c r="E87" s="2293">
        <v>0</v>
      </c>
      <c r="F87" s="2293">
        <v>380000</v>
      </c>
      <c r="G87" s="2293">
        <v>0</v>
      </c>
      <c r="H87" s="2293">
        <v>0</v>
      </c>
      <c r="I87" s="2293">
        <v>0</v>
      </c>
      <c r="J87" s="2178">
        <f t="shared" si="4"/>
        <v>380000</v>
      </c>
    </row>
    <row r="88" spans="1:12">
      <c r="A88" s="582" t="s">
        <v>1537</v>
      </c>
      <c r="B88" s="581" t="s">
        <v>1547</v>
      </c>
      <c r="C88" s="2293">
        <v>0</v>
      </c>
      <c r="D88" s="2293">
        <v>0</v>
      </c>
      <c r="E88" s="2293">
        <v>0</v>
      </c>
      <c r="F88" s="2293">
        <v>0</v>
      </c>
      <c r="G88" s="2293">
        <v>0</v>
      </c>
      <c r="H88" s="2293">
        <v>0</v>
      </c>
      <c r="I88" s="2293">
        <v>14000</v>
      </c>
      <c r="J88" s="1901">
        <f t="shared" si="4"/>
        <v>14000</v>
      </c>
    </row>
    <row r="89" spans="1:12">
      <c r="A89" s="582" t="s">
        <v>1538</v>
      </c>
      <c r="B89" s="581" t="s">
        <v>1548</v>
      </c>
      <c r="C89" s="2293">
        <v>0</v>
      </c>
      <c r="D89" s="2293">
        <v>0</v>
      </c>
      <c r="E89" s="2293">
        <v>0</v>
      </c>
      <c r="F89" s="2293">
        <v>0</v>
      </c>
      <c r="G89" s="2293">
        <v>820000</v>
      </c>
      <c r="H89" s="2293">
        <v>170000</v>
      </c>
      <c r="I89" s="2293">
        <v>0</v>
      </c>
      <c r="J89" s="1901">
        <f t="shared" si="4"/>
        <v>990000</v>
      </c>
    </row>
    <row r="90" spans="1:12">
      <c r="A90" s="582" t="s">
        <v>1539</v>
      </c>
      <c r="B90" s="581" t="s">
        <v>1549</v>
      </c>
      <c r="C90" s="2293">
        <v>0</v>
      </c>
      <c r="D90" s="2293">
        <v>0</v>
      </c>
      <c r="E90" s="2293">
        <v>0</v>
      </c>
      <c r="F90" s="2293">
        <v>11000</v>
      </c>
      <c r="G90" s="2293">
        <v>120000</v>
      </c>
      <c r="H90" s="2293">
        <v>0</v>
      </c>
      <c r="I90" s="2293">
        <v>0</v>
      </c>
      <c r="J90" s="1901">
        <f t="shared" si="4"/>
        <v>131000</v>
      </c>
    </row>
    <row r="91" spans="1:12">
      <c r="A91" s="250"/>
      <c r="B91" s="250"/>
      <c r="C91" s="2873">
        <f>SUM($C$21:$C$31)</f>
        <v>56666</v>
      </c>
      <c r="D91" s="2871">
        <f t="shared" ref="D91:G91" si="5">SUM(D80:D90)</f>
        <v>704000</v>
      </c>
      <c r="E91" s="1903">
        <f t="shared" si="5"/>
        <v>360000</v>
      </c>
      <c r="F91" s="2871">
        <f t="shared" si="5"/>
        <v>3161000</v>
      </c>
      <c r="G91" s="2871">
        <f t="shared" si="5"/>
        <v>1330000</v>
      </c>
      <c r="H91" s="2294">
        <f>SUM(H80:H90)</f>
        <v>170000</v>
      </c>
      <c r="I91" s="2294">
        <f>SUM(I80:I90)</f>
        <v>14000</v>
      </c>
      <c r="J91" s="1903">
        <f>SUM(C91:I91)</f>
        <v>5795666</v>
      </c>
      <c r="L91" s="2863" t="s">
        <v>1706</v>
      </c>
    </row>
    <row r="93" spans="1:12" ht="15">
      <c r="B93" s="1831" t="s">
        <v>1383</v>
      </c>
      <c r="C93" s="3035">
        <f>ROUND($C$91/$J$91,7)</f>
        <v>9.7772999999999992E-3</v>
      </c>
      <c r="D93" s="3035">
        <f>ROUND($D$91/$J$91,7)</f>
        <v>0.1214701</v>
      </c>
      <c r="E93" s="3035">
        <f>ROUND($E$91/$J$91,7)</f>
        <v>6.2115400000000001E-2</v>
      </c>
      <c r="F93" s="3035">
        <f>ROUND($F$91/$J$91,7)</f>
        <v>0.54540759999999999</v>
      </c>
      <c r="G93" s="3035">
        <f>ROUND($G$91/$J$91,7)</f>
        <v>0.22948180000000001</v>
      </c>
      <c r="H93" s="3035">
        <f>ROUND($H$91/$J$91,7)</f>
        <v>2.9332299999999999E-2</v>
      </c>
      <c r="I93" s="3035">
        <f>ROUND($I$91/$J$91,7)</f>
        <v>2.4156E-3</v>
      </c>
      <c r="J93" s="1832">
        <f>SUM($C$93:$I$93)</f>
        <v>1.0000001000000001</v>
      </c>
      <c r="L93" s="2863" t="s">
        <v>1706</v>
      </c>
    </row>
    <row r="96" spans="1:12" ht="20.25">
      <c r="A96" s="3043" t="s">
        <v>1386</v>
      </c>
      <c r="B96" s="3043"/>
      <c r="C96" s="3043"/>
      <c r="J96" s="436"/>
    </row>
    <row r="97" spans="1:10" ht="18">
      <c r="A97" s="3052" t="s">
        <v>281</v>
      </c>
      <c r="B97" s="3052"/>
      <c r="C97" s="3052"/>
    </row>
    <row r="99" spans="1:10" ht="25.5">
      <c r="B99" s="348" t="s">
        <v>282</v>
      </c>
      <c r="C99" s="713" t="s">
        <v>1526</v>
      </c>
      <c r="D99" s="2274" t="s">
        <v>1658</v>
      </c>
      <c r="E99" s="2274" t="s">
        <v>1659</v>
      </c>
      <c r="F99" s="2274" t="s">
        <v>1551</v>
      </c>
      <c r="G99" s="2274" t="s">
        <v>1660</v>
      </c>
      <c r="H99" s="2275" t="s">
        <v>1661</v>
      </c>
      <c r="I99" s="2275" t="s">
        <v>1553</v>
      </c>
      <c r="J99" s="713" t="s">
        <v>35</v>
      </c>
    </row>
    <row r="100" spans="1:10">
      <c r="B100" s="347" t="s">
        <v>477</v>
      </c>
      <c r="C100" s="1904"/>
      <c r="D100" s="1905"/>
      <c r="E100" s="1905"/>
      <c r="F100" s="1905"/>
      <c r="G100" s="2179"/>
      <c r="H100" s="2295"/>
      <c r="I100" s="2295"/>
      <c r="J100" s="1905">
        <f>SUM($C$100:$G$100)</f>
        <v>0</v>
      </c>
    </row>
    <row r="101" spans="1:10">
      <c r="B101" s="347" t="s">
        <v>478</v>
      </c>
      <c r="C101" s="1904"/>
      <c r="D101" s="1905"/>
      <c r="E101" s="1905"/>
      <c r="F101" s="1905"/>
      <c r="G101" s="1905"/>
      <c r="H101" s="2756"/>
      <c r="I101" s="2295"/>
      <c r="J101" s="1905">
        <f>SUM($C$101:$G$101)</f>
        <v>0</v>
      </c>
    </row>
    <row r="102" spans="1:10">
      <c r="B102" s="347" t="s">
        <v>479</v>
      </c>
      <c r="C102" s="1904"/>
      <c r="D102" s="1905"/>
      <c r="E102" s="1905"/>
      <c r="F102" s="1905"/>
      <c r="G102" s="1905"/>
      <c r="H102" s="2756"/>
      <c r="I102" s="2295"/>
      <c r="J102" s="1905">
        <f>SUM($C$102:$G$102)</f>
        <v>0</v>
      </c>
    </row>
    <row r="103" spans="1:10">
      <c r="B103" s="347" t="s">
        <v>619</v>
      </c>
      <c r="C103" s="1904"/>
      <c r="D103" s="1905"/>
      <c r="E103" s="1905"/>
      <c r="F103" s="1905"/>
      <c r="G103" s="2179"/>
      <c r="H103" s="2295"/>
      <c r="I103" s="2295"/>
      <c r="J103" s="1905">
        <f>SUM($C$103:$G$103)</f>
        <v>0</v>
      </c>
    </row>
    <row r="104" spans="1:10">
      <c r="B104" s="347" t="s">
        <v>283</v>
      </c>
      <c r="C104" s="1906"/>
      <c r="D104" s="1905"/>
      <c r="E104" s="1905"/>
      <c r="F104" s="1905"/>
      <c r="G104" s="2179"/>
      <c r="H104" s="2295"/>
      <c r="I104" s="2295"/>
      <c r="J104" s="1905">
        <f>SUM($C$104:$G$104)</f>
        <v>0</v>
      </c>
    </row>
    <row r="107" spans="1:10">
      <c r="A107" s="194" t="s">
        <v>219</v>
      </c>
      <c r="B107" s="195" t="s">
        <v>224</v>
      </c>
    </row>
    <row r="108" spans="1:10">
      <c r="B108" s="195" t="s">
        <v>1645</v>
      </c>
    </row>
    <row r="109" spans="1:10">
      <c r="D109" s="197"/>
    </row>
    <row r="110" spans="1:10">
      <c r="A110" s="335" t="s">
        <v>1434</v>
      </c>
      <c r="B110" s="335" t="s">
        <v>1435</v>
      </c>
      <c r="D110" s="197"/>
    </row>
    <row r="111" spans="1:10">
      <c r="A111" s="335" t="s">
        <v>1554</v>
      </c>
      <c r="B111" s="335" t="s">
        <v>1550</v>
      </c>
      <c r="C111" s="2196" t="s">
        <v>1442</v>
      </c>
    </row>
  </sheetData>
  <sheetProtection algorithmName="SHA-512" hashValue="N6dJsfKqp1o2Zfcl4gZeDthJ29W3PW0ZOvW64uZ2Xl076VeY1xdXBBVXXzRPKWx/4YywhOzNdUPCw+v9C/DhRg==" saltValue="UNVZturS8VeXW2nRz6Fyow==" spinCount="100000" sheet="1" objects="1" scenarios="1"/>
  <mergeCells count="21">
    <mergeCell ref="A97:C97"/>
    <mergeCell ref="A57:A58"/>
    <mergeCell ref="A19:A20"/>
    <mergeCell ref="B19:B20"/>
    <mergeCell ref="A55:C55"/>
    <mergeCell ref="A76:C76"/>
    <mergeCell ref="A78:A79"/>
    <mergeCell ref="B78:B79"/>
    <mergeCell ref="C19:J19"/>
    <mergeCell ref="C78:J78"/>
    <mergeCell ref="A38:A39"/>
    <mergeCell ref="B38:B39"/>
    <mergeCell ref="C38:J38"/>
    <mergeCell ref="A96:C96"/>
    <mergeCell ref="A1:C1"/>
    <mergeCell ref="A2:C2"/>
    <mergeCell ref="A4:A5"/>
    <mergeCell ref="B4:B5"/>
    <mergeCell ref="B57:B58"/>
    <mergeCell ref="C4:J4"/>
    <mergeCell ref="C57:J57"/>
  </mergeCells>
  <pageMargins left="0.7" right="0.7" top="0.78740157499999996" bottom="0.78740157499999996" header="0.3" footer="0.3"/>
  <pageSetup paperSize="9" scale="63" fitToHeight="0" orientation="landscape" r:id="rId1"/>
  <headerFooter>
    <oddHeader>&amp;LVDV SUN Jahresschlussrechnung JJJJ&amp;R&amp;KFF0000&amp;F</oddHeader>
    <oddFooter>&amp;C&amp;P&amp;R&amp;A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8"/>
  <sheetViews>
    <sheetView view="pageBreakPreview" zoomScale="70" zoomScaleNormal="80" zoomScaleSheetLayoutView="70" zoomScalePageLayoutView="80" workbookViewId="0">
      <selection activeCell="F50" sqref="F50"/>
    </sheetView>
  </sheetViews>
  <sheetFormatPr baseColWidth="10" defaultRowHeight="12.75"/>
  <cols>
    <col min="1" max="1" width="29.28515625" customWidth="1"/>
    <col min="2" max="2" width="19.28515625" customWidth="1"/>
    <col min="3" max="3" width="11.42578125" customWidth="1"/>
    <col min="4" max="4" width="12.42578125" customWidth="1"/>
    <col min="5" max="5" width="14.28515625" customWidth="1"/>
    <col min="6" max="6" width="15.28515625" customWidth="1"/>
    <col min="7" max="7" width="26" customWidth="1"/>
    <col min="8" max="8" width="12.42578125" customWidth="1"/>
    <col min="10" max="11" width="20.42578125" customWidth="1"/>
    <col min="12" max="12" width="53" customWidth="1"/>
    <col min="13" max="14" width="15" customWidth="1"/>
    <col min="15" max="15" width="17.5703125" customWidth="1"/>
    <col min="16" max="16" width="18.7109375" bestFit="1" customWidth="1"/>
  </cols>
  <sheetData>
    <row r="1" spans="1:14" ht="20.25">
      <c r="A1" s="3043" t="s">
        <v>1460</v>
      </c>
      <c r="B1" s="3043"/>
      <c r="C1" s="3043"/>
      <c r="D1" s="3043"/>
      <c r="E1" s="3043"/>
      <c r="F1" s="3043"/>
      <c r="G1" s="3043"/>
      <c r="H1" s="3043"/>
      <c r="I1" s="3043"/>
      <c r="J1" s="3043"/>
      <c r="K1" s="3043"/>
      <c r="L1" s="3043"/>
      <c r="M1" s="3043"/>
      <c r="N1" s="3043"/>
    </row>
    <row r="2" spans="1:14" ht="18">
      <c r="A2" s="3055" t="str">
        <f>'1a_Leistungsvolumen'!A2:C2</f>
        <v>Monat JJJJ</v>
      </c>
      <c r="B2" s="3055"/>
      <c r="C2" s="3055"/>
      <c r="D2" s="3055"/>
      <c r="E2" s="3055"/>
      <c r="F2" s="3055"/>
      <c r="G2" s="3055"/>
      <c r="H2" s="3055"/>
      <c r="I2" s="3055"/>
      <c r="J2" s="3055"/>
      <c r="K2" s="3055"/>
      <c r="L2" s="3055"/>
      <c r="M2" s="3055"/>
      <c r="N2" s="3055"/>
    </row>
    <row r="3" spans="1:14">
      <c r="A3" s="27"/>
      <c r="B3" s="7"/>
      <c r="C3" s="7"/>
      <c r="D3" s="7"/>
      <c r="G3" s="253"/>
    </row>
    <row r="4" spans="1:14" s="48" customFormat="1" ht="39" customHeight="1">
      <c r="A4" s="248" t="s">
        <v>254</v>
      </c>
      <c r="B4" s="248" t="s">
        <v>261</v>
      </c>
      <c r="C4" s="713" t="s">
        <v>795</v>
      </c>
      <c r="D4" s="713" t="s">
        <v>796</v>
      </c>
      <c r="E4" s="713" t="s">
        <v>797</v>
      </c>
      <c r="F4" s="713" t="s">
        <v>827</v>
      </c>
      <c r="G4" s="713" t="s">
        <v>800</v>
      </c>
      <c r="J4" s="1067"/>
      <c r="K4" s="1067"/>
    </row>
    <row r="5" spans="1:14" s="48" customFormat="1" ht="39" customHeight="1" thickBot="1">
      <c r="A5" s="1837" t="s">
        <v>1526</v>
      </c>
      <c r="B5" s="1895">
        <f>SUMIFS($H$22:$H$314,$K$22:$K$314,$F$5,$P$22:$P$314,$A$5)</f>
        <v>-35.723999999999997</v>
      </c>
      <c r="C5" s="1896">
        <f>SUMIFS($J$22:$J$314,$K$22:$K$314,$F$5,$P$22:$P$314,$A$5)</f>
        <v>-232.20000000000002</v>
      </c>
      <c r="D5" s="1896">
        <f>SUMIFS($N$22:$N$314,$K$22:$K$314,$F$5,$P$22:$P$314,$A$5)</f>
        <v>-231.67</v>
      </c>
      <c r="E5" s="1896">
        <f>SUMIFS($O$22:$O$314,$K$22:K$314,F$5,P$22:P$314,A$5)</f>
        <v>-76.95</v>
      </c>
      <c r="F5" s="1834" t="s">
        <v>691</v>
      </c>
      <c r="G5" s="2732">
        <v>6.4850000000000003</v>
      </c>
      <c r="K5" s="1629"/>
    </row>
    <row r="6" spans="1:14" s="48" customFormat="1" ht="35.25" customHeight="1" thickBot="1">
      <c r="A6" s="1837" t="s">
        <v>1526</v>
      </c>
      <c r="B6" s="1888">
        <f>SUMIFS($H$22:$H$314,$K$22:K$314,F$6,P$22:P$314,A$6)</f>
        <v>112.2</v>
      </c>
      <c r="C6" s="1889">
        <f>SUMIFS($J$22:$J$314,$K$22:$K$314,$F$6,$P$22:$P$314,$A$6)</f>
        <v>785.4</v>
      </c>
      <c r="D6" s="1889">
        <f>SUMIFS($N$22:$N$314,$K$22:K$314,F$6,P$22:P$314,A$6)</f>
        <v>727.62</v>
      </c>
      <c r="E6" s="1889">
        <f>SUMIFS($O$22:$O$314,$K$22:$K$314,$F$6,$P$22:$P$314,$A$6)</f>
        <v>-79.650000000000006</v>
      </c>
      <c r="F6" s="1893" t="s">
        <v>1339</v>
      </c>
      <c r="G6" s="1838">
        <v>6.4850000000000003</v>
      </c>
      <c r="K6" s="1629"/>
    </row>
    <row r="7" spans="1:14" s="1829" customFormat="1" ht="35.25" customHeight="1">
      <c r="A7" s="1836" t="s">
        <v>1527</v>
      </c>
      <c r="B7" s="1886">
        <f>SUMIFS($H$22:$H$314,$K$22:$K$314,$F$7,$P$22:$P$314,$A$7)</f>
        <v>0</v>
      </c>
      <c r="C7" s="1887">
        <f>SUMIFS($J$22:$J$314,$K$22:$K$314,$F$7,$P$22:$P$314,$A$7)</f>
        <v>0</v>
      </c>
      <c r="D7" s="1887">
        <f>SUMIFS($N$22:$N$314,$K$22:$K$314,$F$7,$P$22:$P$314,$A$7)</f>
        <v>0</v>
      </c>
      <c r="E7" s="1887">
        <f>SUMIFS($O$22:$O$314,$K$22:K$314,F$7,P$22:P$314,A$7)</f>
        <v>0</v>
      </c>
      <c r="F7" s="1894" t="s">
        <v>691</v>
      </c>
      <c r="G7" s="1854"/>
    </row>
    <row r="8" spans="1:14" s="1829" customFormat="1" ht="35.25" customHeight="1" thickBot="1">
      <c r="A8" s="1837" t="s">
        <v>1527</v>
      </c>
      <c r="B8" s="1888">
        <f>SUMIFS($H$22:$H$314,$K$22:$K$314,$F$8,$P$22:$P$314,$A$8)</f>
        <v>0</v>
      </c>
      <c r="C8" s="1889">
        <f>SUMIFS($J$22:$J$314,$K$22:$K$314,$F$8,$P$22:$P$314,$A$8)</f>
        <v>0</v>
      </c>
      <c r="D8" s="1889">
        <f>SUMIFS($N$22:$N$314,$K$22:$K$314,$F$8,$P$22:$P$314,$A$8)</f>
        <v>0</v>
      </c>
      <c r="E8" s="1889">
        <f>SUMIFS($O$22:$O$314,$K$22:$K$314,$F$8,$P$22:$P$314,$A$8)</f>
        <v>0</v>
      </c>
      <c r="F8" s="1893" t="s">
        <v>1339</v>
      </c>
      <c r="G8" s="1838"/>
    </row>
    <row r="9" spans="1:14" s="1829" customFormat="1" ht="35.25" customHeight="1">
      <c r="A9" s="1836" t="s">
        <v>1552</v>
      </c>
      <c r="B9" s="1886">
        <f>SUMIFS($H$22:$H$314,$K$22:$K$314,$F$9,$P$22:$P$314,$A$9)</f>
        <v>0</v>
      </c>
      <c r="C9" s="1887">
        <f>SUMIFS($J$22:$J$314,$K$22:$K$314,$F$9,$P$22:$P$314,$A$9)</f>
        <v>0</v>
      </c>
      <c r="D9" s="1887">
        <f>SUMIFS($N$22:$N$314,$K$22:$K$314,$F$9,$P$22:$P$314,$A$9)</f>
        <v>0</v>
      </c>
      <c r="E9" s="1887">
        <f>SUMIFS($O$22:$O$314,$K$22:$K$314,$F$9,$P$22:$P$314,$A$9)</f>
        <v>0</v>
      </c>
      <c r="F9" s="1894" t="s">
        <v>691</v>
      </c>
      <c r="G9" s="1854"/>
    </row>
    <row r="10" spans="1:14" s="1829" customFormat="1" ht="35.25" customHeight="1" thickBot="1">
      <c r="A10" s="1837" t="s">
        <v>1552</v>
      </c>
      <c r="B10" s="1888">
        <f>SUMIFS($H$22:$H$314,$K$22:$K$314,$F$10,$P$22:$P$314,$A$10)</f>
        <v>0</v>
      </c>
      <c r="C10" s="1889">
        <f>SUMIFS($J$22:$J$314,$K$22:$K$314,$F$10,$P$22:$P$314,$A$10)</f>
        <v>0</v>
      </c>
      <c r="D10" s="1889">
        <f>SUMIFS($N$22:$N$314,$K$22:$K$314,$F$10,$P$22:$P$314,$A$10)</f>
        <v>0</v>
      </c>
      <c r="E10" s="1889">
        <f>SUMIFS($O$22:$O$314,$K$22:$K$314,$F$10,$P$22:$P$314,$A$10)</f>
        <v>0</v>
      </c>
      <c r="F10" s="1893" t="s">
        <v>1339</v>
      </c>
      <c r="G10" s="1838"/>
    </row>
    <row r="11" spans="1:14" s="1829" customFormat="1" ht="35.25" customHeight="1">
      <c r="A11" s="1836" t="s">
        <v>1551</v>
      </c>
      <c r="B11" s="1886">
        <f>SUMIFS($H$22:$H$314,$K$22:$K$314,$F$11,$P$22:$P$314,$A$11)</f>
        <v>0</v>
      </c>
      <c r="C11" s="1887">
        <f>SUMIFS($J$22:$J$314,$K$22:$K$314,$F$11,$P$22:$P$314,$A$11)</f>
        <v>0</v>
      </c>
      <c r="D11" s="1887">
        <f>SUMIFS($N$22:$N$314,$K$22:$K$314,$F$11,$P$22:$P$314,$A$11)</f>
        <v>0</v>
      </c>
      <c r="E11" s="1887">
        <f>SUMIFS($O$22:$O$314,$K$22:$K$314,$F$11,$P$22:$P$314,$A$11)</f>
        <v>0</v>
      </c>
      <c r="F11" s="1894" t="s">
        <v>691</v>
      </c>
      <c r="G11" s="1854"/>
    </row>
    <row r="12" spans="1:14" s="1829" customFormat="1" ht="35.25" customHeight="1" thickBot="1">
      <c r="A12" s="1837" t="s">
        <v>1551</v>
      </c>
      <c r="B12" s="1888">
        <f>SUMIFS($H$22:$H$314,$K$22:$K$314,$F$12,$P$22:$P$314,$A$12)</f>
        <v>0</v>
      </c>
      <c r="C12" s="1889">
        <f>SUMIFS($J$22:$J$314,$K$22:$K$314,$F$12,$P$22:$P$314,$A$12)</f>
        <v>0</v>
      </c>
      <c r="D12" s="1889">
        <f>SUMIFS($N$22:$N$314,$K$22:$K$314,$F$12,$P$22:$P$314,$A$12)</f>
        <v>0</v>
      </c>
      <c r="E12" s="1889">
        <f>SUMIFS($O$22:$O$314,$K$22:$K$314,$F$12,$P$22:$P$314,$A$12)</f>
        <v>0</v>
      </c>
      <c r="F12" s="1893" t="s">
        <v>1339</v>
      </c>
      <c r="G12" s="1838"/>
    </row>
    <row r="13" spans="1:14" s="1829" customFormat="1" ht="35.25" customHeight="1">
      <c r="A13" s="1836" t="s">
        <v>1528</v>
      </c>
      <c r="B13" s="1886">
        <f>SUMIFS($H$22:$H$314,$K$22:$K$314,$F$13,$P$22:$P$314,$A$13)</f>
        <v>0</v>
      </c>
      <c r="C13" s="1887">
        <f>SUMIFS($J$22:$J$314,$K$22:$K$314,$F$13,P$22:P$314,$A$13)</f>
        <v>0</v>
      </c>
      <c r="D13" s="1887">
        <f>SUMIFS($N$22:$N$314,$K$22:$K$314,$F$13,$P$22:$P$314,$A$13)</f>
        <v>0</v>
      </c>
      <c r="E13" s="1887">
        <f>SUMIFS($O$22:$O$314,$K$22:K$314,F$13,P$22:P$314,A$13)</f>
        <v>0</v>
      </c>
      <c r="F13" s="2187" t="s">
        <v>691</v>
      </c>
      <c r="G13" s="1854"/>
    </row>
    <row r="14" spans="1:14" s="1829" customFormat="1" ht="35.25" customHeight="1" thickBot="1">
      <c r="A14" s="1837" t="s">
        <v>1528</v>
      </c>
      <c r="B14" s="1888">
        <f>SUMIFS($H$22:$H$314,$K$22:$K$314,$F$14,$P$22:$P$314,$A$14)</f>
        <v>0</v>
      </c>
      <c r="C14" s="1889">
        <f>SUMIFS($J$22:$J$314,$K$22:$K$314,$F$14,$P$22:$P$314,$A$14)</f>
        <v>0</v>
      </c>
      <c r="D14" s="1889">
        <f>SUMIFS($N$22:$N$314,$K$22:$K$314,$F$14,$P$22:$P$314,$A$14)</f>
        <v>0</v>
      </c>
      <c r="E14" s="1889">
        <f>SUMIFS($O$22:$O$314,$K$22:$K$314,$F$14,$P$22:$P$314,$A$14)</f>
        <v>0</v>
      </c>
      <c r="F14" s="1893" t="s">
        <v>1339</v>
      </c>
      <c r="G14" s="1838"/>
    </row>
    <row r="15" spans="1:14" s="2761" customFormat="1" ht="35.25" customHeight="1">
      <c r="A15" s="2801" t="s">
        <v>1666</v>
      </c>
      <c r="B15" s="2802">
        <v>0</v>
      </c>
      <c r="C15" s="2803">
        <v>0</v>
      </c>
      <c r="D15" s="2803">
        <v>0</v>
      </c>
      <c r="E15" s="2803">
        <v>0</v>
      </c>
      <c r="F15" s="2804" t="s">
        <v>691</v>
      </c>
      <c r="G15" s="2805"/>
    </row>
    <row r="16" spans="1:14" s="2761" customFormat="1" ht="35.25" customHeight="1" thickBot="1">
      <c r="A16" s="2796" t="s">
        <v>1666</v>
      </c>
      <c r="B16" s="2797">
        <v>0</v>
      </c>
      <c r="C16" s="2798">
        <v>0</v>
      </c>
      <c r="D16" s="2798">
        <v>0</v>
      </c>
      <c r="E16" s="2798">
        <v>0</v>
      </c>
      <c r="F16" s="2799" t="s">
        <v>1339</v>
      </c>
      <c r="G16" s="2800"/>
    </row>
    <row r="17" spans="1:19" s="2263" customFormat="1" ht="35.25" customHeight="1">
      <c r="A17" s="2729" t="s">
        <v>1553</v>
      </c>
      <c r="B17" s="2277">
        <f>SUMIFS($H$22:$H$314,$K$22:$K$314,$F$13,$P$22:$P$314,$A$13)</f>
        <v>0</v>
      </c>
      <c r="C17" s="2278">
        <f>SUMIFS($J$22:$J$314,$K$22:$K$314,$F$13,P$22:P$314,$A$13)</f>
        <v>0</v>
      </c>
      <c r="D17" s="2278">
        <f>SUMIFS($N$22:$N$314,$K$22:$K$314,$F$13,$P$22:$P$314,$A$13)</f>
        <v>0</v>
      </c>
      <c r="E17" s="2278">
        <f>SUMIFS($O$22:$O$314,$K$22:K$314,F$13,P$22:P$314,A$13)</f>
        <v>0</v>
      </c>
      <c r="F17" s="2279" t="s">
        <v>691</v>
      </c>
      <c r="G17" s="2280"/>
    </row>
    <row r="18" spans="1:19" s="2263" customFormat="1" ht="35.25" customHeight="1">
      <c r="A18" s="2730" t="s">
        <v>1553</v>
      </c>
      <c r="B18" s="2281">
        <f>SUMIFS($H$22:$H$314,$K$22:$K$314,$F$14,$P$22:$P$314,$A$14)</f>
        <v>0</v>
      </c>
      <c r="C18" s="2282">
        <f>SUMIFS($J$22:$J$314,$K$22:$K$314,$F$14,$P$22:$P$314,$A$14)</f>
        <v>0</v>
      </c>
      <c r="D18" s="2282">
        <f>SUMIFS($N$22:$N$314,$K$22:$K$314,$F$14,$P$22:$P$314,$A$14)</f>
        <v>0</v>
      </c>
      <c r="E18" s="2282">
        <f>SUMIFS($O$22:$O$314,$K$22:$K$314,$F$14,$P$22:$P$314,$A$14)</f>
        <v>0</v>
      </c>
      <c r="F18" s="2283" t="s">
        <v>1339</v>
      </c>
      <c r="G18" s="2284"/>
    </row>
    <row r="19" spans="1:19">
      <c r="A19" s="688"/>
      <c r="B19" s="608"/>
      <c r="C19" s="833"/>
      <c r="D19" s="833"/>
      <c r="E19" s="833"/>
      <c r="F19" s="833"/>
    </row>
    <row r="20" spans="1:19">
      <c r="A20" s="688"/>
      <c r="B20" s="834"/>
      <c r="C20" s="835"/>
      <c r="D20" s="835"/>
      <c r="E20" s="835"/>
      <c r="F20" s="833"/>
    </row>
    <row r="21" spans="1:19" ht="72.75" customHeight="1">
      <c r="A21" s="713" t="s">
        <v>277</v>
      </c>
      <c r="B21" s="713" t="s">
        <v>27</v>
      </c>
      <c r="C21" s="713" t="s">
        <v>28</v>
      </c>
      <c r="D21" s="713" t="s">
        <v>59</v>
      </c>
      <c r="E21" s="713" t="s">
        <v>29</v>
      </c>
      <c r="F21" s="713" t="s">
        <v>30</v>
      </c>
      <c r="G21" s="713" t="s">
        <v>798</v>
      </c>
      <c r="H21" s="713" t="s">
        <v>799</v>
      </c>
      <c r="I21" s="713" t="s">
        <v>1342</v>
      </c>
      <c r="J21" s="713" t="s">
        <v>1346</v>
      </c>
      <c r="K21" s="713" t="s">
        <v>1266</v>
      </c>
      <c r="L21" s="713" t="s">
        <v>286</v>
      </c>
      <c r="M21" s="713" t="s">
        <v>1343</v>
      </c>
      <c r="N21" s="713" t="s">
        <v>1344</v>
      </c>
      <c r="O21" s="837" t="s">
        <v>1345</v>
      </c>
      <c r="P21" s="713" t="s">
        <v>1164</v>
      </c>
    </row>
    <row r="22" spans="1:19">
      <c r="A22" s="347" t="s">
        <v>139</v>
      </c>
      <c r="B22" s="838">
        <v>45751</v>
      </c>
      <c r="C22" s="838">
        <v>45751</v>
      </c>
      <c r="D22" s="249">
        <v>1</v>
      </c>
      <c r="E22" s="2731" t="s">
        <v>313</v>
      </c>
      <c r="F22" s="2731" t="s">
        <v>1392</v>
      </c>
      <c r="G22" s="1658">
        <v>-11.907999999999999</v>
      </c>
      <c r="H22" s="1658">
        <f>ROUND(G22*D22,3)</f>
        <v>-11.907999999999999</v>
      </c>
      <c r="I22" s="1164">
        <v>6.5</v>
      </c>
      <c r="J22" s="840">
        <f>ROUND(I22*H22,2)</f>
        <v>-77.400000000000006</v>
      </c>
      <c r="K22" s="840" t="s">
        <v>691</v>
      </c>
      <c r="L22" s="812" t="s">
        <v>801</v>
      </c>
      <c r="M22" s="347">
        <f>VLOOKUP(P22,$A$5:$G$5,7,FALSE)</f>
        <v>6.4850000000000003</v>
      </c>
      <c r="N22" s="839">
        <f>ROUND(M22*H22,2)</f>
        <v>-77.22</v>
      </c>
      <c r="O22" s="840">
        <f>ROUND(-D22*(8.2+15.65),2)</f>
        <v>-23.85</v>
      </c>
      <c r="P22" s="347" t="s">
        <v>1526</v>
      </c>
      <c r="Q22" s="2172" t="s">
        <v>803</v>
      </c>
      <c r="R22" s="2173"/>
      <c r="S22" s="2173"/>
    </row>
    <row r="23" spans="1:19">
      <c r="A23" s="347" t="s">
        <v>139</v>
      </c>
      <c r="B23" s="838">
        <v>45750</v>
      </c>
      <c r="C23" s="838">
        <v>45751</v>
      </c>
      <c r="D23" s="249">
        <v>2</v>
      </c>
      <c r="E23" s="2731" t="s">
        <v>313</v>
      </c>
      <c r="F23" s="2731" t="s">
        <v>1392</v>
      </c>
      <c r="G23" s="1658">
        <v>-11.907999999999999</v>
      </c>
      <c r="H23" s="1658">
        <f>ROUND(G23*D23,3)</f>
        <v>-23.815999999999999</v>
      </c>
      <c r="I23" s="842">
        <v>6.5</v>
      </c>
      <c r="J23" s="840">
        <f>ROUND(I23*H23,2)</f>
        <v>-154.80000000000001</v>
      </c>
      <c r="K23" s="840" t="s">
        <v>691</v>
      </c>
      <c r="L23" s="812" t="s">
        <v>802</v>
      </c>
      <c r="M23" s="347">
        <f>VLOOKUP(P23,$A$5:$G$5,7,FALSE)</f>
        <v>6.4850000000000003</v>
      </c>
      <c r="N23" s="839">
        <f>ROUND(M23*H23,2)</f>
        <v>-154.44999999999999</v>
      </c>
      <c r="O23" s="840">
        <f>-D23*(5.65+15.65+5.25)</f>
        <v>-53.1</v>
      </c>
      <c r="P23" s="347" t="s">
        <v>1526</v>
      </c>
      <c r="Q23" s="2174" t="s">
        <v>804</v>
      </c>
      <c r="R23" s="2173"/>
      <c r="S23" s="2173"/>
    </row>
    <row r="24" spans="1:19">
      <c r="A24" s="347" t="s">
        <v>139</v>
      </c>
      <c r="B24" s="838">
        <v>45819</v>
      </c>
      <c r="C24" s="838">
        <v>45821</v>
      </c>
      <c r="D24" s="249">
        <v>3</v>
      </c>
      <c r="E24" s="2731" t="s">
        <v>1392</v>
      </c>
      <c r="F24" s="2731" t="s">
        <v>313</v>
      </c>
      <c r="G24" s="836">
        <v>37.4</v>
      </c>
      <c r="H24" s="836">
        <f>ROUND(G24*D24,3)</f>
        <v>112.2</v>
      </c>
      <c r="I24" s="842">
        <v>7</v>
      </c>
      <c r="J24" s="1659">
        <f>ROUND(I24*H24,2)</f>
        <v>785.4</v>
      </c>
      <c r="K24" s="1628" t="s">
        <v>1339</v>
      </c>
      <c r="L24" s="347" t="s">
        <v>1267</v>
      </c>
      <c r="M24" s="347">
        <f>VLOOKUP(P24,$A$6:$G$6,7,FALSE)</f>
        <v>6.4850000000000003</v>
      </c>
      <c r="N24" s="839">
        <f>ROUND(M24*H24,2)</f>
        <v>727.62</v>
      </c>
      <c r="O24" s="840">
        <f>-D24*(5.65+15.65+5.25)</f>
        <v>-79.650000000000006</v>
      </c>
      <c r="P24" s="347" t="s">
        <v>1526</v>
      </c>
      <c r="Q24" s="934" t="s">
        <v>1341</v>
      </c>
    </row>
    <row r="25" spans="1:19">
      <c r="A25" s="249"/>
      <c r="B25" s="249"/>
      <c r="C25" s="249"/>
      <c r="D25" s="249"/>
      <c r="E25" s="2732"/>
      <c r="F25" s="2732"/>
      <c r="G25" s="836"/>
      <c r="H25" s="836"/>
      <c r="I25" s="842"/>
      <c r="J25" s="1659"/>
      <c r="K25" s="340"/>
      <c r="L25" s="249"/>
      <c r="M25" s="249"/>
      <c r="N25" s="249"/>
      <c r="O25" s="249"/>
      <c r="P25" s="249"/>
    </row>
    <row r="26" spans="1:19">
      <c r="A26" s="2208" t="s">
        <v>139</v>
      </c>
      <c r="B26" s="2209">
        <v>45750</v>
      </c>
      <c r="C26" s="2209">
        <v>45751</v>
      </c>
      <c r="D26" s="2210">
        <v>2</v>
      </c>
      <c r="E26" s="2210" t="s">
        <v>313</v>
      </c>
      <c r="F26" s="2210" t="s">
        <v>1392</v>
      </c>
      <c r="G26" s="2211">
        <v>37.4</v>
      </c>
      <c r="H26" s="2211">
        <f>ROUND(G26*D26,3)</f>
        <v>74.8</v>
      </c>
      <c r="I26" s="2212">
        <v>3.2</v>
      </c>
      <c r="J26" s="2213">
        <f>ROUND(I26*H26,2)</f>
        <v>239.36</v>
      </c>
      <c r="K26" s="2214" t="s">
        <v>691</v>
      </c>
      <c r="L26" s="2210" t="s">
        <v>1431</v>
      </c>
      <c r="M26" s="2211">
        <v>0</v>
      </c>
      <c r="N26" s="2211">
        <v>0</v>
      </c>
      <c r="O26" s="2211">
        <v>0</v>
      </c>
      <c r="P26" s="2210" t="s">
        <v>1466</v>
      </c>
      <c r="Q26" s="2215" t="s">
        <v>1432</v>
      </c>
      <c r="R26" s="2173"/>
      <c r="S26" s="2173"/>
    </row>
    <row r="27" spans="1:19">
      <c r="A27" s="249"/>
      <c r="B27" s="249"/>
      <c r="C27" s="249"/>
      <c r="D27" s="249"/>
      <c r="E27" s="2732"/>
      <c r="F27" s="2732"/>
      <c r="G27" s="836"/>
      <c r="H27" s="836"/>
      <c r="I27" s="842"/>
      <c r="J27" s="1659"/>
      <c r="K27" s="340"/>
      <c r="L27" s="249"/>
      <c r="M27" s="249"/>
      <c r="N27" s="249"/>
      <c r="O27" s="249"/>
      <c r="P27" s="249"/>
    </row>
    <row r="30" spans="1:19">
      <c r="A30" s="194" t="s">
        <v>219</v>
      </c>
      <c r="B30" s="195" t="s">
        <v>224</v>
      </c>
    </row>
    <row r="31" spans="1:19">
      <c r="B31" s="195" t="s">
        <v>1446</v>
      </c>
    </row>
    <row r="32" spans="1:19">
      <c r="B32" s="195" t="s">
        <v>1447</v>
      </c>
    </row>
    <row r="33" spans="1:4">
      <c r="B33" s="195" t="s">
        <v>1645</v>
      </c>
    </row>
    <row r="35" spans="1:4">
      <c r="A35" s="444" t="s">
        <v>805</v>
      </c>
    </row>
    <row r="37" spans="1:4">
      <c r="A37" s="335" t="s">
        <v>1434</v>
      </c>
      <c r="B37" s="335" t="s">
        <v>1435</v>
      </c>
      <c r="D37" s="197"/>
    </row>
    <row r="38" spans="1:4">
      <c r="A38" s="335" t="s">
        <v>1554</v>
      </c>
      <c r="B38" s="335" t="s">
        <v>1550</v>
      </c>
      <c r="C38" s="2196" t="s">
        <v>1442</v>
      </c>
      <c r="D38" s="197"/>
    </row>
  </sheetData>
  <sheetProtection algorithmName="SHA-512" hashValue="jpTQSXPwlFd+shUKSiDE3PIHEsOgNy1lHPyRx4udSeiP3txk4M/S8QyfS8ySs8Yeze0HGZvDmZk84s0V3Ir4Ug==" saltValue="gxB7QYdNMSzEc5h4DmQvMQ==" spinCount="100000" sheet="1" objects="1" scenarios="1"/>
  <mergeCells count="2">
    <mergeCell ref="A2:N2"/>
    <mergeCell ref="A1:N1"/>
  </mergeCells>
  <pageMargins left="0.7" right="0.7" top="0.78740157499999996" bottom="0.78740157499999996" header="0.3" footer="0.3"/>
  <pageSetup paperSize="9" scale="38" fitToHeight="0" orientation="landscape" r:id="rId1"/>
  <headerFooter>
    <oddHeader>&amp;LVDV SUN Jahresschlussrechnung JJJJ&amp;R&amp;KFF0000&amp;F</oddHeader>
    <oddFooter>&amp;C&amp;P&amp;R&amp;A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69"/>
  <sheetViews>
    <sheetView view="pageBreakPreview" zoomScale="80" zoomScaleNormal="80" zoomScaleSheetLayoutView="80" workbookViewId="0">
      <selection activeCell="E49" sqref="E49"/>
    </sheetView>
  </sheetViews>
  <sheetFormatPr baseColWidth="10" defaultRowHeight="12.75"/>
  <cols>
    <col min="1" max="1" width="8.85546875" style="28" customWidth="1"/>
    <col min="2" max="2" width="43.28515625" style="28" customWidth="1"/>
    <col min="3" max="3" width="12.42578125" customWidth="1"/>
    <col min="4" max="4" width="12.7109375" bestFit="1" customWidth="1"/>
    <col min="5" max="5" width="15" style="2" customWidth="1"/>
    <col min="6" max="6" width="13" customWidth="1"/>
    <col min="7" max="7" width="12.7109375" bestFit="1" customWidth="1"/>
    <col min="8" max="8" width="14.85546875" style="2" customWidth="1"/>
  </cols>
  <sheetData>
    <row r="1" spans="1:11" s="1" customFormat="1" ht="18">
      <c r="A1" s="3036" t="s">
        <v>1505</v>
      </c>
      <c r="B1" s="3036"/>
      <c r="C1" s="3036"/>
      <c r="D1" s="3036"/>
      <c r="E1" s="3036"/>
      <c r="F1" s="3036"/>
      <c r="G1" s="3036"/>
      <c r="H1" s="3036"/>
    </row>
    <row r="2" spans="1:11" s="1" customFormat="1" ht="18">
      <c r="A2" s="3052" t="str">
        <f>'1a_Leistungsvolumen'!A2:C2</f>
        <v>Monat JJJJ</v>
      </c>
      <c r="B2" s="3052"/>
      <c r="C2" s="3052"/>
      <c r="D2" s="3052"/>
      <c r="E2" s="3052"/>
      <c r="F2" s="3052"/>
      <c r="G2" s="3052"/>
      <c r="H2" s="3052"/>
      <c r="I2" s="352"/>
      <c r="J2" s="352"/>
      <c r="K2" s="352"/>
    </row>
    <row r="3" spans="1:11" ht="23.25" customHeight="1" thickBot="1"/>
    <row r="4" spans="1:11" s="6" customFormat="1" ht="39" customHeight="1" thickBot="1">
      <c r="A4" s="583" t="s">
        <v>0</v>
      </c>
      <c r="B4" s="40" t="s">
        <v>1</v>
      </c>
      <c r="C4" s="4" t="s">
        <v>2</v>
      </c>
      <c r="D4" s="4" t="s">
        <v>3</v>
      </c>
      <c r="E4" s="5" t="s">
        <v>4</v>
      </c>
      <c r="F4" s="15" t="s">
        <v>5</v>
      </c>
      <c r="G4" s="4" t="s">
        <v>6</v>
      </c>
      <c r="H4" s="5" t="s">
        <v>7</v>
      </c>
    </row>
    <row r="5" spans="1:11" s="7" customFormat="1" ht="25.5">
      <c r="A5" s="582" t="s">
        <v>1529</v>
      </c>
      <c r="B5" s="2641" t="s">
        <v>1540</v>
      </c>
      <c r="C5" s="31">
        <v>170</v>
      </c>
      <c r="D5" s="30">
        <v>3770</v>
      </c>
      <c r="E5" s="184">
        <f>D5/(D5+C5)*100</f>
        <v>95.685279187817258</v>
      </c>
      <c r="F5" s="36">
        <v>158</v>
      </c>
      <c r="G5" s="30">
        <v>3778</v>
      </c>
      <c r="H5" s="386">
        <f t="shared" ref="H5:H15" si="0">G5/(G5+F5)*100</f>
        <v>95.985772357723576</v>
      </c>
    </row>
    <row r="6" spans="1:11" s="2264" customFormat="1" ht="36.75" customHeight="1">
      <c r="A6" s="2642" t="s">
        <v>1530</v>
      </c>
      <c r="B6" s="2506" t="s">
        <v>1541</v>
      </c>
      <c r="C6" s="2285">
        <v>75</v>
      </c>
      <c r="D6" s="1857">
        <v>2300</v>
      </c>
      <c r="E6" s="2286">
        <f>D6/(D6+C6)*100</f>
        <v>96.84210526315789</v>
      </c>
      <c r="F6" s="36">
        <v>70</v>
      </c>
      <c r="G6" s="1857">
        <v>2350</v>
      </c>
      <c r="H6" s="2287">
        <f t="shared" si="0"/>
        <v>97.107438016528931</v>
      </c>
    </row>
    <row r="7" spans="1:11" s="2264" customFormat="1">
      <c r="A7" s="2642" t="s">
        <v>1531</v>
      </c>
      <c r="B7" s="2506" t="s">
        <v>1542</v>
      </c>
      <c r="C7" s="2285">
        <v>150</v>
      </c>
      <c r="D7" s="1857">
        <v>3700</v>
      </c>
      <c r="E7" s="2286">
        <f>D7/(D7+C7)*100</f>
        <v>96.103896103896105</v>
      </c>
      <c r="F7" s="36">
        <v>58</v>
      </c>
      <c r="G7" s="1857">
        <v>3770</v>
      </c>
      <c r="H7" s="2287">
        <f t="shared" si="0"/>
        <v>98.484848484848484</v>
      </c>
    </row>
    <row r="8" spans="1:11" s="2264" customFormat="1">
      <c r="A8" s="2642" t="s">
        <v>1532</v>
      </c>
      <c r="B8" s="2506" t="s">
        <v>1543</v>
      </c>
      <c r="C8" s="2285">
        <v>190</v>
      </c>
      <c r="D8" s="1857">
        <v>3500</v>
      </c>
      <c r="E8" s="2286">
        <f>D8/(D8+C8)*100</f>
        <v>94.850948509485107</v>
      </c>
      <c r="F8" s="36">
        <v>192</v>
      </c>
      <c r="G8" s="1857">
        <v>3778</v>
      </c>
      <c r="H8" s="2287">
        <f t="shared" si="0"/>
        <v>95.163727959697724</v>
      </c>
    </row>
    <row r="9" spans="1:11" s="2264" customFormat="1" ht="25.5">
      <c r="A9" s="2642" t="s">
        <v>1533</v>
      </c>
      <c r="B9" s="2506" t="s">
        <v>1544</v>
      </c>
      <c r="C9" s="2285">
        <v>14</v>
      </c>
      <c r="D9" s="1857">
        <v>350</v>
      </c>
      <c r="E9" s="2286">
        <f t="shared" ref="E9:E15" si="1">D9/(D9+C9)*100</f>
        <v>96.15384615384616</v>
      </c>
      <c r="F9" s="36">
        <v>18</v>
      </c>
      <c r="G9" s="1857">
        <v>340</v>
      </c>
      <c r="H9" s="2287">
        <f t="shared" si="0"/>
        <v>94.97206703910615</v>
      </c>
    </row>
    <row r="10" spans="1:11" s="7" customFormat="1" ht="18" customHeight="1">
      <c r="A10" s="582" t="s">
        <v>1534</v>
      </c>
      <c r="B10" s="2641" t="s">
        <v>1542</v>
      </c>
      <c r="C10" s="33">
        <v>78</v>
      </c>
      <c r="D10" s="32">
        <v>2232</v>
      </c>
      <c r="E10" s="185">
        <f t="shared" si="1"/>
        <v>96.623376623376629</v>
      </c>
      <c r="F10" s="37">
        <v>46</v>
      </c>
      <c r="G10" s="32">
        <v>2242</v>
      </c>
      <c r="H10" s="385">
        <f t="shared" si="0"/>
        <v>97.989510489510494</v>
      </c>
    </row>
    <row r="11" spans="1:11" s="2176" customFormat="1" ht="27.75" customHeight="1">
      <c r="A11" s="2642" t="s">
        <v>1535</v>
      </c>
      <c r="B11" s="2506" t="s">
        <v>1545</v>
      </c>
      <c r="C11" s="2296">
        <v>14</v>
      </c>
      <c r="D11" s="2297">
        <v>420</v>
      </c>
      <c r="E11" s="2286">
        <f t="shared" si="1"/>
        <v>96.774193548387103</v>
      </c>
      <c r="F11" s="2298">
        <v>12</v>
      </c>
      <c r="G11" s="2297">
        <v>418</v>
      </c>
      <c r="H11" s="2299">
        <f t="shared" si="0"/>
        <v>97.20930232558139</v>
      </c>
    </row>
    <row r="12" spans="1:11" s="7" customFormat="1" ht="18" customHeight="1">
      <c r="A12" s="582" t="s">
        <v>1536</v>
      </c>
      <c r="B12" s="2641" t="s">
        <v>1546</v>
      </c>
      <c r="C12" s="33">
        <v>34</v>
      </c>
      <c r="D12" s="32">
        <v>616</v>
      </c>
      <c r="E12" s="185">
        <f t="shared" si="1"/>
        <v>94.769230769230774</v>
      </c>
      <c r="F12" s="37">
        <v>32</v>
      </c>
      <c r="G12" s="32">
        <v>600</v>
      </c>
      <c r="H12" s="385">
        <f t="shared" si="0"/>
        <v>94.936708860759495</v>
      </c>
    </row>
    <row r="13" spans="1:11" s="7" customFormat="1" ht="18" customHeight="1">
      <c r="A13" s="582" t="s">
        <v>1537</v>
      </c>
      <c r="B13" s="2641" t="s">
        <v>1547</v>
      </c>
      <c r="C13" s="35">
        <v>29</v>
      </c>
      <c r="D13" s="34">
        <v>341</v>
      </c>
      <c r="E13" s="185">
        <f t="shared" si="1"/>
        <v>92.162162162162161</v>
      </c>
      <c r="F13" s="39">
        <v>21</v>
      </c>
      <c r="G13" s="34">
        <v>338</v>
      </c>
      <c r="H13" s="385">
        <f t="shared" si="0"/>
        <v>94.150417827298043</v>
      </c>
    </row>
    <row r="14" spans="1:11" s="7" customFormat="1" ht="29.25" customHeight="1">
      <c r="A14" s="582" t="s">
        <v>1538</v>
      </c>
      <c r="B14" s="2641" t="s">
        <v>1548</v>
      </c>
      <c r="C14" s="35">
        <v>14</v>
      </c>
      <c r="D14" s="34">
        <v>2706</v>
      </c>
      <c r="E14" s="185">
        <f t="shared" si="1"/>
        <v>99.485294117647058</v>
      </c>
      <c r="F14" s="39">
        <v>10</v>
      </c>
      <c r="G14" s="34">
        <v>2712</v>
      </c>
      <c r="H14" s="385">
        <f t="shared" si="0"/>
        <v>99.632623071271126</v>
      </c>
    </row>
    <row r="15" spans="1:11" s="7" customFormat="1" ht="30" customHeight="1" thickBot="1">
      <c r="A15" s="582" t="s">
        <v>1539</v>
      </c>
      <c r="B15" s="2641" t="s">
        <v>1549</v>
      </c>
      <c r="C15" s="35">
        <v>12</v>
      </c>
      <c r="D15" s="34">
        <v>1258</v>
      </c>
      <c r="E15" s="185">
        <f t="shared" si="1"/>
        <v>99.055118110236222</v>
      </c>
      <c r="F15" s="39">
        <v>16</v>
      </c>
      <c r="G15" s="34">
        <v>1212</v>
      </c>
      <c r="H15" s="2643">
        <f t="shared" si="0"/>
        <v>98.697068403908787</v>
      </c>
    </row>
    <row r="16" spans="1:11" s="7" customFormat="1" ht="18" customHeight="1" thickBot="1">
      <c r="A16" s="40"/>
      <c r="B16" s="393" t="s">
        <v>1433</v>
      </c>
      <c r="C16" s="8">
        <f>SUM($C$5:$C$10,$C$12:$C$15)</f>
        <v>766</v>
      </c>
      <c r="D16" s="9">
        <f>SUM($D$5:$D$10,$D$12:$D$15)</f>
        <v>20773</v>
      </c>
      <c r="E16" s="10">
        <f>$D$16/($D$16+$C$16)*100</f>
        <v>96.443660337062994</v>
      </c>
      <c r="F16" s="8">
        <f>SUM($F$5:$F$10,$F$12:$F$15)</f>
        <v>621</v>
      </c>
      <c r="G16" s="9">
        <f>SUM($G$5:$G$10,$G$12:$G$15)</f>
        <v>21120</v>
      </c>
      <c r="H16" s="2644">
        <f>$G$16/($G$16+$F$16)*100</f>
        <v>97.143645646474411</v>
      </c>
    </row>
    <row r="17" spans="1:9" s="7" customFormat="1" ht="18" customHeight="1">
      <c r="A17" s="42"/>
      <c r="B17" s="42"/>
      <c r="E17" s="11"/>
      <c r="H17" s="11"/>
    </row>
    <row r="18" spans="1:9" s="7" customFormat="1" ht="14.45" customHeight="1">
      <c r="A18" s="28"/>
      <c r="B18" s="28"/>
      <c r="C18"/>
      <c r="D18"/>
      <c r="E18" s="2"/>
      <c r="F18" s="3056" t="s">
        <v>1104</v>
      </c>
      <c r="G18" s="3057"/>
      <c r="H18" s="3057"/>
    </row>
    <row r="19" spans="1:9">
      <c r="F19" s="3057"/>
      <c r="G19" s="3057"/>
      <c r="H19" s="3057"/>
    </row>
    <row r="20" spans="1:9">
      <c r="F20" s="3057"/>
      <c r="G20" s="3057"/>
      <c r="H20" s="3057"/>
    </row>
    <row r="21" spans="1:9">
      <c r="F21" s="3057"/>
      <c r="G21" s="3057"/>
      <c r="H21" s="3057"/>
    </row>
    <row r="22" spans="1:9">
      <c r="F22" s="3057"/>
      <c r="G22" s="3057"/>
      <c r="H22" s="3057"/>
    </row>
    <row r="23" spans="1:9">
      <c r="F23" s="3057"/>
      <c r="G23" s="3057"/>
      <c r="H23" s="3057"/>
    </row>
    <row r="25" spans="1:9">
      <c r="A25" s="387"/>
    </row>
    <row r="26" spans="1:9">
      <c r="A26" s="194" t="s">
        <v>219</v>
      </c>
      <c r="B26" s="195" t="s">
        <v>224</v>
      </c>
      <c r="C26" s="388"/>
      <c r="D26" s="388"/>
      <c r="E26" s="388"/>
      <c r="F26" s="388"/>
      <c r="G26" s="388"/>
      <c r="H26" s="388"/>
      <c r="I26" s="388"/>
    </row>
    <row r="27" spans="1:9">
      <c r="A27" s="388"/>
      <c r="B27" s="195" t="s">
        <v>1645</v>
      </c>
      <c r="C27" s="388"/>
      <c r="D27" s="388"/>
      <c r="E27" s="388"/>
      <c r="F27" s="388"/>
      <c r="G27" s="388"/>
      <c r="H27" s="388"/>
      <c r="I27" s="388"/>
    </row>
    <row r="28" spans="1:9">
      <c r="A28" s="2633"/>
      <c r="B28" s="195"/>
      <c r="C28" s="2633"/>
      <c r="D28" s="2633"/>
      <c r="E28" s="2633"/>
      <c r="F28" s="2633"/>
      <c r="G28" s="2633"/>
      <c r="H28" s="2633"/>
      <c r="I28" s="2633"/>
    </row>
    <row r="29" spans="1:9">
      <c r="A29" s="335" t="s">
        <v>1434</v>
      </c>
      <c r="B29" s="335" t="s">
        <v>1435</v>
      </c>
      <c r="D29" s="197"/>
      <c r="E29" s="388"/>
      <c r="F29" s="388"/>
      <c r="G29" s="388"/>
      <c r="H29" s="388"/>
      <c r="I29" s="388"/>
    </row>
    <row r="30" spans="1:9">
      <c r="A30" s="335" t="s">
        <v>1554</v>
      </c>
      <c r="B30" s="335" t="s">
        <v>1550</v>
      </c>
      <c r="C30" s="2196" t="s">
        <v>1442</v>
      </c>
      <c r="D30" s="197"/>
      <c r="E30" s="388"/>
      <c r="F30" s="388"/>
      <c r="G30" s="388"/>
      <c r="H30" s="388"/>
      <c r="I30" s="388"/>
    </row>
    <row r="31" spans="1:9" ht="12.75" customHeight="1">
      <c r="A31" s="388"/>
      <c r="B31" s="388"/>
      <c r="C31" s="388"/>
      <c r="D31" s="388"/>
      <c r="E31" s="388"/>
    </row>
    <row r="32" spans="1:9">
      <c r="A32" s="388"/>
      <c r="B32" s="388"/>
      <c r="C32" s="388"/>
      <c r="D32" s="388"/>
      <c r="E32" s="388"/>
    </row>
    <row r="33" spans="1:9">
      <c r="A33" s="388"/>
      <c r="B33" s="388"/>
      <c r="C33" s="388"/>
      <c r="D33" s="388"/>
      <c r="E33" s="388"/>
    </row>
    <row r="34" spans="1:9">
      <c r="A34" s="388"/>
      <c r="B34" s="388"/>
      <c r="C34" s="388"/>
      <c r="D34" s="388"/>
      <c r="E34" s="388"/>
    </row>
    <row r="35" spans="1:9">
      <c r="A35" s="388"/>
      <c r="B35" s="388"/>
      <c r="C35" s="388"/>
      <c r="D35" s="388"/>
      <c r="E35" s="388"/>
    </row>
    <row r="36" spans="1:9">
      <c r="A36" s="388"/>
      <c r="B36" s="388"/>
      <c r="C36" s="388"/>
      <c r="D36" s="388"/>
      <c r="E36" s="388"/>
    </row>
    <row r="37" spans="1:9">
      <c r="A37" s="388"/>
      <c r="B37" s="388"/>
      <c r="C37" s="388"/>
      <c r="D37" s="388"/>
      <c r="E37" s="388"/>
    </row>
    <row r="38" spans="1:9">
      <c r="A38" s="388"/>
      <c r="B38" s="388"/>
      <c r="C38" s="388"/>
      <c r="D38" s="388"/>
      <c r="E38" s="388"/>
    </row>
    <row r="39" spans="1:9">
      <c r="A39" s="388"/>
      <c r="B39" s="388"/>
      <c r="C39" s="388"/>
      <c r="D39" s="388"/>
      <c r="E39" s="388"/>
    </row>
    <row r="40" spans="1:9">
      <c r="A40" s="388"/>
      <c r="B40" s="388"/>
      <c r="C40" s="388"/>
      <c r="D40" s="388"/>
      <c r="E40" s="388"/>
      <c r="F40" s="388"/>
      <c r="G40" s="388"/>
      <c r="H40" s="388"/>
      <c r="I40" s="388"/>
    </row>
    <row r="41" spans="1:9">
      <c r="A41" s="388"/>
      <c r="B41" s="388"/>
      <c r="C41" s="388"/>
      <c r="D41" s="388"/>
      <c r="E41" s="388"/>
      <c r="F41" s="388"/>
      <c r="G41" s="388"/>
      <c r="H41" s="388"/>
      <c r="I41" s="388"/>
    </row>
    <row r="42" spans="1:9">
      <c r="A42" s="388"/>
      <c r="B42" s="388"/>
      <c r="C42" s="388"/>
      <c r="D42" s="388"/>
      <c r="E42" s="388"/>
      <c r="F42" s="388"/>
      <c r="G42" s="388"/>
      <c r="H42" s="388"/>
      <c r="I42" s="388"/>
    </row>
    <row r="43" spans="1:9">
      <c r="A43" s="388"/>
      <c r="B43" s="388"/>
      <c r="C43" s="388"/>
      <c r="D43" s="388"/>
      <c r="E43" s="388"/>
      <c r="F43" s="388"/>
      <c r="G43" s="388"/>
      <c r="H43" s="388"/>
      <c r="I43" s="388"/>
    </row>
    <row r="44" spans="1:9">
      <c r="A44" s="388"/>
      <c r="B44" s="388"/>
      <c r="C44" s="388"/>
      <c r="D44" s="388"/>
      <c r="E44" s="388"/>
      <c r="F44" s="388"/>
      <c r="G44" s="388"/>
      <c r="H44" s="388"/>
      <c r="I44" s="388"/>
    </row>
    <row r="45" spans="1:9">
      <c r="A45" s="388"/>
      <c r="B45" s="388"/>
      <c r="C45" s="388"/>
      <c r="D45" s="388"/>
      <c r="E45" s="388"/>
      <c r="F45" s="388"/>
      <c r="G45" s="388"/>
      <c r="H45" s="388"/>
      <c r="I45" s="388"/>
    </row>
    <row r="46" spans="1:9">
      <c r="A46" s="388"/>
      <c r="B46" s="388"/>
      <c r="C46" s="388"/>
      <c r="D46" s="388"/>
      <c r="E46" s="388"/>
      <c r="F46" s="388"/>
      <c r="G46" s="388"/>
      <c r="H46" s="388"/>
      <c r="I46" s="388"/>
    </row>
    <row r="47" spans="1:9">
      <c r="A47" s="388"/>
      <c r="B47" s="388"/>
      <c r="C47" s="388"/>
      <c r="D47" s="388"/>
      <c r="E47" s="388"/>
      <c r="F47" s="388"/>
      <c r="G47" s="388"/>
      <c r="H47" s="388"/>
      <c r="I47" s="388"/>
    </row>
    <row r="48" spans="1:9">
      <c r="A48" s="388"/>
      <c r="B48" s="388"/>
      <c r="C48" s="388"/>
      <c r="D48" s="388"/>
      <c r="E48" s="388"/>
      <c r="F48" s="388"/>
      <c r="G48" s="388"/>
      <c r="H48" s="388"/>
      <c r="I48" s="388"/>
    </row>
    <row r="49" spans="1:11">
      <c r="A49" s="388"/>
      <c r="B49" s="388"/>
      <c r="C49" s="388"/>
      <c r="D49" s="388"/>
      <c r="E49" s="388"/>
      <c r="F49" s="388"/>
      <c r="G49" s="388"/>
      <c r="H49" s="388"/>
      <c r="I49" s="388"/>
    </row>
    <row r="50" spans="1:11">
      <c r="A50" s="434"/>
      <c r="B50" s="27"/>
      <c r="C50" s="27"/>
      <c r="D50" s="46"/>
      <c r="E50" s="7"/>
      <c r="F50" s="27"/>
      <c r="G50" s="27"/>
      <c r="H50" s="7"/>
      <c r="I50" s="11"/>
      <c r="J50" s="27"/>
      <c r="K50" s="435"/>
    </row>
    <row r="51" spans="1:11">
      <c r="A51" s="46"/>
      <c r="B51" s="27"/>
      <c r="C51" s="27"/>
      <c r="D51" s="46"/>
      <c r="E51" s="7"/>
      <c r="F51" s="27"/>
      <c r="G51" s="27"/>
      <c r="H51" s="7"/>
      <c r="I51" s="11"/>
      <c r="J51" s="7"/>
      <c r="K51" s="7"/>
    </row>
    <row r="52" spans="1:11">
      <c r="A52" s="46"/>
      <c r="B52" s="27"/>
      <c r="C52" s="46"/>
      <c r="E52" s="7"/>
      <c r="F52" s="27"/>
      <c r="G52" s="27"/>
      <c r="H52" s="7"/>
      <c r="I52" s="11"/>
      <c r="J52" s="7"/>
      <c r="K52" s="436"/>
    </row>
    <row r="53" spans="1:11">
      <c r="A53" s="46"/>
      <c r="B53" s="27"/>
      <c r="C53" s="46"/>
      <c r="E53" s="7"/>
      <c r="F53" s="27"/>
      <c r="G53" s="27"/>
      <c r="H53" s="7"/>
      <c r="I53" s="11"/>
      <c r="J53" s="7"/>
      <c r="K53" s="437"/>
    </row>
    <row r="54" spans="1:11">
      <c r="A54" s="46"/>
      <c r="B54" s="27"/>
      <c r="C54" s="46"/>
      <c r="E54" s="7"/>
      <c r="F54" s="27"/>
      <c r="G54" s="27"/>
      <c r="H54" s="7"/>
      <c r="I54" s="11"/>
      <c r="J54" s="7"/>
      <c r="K54" s="437"/>
    </row>
    <row r="55" spans="1:11">
      <c r="A55" s="46"/>
      <c r="B55" s="27"/>
      <c r="C55" s="46"/>
      <c r="E55" s="7"/>
      <c r="F55" s="27"/>
      <c r="G55" s="27"/>
      <c r="H55" s="7"/>
      <c r="I55" s="11"/>
      <c r="J55" s="7"/>
      <c r="K55" s="437"/>
    </row>
    <row r="56" spans="1:11">
      <c r="A56" s="438"/>
      <c r="B56" s="439"/>
      <c r="C56" s="438"/>
      <c r="E56" s="7"/>
      <c r="F56" s="27"/>
      <c r="G56" s="27"/>
      <c r="H56" s="7"/>
      <c r="I56" s="11"/>
      <c r="J56" s="7"/>
      <c r="K56" s="437"/>
    </row>
    <row r="57" spans="1:11">
      <c r="A57" s="46"/>
      <c r="B57" s="27"/>
      <c r="C57" s="46"/>
      <c r="E57" s="7"/>
      <c r="F57" s="27"/>
      <c r="G57" s="27"/>
      <c r="H57" s="7"/>
      <c r="I57" s="440"/>
      <c r="J57" s="7"/>
      <c r="K57" s="437"/>
    </row>
    <row r="58" spans="1:11">
      <c r="A58" s="46"/>
      <c r="B58" s="27"/>
      <c r="C58" s="46"/>
      <c r="E58" s="7"/>
      <c r="F58" s="27"/>
      <c r="G58" s="27"/>
      <c r="H58" s="7"/>
      <c r="I58" s="440"/>
      <c r="J58" s="7"/>
      <c r="K58" s="437"/>
    </row>
    <row r="59" spans="1:11">
      <c r="A59" s="438"/>
      <c r="B59" s="439"/>
      <c r="C59" s="438"/>
      <c r="E59" s="7"/>
      <c r="F59" s="27"/>
      <c r="G59" s="27"/>
      <c r="H59" s="7"/>
      <c r="I59" s="440"/>
      <c r="J59" s="27"/>
      <c r="K59" s="437"/>
    </row>
    <row r="60" spans="1:11">
      <c r="A60" s="46"/>
      <c r="B60" s="27"/>
      <c r="C60" s="441"/>
      <c r="E60" s="7"/>
      <c r="F60" s="27"/>
      <c r="G60" s="27"/>
      <c r="H60" s="7"/>
      <c r="I60" s="11"/>
      <c r="J60" s="27"/>
      <c r="K60" s="437"/>
    </row>
    <row r="61" spans="1:11">
      <c r="A61" s="46"/>
      <c r="B61" s="27"/>
      <c r="C61" s="441"/>
      <c r="E61" s="7"/>
      <c r="F61" s="27"/>
      <c r="G61" s="27"/>
      <c r="H61" s="7"/>
      <c r="I61" s="11"/>
      <c r="J61" s="27"/>
      <c r="K61" s="442"/>
    </row>
    <row r="62" spans="1:11">
      <c r="A62" s="46"/>
      <c r="B62" s="27"/>
      <c r="C62" s="46"/>
      <c r="E62" s="7"/>
      <c r="F62" s="27"/>
      <c r="G62" s="27"/>
      <c r="H62" s="7"/>
      <c r="I62" s="11"/>
      <c r="J62" s="27"/>
      <c r="K62" s="437"/>
    </row>
    <row r="63" spans="1:11" ht="12.75" customHeight="1">
      <c r="A63" s="417"/>
      <c r="B63" s="443"/>
      <c r="C63" s="543"/>
      <c r="D63" s="543"/>
      <c r="E63" s="543"/>
      <c r="F63" s="543"/>
      <c r="G63" s="543"/>
      <c r="H63" s="543"/>
      <c r="I63" s="543"/>
      <c r="J63" s="543"/>
      <c r="K63" s="543"/>
    </row>
    <row r="64" spans="1:11" ht="12.75" customHeight="1">
      <c r="A64" s="417"/>
      <c r="B64" s="443"/>
      <c r="C64" s="543"/>
      <c r="D64" s="543"/>
      <c r="E64" s="543"/>
      <c r="F64" s="543"/>
      <c r="G64" s="543"/>
      <c r="H64" s="543"/>
      <c r="I64" s="543"/>
      <c r="J64" s="543"/>
      <c r="K64" s="543"/>
    </row>
    <row r="65" spans="1:11" ht="12.75" customHeight="1">
      <c r="A65" s="417"/>
      <c r="B65" s="244"/>
      <c r="C65" s="543"/>
      <c r="D65" s="543"/>
      <c r="E65" s="543"/>
      <c r="F65" s="543"/>
      <c r="G65" s="543"/>
      <c r="H65" s="543"/>
      <c r="I65" s="543"/>
      <c r="J65" s="543"/>
      <c r="K65" s="543"/>
    </row>
    <row r="66" spans="1:11" ht="12.75" customHeight="1">
      <c r="A66" s="417"/>
      <c r="B66" s="244"/>
      <c r="C66" s="543"/>
      <c r="D66" s="543"/>
      <c r="E66" s="543"/>
      <c r="F66" s="543"/>
      <c r="G66" s="543"/>
      <c r="H66" s="543"/>
      <c r="I66" s="543"/>
      <c r="J66" s="543"/>
      <c r="K66" s="543"/>
    </row>
    <row r="67" spans="1:11">
      <c r="A67" s="441"/>
      <c r="B67" s="244"/>
      <c r="C67" s="441"/>
      <c r="D67" s="197"/>
      <c r="E67" s="439"/>
      <c r="F67" s="27"/>
      <c r="G67" s="7"/>
      <c r="H67" s="11"/>
      <c r="I67" s="27"/>
      <c r="J67" s="544"/>
      <c r="K67" s="544"/>
    </row>
    <row r="68" spans="1:11">
      <c r="A68" s="441"/>
      <c r="B68" s="244"/>
      <c r="C68" s="441"/>
      <c r="D68" s="197"/>
      <c r="E68" s="439"/>
      <c r="F68" s="27"/>
      <c r="G68" s="7"/>
      <c r="H68" s="11"/>
      <c r="I68" s="27"/>
      <c r="J68" s="544"/>
      <c r="K68" s="544"/>
    </row>
    <row r="69" spans="1:11">
      <c r="A69" s="441"/>
      <c r="B69"/>
      <c r="C69" s="48"/>
      <c r="D69" s="48"/>
      <c r="E69" s="48"/>
      <c r="F69" s="48"/>
      <c r="G69" s="48"/>
      <c r="H69" s="48"/>
      <c r="I69" s="48"/>
      <c r="J69" s="48"/>
      <c r="K69" s="48"/>
    </row>
  </sheetData>
  <sheetProtection algorithmName="SHA-512" hashValue="EX/BQhlH1KVU/4yPmK11Apz97sX2nSajn+gcVzlExmF45uV7uXKcqTzlEwyiX4ds1R1WXxr3m/j9zHzzOsStOw==" saltValue="3Kz7nWX3itIbVi3GiqzcWg==" spinCount="100000" sheet="1" objects="1" scenarios="1"/>
  <mergeCells count="3">
    <mergeCell ref="A1:H1"/>
    <mergeCell ref="A2:H2"/>
    <mergeCell ref="F18:H23"/>
  </mergeCells>
  <phoneticPr fontId="0" type="noConversion"/>
  <conditionalFormatting sqref="E5:E17 H5:H17">
    <cfRule type="cellIs" dxfId="100" priority="1" stopIfTrue="1" operator="lessThan">
      <formula>95</formula>
    </cfRule>
  </conditionalFormatting>
  <pageMargins left="0.7" right="0.7" top="0.78740157499999996" bottom="0.78740157499999996" header="0.3" footer="0.3"/>
  <pageSetup paperSize="9" scale="63" fitToHeight="0" orientation="landscape" r:id="rId1"/>
  <headerFooter>
    <oddHeader>&amp;LVDV SUN Jahresschlussrechnung JJJJ&amp;R&amp;KFF0000&amp;F</oddHeader>
    <oddFooter>&amp;C&amp;P&amp;R&amp;A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4"/>
  <sheetViews>
    <sheetView view="pageBreakPreview" zoomScale="80" zoomScaleNormal="80" zoomScaleSheetLayoutView="80" workbookViewId="0">
      <selection activeCell="J52" sqref="J52"/>
    </sheetView>
  </sheetViews>
  <sheetFormatPr baseColWidth="10" defaultRowHeight="12.75"/>
  <cols>
    <col min="1" max="1" width="6.42578125" style="28" customWidth="1"/>
    <col min="2" max="2" width="6.140625" style="28" bestFit="1" customWidth="1"/>
    <col min="3" max="3" width="6.85546875" bestFit="1" customWidth="1"/>
    <col min="4" max="4" width="8.7109375" customWidth="1"/>
    <col min="5" max="5" width="6.42578125" style="2" customWidth="1"/>
    <col min="6" max="6" width="13" customWidth="1"/>
    <col min="7" max="7" width="12.7109375" bestFit="1" customWidth="1"/>
    <col min="8" max="8" width="14.85546875" style="2" customWidth="1"/>
    <col min="12" max="12" width="14" customWidth="1"/>
  </cols>
  <sheetData>
    <row r="1" spans="1:16" ht="30" customHeight="1">
      <c r="A1" s="3036" t="s">
        <v>1504</v>
      </c>
      <c r="B1" s="3036"/>
      <c r="C1" s="3036"/>
      <c r="D1" s="3036"/>
      <c r="E1" s="3036"/>
      <c r="F1" s="3036"/>
      <c r="G1" s="3036"/>
      <c r="H1" s="3036"/>
      <c r="I1" s="3036"/>
      <c r="J1" s="3036"/>
      <c r="K1" s="3036"/>
      <c r="L1" s="3036"/>
      <c r="M1" s="3036"/>
      <c r="N1" s="3036"/>
      <c r="O1" s="544"/>
      <c r="P1" s="544"/>
    </row>
    <row r="2" spans="1:16" ht="14.25" customHeight="1">
      <c r="A2" s="1165"/>
      <c r="B2" s="1165"/>
      <c r="C2" s="1165"/>
      <c r="D2" s="1165"/>
      <c r="E2" s="1165"/>
      <c r="F2" s="1165"/>
      <c r="G2" s="1165"/>
      <c r="H2" s="1165"/>
      <c r="I2" s="1165"/>
      <c r="J2" s="1165"/>
      <c r="K2" s="1165"/>
      <c r="L2" s="1165"/>
      <c r="M2" s="1165"/>
      <c r="N2" s="1165"/>
      <c r="O2" s="544"/>
      <c r="P2" s="544"/>
    </row>
    <row r="3" spans="1:16" ht="12.75" customHeight="1" thickBot="1">
      <c r="A3"/>
      <c r="B3" s="13"/>
      <c r="C3" s="13"/>
      <c r="D3" s="13"/>
      <c r="E3" s="13"/>
      <c r="F3" s="13"/>
      <c r="G3" s="13"/>
      <c r="H3" s="956" t="s">
        <v>204</v>
      </c>
      <c r="I3" s="2"/>
      <c r="J3" s="13"/>
      <c r="K3" s="14"/>
      <c r="O3" s="543"/>
      <c r="P3" s="543"/>
    </row>
    <row r="4" spans="1:16" ht="70.5" customHeight="1" thickBot="1">
      <c r="A4" s="585" t="s">
        <v>620</v>
      </c>
      <c r="B4" s="586" t="s">
        <v>621</v>
      </c>
      <c r="C4" s="586" t="s">
        <v>9</v>
      </c>
      <c r="D4" s="586" t="s">
        <v>622</v>
      </c>
      <c r="E4" s="586" t="s">
        <v>623</v>
      </c>
      <c r="F4" s="586" t="s">
        <v>624</v>
      </c>
      <c r="G4" s="586" t="s">
        <v>8</v>
      </c>
      <c r="H4" s="586" t="s">
        <v>625</v>
      </c>
      <c r="I4" s="586" t="s">
        <v>12</v>
      </c>
      <c r="J4" s="586" t="s">
        <v>626</v>
      </c>
      <c r="K4" s="586" t="s">
        <v>339</v>
      </c>
      <c r="L4" s="586" t="s">
        <v>627</v>
      </c>
      <c r="M4" s="586" t="s">
        <v>628</v>
      </c>
      <c r="N4" s="587" t="s">
        <v>629</v>
      </c>
      <c r="O4" s="543"/>
      <c r="P4" s="544"/>
    </row>
    <row r="5" spans="1:16">
      <c r="A5" s="588" t="s">
        <v>630</v>
      </c>
      <c r="B5" s="589" t="s">
        <v>19</v>
      </c>
      <c r="C5" s="626"/>
      <c r="D5" s="626" t="s">
        <v>139</v>
      </c>
      <c r="E5" s="626"/>
      <c r="F5" s="590">
        <v>46027</v>
      </c>
      <c r="G5" s="590">
        <v>46027</v>
      </c>
      <c r="H5" s="591"/>
      <c r="I5" s="592"/>
      <c r="J5" s="592">
        <v>3.2</v>
      </c>
      <c r="K5" s="593"/>
      <c r="L5" s="589"/>
      <c r="M5" s="589"/>
      <c r="N5" s="594"/>
      <c r="O5" s="544"/>
      <c r="P5" s="544"/>
    </row>
    <row r="6" spans="1:16">
      <c r="A6" s="17" t="s">
        <v>630</v>
      </c>
      <c r="B6" s="18" t="s">
        <v>19</v>
      </c>
      <c r="C6" s="410"/>
      <c r="D6" s="410" t="s">
        <v>139</v>
      </c>
      <c r="E6" s="410"/>
      <c r="F6" s="595">
        <v>46027</v>
      </c>
      <c r="G6" s="595">
        <v>46027</v>
      </c>
      <c r="H6" s="44"/>
      <c r="I6" s="596">
        <v>5.2</v>
      </c>
      <c r="J6" s="596">
        <v>4.9000000000000004</v>
      </c>
      <c r="K6" s="597"/>
      <c r="L6" s="18"/>
      <c r="M6" s="18"/>
      <c r="N6" s="598"/>
      <c r="O6" s="544"/>
      <c r="P6" s="544"/>
    </row>
    <row r="7" spans="1:16">
      <c r="A7" s="17" t="s">
        <v>630</v>
      </c>
      <c r="B7" s="18" t="s">
        <v>19</v>
      </c>
      <c r="C7" s="410"/>
      <c r="D7" s="410" t="s">
        <v>139</v>
      </c>
      <c r="E7" s="2265"/>
      <c r="F7" s="19">
        <v>46027</v>
      </c>
      <c r="G7" s="19">
        <v>46027</v>
      </c>
      <c r="H7" s="44"/>
      <c r="I7" s="596">
        <v>3.8</v>
      </c>
      <c r="J7" s="596">
        <v>3.3</v>
      </c>
      <c r="K7" s="597"/>
      <c r="L7" s="18"/>
      <c r="M7" s="18"/>
      <c r="N7" s="598"/>
      <c r="O7" s="48"/>
      <c r="P7" s="48"/>
    </row>
    <row r="8" spans="1:16">
      <c r="A8" s="17" t="s">
        <v>630</v>
      </c>
      <c r="B8" s="18" t="s">
        <v>19</v>
      </c>
      <c r="C8" s="410"/>
      <c r="D8" s="410" t="s">
        <v>139</v>
      </c>
      <c r="E8" s="2266"/>
      <c r="F8" s="19">
        <v>46027</v>
      </c>
      <c r="G8" s="19">
        <v>46027</v>
      </c>
      <c r="H8" s="44"/>
      <c r="I8" s="596">
        <v>2</v>
      </c>
      <c r="J8" s="596"/>
      <c r="K8" s="597"/>
      <c r="L8" s="18"/>
      <c r="M8" s="18"/>
      <c r="N8" s="598"/>
    </row>
    <row r="9" spans="1:16">
      <c r="A9" s="17" t="s">
        <v>630</v>
      </c>
      <c r="B9" s="18" t="s">
        <v>19</v>
      </c>
      <c r="C9" s="410"/>
      <c r="D9" s="410" t="s">
        <v>139</v>
      </c>
      <c r="E9" s="1619"/>
      <c r="F9" s="19">
        <v>46027</v>
      </c>
      <c r="G9" s="19">
        <v>46027</v>
      </c>
      <c r="H9" s="44"/>
      <c r="I9" s="596"/>
      <c r="J9" s="596">
        <v>47.5</v>
      </c>
      <c r="K9" s="597">
        <v>20</v>
      </c>
      <c r="L9" s="18"/>
      <c r="M9" s="49"/>
      <c r="N9" s="598"/>
    </row>
    <row r="10" spans="1:16">
      <c r="A10" s="17" t="s">
        <v>630</v>
      </c>
      <c r="B10" s="18" t="s">
        <v>19</v>
      </c>
      <c r="C10" s="410"/>
      <c r="D10" s="410" t="s">
        <v>139</v>
      </c>
      <c r="E10" s="410"/>
      <c r="F10" s="19">
        <v>46027</v>
      </c>
      <c r="G10" s="19">
        <v>46027</v>
      </c>
      <c r="H10" s="44"/>
      <c r="I10" s="596">
        <v>40.1</v>
      </c>
      <c r="J10" s="596"/>
      <c r="K10" s="597" t="s">
        <v>631</v>
      </c>
      <c r="L10" s="18"/>
      <c r="M10" s="18"/>
      <c r="N10" s="598"/>
    </row>
    <row r="11" spans="1:16" ht="13.5" thickBot="1">
      <c r="A11" s="599" t="s">
        <v>630</v>
      </c>
      <c r="B11" s="50" t="s">
        <v>19</v>
      </c>
      <c r="C11" s="717"/>
      <c r="D11" s="717" t="s">
        <v>139</v>
      </c>
      <c r="E11" s="717"/>
      <c r="F11" s="600">
        <v>46027</v>
      </c>
      <c r="G11" s="600">
        <v>46027</v>
      </c>
      <c r="H11" s="51"/>
      <c r="I11" s="601">
        <v>12.9</v>
      </c>
      <c r="J11" s="601"/>
      <c r="K11" s="602"/>
      <c r="L11" s="50"/>
      <c r="M11" s="50"/>
      <c r="N11" s="603"/>
    </row>
    <row r="12" spans="1:16">
      <c r="A12" s="7"/>
      <c r="B12" s="46"/>
      <c r="C12" s="27"/>
      <c r="D12" s="27"/>
      <c r="E12" s="27"/>
      <c r="F12" s="27"/>
      <c r="G12" s="27"/>
      <c r="H12" s="7"/>
      <c r="I12" s="11"/>
      <c r="J12" s="27"/>
      <c r="K12" s="435"/>
      <c r="L12" s="7"/>
      <c r="M12" s="7"/>
      <c r="N12" s="7"/>
    </row>
    <row r="13" spans="1:16">
      <c r="A13" s="604" t="s">
        <v>21</v>
      </c>
      <c r="B13" s="27"/>
      <c r="C13" s="27"/>
      <c r="D13" s="46"/>
      <c r="E13" s="7"/>
      <c r="F13" s="27"/>
      <c r="G13" s="27"/>
      <c r="H13" s="7"/>
      <c r="I13" s="11"/>
      <c r="J13" s="27"/>
      <c r="K13" s="435"/>
      <c r="L13" s="7"/>
      <c r="M13" s="7"/>
      <c r="N13" s="7"/>
    </row>
    <row r="14" spans="1:16">
      <c r="A14" s="46"/>
      <c r="B14" s="27"/>
      <c r="C14" s="27"/>
      <c r="D14" s="46"/>
      <c r="E14" s="7"/>
      <c r="F14" s="27"/>
      <c r="G14" s="27"/>
      <c r="H14" s="7"/>
      <c r="I14" s="11"/>
      <c r="J14" s="7"/>
      <c r="K14" s="7"/>
      <c r="L14" s="7"/>
      <c r="M14" s="7"/>
      <c r="N14" s="7"/>
    </row>
    <row r="15" spans="1:16">
      <c r="A15" s="46" t="s">
        <v>323</v>
      </c>
      <c r="B15" s="27"/>
      <c r="C15" s="27"/>
      <c r="D15" s="46" t="s">
        <v>324</v>
      </c>
      <c r="E15" s="7"/>
      <c r="F15" s="27"/>
      <c r="G15" s="27"/>
      <c r="H15" s="7"/>
      <c r="I15" s="11"/>
      <c r="J15" s="7"/>
      <c r="K15" s="605" t="s">
        <v>632</v>
      </c>
      <c r="L15" s="606"/>
      <c r="M15" s="606"/>
      <c r="N15" s="606"/>
    </row>
    <row r="16" spans="1:16">
      <c r="A16" s="46" t="s">
        <v>22</v>
      </c>
      <c r="B16" s="27"/>
      <c r="C16" s="7"/>
      <c r="D16" s="46" t="s">
        <v>325</v>
      </c>
      <c r="E16" s="7"/>
      <c r="F16" s="27"/>
      <c r="G16" s="27"/>
      <c r="H16" s="7"/>
      <c r="I16" s="11"/>
      <c r="J16" s="7"/>
      <c r="K16" s="605" t="s">
        <v>633</v>
      </c>
      <c r="L16" s="606"/>
      <c r="M16" s="606"/>
      <c r="N16" s="606"/>
    </row>
    <row r="17" spans="1:14">
      <c r="A17" s="46" t="s">
        <v>303</v>
      </c>
      <c r="B17" s="27"/>
      <c r="C17" s="7"/>
      <c r="D17" s="46" t="s">
        <v>23</v>
      </c>
      <c r="E17" s="7"/>
      <c r="F17" s="27"/>
      <c r="G17" s="27"/>
      <c r="H17" s="7"/>
      <c r="I17" s="11"/>
      <c r="J17" s="7"/>
      <c r="K17" s="605" t="s">
        <v>634</v>
      </c>
      <c r="L17" s="606"/>
      <c r="M17" s="606"/>
      <c r="N17" s="606"/>
    </row>
    <row r="18" spans="1:14">
      <c r="A18" s="46" t="s">
        <v>326</v>
      </c>
      <c r="B18" s="27"/>
      <c r="C18" s="7"/>
      <c r="D18" s="46" t="s">
        <v>327</v>
      </c>
      <c r="E18" s="7"/>
      <c r="F18" s="27"/>
      <c r="G18" s="27"/>
      <c r="H18" s="7"/>
      <c r="I18" s="11"/>
      <c r="J18" s="7"/>
      <c r="K18" s="605" t="s">
        <v>635</v>
      </c>
      <c r="L18" s="606"/>
      <c r="M18" s="606"/>
      <c r="N18" s="606"/>
    </row>
    <row r="19" spans="1:14">
      <c r="A19" s="438" t="s">
        <v>328</v>
      </c>
      <c r="B19" s="439"/>
      <c r="C19" s="607"/>
      <c r="D19" s="438" t="s">
        <v>329</v>
      </c>
      <c r="E19" s="7"/>
      <c r="F19" s="27"/>
      <c r="G19" s="27"/>
      <c r="H19" s="7"/>
      <c r="I19" s="11"/>
      <c r="J19" s="7"/>
      <c r="K19" s="605" t="s">
        <v>636</v>
      </c>
      <c r="L19" s="606"/>
      <c r="M19" s="606"/>
      <c r="N19" s="606"/>
    </row>
    <row r="20" spans="1:14">
      <c r="A20" s="46" t="s">
        <v>330</v>
      </c>
      <c r="B20" s="27"/>
      <c r="C20" s="7"/>
      <c r="D20" s="46" t="s">
        <v>331</v>
      </c>
      <c r="E20" s="7"/>
      <c r="F20" s="27"/>
      <c r="G20" s="27"/>
      <c r="H20" s="7"/>
      <c r="I20" s="440"/>
      <c r="J20" s="7"/>
      <c r="K20" s="605" t="s">
        <v>637</v>
      </c>
      <c r="L20" s="606"/>
      <c r="M20" s="606"/>
      <c r="N20" s="606"/>
    </row>
    <row r="21" spans="1:14">
      <c r="A21" s="46" t="s">
        <v>332</v>
      </c>
      <c r="B21" s="27"/>
      <c r="C21" s="7"/>
      <c r="D21" s="46" t="s">
        <v>333</v>
      </c>
      <c r="E21" s="7"/>
      <c r="F21" s="27"/>
      <c r="G21" s="27"/>
      <c r="H21" s="7"/>
      <c r="I21" s="440"/>
      <c r="J21" s="7"/>
      <c r="K21" s="605" t="s">
        <v>638</v>
      </c>
      <c r="L21" s="606"/>
      <c r="M21" s="606"/>
      <c r="N21" s="606"/>
    </row>
    <row r="22" spans="1:14">
      <c r="A22" s="438" t="s">
        <v>334</v>
      </c>
      <c r="B22" s="439"/>
      <c r="C22" s="607"/>
      <c r="D22" s="438" t="s">
        <v>329</v>
      </c>
      <c r="E22" s="7"/>
      <c r="F22" s="27"/>
      <c r="G22" s="27"/>
      <c r="H22" s="7"/>
      <c r="I22" s="440"/>
      <c r="J22" s="27"/>
      <c r="K22" s="605" t="s">
        <v>639</v>
      </c>
      <c r="L22" s="606"/>
      <c r="M22" s="606"/>
      <c r="N22" s="606"/>
    </row>
    <row r="23" spans="1:14">
      <c r="A23" s="46" t="s">
        <v>335</v>
      </c>
      <c r="B23" s="27"/>
      <c r="C23" s="7"/>
      <c r="D23" s="441" t="s">
        <v>336</v>
      </c>
      <c r="E23" s="7"/>
      <c r="F23" s="27"/>
      <c r="G23" s="27"/>
      <c r="H23" s="7"/>
      <c r="I23" s="11"/>
      <c r="J23" s="27"/>
      <c r="K23" s="435"/>
      <c r="L23" s="7"/>
      <c r="M23" s="7"/>
      <c r="N23" s="7"/>
    </row>
    <row r="24" spans="1:14">
      <c r="A24" s="46" t="s">
        <v>337</v>
      </c>
      <c r="B24" s="27"/>
      <c r="C24" s="7"/>
      <c r="D24" s="441" t="s">
        <v>338</v>
      </c>
      <c r="E24" s="7"/>
      <c r="F24" s="27"/>
      <c r="G24" s="27"/>
      <c r="H24" s="7"/>
      <c r="I24" s="11"/>
      <c r="J24" s="27"/>
      <c r="K24" s="442"/>
      <c r="L24" s="7"/>
      <c r="M24" s="7"/>
      <c r="N24" s="7"/>
    </row>
    <row r="25" spans="1:14">
      <c r="A25" s="46" t="s">
        <v>339</v>
      </c>
      <c r="B25" s="27"/>
      <c r="C25" s="7"/>
      <c r="D25" s="46" t="s">
        <v>645</v>
      </c>
      <c r="E25" s="7"/>
      <c r="F25" s="27"/>
      <c r="G25" s="27"/>
      <c r="H25" s="7"/>
      <c r="I25" s="11"/>
      <c r="J25" s="27"/>
      <c r="K25" s="3056" t="s">
        <v>640</v>
      </c>
      <c r="L25" s="3056"/>
      <c r="M25" s="3056"/>
      <c r="N25" s="3056"/>
    </row>
    <row r="26" spans="1:14">
      <c r="A26" s="46"/>
      <c r="B26" s="27"/>
      <c r="C26" s="7"/>
      <c r="D26" s="46" t="s">
        <v>641</v>
      </c>
      <c r="E26" s="7"/>
      <c r="F26" s="27"/>
      <c r="G26" s="27"/>
      <c r="H26" s="7"/>
      <c r="I26" s="11"/>
      <c r="J26" s="27"/>
      <c r="K26" s="3056"/>
      <c r="L26" s="3056"/>
      <c r="M26" s="3056"/>
      <c r="N26" s="3056"/>
    </row>
    <row r="27" spans="1:14">
      <c r="A27" s="438" t="s">
        <v>340</v>
      </c>
      <c r="B27" s="439"/>
      <c r="C27" s="607"/>
      <c r="D27" s="438" t="s">
        <v>642</v>
      </c>
      <c r="E27" s="607"/>
      <c r="F27" s="439"/>
      <c r="G27" s="27"/>
      <c r="H27" s="7"/>
      <c r="I27" s="11"/>
      <c r="J27" s="27"/>
      <c r="K27" s="3056"/>
      <c r="L27" s="3056"/>
      <c r="M27" s="3056"/>
      <c r="N27" s="3056"/>
    </row>
    <row r="28" spans="1:14">
      <c r="A28" s="438" t="s">
        <v>341</v>
      </c>
      <c r="B28" s="439"/>
      <c r="C28" s="607"/>
      <c r="D28" s="438" t="s">
        <v>643</v>
      </c>
      <c r="E28" s="607"/>
      <c r="F28" s="439"/>
      <c r="G28" s="27"/>
      <c r="H28" s="7"/>
      <c r="I28" s="11"/>
      <c r="J28" s="27"/>
      <c r="K28" s="3056"/>
      <c r="L28" s="3056"/>
      <c r="M28" s="3056"/>
      <c r="N28" s="3056"/>
    </row>
    <row r="29" spans="1:14">
      <c r="A29" s="438" t="s">
        <v>342</v>
      </c>
      <c r="B29" s="439"/>
      <c r="C29" s="607"/>
      <c r="D29" s="438" t="s">
        <v>644</v>
      </c>
      <c r="E29" s="607"/>
      <c r="F29" s="439"/>
      <c r="G29" s="27"/>
      <c r="H29" s="7"/>
      <c r="I29" s="11"/>
      <c r="J29" s="27"/>
      <c r="K29" s="3056"/>
      <c r="L29" s="3056"/>
      <c r="M29" s="3056"/>
      <c r="N29" s="3056"/>
    </row>
    <row r="31" spans="1:14">
      <c r="K31" s="208"/>
      <c r="L31" s="424"/>
      <c r="M31" s="424"/>
      <c r="N31" s="424"/>
    </row>
    <row r="32" spans="1:14">
      <c r="K32" s="208"/>
      <c r="L32" s="376"/>
      <c r="M32" s="376"/>
      <c r="N32" s="376"/>
    </row>
    <row r="33" spans="1:14">
      <c r="A33" s="194" t="s">
        <v>219</v>
      </c>
      <c r="B33" s="195" t="s">
        <v>224</v>
      </c>
      <c r="C33" s="388"/>
      <c r="D33" s="388"/>
      <c r="E33" s="388"/>
      <c r="K33" s="208"/>
      <c r="L33" s="376"/>
      <c r="M33" s="376"/>
      <c r="N33" s="376"/>
    </row>
    <row r="34" spans="1:14">
      <c r="A34" s="2343"/>
      <c r="B34" s="195" t="s">
        <v>1645</v>
      </c>
      <c r="K34" s="208"/>
      <c r="L34" s="376"/>
      <c r="M34" s="376"/>
      <c r="N34" s="376"/>
    </row>
    <row r="35" spans="1:14">
      <c r="K35" s="208"/>
      <c r="L35" s="376"/>
      <c r="M35" s="376"/>
      <c r="N35" s="376"/>
    </row>
    <row r="36" spans="1:14">
      <c r="A36" s="335" t="s">
        <v>1434</v>
      </c>
      <c r="B36" s="335" t="s">
        <v>1435</v>
      </c>
      <c r="D36" s="197"/>
      <c r="K36" s="208"/>
      <c r="L36" s="376"/>
      <c r="M36" s="376"/>
      <c r="N36" s="376"/>
    </row>
    <row r="37" spans="1:14">
      <c r="A37" s="335" t="s">
        <v>1554</v>
      </c>
      <c r="B37" s="335" t="s">
        <v>1550</v>
      </c>
      <c r="C37" s="2196" t="s">
        <v>1442</v>
      </c>
      <c r="D37" s="197"/>
    </row>
    <row r="44" spans="1:14">
      <c r="E44" s="718" t="s">
        <v>741</v>
      </c>
    </row>
  </sheetData>
  <sheetProtection algorithmName="SHA-512" hashValue="X++f9YiZzu8FV5NBxXw+AwyNUKMHumfdTAXX98kKORJkWpOw2kaaCaRiKYGeK+0a/Lbkdzpr4MeIPeOKxnKmJw==" saltValue="Z/4kh6HvhwYvm3jlXSsXEA==" spinCount="100000" sheet="1" objects="1" scenarios="1"/>
  <mergeCells count="2">
    <mergeCell ref="A1:N1"/>
    <mergeCell ref="K25:N29"/>
  </mergeCells>
  <pageMargins left="0.7" right="0.7" top="0.78740157499999996" bottom="0.78740157499999996" header="0.3" footer="0.3"/>
  <pageSetup paperSize="9" scale="63" fitToHeight="0" orientation="landscape" r:id="rId1"/>
  <headerFooter>
    <oddHeader>&amp;LVDV SUN Jahresschlussrechnung JJJJ&amp;R&amp;KFF0000&amp;F</oddHeader>
    <oddFooter>&amp;C&amp;P&amp;R&amp;A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N67"/>
  <sheetViews>
    <sheetView view="pageLayout" zoomScaleNormal="80" zoomScaleSheetLayoutView="80" workbookViewId="0">
      <selection activeCell="B17" sqref="B17:J17"/>
    </sheetView>
  </sheetViews>
  <sheetFormatPr baseColWidth="10" defaultRowHeight="12.75"/>
  <cols>
    <col min="1" max="1" width="8.85546875" style="28" customWidth="1"/>
    <col min="2" max="2" width="13.140625" style="28" customWidth="1"/>
    <col min="3" max="4" width="16.7109375" customWidth="1"/>
    <col min="5" max="5" width="10.42578125" style="2" bestFit="1" customWidth="1"/>
    <col min="6" max="6" width="13" customWidth="1"/>
    <col min="7" max="7" width="10.5703125" bestFit="1" customWidth="1"/>
    <col min="8" max="8" width="10.7109375" style="2" bestFit="1" customWidth="1"/>
    <col min="9" max="9" width="13.5703125" customWidth="1"/>
    <col min="10" max="10" width="56.85546875" customWidth="1"/>
    <col min="14" max="14" width="10.140625" customWidth="1"/>
  </cols>
  <sheetData>
    <row r="1" spans="1:14" s="1" customFormat="1" ht="18">
      <c r="A1" s="3036" t="s">
        <v>1506</v>
      </c>
      <c r="B1" s="3036"/>
      <c r="C1" s="3036"/>
      <c r="D1" s="3036"/>
      <c r="E1" s="3036"/>
      <c r="F1" s="3036"/>
      <c r="G1" s="3036"/>
      <c r="H1" s="3036"/>
      <c r="I1" s="3036"/>
      <c r="J1" s="3036"/>
    </row>
    <row r="2" spans="1:14" s="1" customFormat="1" ht="18">
      <c r="A2" s="3052" t="str">
        <f>'1a_Leistungsvolumen'!A2:C2</f>
        <v>Monat JJJJ</v>
      </c>
      <c r="B2" s="3052"/>
      <c r="C2" s="3052"/>
      <c r="D2" s="3052"/>
      <c r="E2" s="3052"/>
      <c r="F2" s="3052"/>
      <c r="G2" s="3052"/>
      <c r="H2" s="3052"/>
      <c r="I2" s="3052"/>
      <c r="J2" s="3052"/>
      <c r="K2" s="367"/>
      <c r="L2" s="367"/>
      <c r="M2" s="367"/>
      <c r="N2" s="367"/>
    </row>
    <row r="3" spans="1:14" ht="23.25" customHeight="1" thickBot="1">
      <c r="A3" s="231" t="s">
        <v>310</v>
      </c>
    </row>
    <row r="4" spans="1:14" s="6" customFormat="1" ht="26.25" thickBot="1">
      <c r="A4" s="40" t="s">
        <v>0</v>
      </c>
      <c r="B4" s="393" t="s">
        <v>18</v>
      </c>
      <c r="C4" s="52" t="s">
        <v>301</v>
      </c>
      <c r="D4" s="52" t="s">
        <v>302</v>
      </c>
      <c r="E4" s="52" t="s">
        <v>303</v>
      </c>
      <c r="F4" s="52" t="s">
        <v>304</v>
      </c>
      <c r="G4" s="52" t="s">
        <v>305</v>
      </c>
      <c r="H4" s="52" t="s">
        <v>306</v>
      </c>
      <c r="I4" s="52" t="s">
        <v>308</v>
      </c>
      <c r="J4" s="61" t="s">
        <v>307</v>
      </c>
    </row>
    <row r="5" spans="1:14" s="7" customFormat="1">
      <c r="A5" s="404"/>
      <c r="B5" s="405" t="s">
        <v>139</v>
      </c>
      <c r="C5" s="406">
        <v>45767.606944444444</v>
      </c>
      <c r="D5" s="406">
        <v>45767.660416666666</v>
      </c>
      <c r="E5" s="407"/>
      <c r="F5" s="110">
        <v>13</v>
      </c>
      <c r="G5" s="110">
        <v>0</v>
      </c>
      <c r="H5" s="110">
        <v>0</v>
      </c>
      <c r="I5" s="1824" t="s">
        <v>309</v>
      </c>
      <c r="J5" s="408" t="s">
        <v>1134</v>
      </c>
    </row>
    <row r="6" spans="1:14" s="7" customFormat="1" ht="18" customHeight="1">
      <c r="A6" s="187"/>
      <c r="B6" s="189" t="s">
        <v>139</v>
      </c>
      <c r="C6" s="402">
        <v>45768.390972222223</v>
      </c>
      <c r="D6" s="402">
        <v>45768.407638888886</v>
      </c>
      <c r="E6" s="1822"/>
      <c r="F6" s="32">
        <v>23</v>
      </c>
      <c r="G6" s="32">
        <v>0</v>
      </c>
      <c r="H6" s="32">
        <v>0</v>
      </c>
      <c r="I6" s="1822">
        <v>94</v>
      </c>
      <c r="J6" s="1823" t="s">
        <v>1358</v>
      </c>
    </row>
    <row r="7" spans="1:14" s="7" customFormat="1" ht="18" customHeight="1">
      <c r="A7" s="41"/>
      <c r="B7" s="189"/>
      <c r="C7" s="403"/>
      <c r="D7" s="402"/>
      <c r="E7" s="398"/>
      <c r="F7" s="32"/>
      <c r="G7" s="32"/>
      <c r="H7" s="32"/>
      <c r="I7" s="32"/>
      <c r="J7" s="400"/>
    </row>
    <row r="8" spans="1:14" s="7" customFormat="1" ht="18" customHeight="1" thickBot="1">
      <c r="A8" s="395"/>
      <c r="B8" s="396"/>
      <c r="C8" s="409"/>
      <c r="D8" s="409"/>
      <c r="E8" s="399"/>
      <c r="F8" s="397"/>
      <c r="G8" s="397"/>
      <c r="H8" s="397"/>
      <c r="I8" s="397"/>
      <c r="J8" s="401"/>
    </row>
    <row r="9" spans="1:14" s="7" customFormat="1" ht="18" customHeight="1">
      <c r="A9" s="977" t="s">
        <v>1357</v>
      </c>
      <c r="B9" s="42"/>
      <c r="E9" s="11"/>
      <c r="H9" s="11"/>
    </row>
    <row r="11" spans="1:14">
      <c r="A11" s="194" t="s">
        <v>219</v>
      </c>
      <c r="B11" s="195" t="s">
        <v>224</v>
      </c>
    </row>
    <row r="12" spans="1:14">
      <c r="A12" s="194"/>
      <c r="B12" s="195" t="s">
        <v>1645</v>
      </c>
    </row>
    <row r="13" spans="1:14">
      <c r="A13" s="194"/>
      <c r="B13" s="195"/>
    </row>
    <row r="14" spans="1:14" ht="15">
      <c r="A14" s="575" t="s">
        <v>1704</v>
      </c>
      <c r="B14" s="388"/>
      <c r="C14" s="388"/>
      <c r="D14" s="388"/>
      <c r="E14" s="388"/>
      <c r="F14" s="388"/>
      <c r="G14" s="388"/>
      <c r="H14" s="388"/>
      <c r="I14" s="388"/>
      <c r="K14" s="2849" t="s">
        <v>1686</v>
      </c>
    </row>
    <row r="15" spans="1:14">
      <c r="A15"/>
      <c r="B15" s="47"/>
      <c r="C15" s="47"/>
      <c r="D15" s="47"/>
    </row>
    <row r="16" spans="1:14" ht="15.75">
      <c r="A16" s="577" t="s">
        <v>199</v>
      </c>
      <c r="B16" s="3067" t="s">
        <v>437</v>
      </c>
      <c r="C16" s="3067"/>
      <c r="D16" s="3067"/>
      <c r="E16" s="3067"/>
      <c r="F16" s="3067"/>
      <c r="G16" s="3067"/>
      <c r="H16" s="3067"/>
      <c r="I16" s="3067"/>
      <c r="J16" s="3067"/>
    </row>
    <row r="17" spans="1:14" ht="71.25" customHeight="1">
      <c r="A17" s="574" t="s">
        <v>438</v>
      </c>
      <c r="B17" s="3072" t="s">
        <v>1448</v>
      </c>
      <c r="C17" s="3072"/>
      <c r="D17" s="3072"/>
      <c r="E17" s="3072"/>
      <c r="F17" s="3072"/>
      <c r="G17" s="3072"/>
      <c r="H17" s="3072"/>
      <c r="I17" s="3072"/>
      <c r="J17" s="3072"/>
      <c r="L17" s="2848"/>
    </row>
    <row r="18" spans="1:14" ht="26.25" customHeight="1">
      <c r="A18" s="574" t="s">
        <v>439</v>
      </c>
      <c r="B18" s="3064" t="s">
        <v>537</v>
      </c>
      <c r="C18" s="3064"/>
      <c r="D18" s="3064"/>
      <c r="E18" s="3064"/>
      <c r="F18" s="3064"/>
      <c r="G18" s="3064"/>
      <c r="H18" s="3064"/>
      <c r="I18" s="3064"/>
      <c r="J18" s="3064"/>
      <c r="L18" s="436"/>
    </row>
    <row r="19" spans="1:14">
      <c r="A19" s="574" t="s">
        <v>440</v>
      </c>
      <c r="B19" s="3072" t="s">
        <v>673</v>
      </c>
      <c r="C19" s="3072"/>
      <c r="D19" s="3072"/>
      <c r="E19" s="3072"/>
      <c r="F19" s="3072"/>
      <c r="G19" s="3072"/>
      <c r="H19" s="3072"/>
      <c r="I19" s="3072"/>
      <c r="J19" s="3072"/>
      <c r="L19" s="436"/>
    </row>
    <row r="20" spans="1:14" ht="27" customHeight="1">
      <c r="A20" s="574" t="s">
        <v>441</v>
      </c>
      <c r="B20" s="3064" t="s">
        <v>538</v>
      </c>
      <c r="C20" s="3064"/>
      <c r="D20" s="3064"/>
      <c r="E20" s="3064"/>
      <c r="F20" s="3064"/>
      <c r="G20" s="3064"/>
      <c r="H20" s="3064"/>
      <c r="I20" s="3064"/>
      <c r="J20" s="3064"/>
      <c r="L20" s="436"/>
    </row>
    <row r="21" spans="1:14">
      <c r="A21" s="574" t="s">
        <v>442</v>
      </c>
      <c r="B21" s="3064" t="s">
        <v>443</v>
      </c>
      <c r="C21" s="3064"/>
      <c r="D21" s="3064"/>
      <c r="E21" s="3064"/>
      <c r="F21" s="3064"/>
      <c r="G21" s="3064"/>
      <c r="H21" s="3064"/>
      <c r="I21" s="3064"/>
      <c r="J21" s="3064"/>
      <c r="L21" s="436"/>
    </row>
    <row r="22" spans="1:14">
      <c r="A22" s="574" t="s">
        <v>444</v>
      </c>
      <c r="B22" s="3064" t="s">
        <v>445</v>
      </c>
      <c r="C22" s="3064"/>
      <c r="D22" s="3064"/>
      <c r="E22" s="3064"/>
      <c r="F22" s="3064"/>
      <c r="G22" s="3064"/>
      <c r="H22" s="3064"/>
      <c r="I22" s="3064"/>
      <c r="J22" s="3064"/>
      <c r="L22" s="436"/>
    </row>
    <row r="23" spans="1:14">
      <c r="A23" s="574" t="s">
        <v>446</v>
      </c>
      <c r="B23" s="3064" t="s">
        <v>646</v>
      </c>
      <c r="C23" s="3064"/>
      <c r="D23" s="3064"/>
      <c r="E23" s="3064"/>
      <c r="F23" s="3064"/>
      <c r="G23" s="3064"/>
      <c r="H23" s="3064"/>
      <c r="I23" s="3064"/>
      <c r="J23" s="3064"/>
    </row>
    <row r="24" spans="1:14" ht="27" customHeight="1">
      <c r="A24" s="574" t="s">
        <v>447</v>
      </c>
      <c r="B24" s="3063" t="s">
        <v>448</v>
      </c>
      <c r="C24" s="3063"/>
      <c r="D24" s="3063"/>
      <c r="E24" s="3063"/>
      <c r="F24" s="3063"/>
      <c r="G24" s="3063"/>
      <c r="H24" s="3063"/>
      <c r="I24" s="3063"/>
      <c r="J24" s="3063"/>
    </row>
    <row r="25" spans="1:14" ht="27" customHeight="1">
      <c r="A25" s="574" t="s">
        <v>449</v>
      </c>
      <c r="B25" s="3063" t="s">
        <v>450</v>
      </c>
      <c r="C25" s="3063"/>
      <c r="D25" s="3063"/>
      <c r="E25" s="3063"/>
      <c r="F25" s="3063"/>
      <c r="G25" s="3063"/>
      <c r="H25" s="3063"/>
      <c r="I25" s="3063"/>
      <c r="J25" s="3063"/>
    </row>
    <row r="26" spans="1:14" ht="27" customHeight="1">
      <c r="A26" s="574" t="s">
        <v>451</v>
      </c>
      <c r="B26" s="3064" t="s">
        <v>1110</v>
      </c>
      <c r="C26" s="3064"/>
      <c r="D26" s="3064"/>
      <c r="E26" s="3064"/>
      <c r="F26" s="3064"/>
      <c r="G26" s="3064"/>
      <c r="H26" s="3064"/>
      <c r="I26" s="3064"/>
      <c r="J26" s="3064"/>
    </row>
    <row r="30" spans="1:14">
      <c r="A30" s="1166" t="s">
        <v>672</v>
      </c>
      <c r="B30" s="1251"/>
      <c r="C30" s="543"/>
      <c r="D30" s="543"/>
      <c r="E30" s="1252"/>
      <c r="F30" s="543"/>
      <c r="G30" s="543"/>
      <c r="H30" s="1252"/>
      <c r="I30" s="543"/>
      <c r="J30" s="543"/>
      <c r="K30" s="543"/>
      <c r="L30" s="543"/>
      <c r="M30" s="543"/>
      <c r="N30" s="543"/>
    </row>
    <row r="35" spans="1:10" ht="15.75">
      <c r="A35" s="578"/>
      <c r="B35" s="579" t="s">
        <v>539</v>
      </c>
      <c r="C35" s="3070" t="s">
        <v>540</v>
      </c>
      <c r="D35" s="3070"/>
      <c r="E35" s="3070"/>
      <c r="F35" s="3070"/>
      <c r="G35" s="3070"/>
      <c r="H35" s="3070"/>
      <c r="I35" s="3070"/>
      <c r="J35" s="3070"/>
    </row>
    <row r="36" spans="1:10" ht="15" customHeight="1">
      <c r="A36" s="580" t="s">
        <v>541</v>
      </c>
      <c r="B36" s="3071" t="s">
        <v>542</v>
      </c>
      <c r="C36" s="3071"/>
      <c r="D36" s="3071"/>
      <c r="E36" s="3071"/>
      <c r="F36" s="3071"/>
      <c r="G36" s="3071"/>
      <c r="H36" s="3071"/>
      <c r="I36" s="3071"/>
      <c r="J36" s="3071"/>
    </row>
    <row r="37" spans="1:10" ht="55.5" customHeight="1">
      <c r="A37" s="574" t="s">
        <v>543</v>
      </c>
      <c r="B37" s="3059" t="s">
        <v>544</v>
      </c>
      <c r="C37" s="3059"/>
      <c r="D37" s="3059"/>
      <c r="E37" s="3059"/>
      <c r="F37" s="3066" t="s">
        <v>545</v>
      </c>
      <c r="G37" s="3066"/>
      <c r="H37" s="3066"/>
      <c r="I37" s="3066"/>
      <c r="J37" s="3066"/>
    </row>
    <row r="38" spans="1:10" ht="39.75" customHeight="1">
      <c r="A38" s="574" t="s">
        <v>546</v>
      </c>
      <c r="B38" s="3059" t="s">
        <v>547</v>
      </c>
      <c r="C38" s="3059"/>
      <c r="D38" s="3059"/>
      <c r="E38" s="3059"/>
      <c r="F38" s="3066" t="s">
        <v>548</v>
      </c>
      <c r="G38" s="3066"/>
      <c r="H38" s="3066"/>
      <c r="I38" s="3066"/>
      <c r="J38" s="3066"/>
    </row>
    <row r="39" spans="1:10" ht="39.75" customHeight="1">
      <c r="A39" s="574" t="s">
        <v>549</v>
      </c>
      <c r="B39" s="3059" t="s">
        <v>423</v>
      </c>
      <c r="C39" s="3059"/>
      <c r="D39" s="3059"/>
      <c r="E39" s="3059"/>
      <c r="F39" s="3066" t="s">
        <v>550</v>
      </c>
      <c r="G39" s="3066"/>
      <c r="H39" s="3066"/>
      <c r="I39" s="3066"/>
      <c r="J39" s="3066"/>
    </row>
    <row r="40" spans="1:10" ht="57" customHeight="1">
      <c r="A40" s="574" t="s">
        <v>551</v>
      </c>
      <c r="B40" s="3059" t="s">
        <v>552</v>
      </c>
      <c r="C40" s="3059"/>
      <c r="D40" s="3059"/>
      <c r="E40" s="3059"/>
      <c r="F40" s="3066" t="s">
        <v>553</v>
      </c>
      <c r="G40" s="3066"/>
      <c r="H40" s="3066"/>
      <c r="I40" s="3066"/>
      <c r="J40" s="3066"/>
    </row>
    <row r="41" spans="1:10">
      <c r="A41" s="574" t="s">
        <v>554</v>
      </c>
      <c r="B41" s="3059" t="s">
        <v>555</v>
      </c>
      <c r="C41" s="3059"/>
      <c r="D41" s="3059"/>
      <c r="E41" s="3059"/>
      <c r="F41" s="3066" t="s">
        <v>556</v>
      </c>
      <c r="G41" s="3066"/>
      <c r="H41" s="3066"/>
      <c r="I41" s="3066"/>
      <c r="J41" s="3066"/>
    </row>
    <row r="42" spans="1:10" ht="42" customHeight="1">
      <c r="A42" s="574" t="s">
        <v>557</v>
      </c>
      <c r="B42" s="3059" t="s">
        <v>558</v>
      </c>
      <c r="C42" s="3059"/>
      <c r="D42" s="3059"/>
      <c r="E42" s="3059"/>
      <c r="F42" s="3059" t="s">
        <v>559</v>
      </c>
      <c r="G42" s="3059"/>
      <c r="H42" s="3059"/>
      <c r="I42" s="3059"/>
      <c r="J42" s="3059"/>
    </row>
    <row r="43" spans="1:10" ht="15" customHeight="1">
      <c r="A43" s="576" t="s">
        <v>560</v>
      </c>
      <c r="B43" s="3068" t="s">
        <v>561</v>
      </c>
      <c r="C43" s="3069"/>
      <c r="D43" s="3069"/>
      <c r="E43" s="3069"/>
      <c r="F43" s="3069"/>
      <c r="G43" s="3069"/>
      <c r="H43" s="3069"/>
      <c r="I43" s="3069"/>
      <c r="J43" s="3069"/>
    </row>
    <row r="44" spans="1:10" ht="30.75" customHeight="1">
      <c r="A44" s="574" t="s">
        <v>562</v>
      </c>
      <c r="B44" s="3059" t="s">
        <v>563</v>
      </c>
      <c r="C44" s="3059"/>
      <c r="D44" s="3059"/>
      <c r="E44" s="3059"/>
      <c r="F44" s="3059" t="s">
        <v>564</v>
      </c>
      <c r="G44" s="3059"/>
      <c r="H44" s="3059"/>
      <c r="I44" s="3059"/>
      <c r="J44" s="3059"/>
    </row>
    <row r="45" spans="1:10" ht="43.5" customHeight="1">
      <c r="A45" s="574" t="s">
        <v>565</v>
      </c>
      <c r="B45" s="3059" t="s">
        <v>566</v>
      </c>
      <c r="C45" s="3059"/>
      <c r="D45" s="3059"/>
      <c r="E45" s="3059"/>
      <c r="F45" s="3059" t="s">
        <v>567</v>
      </c>
      <c r="G45" s="3059"/>
      <c r="H45" s="3059"/>
      <c r="I45" s="3059"/>
      <c r="J45" s="3059"/>
    </row>
    <row r="46" spans="1:10" ht="17.25" customHeight="1">
      <c r="A46" s="574" t="s">
        <v>568</v>
      </c>
      <c r="B46" s="3059" t="s">
        <v>569</v>
      </c>
      <c r="C46" s="3059"/>
      <c r="D46" s="3059"/>
      <c r="E46" s="3059"/>
      <c r="F46" s="3059" t="s">
        <v>570</v>
      </c>
      <c r="G46" s="3059"/>
      <c r="H46" s="3059"/>
      <c r="I46" s="3059"/>
      <c r="J46" s="3059"/>
    </row>
    <row r="47" spans="1:10" ht="18" customHeight="1">
      <c r="A47" s="574" t="s">
        <v>571</v>
      </c>
      <c r="B47" s="3059" t="s">
        <v>572</v>
      </c>
      <c r="C47" s="3059"/>
      <c r="D47" s="3059"/>
      <c r="E47" s="3059"/>
      <c r="F47" s="3059" t="s">
        <v>567</v>
      </c>
      <c r="G47" s="3059"/>
      <c r="H47" s="3059"/>
      <c r="I47" s="3059"/>
      <c r="J47" s="3059"/>
    </row>
    <row r="48" spans="1:10" ht="29.25" customHeight="1">
      <c r="A48" s="574" t="s">
        <v>573</v>
      </c>
      <c r="B48" s="3059" t="s">
        <v>574</v>
      </c>
      <c r="C48" s="3059"/>
      <c r="D48" s="3059"/>
      <c r="E48" s="3059"/>
      <c r="F48" s="3059" t="s">
        <v>575</v>
      </c>
      <c r="G48" s="3059"/>
      <c r="H48" s="3059"/>
      <c r="I48" s="3059"/>
      <c r="J48" s="3059"/>
    </row>
    <row r="49" spans="1:10" ht="15" customHeight="1">
      <c r="A49" s="574" t="s">
        <v>576</v>
      </c>
      <c r="B49" s="3059" t="s">
        <v>577</v>
      </c>
      <c r="C49" s="3059"/>
      <c r="D49" s="3059"/>
      <c r="E49" s="3059"/>
      <c r="F49" s="3059" t="s">
        <v>578</v>
      </c>
      <c r="G49" s="3059"/>
      <c r="H49" s="3059"/>
      <c r="I49" s="3059"/>
      <c r="J49" s="3059"/>
    </row>
    <row r="50" spans="1:10" ht="15" customHeight="1">
      <c r="A50" s="574" t="s">
        <v>579</v>
      </c>
      <c r="B50" s="3059" t="s">
        <v>580</v>
      </c>
      <c r="C50" s="3059"/>
      <c r="D50" s="3059"/>
      <c r="E50" s="3059"/>
      <c r="F50" s="3059" t="s">
        <v>578</v>
      </c>
      <c r="G50" s="3059"/>
      <c r="H50" s="3059"/>
      <c r="I50" s="3059"/>
      <c r="J50" s="3059"/>
    </row>
    <row r="51" spans="1:10" ht="17.25" customHeight="1">
      <c r="A51" s="574" t="s">
        <v>581</v>
      </c>
      <c r="B51" s="3059" t="s">
        <v>582</v>
      </c>
      <c r="C51" s="3059"/>
      <c r="D51" s="3059"/>
      <c r="E51" s="3059"/>
      <c r="F51" s="3059" t="s">
        <v>578</v>
      </c>
      <c r="G51" s="3059"/>
      <c r="H51" s="3059"/>
      <c r="I51" s="3059"/>
      <c r="J51" s="3059"/>
    </row>
    <row r="52" spans="1:10" ht="20.25" customHeight="1">
      <c r="A52" s="574" t="s">
        <v>583</v>
      </c>
      <c r="B52" s="3059" t="s">
        <v>584</v>
      </c>
      <c r="C52" s="3059"/>
      <c r="D52" s="3059"/>
      <c r="E52" s="3059"/>
      <c r="F52" s="3059" t="s">
        <v>585</v>
      </c>
      <c r="G52" s="3059"/>
      <c r="H52" s="3059"/>
      <c r="I52" s="3059"/>
      <c r="J52" s="3059"/>
    </row>
    <row r="53" spans="1:10" ht="15" customHeight="1">
      <c r="A53" s="576" t="s">
        <v>586</v>
      </c>
      <c r="B53" s="3065" t="s">
        <v>587</v>
      </c>
      <c r="C53" s="3065"/>
      <c r="D53" s="3065"/>
      <c r="E53" s="3065"/>
      <c r="F53" s="3065"/>
      <c r="G53" s="3065"/>
      <c r="H53" s="3065"/>
      <c r="I53" s="3065"/>
      <c r="J53" s="3065"/>
    </row>
    <row r="54" spans="1:10">
      <c r="A54" s="574" t="s">
        <v>588</v>
      </c>
      <c r="B54" s="3059" t="s">
        <v>589</v>
      </c>
      <c r="C54" s="3059"/>
      <c r="D54" s="3059"/>
      <c r="E54" s="3059"/>
      <c r="F54" s="3060" t="s">
        <v>567</v>
      </c>
      <c r="G54" s="3061"/>
      <c r="H54" s="3061"/>
      <c r="I54" s="3061"/>
      <c r="J54" s="3062"/>
    </row>
    <row r="55" spans="1:10">
      <c r="A55" s="574" t="s">
        <v>590</v>
      </c>
      <c r="B55" s="3059" t="s">
        <v>591</v>
      </c>
      <c r="C55" s="3059"/>
      <c r="D55" s="3059"/>
      <c r="E55" s="3059"/>
      <c r="F55" s="3060" t="s">
        <v>592</v>
      </c>
      <c r="G55" s="3061"/>
      <c r="H55" s="3061"/>
      <c r="I55" s="3061"/>
      <c r="J55" s="3062"/>
    </row>
    <row r="56" spans="1:10">
      <c r="A56" s="574" t="s">
        <v>593</v>
      </c>
      <c r="B56" s="3059" t="s">
        <v>594</v>
      </c>
      <c r="C56" s="3059"/>
      <c r="D56" s="3059"/>
      <c r="E56" s="3059"/>
      <c r="F56" s="3060" t="s">
        <v>595</v>
      </c>
      <c r="G56" s="3061"/>
      <c r="H56" s="3061"/>
      <c r="I56" s="3061"/>
      <c r="J56" s="3062"/>
    </row>
    <row r="57" spans="1:10">
      <c r="A57" s="574" t="s">
        <v>596</v>
      </c>
      <c r="B57" s="3059" t="s">
        <v>436</v>
      </c>
      <c r="C57" s="3059"/>
      <c r="D57" s="3059"/>
      <c r="E57" s="3059"/>
      <c r="F57" s="3060" t="s">
        <v>597</v>
      </c>
      <c r="G57" s="3061"/>
      <c r="H57" s="3061"/>
      <c r="I57" s="3061"/>
      <c r="J57" s="3062"/>
    </row>
    <row r="58" spans="1:10">
      <c r="A58" s="574" t="s">
        <v>598</v>
      </c>
      <c r="B58" s="3059" t="s">
        <v>599</v>
      </c>
      <c r="C58" s="3059"/>
      <c r="D58" s="3059"/>
      <c r="E58" s="3059"/>
      <c r="F58" s="3060" t="s">
        <v>567</v>
      </c>
      <c r="G58" s="3061"/>
      <c r="H58" s="3061"/>
      <c r="I58" s="3061"/>
      <c r="J58" s="3062"/>
    </row>
    <row r="59" spans="1:10">
      <c r="A59" s="574" t="s">
        <v>600</v>
      </c>
      <c r="B59" s="3059" t="s">
        <v>601</v>
      </c>
      <c r="C59" s="3059"/>
      <c r="D59" s="3059"/>
      <c r="E59" s="3059"/>
      <c r="F59" s="3060" t="s">
        <v>592</v>
      </c>
      <c r="G59" s="3061"/>
      <c r="H59" s="3061"/>
      <c r="I59" s="3061"/>
      <c r="J59" s="3062"/>
    </row>
    <row r="60" spans="1:10" ht="29.25" customHeight="1">
      <c r="A60" s="574" t="s">
        <v>309</v>
      </c>
      <c r="B60" s="3059" t="s">
        <v>602</v>
      </c>
      <c r="C60" s="3059"/>
      <c r="D60" s="3059"/>
      <c r="E60" s="3059"/>
      <c r="F60" s="3060" t="s">
        <v>592</v>
      </c>
      <c r="G60" s="3061"/>
      <c r="H60" s="3061"/>
      <c r="I60" s="3061"/>
      <c r="J60" s="3062"/>
    </row>
    <row r="61" spans="1:10" ht="29.25" customHeight="1">
      <c r="A61" s="574" t="s">
        <v>603</v>
      </c>
      <c r="B61" s="3059" t="s">
        <v>604</v>
      </c>
      <c r="C61" s="3059"/>
      <c r="D61" s="3059"/>
      <c r="E61" s="3059"/>
      <c r="F61" s="3060" t="s">
        <v>605</v>
      </c>
      <c r="G61" s="3061"/>
      <c r="H61" s="3061"/>
      <c r="I61" s="3061"/>
      <c r="J61" s="3062"/>
    </row>
    <row r="62" spans="1:10" ht="15" customHeight="1">
      <c r="A62" s="576" t="s">
        <v>606</v>
      </c>
      <c r="B62" s="3065" t="s">
        <v>607</v>
      </c>
      <c r="C62" s="3065"/>
      <c r="D62" s="3065"/>
      <c r="E62" s="3065"/>
      <c r="F62" s="3065"/>
      <c r="G62" s="3065"/>
      <c r="H62" s="3065"/>
      <c r="I62" s="3065"/>
      <c r="J62" s="3065"/>
    </row>
    <row r="63" spans="1:10">
      <c r="A63" s="574" t="s">
        <v>608</v>
      </c>
      <c r="B63" s="3059" t="s">
        <v>609</v>
      </c>
      <c r="C63" s="3059"/>
      <c r="D63" s="3059"/>
      <c r="E63" s="3059"/>
      <c r="F63" s="3058" t="s">
        <v>610</v>
      </c>
      <c r="G63" s="3058"/>
      <c r="H63" s="3058"/>
      <c r="I63" s="3058"/>
      <c r="J63" s="3058"/>
    </row>
    <row r="64" spans="1:10">
      <c r="A64" s="574" t="s">
        <v>611</v>
      </c>
      <c r="B64" s="3059" t="s">
        <v>612</v>
      </c>
      <c r="C64" s="3059"/>
      <c r="D64" s="3059"/>
      <c r="E64" s="3059"/>
      <c r="F64" s="3058"/>
      <c r="G64" s="3058"/>
      <c r="H64" s="3058"/>
      <c r="I64" s="3058"/>
      <c r="J64" s="3058"/>
    </row>
    <row r="65" spans="1:10">
      <c r="A65" s="574" t="s">
        <v>613</v>
      </c>
      <c r="B65" s="3059" t="s">
        <v>614</v>
      </c>
      <c r="C65" s="3059"/>
      <c r="D65" s="3059"/>
      <c r="E65" s="3059"/>
      <c r="F65" s="3058"/>
      <c r="G65" s="3058"/>
      <c r="H65" s="3058"/>
      <c r="I65" s="3058"/>
      <c r="J65" s="3058"/>
    </row>
    <row r="66" spans="1:10">
      <c r="A66" s="574" t="s">
        <v>615</v>
      </c>
      <c r="B66" s="3059" t="s">
        <v>616</v>
      </c>
      <c r="C66" s="3059"/>
      <c r="D66" s="3059"/>
      <c r="E66" s="3059"/>
      <c r="F66" s="3058"/>
      <c r="G66" s="3058"/>
      <c r="H66" s="3058"/>
      <c r="I66" s="3058"/>
      <c r="J66" s="3058"/>
    </row>
    <row r="67" spans="1:10">
      <c r="A67" s="574" t="s">
        <v>617</v>
      </c>
      <c r="B67" s="3059" t="s">
        <v>618</v>
      </c>
      <c r="C67" s="3059"/>
      <c r="D67" s="3059"/>
      <c r="E67" s="3059"/>
      <c r="F67" s="3058"/>
      <c r="G67" s="3058"/>
      <c r="H67" s="3058"/>
      <c r="I67" s="3058"/>
      <c r="J67" s="3058"/>
    </row>
  </sheetData>
  <sheetProtection algorithmName="SHA-512" hashValue="N83U7Hl3g5Bln4XcfEyI1/sApGrlwPRoch+xapZ+j2B/N07SgHom+xV6RtYhtzSN0s1JgdYQq7wMU/V2Tw7Q0A==" saltValue="KBWLMpIuZWtWvjqFUVRP/Q==" spinCount="100000" sheet="1" objects="1" scenarios="1"/>
  <mergeCells count="70">
    <mergeCell ref="B16:J16"/>
    <mergeCell ref="A1:J1"/>
    <mergeCell ref="A2:J2"/>
    <mergeCell ref="F54:J54"/>
    <mergeCell ref="F55:J55"/>
    <mergeCell ref="B43:J43"/>
    <mergeCell ref="B53:J53"/>
    <mergeCell ref="C35:J35"/>
    <mergeCell ref="B36:J36"/>
    <mergeCell ref="B17:J17"/>
    <mergeCell ref="B18:J18"/>
    <mergeCell ref="B19:J19"/>
    <mergeCell ref="B20:J20"/>
    <mergeCell ref="B21:J21"/>
    <mergeCell ref="B22:J22"/>
    <mergeCell ref="B23:J23"/>
    <mergeCell ref="B24:J24"/>
    <mergeCell ref="B25:J25"/>
    <mergeCell ref="B26:J26"/>
    <mergeCell ref="F49:J49"/>
    <mergeCell ref="B62:J62"/>
    <mergeCell ref="B37:E37"/>
    <mergeCell ref="B38:E38"/>
    <mergeCell ref="B39:E39"/>
    <mergeCell ref="B40:E40"/>
    <mergeCell ref="B41:E41"/>
    <mergeCell ref="B42:E42"/>
    <mergeCell ref="F37:J37"/>
    <mergeCell ref="F38:J38"/>
    <mergeCell ref="F39:J39"/>
    <mergeCell ref="F40:J40"/>
    <mergeCell ref="F41:J41"/>
    <mergeCell ref="F42:J42"/>
    <mergeCell ref="F44:J44"/>
    <mergeCell ref="F56:J56"/>
    <mergeCell ref="F50:J50"/>
    <mergeCell ref="F51:J51"/>
    <mergeCell ref="F52:J52"/>
    <mergeCell ref="B44:E44"/>
    <mergeCell ref="B45:E45"/>
    <mergeCell ref="B46:E46"/>
    <mergeCell ref="B47:E47"/>
    <mergeCell ref="B48:E48"/>
    <mergeCell ref="B49:E49"/>
    <mergeCell ref="B50:E50"/>
    <mergeCell ref="B51:E51"/>
    <mergeCell ref="B52:E52"/>
    <mergeCell ref="F45:J45"/>
    <mergeCell ref="F46:J46"/>
    <mergeCell ref="F47:J47"/>
    <mergeCell ref="F48:J48"/>
    <mergeCell ref="F61:J61"/>
    <mergeCell ref="B54:E54"/>
    <mergeCell ref="B55:E55"/>
    <mergeCell ref="B56:E56"/>
    <mergeCell ref="B57:E57"/>
    <mergeCell ref="B58:E58"/>
    <mergeCell ref="B59:E59"/>
    <mergeCell ref="B60:E60"/>
    <mergeCell ref="B61:E61"/>
    <mergeCell ref="F57:J57"/>
    <mergeCell ref="F58:J58"/>
    <mergeCell ref="F59:J59"/>
    <mergeCell ref="F60:J60"/>
    <mergeCell ref="F63:J67"/>
    <mergeCell ref="B63:E63"/>
    <mergeCell ref="B64:E64"/>
    <mergeCell ref="B65:E65"/>
    <mergeCell ref="B66:E66"/>
    <mergeCell ref="B67:E67"/>
  </mergeCells>
  <conditionalFormatting sqref="E9 H9">
    <cfRule type="cellIs" dxfId="99" priority="1" stopIfTrue="1" operator="lessThan">
      <formula>95</formula>
    </cfRule>
  </conditionalFormatting>
  <pageMargins left="0.7" right="0.7" top="0.78740157499999996" bottom="0.78740157499999996" header="0.3" footer="0.3"/>
  <pageSetup paperSize="9" scale="61" fitToHeight="0" orientation="landscape" r:id="rId1"/>
  <headerFooter>
    <oddHeader>&amp;LVDV SUN Jahresschlussrechnung JJJJ&amp;R&amp;KFF0000&amp;F</oddHeader>
    <oddFooter>&amp;C&amp;P&amp;R&amp;A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3"/>
  <sheetViews>
    <sheetView view="pageLayout" zoomScaleNormal="100" zoomScaleSheetLayoutView="80" workbookViewId="0">
      <selection activeCell="K55" sqref="K55"/>
    </sheetView>
  </sheetViews>
  <sheetFormatPr baseColWidth="10" defaultRowHeight="12.75"/>
  <cols>
    <col min="1" max="1" width="8.85546875" style="28" customWidth="1"/>
    <col min="2" max="2" width="7.5703125" style="28" customWidth="1"/>
    <col min="3" max="3" width="28.5703125" bestFit="1" customWidth="1"/>
    <col min="4" max="4" width="13.140625" customWidth="1"/>
    <col min="5" max="5" width="11.42578125" style="2" customWidth="1"/>
    <col min="6" max="6" width="14.42578125" customWidth="1"/>
    <col min="7" max="7" width="11.28515625" customWidth="1"/>
    <col min="8" max="8" width="11.85546875" style="2" customWidth="1"/>
    <col min="9" max="9" width="12.42578125" customWidth="1"/>
    <col min="10" max="10" width="19.7109375" customWidth="1"/>
    <col min="11" max="11" width="56.85546875" customWidth="1"/>
  </cols>
  <sheetData>
    <row r="1" spans="1:10" ht="18">
      <c r="A1" s="3073" t="s">
        <v>1507</v>
      </c>
      <c r="B1" s="3073"/>
      <c r="C1" s="3073"/>
      <c r="D1" s="3073"/>
      <c r="E1" s="3073"/>
      <c r="F1" s="3073"/>
      <c r="G1" s="3073"/>
      <c r="H1" s="3073"/>
      <c r="I1" s="3073"/>
      <c r="J1" s="3073"/>
    </row>
    <row r="2" spans="1:10" ht="18">
      <c r="A2" s="3074" t="str">
        <f>'1a_Leistungsvolumen'!A2:C2</f>
        <v>Monat JJJJ</v>
      </c>
      <c r="B2" s="3074"/>
      <c r="C2" s="3074"/>
      <c r="D2" s="3074"/>
      <c r="E2" s="3074"/>
      <c r="F2" s="3074"/>
      <c r="G2" s="3074"/>
      <c r="H2" s="3074"/>
      <c r="I2" s="3074"/>
      <c r="J2" s="3074"/>
    </row>
    <row r="3" spans="1:10" ht="13.5" thickBot="1">
      <c r="A3" s="27"/>
      <c r="B3" s="7"/>
      <c r="C3" s="7"/>
      <c r="D3" s="7"/>
      <c r="E3" s="7"/>
      <c r="F3" s="197"/>
      <c r="G3" s="7"/>
      <c r="H3" s="7"/>
      <c r="I3" s="7"/>
      <c r="J3" s="7"/>
    </row>
    <row r="4" spans="1:10" ht="51.75" thickBot="1">
      <c r="A4" s="624" t="s">
        <v>18</v>
      </c>
      <c r="B4" s="572" t="s">
        <v>0</v>
      </c>
      <c r="C4" s="625" t="s">
        <v>1</v>
      </c>
      <c r="D4" s="52" t="s">
        <v>647</v>
      </c>
      <c r="E4" s="52" t="s">
        <v>648</v>
      </c>
      <c r="F4" s="52" t="s">
        <v>4</v>
      </c>
      <c r="G4" s="52" t="s">
        <v>649</v>
      </c>
      <c r="H4" s="52" t="s">
        <v>650</v>
      </c>
      <c r="I4" s="634" t="s">
        <v>651</v>
      </c>
      <c r="J4" s="61" t="s">
        <v>652</v>
      </c>
    </row>
    <row r="5" spans="1:10">
      <c r="A5" s="967" t="s">
        <v>139</v>
      </c>
      <c r="B5" s="2341" t="s">
        <v>1529</v>
      </c>
      <c r="C5" s="189"/>
      <c r="D5" s="589">
        <v>16</v>
      </c>
      <c r="E5" s="589">
        <v>4</v>
      </c>
      <c r="F5" s="627">
        <v>80</v>
      </c>
      <c r="G5" s="589">
        <v>0</v>
      </c>
      <c r="H5" s="589">
        <v>38</v>
      </c>
      <c r="I5" s="635">
        <v>8.9</v>
      </c>
      <c r="J5" s="640" t="s">
        <v>653</v>
      </c>
    </row>
    <row r="6" spans="1:10" ht="25.5">
      <c r="A6" s="201" t="s">
        <v>139</v>
      </c>
      <c r="B6" s="2342" t="s">
        <v>1537</v>
      </c>
      <c r="C6" s="188"/>
      <c r="D6" s="43">
        <v>51</v>
      </c>
      <c r="E6" s="43">
        <v>10</v>
      </c>
      <c r="F6" s="43">
        <v>83.61</v>
      </c>
      <c r="G6" s="43">
        <v>0</v>
      </c>
      <c r="H6" s="43">
        <v>59</v>
      </c>
      <c r="I6" s="637">
        <v>4.08</v>
      </c>
      <c r="J6" s="641" t="s">
        <v>654</v>
      </c>
    </row>
    <row r="7" spans="1:10">
      <c r="A7" s="201" t="s">
        <v>139</v>
      </c>
      <c r="B7" s="2342" t="s">
        <v>1530</v>
      </c>
      <c r="C7" s="189"/>
      <c r="D7" s="18">
        <v>42</v>
      </c>
      <c r="E7" s="18">
        <v>17</v>
      </c>
      <c r="F7" s="18">
        <v>71.19</v>
      </c>
      <c r="G7" s="18">
        <v>-1</v>
      </c>
      <c r="H7" s="18">
        <v>59</v>
      </c>
      <c r="I7" s="636">
        <v>5.9</v>
      </c>
      <c r="J7" s="1246" t="s">
        <v>1105</v>
      </c>
    </row>
    <row r="8" spans="1:10">
      <c r="A8" s="429"/>
      <c r="B8" s="628"/>
      <c r="C8" s="628"/>
      <c r="D8" s="33"/>
      <c r="E8" s="33"/>
      <c r="F8" s="629"/>
      <c r="G8" s="33"/>
      <c r="H8" s="33"/>
      <c r="I8" s="638"/>
      <c r="J8" s="38"/>
    </row>
    <row r="9" spans="1:10" ht="13.5" thickBot="1">
      <c r="A9" s="599"/>
      <c r="B9" s="630"/>
      <c r="C9" s="630"/>
      <c r="D9" s="630"/>
      <c r="E9" s="630"/>
      <c r="F9" s="631"/>
      <c r="G9" s="630"/>
      <c r="H9" s="630"/>
      <c r="I9" s="639"/>
      <c r="J9" s="632"/>
    </row>
    <row r="10" spans="1:10">
      <c r="A10" s="27"/>
      <c r="B10" s="7"/>
      <c r="C10" s="7"/>
      <c r="D10" s="7"/>
      <c r="E10" s="7"/>
      <c r="F10" s="197"/>
      <c r="G10" s="7"/>
      <c r="H10" s="7"/>
      <c r="I10" s="7"/>
      <c r="J10" s="7"/>
    </row>
    <row r="11" spans="1:10">
      <c r="A11" s="633"/>
      <c r="B11" s="7"/>
      <c r="C11" s="7"/>
      <c r="D11" s="7"/>
      <c r="E11" s="7"/>
      <c r="F11" s="197"/>
      <c r="G11" s="3056" t="s">
        <v>241</v>
      </c>
      <c r="H11" s="3056"/>
      <c r="I11" s="3056"/>
      <c r="J11" s="3056"/>
    </row>
    <row r="12" spans="1:10">
      <c r="A12" s="27"/>
      <c r="B12" s="7"/>
      <c r="C12" s="7"/>
      <c r="D12" s="7"/>
      <c r="E12" s="7"/>
      <c r="F12" s="197"/>
      <c r="G12" s="3056"/>
      <c r="H12" s="3056"/>
      <c r="I12" s="3056"/>
      <c r="J12" s="3056"/>
    </row>
    <row r="13" spans="1:10">
      <c r="A13" s="27"/>
      <c r="B13" s="7"/>
      <c r="C13" s="7"/>
      <c r="D13" s="7"/>
      <c r="E13" s="7"/>
      <c r="F13" s="197"/>
      <c r="G13" s="3056"/>
      <c r="H13" s="3056"/>
      <c r="I13" s="3056"/>
      <c r="J13" s="3056"/>
    </row>
    <row r="14" spans="1:10">
      <c r="A14" s="27"/>
      <c r="B14" s="7"/>
      <c r="C14" s="7"/>
      <c r="D14" s="7"/>
      <c r="E14" s="7"/>
      <c r="F14" s="197"/>
      <c r="G14" s="3056"/>
      <c r="H14" s="3056"/>
      <c r="I14" s="3056"/>
      <c r="J14" s="3056"/>
    </row>
    <row r="15" spans="1:10">
      <c r="A15" s="27"/>
      <c r="B15" s="7"/>
      <c r="C15" s="7"/>
      <c r="D15" s="7"/>
      <c r="E15" s="7"/>
      <c r="F15" s="197"/>
      <c r="G15" s="3056"/>
      <c r="H15" s="3056"/>
      <c r="I15" s="3056"/>
      <c r="J15" s="3056"/>
    </row>
    <row r="16" spans="1:10">
      <c r="A16" s="27"/>
      <c r="B16" s="7"/>
      <c r="C16" s="7"/>
      <c r="D16" s="7"/>
      <c r="E16" s="7"/>
      <c r="F16" s="197"/>
      <c r="G16" s="3056"/>
      <c r="H16" s="3056"/>
      <c r="I16" s="3056"/>
      <c r="J16" s="3056"/>
    </row>
    <row r="17" spans="1:10">
      <c r="A17" s="27"/>
      <c r="B17" s="7"/>
      <c r="C17" s="7"/>
      <c r="D17" s="7"/>
      <c r="E17" s="7"/>
      <c r="F17" s="197"/>
      <c r="G17" s="7"/>
      <c r="H17" s="7"/>
      <c r="I17" s="7"/>
      <c r="J17" s="7"/>
    </row>
    <row r="18" spans="1:10">
      <c r="A18" s="27"/>
      <c r="B18" s="7"/>
      <c r="C18" s="7"/>
      <c r="D18" s="7"/>
      <c r="E18" s="7"/>
      <c r="F18" s="197"/>
      <c r="G18" s="7"/>
      <c r="H18" s="7"/>
      <c r="I18" s="7"/>
      <c r="J18" s="7"/>
    </row>
    <row r="19" spans="1:10">
      <c r="A19" s="194" t="s">
        <v>219</v>
      </c>
      <c r="B19" s="195" t="s">
        <v>224</v>
      </c>
      <c r="C19" s="388"/>
      <c r="D19" s="388"/>
      <c r="E19" s="388"/>
      <c r="F19" s="197"/>
      <c r="G19" s="7"/>
      <c r="H19" s="7"/>
      <c r="I19" s="7"/>
      <c r="J19" s="7"/>
    </row>
    <row r="20" spans="1:10">
      <c r="A20" s="27"/>
      <c r="B20" s="195" t="s">
        <v>1645</v>
      </c>
      <c r="C20" s="7"/>
      <c r="D20" s="7"/>
      <c r="E20" s="7"/>
      <c r="F20" s="197"/>
      <c r="G20" s="7"/>
      <c r="H20" s="7"/>
      <c r="I20" s="7"/>
      <c r="J20" s="7"/>
    </row>
    <row r="21" spans="1:10">
      <c r="A21" s="2631"/>
      <c r="B21" s="195"/>
      <c r="C21" s="2632"/>
      <c r="D21" s="2632"/>
      <c r="E21" s="2632"/>
      <c r="F21" s="197"/>
      <c r="G21" s="2632"/>
      <c r="H21" s="2632"/>
      <c r="I21" s="2632"/>
      <c r="J21" s="2632"/>
    </row>
    <row r="22" spans="1:10">
      <c r="A22" s="335" t="s">
        <v>1434</v>
      </c>
      <c r="B22" s="335" t="s">
        <v>1435</v>
      </c>
      <c r="D22" s="197"/>
    </row>
    <row r="23" spans="1:10">
      <c r="A23" s="335" t="s">
        <v>1554</v>
      </c>
      <c r="B23" s="335" t="s">
        <v>1550</v>
      </c>
      <c r="C23" s="2196" t="s">
        <v>1442</v>
      </c>
      <c r="D23" s="197"/>
    </row>
  </sheetData>
  <sheetProtection algorithmName="SHA-512" hashValue="toi7ENPByYGxG/v+tWHgNA+Ck6LRYrTnxLpYUgYQkWN8R6vYkKpoCfPA3wknWfnj+XO53KQH6w/GNqh8SdipXg==" saltValue="TH66kgIgrNieKAFiNnv4Hw==" spinCount="100000" sheet="1" objects="1" scenarios="1"/>
  <mergeCells count="3">
    <mergeCell ref="A1:J1"/>
    <mergeCell ref="A2:J2"/>
    <mergeCell ref="G11:J16"/>
  </mergeCells>
  <conditionalFormatting sqref="F1:F3 F10:F21 F5:F7">
    <cfRule type="cellIs" dxfId="98" priority="1" stopIfTrue="1" operator="lessThan">
      <formula>95</formula>
    </cfRule>
  </conditionalFormatting>
  <conditionalFormatting sqref="F4 F8:F9">
    <cfRule type="cellIs" dxfId="97" priority="2" stopIfTrue="1" operator="lessThan">
      <formula>85</formula>
    </cfRule>
  </conditionalFormatting>
  <pageMargins left="0.7" right="0.7" top="0.78740157499999996" bottom="0.78740157499999996" header="0.3" footer="0.3"/>
  <pageSetup paperSize="9" scale="63" fitToHeight="0" orientation="landscape" r:id="rId1"/>
  <headerFooter>
    <oddHeader>&amp;LVDV SUN Jahresschlussrechnung JJJJ&amp;R&amp;KFF0000&amp;F</oddHeader>
    <oddFooter>&amp;C&amp;P&amp;R&amp;A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68"/>
  <sheetViews>
    <sheetView view="pageLayout" zoomScaleNormal="100" workbookViewId="0">
      <selection activeCell="R80" sqref="R80"/>
    </sheetView>
  </sheetViews>
  <sheetFormatPr baseColWidth="10" defaultColWidth="11.28515625" defaultRowHeight="12.75"/>
  <cols>
    <col min="1" max="1" width="26.5703125" customWidth="1"/>
    <col min="2" max="2" width="19.140625" customWidth="1"/>
    <col min="3" max="15" width="11.28515625" customWidth="1"/>
  </cols>
  <sheetData>
    <row r="1" spans="1:15" ht="18">
      <c r="A1" s="3073" t="s">
        <v>1462</v>
      </c>
      <c r="B1" s="3073"/>
      <c r="C1" s="3073"/>
      <c r="D1" s="3073"/>
      <c r="E1" s="3073"/>
      <c r="F1" s="3073"/>
      <c r="G1" s="3073"/>
      <c r="H1" s="3073"/>
      <c r="I1" s="3073"/>
      <c r="J1" s="3073"/>
      <c r="K1" s="3073"/>
      <c r="L1" s="3073"/>
      <c r="M1" s="3073"/>
      <c r="N1" s="3073"/>
      <c r="O1" s="3073"/>
    </row>
    <row r="2" spans="1:15" ht="18">
      <c r="A2" s="3074" t="str">
        <f>'1a_Leistungsvolumen'!A2:C2</f>
        <v>Monat JJJJ</v>
      </c>
      <c r="B2" s="3074"/>
      <c r="C2" s="3074"/>
      <c r="D2" s="3074"/>
      <c r="E2" s="3074"/>
      <c r="F2" s="3074"/>
      <c r="G2" s="3074"/>
      <c r="H2" s="3074"/>
      <c r="I2" s="3074"/>
      <c r="J2" s="3074"/>
      <c r="K2" s="3074"/>
      <c r="L2" s="3074"/>
      <c r="M2" s="3074"/>
      <c r="N2" s="3074"/>
      <c r="O2" s="3074"/>
    </row>
    <row r="4" spans="1:15" ht="13.5" thickBot="1"/>
    <row r="5" spans="1:15" ht="13.5" thickBot="1">
      <c r="A5" s="3087" t="s">
        <v>704</v>
      </c>
      <c r="B5" s="3088"/>
      <c r="C5" s="694" t="s">
        <v>709</v>
      </c>
      <c r="D5" s="694" t="s">
        <v>710</v>
      </c>
      <c r="E5" s="694" t="s">
        <v>711</v>
      </c>
      <c r="F5" s="694" t="s">
        <v>712</v>
      </c>
      <c r="G5" s="694" t="s">
        <v>713</v>
      </c>
      <c r="H5" s="694" t="s">
        <v>714</v>
      </c>
      <c r="I5" s="694" t="s">
        <v>715</v>
      </c>
      <c r="J5" s="694" t="s">
        <v>716</v>
      </c>
      <c r="K5" s="694" t="s">
        <v>717</v>
      </c>
      <c r="L5" s="694" t="s">
        <v>718</v>
      </c>
      <c r="M5" s="694" t="s">
        <v>719</v>
      </c>
      <c r="N5" s="694" t="s">
        <v>720</v>
      </c>
      <c r="O5" s="695" t="s">
        <v>145</v>
      </c>
    </row>
    <row r="6" spans="1:15" ht="15">
      <c r="A6" s="3082" t="s">
        <v>705</v>
      </c>
      <c r="B6" s="3083"/>
      <c r="C6" s="3083"/>
      <c r="D6" s="3083"/>
      <c r="E6" s="3083"/>
      <c r="F6" s="3083"/>
      <c r="G6" s="3083"/>
      <c r="H6" s="3083"/>
      <c r="I6" s="3083"/>
      <c r="J6" s="3083"/>
      <c r="K6" s="3083"/>
      <c r="L6" s="3083"/>
      <c r="M6" s="3083"/>
      <c r="N6" s="3083"/>
      <c r="O6" s="3084"/>
    </row>
    <row r="7" spans="1:15">
      <c r="A7" s="3080" t="s">
        <v>168</v>
      </c>
      <c r="B7" s="696" t="s">
        <v>721</v>
      </c>
      <c r="C7" s="697">
        <v>1</v>
      </c>
      <c r="D7" s="697">
        <v>2</v>
      </c>
      <c r="E7" s="697">
        <v>0</v>
      </c>
      <c r="F7" s="697">
        <v>0</v>
      </c>
      <c r="G7" s="697">
        <v>0</v>
      </c>
      <c r="H7" s="697">
        <v>0</v>
      </c>
      <c r="I7" s="697">
        <v>0</v>
      </c>
      <c r="J7" s="697">
        <v>0</v>
      </c>
      <c r="K7" s="697">
        <v>0</v>
      </c>
      <c r="L7" s="697">
        <v>0</v>
      </c>
      <c r="M7" s="697">
        <v>0</v>
      </c>
      <c r="N7" s="697">
        <v>0</v>
      </c>
      <c r="O7" s="697">
        <f>SUM(C7:N7)</f>
        <v>3</v>
      </c>
    </row>
    <row r="8" spans="1:15">
      <c r="A8" s="3081"/>
      <c r="B8" s="696" t="s">
        <v>722</v>
      </c>
      <c r="C8" s="697">
        <v>6</v>
      </c>
      <c r="D8" s="697">
        <v>16</v>
      </c>
      <c r="E8" s="697">
        <v>0</v>
      </c>
      <c r="F8" s="697">
        <v>0</v>
      </c>
      <c r="G8" s="697">
        <v>0</v>
      </c>
      <c r="H8" s="697">
        <v>0</v>
      </c>
      <c r="I8" s="697">
        <v>0</v>
      </c>
      <c r="J8" s="697">
        <v>0</v>
      </c>
      <c r="K8" s="697">
        <v>0</v>
      </c>
      <c r="L8" s="697">
        <v>0</v>
      </c>
      <c r="M8" s="697">
        <v>0</v>
      </c>
      <c r="N8" s="697">
        <v>0</v>
      </c>
      <c r="O8" s="697">
        <f t="shared" ref="O8:O18" si="0">SUM(C8:N8)</f>
        <v>22</v>
      </c>
    </row>
    <row r="9" spans="1:15">
      <c r="A9" s="3080" t="s">
        <v>167</v>
      </c>
      <c r="B9" s="696" t="s">
        <v>721</v>
      </c>
      <c r="C9" s="697">
        <v>1</v>
      </c>
      <c r="D9" s="697">
        <v>8</v>
      </c>
      <c r="E9" s="697">
        <v>0</v>
      </c>
      <c r="F9" s="697">
        <v>0</v>
      </c>
      <c r="G9" s="697">
        <v>0</v>
      </c>
      <c r="H9" s="697">
        <v>0</v>
      </c>
      <c r="I9" s="697">
        <v>0</v>
      </c>
      <c r="J9" s="697">
        <v>0</v>
      </c>
      <c r="K9" s="697">
        <v>0</v>
      </c>
      <c r="L9" s="697">
        <v>0</v>
      </c>
      <c r="M9" s="697">
        <v>0</v>
      </c>
      <c r="N9" s="697">
        <v>0</v>
      </c>
      <c r="O9" s="697">
        <f t="shared" si="0"/>
        <v>9</v>
      </c>
    </row>
    <row r="10" spans="1:15">
      <c r="A10" s="3081"/>
      <c r="B10" s="696" t="s">
        <v>722</v>
      </c>
      <c r="C10" s="697">
        <v>16</v>
      </c>
      <c r="D10" s="697">
        <v>93</v>
      </c>
      <c r="E10" s="697">
        <v>0</v>
      </c>
      <c r="F10" s="697">
        <v>0</v>
      </c>
      <c r="G10" s="697">
        <v>0</v>
      </c>
      <c r="H10" s="697">
        <v>0</v>
      </c>
      <c r="I10" s="697">
        <v>0</v>
      </c>
      <c r="J10" s="697">
        <v>0</v>
      </c>
      <c r="K10" s="697">
        <v>0</v>
      </c>
      <c r="L10" s="697">
        <v>0</v>
      </c>
      <c r="M10" s="697">
        <v>0</v>
      </c>
      <c r="N10" s="697">
        <v>0</v>
      </c>
      <c r="O10" s="697">
        <f t="shared" si="0"/>
        <v>109</v>
      </c>
    </row>
    <row r="11" spans="1:15">
      <c r="A11" s="3080" t="s">
        <v>723</v>
      </c>
      <c r="B11" s="696" t="s">
        <v>721</v>
      </c>
      <c r="C11" s="697">
        <v>0</v>
      </c>
      <c r="D11" s="697">
        <v>0</v>
      </c>
      <c r="E11" s="697">
        <v>0</v>
      </c>
      <c r="F11" s="697">
        <v>0</v>
      </c>
      <c r="G11" s="697">
        <v>0</v>
      </c>
      <c r="H11" s="697">
        <v>0</v>
      </c>
      <c r="I11" s="697">
        <v>0</v>
      </c>
      <c r="J11" s="697">
        <v>0</v>
      </c>
      <c r="K11" s="697">
        <v>0</v>
      </c>
      <c r="L11" s="697">
        <v>0</v>
      </c>
      <c r="M11" s="697">
        <v>0</v>
      </c>
      <c r="N11" s="697">
        <v>0</v>
      </c>
      <c r="O11" s="697">
        <f t="shared" si="0"/>
        <v>0</v>
      </c>
    </row>
    <row r="12" spans="1:15">
      <c r="A12" s="3081"/>
      <c r="B12" s="696" t="s">
        <v>722</v>
      </c>
      <c r="C12" s="697">
        <v>0</v>
      </c>
      <c r="D12" s="697">
        <v>0</v>
      </c>
      <c r="E12" s="697">
        <v>0</v>
      </c>
      <c r="F12" s="697">
        <v>0</v>
      </c>
      <c r="G12" s="697">
        <v>0</v>
      </c>
      <c r="H12" s="697">
        <v>0</v>
      </c>
      <c r="I12" s="697">
        <v>0</v>
      </c>
      <c r="J12" s="697">
        <v>0</v>
      </c>
      <c r="K12" s="697">
        <v>0</v>
      </c>
      <c r="L12" s="697">
        <v>0</v>
      </c>
      <c r="M12" s="697">
        <v>0</v>
      </c>
      <c r="N12" s="697">
        <v>0</v>
      </c>
      <c r="O12" s="697">
        <f t="shared" si="0"/>
        <v>0</v>
      </c>
    </row>
    <row r="13" spans="1:15">
      <c r="A13" s="3080" t="s">
        <v>169</v>
      </c>
      <c r="B13" s="696" t="s">
        <v>721</v>
      </c>
      <c r="C13" s="697">
        <v>0</v>
      </c>
      <c r="D13" s="697">
        <v>2</v>
      </c>
      <c r="E13" s="697">
        <v>0</v>
      </c>
      <c r="F13" s="697">
        <v>0</v>
      </c>
      <c r="G13" s="697">
        <v>0</v>
      </c>
      <c r="H13" s="697">
        <v>0</v>
      </c>
      <c r="I13" s="697">
        <v>0</v>
      </c>
      <c r="J13" s="697">
        <v>0</v>
      </c>
      <c r="K13" s="697">
        <v>0</v>
      </c>
      <c r="L13" s="697">
        <v>0</v>
      </c>
      <c r="M13" s="697">
        <v>0</v>
      </c>
      <c r="N13" s="697">
        <v>0</v>
      </c>
      <c r="O13" s="697">
        <f t="shared" si="0"/>
        <v>2</v>
      </c>
    </row>
    <row r="14" spans="1:15">
      <c r="A14" s="3081"/>
      <c r="B14" s="696" t="s">
        <v>722</v>
      </c>
      <c r="C14" s="697">
        <v>0</v>
      </c>
      <c r="D14" s="697">
        <v>29</v>
      </c>
      <c r="E14" s="697">
        <v>0</v>
      </c>
      <c r="F14" s="697">
        <v>0</v>
      </c>
      <c r="G14" s="697">
        <v>0</v>
      </c>
      <c r="H14" s="697">
        <v>0</v>
      </c>
      <c r="I14" s="697">
        <v>0</v>
      </c>
      <c r="J14" s="697">
        <v>0</v>
      </c>
      <c r="K14" s="697">
        <v>0</v>
      </c>
      <c r="L14" s="697">
        <v>0</v>
      </c>
      <c r="M14" s="697">
        <v>0</v>
      </c>
      <c r="N14" s="697">
        <v>0</v>
      </c>
      <c r="O14" s="697">
        <f t="shared" si="0"/>
        <v>29</v>
      </c>
    </row>
    <row r="15" spans="1:15">
      <c r="A15" s="3080" t="s">
        <v>167</v>
      </c>
      <c r="B15" s="696" t="s">
        <v>721</v>
      </c>
      <c r="C15" s="697">
        <v>1</v>
      </c>
      <c r="D15" s="697">
        <v>0</v>
      </c>
      <c r="E15" s="697">
        <v>0</v>
      </c>
      <c r="F15" s="697">
        <v>0</v>
      </c>
      <c r="G15" s="697">
        <v>0</v>
      </c>
      <c r="H15" s="697">
        <v>0</v>
      </c>
      <c r="I15" s="697">
        <v>0</v>
      </c>
      <c r="J15" s="697">
        <v>0</v>
      </c>
      <c r="K15" s="697">
        <v>0</v>
      </c>
      <c r="L15" s="697">
        <v>0</v>
      </c>
      <c r="M15" s="697">
        <v>0</v>
      </c>
      <c r="N15" s="697">
        <v>0</v>
      </c>
      <c r="O15" s="697">
        <f t="shared" si="0"/>
        <v>1</v>
      </c>
    </row>
    <row r="16" spans="1:15">
      <c r="A16" s="3081"/>
      <c r="B16" s="696" t="s">
        <v>722</v>
      </c>
      <c r="C16" s="697">
        <v>10</v>
      </c>
      <c r="D16" s="697">
        <v>0</v>
      </c>
      <c r="E16" s="697">
        <v>0</v>
      </c>
      <c r="F16" s="697">
        <v>0</v>
      </c>
      <c r="G16" s="697">
        <v>0</v>
      </c>
      <c r="H16" s="697">
        <v>0</v>
      </c>
      <c r="I16" s="697">
        <v>0</v>
      </c>
      <c r="J16" s="697">
        <v>0</v>
      </c>
      <c r="K16" s="697">
        <v>0</v>
      </c>
      <c r="L16" s="697">
        <v>0</v>
      </c>
      <c r="M16" s="697">
        <v>0</v>
      </c>
      <c r="N16" s="697">
        <v>0</v>
      </c>
      <c r="O16" s="697">
        <f t="shared" si="0"/>
        <v>10</v>
      </c>
    </row>
    <row r="17" spans="1:15">
      <c r="A17" s="3080" t="s">
        <v>145</v>
      </c>
      <c r="B17" s="696" t="s">
        <v>721</v>
      </c>
      <c r="C17" s="697">
        <v>3</v>
      </c>
      <c r="D17" s="697">
        <v>12</v>
      </c>
      <c r="E17" s="697">
        <v>0</v>
      </c>
      <c r="F17" s="697">
        <v>0</v>
      </c>
      <c r="G17" s="697">
        <v>0</v>
      </c>
      <c r="H17" s="697">
        <v>0</v>
      </c>
      <c r="I17" s="697">
        <v>0</v>
      </c>
      <c r="J17" s="697">
        <v>0</v>
      </c>
      <c r="K17" s="697">
        <v>0</v>
      </c>
      <c r="L17" s="697">
        <v>0</v>
      </c>
      <c r="M17" s="697">
        <v>0</v>
      </c>
      <c r="N17" s="697">
        <v>0</v>
      </c>
      <c r="O17" s="697">
        <f t="shared" si="0"/>
        <v>15</v>
      </c>
    </row>
    <row r="18" spans="1:15">
      <c r="A18" s="3081"/>
      <c r="B18" s="696" t="s">
        <v>722</v>
      </c>
      <c r="C18" s="697">
        <v>32</v>
      </c>
      <c r="D18" s="697">
        <v>138</v>
      </c>
      <c r="E18" s="697">
        <v>0</v>
      </c>
      <c r="F18" s="697">
        <v>0</v>
      </c>
      <c r="G18" s="697">
        <v>0</v>
      </c>
      <c r="H18" s="697">
        <v>0</v>
      </c>
      <c r="I18" s="697">
        <v>0</v>
      </c>
      <c r="J18" s="697">
        <v>0</v>
      </c>
      <c r="K18" s="697">
        <v>0</v>
      </c>
      <c r="L18" s="697">
        <v>0</v>
      </c>
      <c r="M18" s="697">
        <v>0</v>
      </c>
      <c r="N18" s="697">
        <v>0</v>
      </c>
      <c r="O18" s="697">
        <f t="shared" si="0"/>
        <v>170</v>
      </c>
    </row>
    <row r="19" spans="1:15" ht="15">
      <c r="A19" s="3082" t="s">
        <v>708</v>
      </c>
      <c r="B19" s="3083"/>
      <c r="C19" s="3083"/>
      <c r="D19" s="3083"/>
      <c r="E19" s="3083"/>
      <c r="F19" s="3083"/>
      <c r="G19" s="3083"/>
      <c r="H19" s="3083"/>
      <c r="I19" s="3083"/>
      <c r="J19" s="3083"/>
      <c r="K19" s="3083"/>
      <c r="L19" s="3083"/>
      <c r="M19" s="3083"/>
      <c r="N19" s="3083"/>
      <c r="O19" s="3084"/>
    </row>
    <row r="20" spans="1:15">
      <c r="A20" s="3080" t="s">
        <v>724</v>
      </c>
      <c r="B20" s="696" t="s">
        <v>721</v>
      </c>
      <c r="C20" s="697">
        <v>0</v>
      </c>
      <c r="D20" s="697">
        <v>0</v>
      </c>
      <c r="E20" s="697">
        <v>0</v>
      </c>
      <c r="F20" s="697">
        <v>0</v>
      </c>
      <c r="G20" s="697">
        <v>0</v>
      </c>
      <c r="H20" s="697">
        <v>0</v>
      </c>
      <c r="I20" s="697">
        <v>0</v>
      </c>
      <c r="J20" s="697">
        <v>0</v>
      </c>
      <c r="K20" s="697">
        <v>0</v>
      </c>
      <c r="L20" s="697">
        <v>0</v>
      </c>
      <c r="M20" s="697">
        <v>0</v>
      </c>
      <c r="N20" s="697">
        <v>0</v>
      </c>
      <c r="O20" s="697">
        <f t="shared" ref="O20:O37" si="1">SUM(C20:N20)</f>
        <v>0</v>
      </c>
    </row>
    <row r="21" spans="1:15">
      <c r="A21" s="3081"/>
      <c r="B21" s="696" t="s">
        <v>722</v>
      </c>
      <c r="C21" s="697">
        <v>0</v>
      </c>
      <c r="D21" s="697">
        <v>0</v>
      </c>
      <c r="E21" s="697">
        <v>0</v>
      </c>
      <c r="F21" s="697">
        <v>0</v>
      </c>
      <c r="G21" s="697">
        <v>0</v>
      </c>
      <c r="H21" s="697">
        <v>0</v>
      </c>
      <c r="I21" s="697">
        <v>0</v>
      </c>
      <c r="J21" s="697">
        <v>0</v>
      </c>
      <c r="K21" s="697">
        <v>0</v>
      </c>
      <c r="L21" s="697">
        <v>0</v>
      </c>
      <c r="M21" s="697">
        <v>0</v>
      </c>
      <c r="N21" s="697">
        <v>0</v>
      </c>
      <c r="O21" s="697">
        <f t="shared" si="1"/>
        <v>0</v>
      </c>
    </row>
    <row r="22" spans="1:15">
      <c r="A22" s="3085" t="s">
        <v>725</v>
      </c>
      <c r="B22" s="696" t="s">
        <v>721</v>
      </c>
      <c r="C22" s="697">
        <v>0</v>
      </c>
      <c r="D22" s="697">
        <v>0</v>
      </c>
      <c r="E22" s="697">
        <v>0</v>
      </c>
      <c r="F22" s="697">
        <v>0</v>
      </c>
      <c r="G22" s="697">
        <v>0</v>
      </c>
      <c r="H22" s="697">
        <v>0</v>
      </c>
      <c r="I22" s="697">
        <v>0</v>
      </c>
      <c r="J22" s="697">
        <v>0</v>
      </c>
      <c r="K22" s="697">
        <v>0</v>
      </c>
      <c r="L22" s="697">
        <v>0</v>
      </c>
      <c r="M22" s="697">
        <v>0</v>
      </c>
      <c r="N22" s="697">
        <v>0</v>
      </c>
      <c r="O22" s="697">
        <f t="shared" si="1"/>
        <v>0</v>
      </c>
    </row>
    <row r="23" spans="1:15">
      <c r="A23" s="3086"/>
      <c r="B23" s="696" t="s">
        <v>722</v>
      </c>
      <c r="C23" s="697">
        <v>0</v>
      </c>
      <c r="D23" s="697">
        <v>0</v>
      </c>
      <c r="E23" s="697">
        <v>0</v>
      </c>
      <c r="F23" s="697">
        <v>0</v>
      </c>
      <c r="G23" s="697">
        <v>0</v>
      </c>
      <c r="H23" s="697">
        <v>0</v>
      </c>
      <c r="I23" s="697">
        <v>0</v>
      </c>
      <c r="J23" s="697">
        <v>0</v>
      </c>
      <c r="K23" s="697">
        <v>0</v>
      </c>
      <c r="L23" s="697">
        <v>0</v>
      </c>
      <c r="M23" s="697">
        <v>0</v>
      </c>
      <c r="N23" s="697">
        <v>0</v>
      </c>
      <c r="O23" s="697">
        <f t="shared" si="1"/>
        <v>0</v>
      </c>
    </row>
    <row r="24" spans="1:15">
      <c r="A24" s="3080" t="s">
        <v>726</v>
      </c>
      <c r="B24" s="696" t="s">
        <v>721</v>
      </c>
      <c r="C24" s="697">
        <v>29</v>
      </c>
      <c r="D24" s="697">
        <v>19</v>
      </c>
      <c r="E24" s="697">
        <v>0</v>
      </c>
      <c r="F24" s="697">
        <v>0</v>
      </c>
      <c r="G24" s="697">
        <v>0</v>
      </c>
      <c r="H24" s="697">
        <v>0</v>
      </c>
      <c r="I24" s="697">
        <v>0</v>
      </c>
      <c r="J24" s="697">
        <v>0</v>
      </c>
      <c r="K24" s="697">
        <v>0</v>
      </c>
      <c r="L24" s="697">
        <v>0</v>
      </c>
      <c r="M24" s="697">
        <v>0</v>
      </c>
      <c r="N24" s="697">
        <v>0</v>
      </c>
      <c r="O24" s="697">
        <f t="shared" si="1"/>
        <v>48</v>
      </c>
    </row>
    <row r="25" spans="1:15">
      <c r="A25" s="3081"/>
      <c r="B25" s="696" t="s">
        <v>722</v>
      </c>
      <c r="C25" s="697">
        <v>474</v>
      </c>
      <c r="D25" s="697">
        <v>400</v>
      </c>
      <c r="E25" s="697">
        <v>0</v>
      </c>
      <c r="F25" s="697">
        <v>0</v>
      </c>
      <c r="G25" s="697">
        <v>0</v>
      </c>
      <c r="H25" s="697">
        <v>0</v>
      </c>
      <c r="I25" s="697">
        <v>0</v>
      </c>
      <c r="J25" s="697">
        <v>0</v>
      </c>
      <c r="K25" s="697">
        <v>0</v>
      </c>
      <c r="L25" s="697">
        <v>0</v>
      </c>
      <c r="M25" s="697">
        <v>0</v>
      </c>
      <c r="N25" s="697">
        <v>0</v>
      </c>
      <c r="O25" s="697">
        <f t="shared" si="1"/>
        <v>874</v>
      </c>
    </row>
    <row r="26" spans="1:15">
      <c r="A26" s="3080" t="s">
        <v>727</v>
      </c>
      <c r="B26" s="696" t="s">
        <v>721</v>
      </c>
      <c r="C26" s="697">
        <v>0</v>
      </c>
      <c r="D26" s="697">
        <v>0</v>
      </c>
      <c r="E26" s="697">
        <v>0</v>
      </c>
      <c r="F26" s="697">
        <v>0</v>
      </c>
      <c r="G26" s="697">
        <v>0</v>
      </c>
      <c r="H26" s="697">
        <v>0</v>
      </c>
      <c r="I26" s="697">
        <v>0</v>
      </c>
      <c r="J26" s="697">
        <v>0</v>
      </c>
      <c r="K26" s="697">
        <v>0</v>
      </c>
      <c r="L26" s="697">
        <v>0</v>
      </c>
      <c r="M26" s="697">
        <v>0</v>
      </c>
      <c r="N26" s="697">
        <v>0</v>
      </c>
      <c r="O26" s="697">
        <f t="shared" si="1"/>
        <v>0</v>
      </c>
    </row>
    <row r="27" spans="1:15">
      <c r="A27" s="3081"/>
      <c r="B27" s="696" t="s">
        <v>722</v>
      </c>
      <c r="C27" s="697">
        <v>0</v>
      </c>
      <c r="D27" s="697">
        <v>0</v>
      </c>
      <c r="E27" s="697">
        <v>0</v>
      </c>
      <c r="F27" s="697">
        <v>0</v>
      </c>
      <c r="G27" s="697">
        <v>0</v>
      </c>
      <c r="H27" s="697">
        <v>0</v>
      </c>
      <c r="I27" s="697">
        <v>0</v>
      </c>
      <c r="J27" s="697">
        <v>0</v>
      </c>
      <c r="K27" s="697">
        <v>0</v>
      </c>
      <c r="L27" s="697">
        <v>0</v>
      </c>
      <c r="M27" s="697">
        <v>0</v>
      </c>
      <c r="N27" s="697">
        <v>0</v>
      </c>
      <c r="O27" s="697">
        <f t="shared" si="1"/>
        <v>0</v>
      </c>
    </row>
    <row r="28" spans="1:15">
      <c r="A28" s="3080" t="s">
        <v>728</v>
      </c>
      <c r="B28" s="696" t="s">
        <v>721</v>
      </c>
      <c r="C28" s="697">
        <v>0</v>
      </c>
      <c r="D28" s="697">
        <v>0</v>
      </c>
      <c r="E28" s="697">
        <v>0</v>
      </c>
      <c r="F28" s="697">
        <v>0</v>
      </c>
      <c r="G28" s="697">
        <v>0</v>
      </c>
      <c r="H28" s="697">
        <v>0</v>
      </c>
      <c r="I28" s="697">
        <v>0</v>
      </c>
      <c r="J28" s="697">
        <v>0</v>
      </c>
      <c r="K28" s="697">
        <v>0</v>
      </c>
      <c r="L28" s="697">
        <v>0</v>
      </c>
      <c r="M28" s="697">
        <v>0</v>
      </c>
      <c r="N28" s="697">
        <v>0</v>
      </c>
      <c r="O28" s="697">
        <f t="shared" si="1"/>
        <v>0</v>
      </c>
    </row>
    <row r="29" spans="1:15">
      <c r="A29" s="3081"/>
      <c r="B29" s="696" t="s">
        <v>722</v>
      </c>
      <c r="C29" s="697">
        <v>0</v>
      </c>
      <c r="D29" s="697">
        <v>0</v>
      </c>
      <c r="E29" s="697">
        <v>0</v>
      </c>
      <c r="F29" s="697">
        <v>0</v>
      </c>
      <c r="G29" s="697">
        <v>0</v>
      </c>
      <c r="H29" s="697">
        <v>0</v>
      </c>
      <c r="I29" s="697">
        <v>0</v>
      </c>
      <c r="J29" s="697">
        <v>0</v>
      </c>
      <c r="K29" s="697">
        <v>0</v>
      </c>
      <c r="L29" s="697">
        <v>0</v>
      </c>
      <c r="M29" s="697">
        <v>0</v>
      </c>
      <c r="N29" s="697">
        <v>0</v>
      </c>
      <c r="O29" s="697">
        <f t="shared" si="1"/>
        <v>0</v>
      </c>
    </row>
    <row r="30" spans="1:15">
      <c r="A30" s="3080" t="s">
        <v>729</v>
      </c>
      <c r="B30" s="696" t="s">
        <v>721</v>
      </c>
      <c r="C30" s="697">
        <v>0</v>
      </c>
      <c r="D30" s="697">
        <v>0</v>
      </c>
      <c r="E30" s="697">
        <v>0</v>
      </c>
      <c r="F30" s="697">
        <v>0</v>
      </c>
      <c r="G30" s="697">
        <v>0</v>
      </c>
      <c r="H30" s="697">
        <v>0</v>
      </c>
      <c r="I30" s="697">
        <v>0</v>
      </c>
      <c r="J30" s="697">
        <v>0</v>
      </c>
      <c r="K30" s="697">
        <v>0</v>
      </c>
      <c r="L30" s="697">
        <v>0</v>
      </c>
      <c r="M30" s="697">
        <v>0</v>
      </c>
      <c r="N30" s="697">
        <v>0</v>
      </c>
      <c r="O30" s="697">
        <f t="shared" si="1"/>
        <v>0</v>
      </c>
    </row>
    <row r="31" spans="1:15">
      <c r="A31" s="3081"/>
      <c r="B31" s="696" t="s">
        <v>722</v>
      </c>
      <c r="C31" s="697">
        <v>0</v>
      </c>
      <c r="D31" s="697">
        <v>0</v>
      </c>
      <c r="E31" s="697">
        <v>0</v>
      </c>
      <c r="F31" s="697">
        <v>0</v>
      </c>
      <c r="G31" s="697">
        <v>0</v>
      </c>
      <c r="H31" s="697">
        <v>0</v>
      </c>
      <c r="I31" s="697">
        <v>0</v>
      </c>
      <c r="J31" s="697">
        <v>0</v>
      </c>
      <c r="K31" s="697">
        <v>0</v>
      </c>
      <c r="L31" s="697">
        <v>0</v>
      </c>
      <c r="M31" s="697">
        <v>0</v>
      </c>
      <c r="N31" s="697">
        <v>0</v>
      </c>
      <c r="O31" s="697">
        <f t="shared" si="1"/>
        <v>0</v>
      </c>
    </row>
    <row r="32" spans="1:15">
      <c r="A32" s="3080" t="s">
        <v>730</v>
      </c>
      <c r="B32" s="696" t="s">
        <v>721</v>
      </c>
      <c r="C32" s="697">
        <v>0</v>
      </c>
      <c r="D32" s="697">
        <v>4</v>
      </c>
      <c r="E32" s="697">
        <v>0</v>
      </c>
      <c r="F32" s="697">
        <v>0</v>
      </c>
      <c r="G32" s="697">
        <v>0</v>
      </c>
      <c r="H32" s="697">
        <v>0</v>
      </c>
      <c r="I32" s="697">
        <v>0</v>
      </c>
      <c r="J32" s="697">
        <v>0</v>
      </c>
      <c r="K32" s="697">
        <v>0</v>
      </c>
      <c r="L32" s="697">
        <v>0</v>
      </c>
      <c r="M32" s="697">
        <v>0</v>
      </c>
      <c r="N32" s="697">
        <v>0</v>
      </c>
      <c r="O32" s="697">
        <f t="shared" si="1"/>
        <v>4</v>
      </c>
    </row>
    <row r="33" spans="1:15">
      <c r="A33" s="3081"/>
      <c r="B33" s="696" t="s">
        <v>722</v>
      </c>
      <c r="C33" s="697">
        <v>0</v>
      </c>
      <c r="D33" s="697">
        <v>100</v>
      </c>
      <c r="E33" s="697">
        <v>0</v>
      </c>
      <c r="F33" s="697">
        <v>0</v>
      </c>
      <c r="G33" s="697">
        <v>0</v>
      </c>
      <c r="H33" s="697">
        <v>0</v>
      </c>
      <c r="I33" s="697">
        <v>0</v>
      </c>
      <c r="J33" s="697">
        <v>0</v>
      </c>
      <c r="K33" s="697">
        <v>0</v>
      </c>
      <c r="L33" s="697">
        <v>0</v>
      </c>
      <c r="M33" s="697">
        <v>0</v>
      </c>
      <c r="N33" s="697">
        <v>0</v>
      </c>
      <c r="O33" s="697">
        <f t="shared" si="1"/>
        <v>100</v>
      </c>
    </row>
    <row r="34" spans="1:15">
      <c r="A34" s="3080" t="s">
        <v>169</v>
      </c>
      <c r="B34" s="696" t="s">
        <v>721</v>
      </c>
      <c r="C34" s="697">
        <v>3</v>
      </c>
      <c r="D34" s="697">
        <v>2</v>
      </c>
      <c r="E34" s="697">
        <v>0</v>
      </c>
      <c r="F34" s="697">
        <v>0</v>
      </c>
      <c r="G34" s="697">
        <v>0</v>
      </c>
      <c r="H34" s="697">
        <v>0</v>
      </c>
      <c r="I34" s="697">
        <v>0</v>
      </c>
      <c r="J34" s="697">
        <v>0</v>
      </c>
      <c r="K34" s="697">
        <v>0</v>
      </c>
      <c r="L34" s="697">
        <v>0</v>
      </c>
      <c r="M34" s="697">
        <v>0</v>
      </c>
      <c r="N34" s="697">
        <v>0</v>
      </c>
      <c r="O34" s="697">
        <f t="shared" si="1"/>
        <v>5</v>
      </c>
    </row>
    <row r="35" spans="1:15">
      <c r="A35" s="3081"/>
      <c r="B35" s="696" t="s">
        <v>722</v>
      </c>
      <c r="C35" s="697">
        <v>50</v>
      </c>
      <c r="D35" s="697">
        <v>15</v>
      </c>
      <c r="E35" s="697">
        <v>0</v>
      </c>
      <c r="F35" s="697">
        <v>0</v>
      </c>
      <c r="G35" s="697">
        <v>0</v>
      </c>
      <c r="H35" s="697">
        <v>0</v>
      </c>
      <c r="I35" s="697">
        <v>0</v>
      </c>
      <c r="J35" s="697">
        <v>0</v>
      </c>
      <c r="K35" s="697">
        <v>0</v>
      </c>
      <c r="L35" s="697">
        <v>0</v>
      </c>
      <c r="M35" s="697">
        <v>0</v>
      </c>
      <c r="N35" s="697">
        <v>0</v>
      </c>
      <c r="O35" s="697">
        <f t="shared" si="1"/>
        <v>65</v>
      </c>
    </row>
    <row r="36" spans="1:15">
      <c r="A36" s="3080" t="s">
        <v>145</v>
      </c>
      <c r="B36" s="696" t="s">
        <v>721</v>
      </c>
      <c r="C36" s="697">
        <v>32</v>
      </c>
      <c r="D36" s="697">
        <v>25</v>
      </c>
      <c r="E36" s="697">
        <v>0</v>
      </c>
      <c r="F36" s="697">
        <v>0</v>
      </c>
      <c r="G36" s="697">
        <v>0</v>
      </c>
      <c r="H36" s="697">
        <v>0</v>
      </c>
      <c r="I36" s="697">
        <v>0</v>
      </c>
      <c r="J36" s="697">
        <v>0</v>
      </c>
      <c r="K36" s="697">
        <v>0</v>
      </c>
      <c r="L36" s="697">
        <v>0</v>
      </c>
      <c r="M36" s="697">
        <v>0</v>
      </c>
      <c r="N36" s="697">
        <v>0</v>
      </c>
      <c r="O36" s="697">
        <f t="shared" si="1"/>
        <v>57</v>
      </c>
    </row>
    <row r="37" spans="1:15">
      <c r="A37" s="3081"/>
      <c r="B37" s="696" t="s">
        <v>722</v>
      </c>
      <c r="C37" s="697">
        <v>524</v>
      </c>
      <c r="D37" s="697">
        <v>379</v>
      </c>
      <c r="E37" s="697">
        <v>0</v>
      </c>
      <c r="F37" s="697">
        <v>0</v>
      </c>
      <c r="G37" s="697">
        <v>0</v>
      </c>
      <c r="H37" s="697">
        <v>0</v>
      </c>
      <c r="I37" s="697">
        <v>0</v>
      </c>
      <c r="J37" s="697">
        <v>0</v>
      </c>
      <c r="K37" s="697">
        <v>0</v>
      </c>
      <c r="L37" s="697">
        <v>0</v>
      </c>
      <c r="M37" s="697">
        <v>0</v>
      </c>
      <c r="N37" s="697">
        <v>0</v>
      </c>
      <c r="O37" s="697">
        <f t="shared" si="1"/>
        <v>903</v>
      </c>
    </row>
    <row r="38" spans="1:15" ht="15">
      <c r="A38" s="3082" t="s">
        <v>731</v>
      </c>
      <c r="B38" s="3083"/>
      <c r="C38" s="3083"/>
      <c r="D38" s="3083"/>
      <c r="E38" s="3083"/>
      <c r="F38" s="3083"/>
      <c r="G38" s="3083"/>
      <c r="H38" s="3083"/>
      <c r="I38" s="3083"/>
      <c r="J38" s="3083"/>
      <c r="K38" s="3083"/>
      <c r="L38" s="3083"/>
      <c r="M38" s="3083"/>
      <c r="N38" s="3083"/>
      <c r="O38" s="3084"/>
    </row>
    <row r="39" spans="1:15">
      <c r="A39" s="3080" t="s">
        <v>732</v>
      </c>
      <c r="B39" s="696" t="s">
        <v>721</v>
      </c>
      <c r="C39" s="697">
        <v>31</v>
      </c>
      <c r="D39" s="697">
        <v>135</v>
      </c>
      <c r="E39" s="697">
        <v>0</v>
      </c>
      <c r="F39" s="697">
        <v>0</v>
      </c>
      <c r="G39" s="697">
        <v>0</v>
      </c>
      <c r="H39" s="697">
        <v>0</v>
      </c>
      <c r="I39" s="697">
        <v>0</v>
      </c>
      <c r="J39" s="697">
        <v>0</v>
      </c>
      <c r="K39" s="697">
        <v>0</v>
      </c>
      <c r="L39" s="697">
        <v>0</v>
      </c>
      <c r="M39" s="697">
        <v>0</v>
      </c>
      <c r="N39" s="697">
        <v>0</v>
      </c>
      <c r="O39" s="697">
        <f t="shared" ref="O39:O55" si="2">SUM(C39:N39)</f>
        <v>166</v>
      </c>
    </row>
    <row r="40" spans="1:15">
      <c r="A40" s="3081"/>
      <c r="B40" s="696" t="s">
        <v>722</v>
      </c>
      <c r="C40" s="697">
        <v>302</v>
      </c>
      <c r="D40" s="697">
        <v>1000</v>
      </c>
      <c r="E40" s="697">
        <v>0</v>
      </c>
      <c r="F40" s="697">
        <v>0</v>
      </c>
      <c r="G40" s="697">
        <v>0</v>
      </c>
      <c r="H40" s="697">
        <v>0</v>
      </c>
      <c r="I40" s="697">
        <v>0</v>
      </c>
      <c r="J40" s="697">
        <v>0</v>
      </c>
      <c r="K40" s="697">
        <v>0</v>
      </c>
      <c r="L40" s="697">
        <v>0</v>
      </c>
      <c r="M40" s="697">
        <v>0</v>
      </c>
      <c r="N40" s="697">
        <v>0</v>
      </c>
      <c r="O40" s="697">
        <f t="shared" si="2"/>
        <v>1302</v>
      </c>
    </row>
    <row r="41" spans="1:15">
      <c r="A41" s="3085" t="s">
        <v>733</v>
      </c>
      <c r="B41" s="696" t="s">
        <v>721</v>
      </c>
      <c r="C41" s="697">
        <v>4</v>
      </c>
      <c r="D41" s="697">
        <v>29</v>
      </c>
      <c r="E41" s="697">
        <v>0</v>
      </c>
      <c r="F41" s="697">
        <v>0</v>
      </c>
      <c r="G41" s="697">
        <v>0</v>
      </c>
      <c r="H41" s="697">
        <v>0</v>
      </c>
      <c r="I41" s="697">
        <v>0</v>
      </c>
      <c r="J41" s="697">
        <v>0</v>
      </c>
      <c r="K41" s="697">
        <v>0</v>
      </c>
      <c r="L41" s="697">
        <v>0</v>
      </c>
      <c r="M41" s="697">
        <v>0</v>
      </c>
      <c r="N41" s="697">
        <v>0</v>
      </c>
      <c r="O41" s="697">
        <f t="shared" si="2"/>
        <v>33</v>
      </c>
    </row>
    <row r="42" spans="1:15">
      <c r="A42" s="3086"/>
      <c r="B42" s="696" t="s">
        <v>722</v>
      </c>
      <c r="C42" s="697">
        <v>72</v>
      </c>
      <c r="D42" s="697">
        <v>327</v>
      </c>
      <c r="E42" s="697">
        <v>0</v>
      </c>
      <c r="F42" s="697">
        <v>0</v>
      </c>
      <c r="G42" s="697">
        <v>0</v>
      </c>
      <c r="H42" s="697">
        <v>0</v>
      </c>
      <c r="I42" s="697">
        <v>0</v>
      </c>
      <c r="J42" s="697">
        <v>0</v>
      </c>
      <c r="K42" s="697">
        <v>0</v>
      </c>
      <c r="L42" s="697">
        <v>0</v>
      </c>
      <c r="M42" s="697">
        <v>0</v>
      </c>
      <c r="N42" s="697">
        <v>0</v>
      </c>
      <c r="O42" s="697">
        <f t="shared" si="2"/>
        <v>399</v>
      </c>
    </row>
    <row r="43" spans="1:15">
      <c r="A43" s="3080" t="s">
        <v>734</v>
      </c>
      <c r="B43" s="696" t="s">
        <v>721</v>
      </c>
      <c r="C43" s="697">
        <v>2</v>
      </c>
      <c r="D43" s="697">
        <v>2</v>
      </c>
      <c r="E43" s="697">
        <v>0</v>
      </c>
      <c r="F43" s="697">
        <v>0</v>
      </c>
      <c r="G43" s="697">
        <v>0</v>
      </c>
      <c r="H43" s="697">
        <v>0</v>
      </c>
      <c r="I43" s="697">
        <v>0</v>
      </c>
      <c r="J43" s="697">
        <v>0</v>
      </c>
      <c r="K43" s="697">
        <v>0</v>
      </c>
      <c r="L43" s="697">
        <v>0</v>
      </c>
      <c r="M43" s="697">
        <v>0</v>
      </c>
      <c r="N43" s="697">
        <v>0</v>
      </c>
      <c r="O43" s="697">
        <f t="shared" si="2"/>
        <v>4</v>
      </c>
    </row>
    <row r="44" spans="1:15">
      <c r="A44" s="3081"/>
      <c r="B44" s="696" t="s">
        <v>722</v>
      </c>
      <c r="C44" s="697">
        <v>18</v>
      </c>
      <c r="D44" s="697">
        <v>35</v>
      </c>
      <c r="E44" s="697">
        <v>0</v>
      </c>
      <c r="F44" s="697">
        <v>0</v>
      </c>
      <c r="G44" s="697">
        <v>0</v>
      </c>
      <c r="H44" s="697">
        <v>0</v>
      </c>
      <c r="I44" s="697">
        <v>0</v>
      </c>
      <c r="J44" s="697">
        <v>0</v>
      </c>
      <c r="K44" s="697">
        <v>0</v>
      </c>
      <c r="L44" s="697">
        <v>0</v>
      </c>
      <c r="M44" s="697">
        <v>0</v>
      </c>
      <c r="N44" s="697">
        <v>0</v>
      </c>
      <c r="O44" s="697">
        <f t="shared" si="2"/>
        <v>53</v>
      </c>
    </row>
    <row r="45" spans="1:15">
      <c r="A45" s="3080" t="s">
        <v>735</v>
      </c>
      <c r="B45" s="696" t="s">
        <v>721</v>
      </c>
      <c r="C45" s="697">
        <v>0</v>
      </c>
      <c r="D45" s="697">
        <v>0</v>
      </c>
      <c r="E45" s="697">
        <v>0</v>
      </c>
      <c r="F45" s="697">
        <v>0</v>
      </c>
      <c r="G45" s="697">
        <v>0</v>
      </c>
      <c r="H45" s="697">
        <v>0</v>
      </c>
      <c r="I45" s="697">
        <v>0</v>
      </c>
      <c r="J45" s="697">
        <v>0</v>
      </c>
      <c r="K45" s="697">
        <v>0</v>
      </c>
      <c r="L45" s="697">
        <v>0</v>
      </c>
      <c r="M45" s="697">
        <v>0</v>
      </c>
      <c r="N45" s="697">
        <v>0</v>
      </c>
      <c r="O45" s="697">
        <f t="shared" si="2"/>
        <v>0</v>
      </c>
    </row>
    <row r="46" spans="1:15">
      <c r="A46" s="3081"/>
      <c r="B46" s="696" t="s">
        <v>722</v>
      </c>
      <c r="C46" s="697">
        <v>0</v>
      </c>
      <c r="D46" s="697">
        <v>0</v>
      </c>
      <c r="E46" s="697">
        <v>0</v>
      </c>
      <c r="F46" s="697">
        <v>0</v>
      </c>
      <c r="G46" s="697">
        <v>0</v>
      </c>
      <c r="H46" s="697">
        <v>0</v>
      </c>
      <c r="I46" s="697">
        <v>0</v>
      </c>
      <c r="J46" s="697">
        <v>0</v>
      </c>
      <c r="K46" s="697">
        <v>0</v>
      </c>
      <c r="L46" s="697">
        <v>0</v>
      </c>
      <c r="M46" s="697">
        <v>0</v>
      </c>
      <c r="N46" s="697">
        <v>0</v>
      </c>
      <c r="O46" s="697">
        <f t="shared" si="2"/>
        <v>0</v>
      </c>
    </row>
    <row r="47" spans="1:15">
      <c r="A47" s="3080" t="s">
        <v>736</v>
      </c>
      <c r="B47" s="696" t="s">
        <v>721</v>
      </c>
      <c r="C47" s="697">
        <v>0</v>
      </c>
      <c r="D47" s="697">
        <v>6</v>
      </c>
      <c r="E47" s="697">
        <v>0</v>
      </c>
      <c r="F47" s="697">
        <v>0</v>
      </c>
      <c r="G47" s="697">
        <v>0</v>
      </c>
      <c r="H47" s="697">
        <v>0</v>
      </c>
      <c r="I47" s="697">
        <v>0</v>
      </c>
      <c r="J47" s="697">
        <v>0</v>
      </c>
      <c r="K47" s="697">
        <v>0</v>
      </c>
      <c r="L47" s="697">
        <v>0</v>
      </c>
      <c r="M47" s="697">
        <v>0</v>
      </c>
      <c r="N47" s="697">
        <v>0</v>
      </c>
      <c r="O47" s="697">
        <f t="shared" si="2"/>
        <v>6</v>
      </c>
    </row>
    <row r="48" spans="1:15">
      <c r="A48" s="3081"/>
      <c r="B48" s="696" t="s">
        <v>722</v>
      </c>
      <c r="C48" s="697">
        <v>0</v>
      </c>
      <c r="D48" s="697">
        <v>126</v>
      </c>
      <c r="E48" s="697">
        <v>0</v>
      </c>
      <c r="F48" s="697">
        <v>0</v>
      </c>
      <c r="G48" s="697">
        <v>0</v>
      </c>
      <c r="H48" s="697">
        <v>0</v>
      </c>
      <c r="I48" s="697">
        <v>0</v>
      </c>
      <c r="J48" s="697">
        <v>0</v>
      </c>
      <c r="K48" s="697">
        <v>0</v>
      </c>
      <c r="L48" s="697">
        <v>0</v>
      </c>
      <c r="M48" s="697">
        <v>0</v>
      </c>
      <c r="N48" s="697">
        <v>0</v>
      </c>
      <c r="O48" s="697">
        <f t="shared" si="2"/>
        <v>126</v>
      </c>
    </row>
    <row r="49" spans="1:15">
      <c r="A49" s="3080" t="s">
        <v>707</v>
      </c>
      <c r="B49" s="696" t="s">
        <v>721</v>
      </c>
      <c r="C49" s="697">
        <v>13</v>
      </c>
      <c r="D49" s="697">
        <v>0</v>
      </c>
      <c r="E49" s="697">
        <v>0</v>
      </c>
      <c r="F49" s="697">
        <v>0</v>
      </c>
      <c r="G49" s="697">
        <v>0</v>
      </c>
      <c r="H49" s="697">
        <v>0</v>
      </c>
      <c r="I49" s="697">
        <v>0</v>
      </c>
      <c r="J49" s="697">
        <v>0</v>
      </c>
      <c r="K49" s="697">
        <v>0</v>
      </c>
      <c r="L49" s="697">
        <v>0</v>
      </c>
      <c r="M49" s="697">
        <v>0</v>
      </c>
      <c r="N49" s="697">
        <v>0</v>
      </c>
      <c r="O49" s="697">
        <f t="shared" si="2"/>
        <v>13</v>
      </c>
    </row>
    <row r="50" spans="1:15">
      <c r="A50" s="3081"/>
      <c r="B50" s="696" t="s">
        <v>722</v>
      </c>
      <c r="C50" s="697">
        <v>273</v>
      </c>
      <c r="D50" s="697">
        <v>0</v>
      </c>
      <c r="E50" s="697">
        <v>0</v>
      </c>
      <c r="F50" s="697">
        <v>0</v>
      </c>
      <c r="G50" s="697">
        <v>0</v>
      </c>
      <c r="H50" s="697">
        <v>0</v>
      </c>
      <c r="I50" s="697">
        <v>0</v>
      </c>
      <c r="J50" s="697">
        <v>0</v>
      </c>
      <c r="K50" s="697">
        <v>0</v>
      </c>
      <c r="L50" s="697">
        <v>0</v>
      </c>
      <c r="M50" s="697">
        <v>0</v>
      </c>
      <c r="N50" s="697">
        <v>0</v>
      </c>
      <c r="O50" s="697">
        <f t="shared" si="2"/>
        <v>273</v>
      </c>
    </row>
    <row r="51" spans="1:15">
      <c r="A51" s="3080" t="s">
        <v>737</v>
      </c>
      <c r="B51" s="696" t="s">
        <v>721</v>
      </c>
      <c r="C51" s="697">
        <v>1</v>
      </c>
      <c r="D51" s="697">
        <v>1</v>
      </c>
      <c r="E51" s="697">
        <v>0</v>
      </c>
      <c r="F51" s="697">
        <v>0</v>
      </c>
      <c r="G51" s="697">
        <v>0</v>
      </c>
      <c r="H51" s="697">
        <v>0</v>
      </c>
      <c r="I51" s="697">
        <v>0</v>
      </c>
      <c r="J51" s="697">
        <v>0</v>
      </c>
      <c r="K51" s="697">
        <v>0</v>
      </c>
      <c r="L51" s="697">
        <v>0</v>
      </c>
      <c r="M51" s="697">
        <v>0</v>
      </c>
      <c r="N51" s="697">
        <v>0</v>
      </c>
      <c r="O51" s="697">
        <f t="shared" si="2"/>
        <v>2</v>
      </c>
    </row>
    <row r="52" spans="1:15">
      <c r="A52" s="3081"/>
      <c r="B52" s="696" t="s">
        <v>722</v>
      </c>
      <c r="C52" s="697">
        <v>6</v>
      </c>
      <c r="D52" s="697">
        <v>19</v>
      </c>
      <c r="E52" s="697">
        <v>0</v>
      </c>
      <c r="F52" s="697">
        <v>0</v>
      </c>
      <c r="G52" s="697">
        <v>0</v>
      </c>
      <c r="H52" s="697">
        <v>0</v>
      </c>
      <c r="I52" s="697">
        <v>0</v>
      </c>
      <c r="J52" s="697">
        <v>0</v>
      </c>
      <c r="K52" s="697">
        <v>0</v>
      </c>
      <c r="L52" s="697">
        <v>0</v>
      </c>
      <c r="M52" s="697">
        <v>0</v>
      </c>
      <c r="N52" s="697">
        <v>0</v>
      </c>
      <c r="O52" s="697">
        <f t="shared" si="2"/>
        <v>25</v>
      </c>
    </row>
    <row r="53" spans="1:15">
      <c r="A53" s="3080" t="s">
        <v>169</v>
      </c>
      <c r="B53" s="696" t="s">
        <v>721</v>
      </c>
      <c r="C53" s="697">
        <v>9</v>
      </c>
      <c r="D53" s="697">
        <v>5</v>
      </c>
      <c r="E53" s="697">
        <v>0</v>
      </c>
      <c r="F53" s="697">
        <v>0</v>
      </c>
      <c r="G53" s="697">
        <v>0</v>
      </c>
      <c r="H53" s="697">
        <v>0</v>
      </c>
      <c r="I53" s="697">
        <v>0</v>
      </c>
      <c r="J53" s="697">
        <v>0</v>
      </c>
      <c r="K53" s="697">
        <v>0</v>
      </c>
      <c r="L53" s="697">
        <v>0</v>
      </c>
      <c r="M53" s="697">
        <v>0</v>
      </c>
      <c r="N53" s="697">
        <v>0</v>
      </c>
      <c r="O53" s="697">
        <f t="shared" si="2"/>
        <v>14</v>
      </c>
    </row>
    <row r="54" spans="1:15">
      <c r="A54" s="3081"/>
      <c r="B54" s="696" t="s">
        <v>722</v>
      </c>
      <c r="C54" s="697">
        <v>148</v>
      </c>
      <c r="D54" s="697">
        <v>137</v>
      </c>
      <c r="E54" s="697">
        <v>0</v>
      </c>
      <c r="F54" s="697">
        <v>0</v>
      </c>
      <c r="G54" s="697">
        <v>0</v>
      </c>
      <c r="H54" s="697">
        <v>0</v>
      </c>
      <c r="I54" s="697">
        <v>0</v>
      </c>
      <c r="J54" s="697">
        <v>0</v>
      </c>
      <c r="K54" s="697">
        <v>0</v>
      </c>
      <c r="L54" s="697">
        <v>0</v>
      </c>
      <c r="M54" s="697">
        <v>0</v>
      </c>
      <c r="N54" s="697">
        <v>0</v>
      </c>
      <c r="O54" s="697">
        <f t="shared" si="2"/>
        <v>285</v>
      </c>
    </row>
    <row r="55" spans="1:15">
      <c r="A55" s="3080" t="s">
        <v>145</v>
      </c>
      <c r="B55" s="696" t="s">
        <v>721</v>
      </c>
      <c r="C55" s="697">
        <v>60</v>
      </c>
      <c r="D55" s="697">
        <v>204</v>
      </c>
      <c r="E55" s="697">
        <v>0</v>
      </c>
      <c r="F55" s="697">
        <v>0</v>
      </c>
      <c r="G55" s="697">
        <v>0</v>
      </c>
      <c r="H55" s="697">
        <v>0</v>
      </c>
      <c r="I55" s="697">
        <v>0</v>
      </c>
      <c r="J55" s="697">
        <v>0</v>
      </c>
      <c r="K55" s="697">
        <v>0</v>
      </c>
      <c r="L55" s="697">
        <v>0</v>
      </c>
      <c r="M55" s="697">
        <v>0</v>
      </c>
      <c r="N55" s="697">
        <v>0</v>
      </c>
      <c r="O55" s="697">
        <f t="shared" si="2"/>
        <v>264</v>
      </c>
    </row>
    <row r="56" spans="1:15">
      <c r="A56" s="3081"/>
      <c r="B56" s="696" t="s">
        <v>722</v>
      </c>
      <c r="C56" s="697">
        <v>819</v>
      </c>
      <c r="D56" s="697">
        <v>2361</v>
      </c>
      <c r="E56" s="697">
        <v>0</v>
      </c>
      <c r="F56" s="697">
        <v>0</v>
      </c>
      <c r="G56" s="697">
        <v>0</v>
      </c>
      <c r="H56" s="697">
        <v>0</v>
      </c>
      <c r="I56" s="697">
        <v>0</v>
      </c>
      <c r="J56" s="697">
        <v>0</v>
      </c>
      <c r="K56" s="697">
        <v>0</v>
      </c>
      <c r="L56" s="697">
        <v>0</v>
      </c>
      <c r="M56" s="697">
        <v>0</v>
      </c>
      <c r="N56" s="697">
        <v>0</v>
      </c>
      <c r="O56" s="697">
        <f>SUM(C56:N56)</f>
        <v>3180</v>
      </c>
    </row>
    <row r="57" spans="1:15" ht="15">
      <c r="A57" s="3082" t="s">
        <v>706</v>
      </c>
      <c r="B57" s="3083"/>
      <c r="C57" s="3083"/>
      <c r="D57" s="3083"/>
      <c r="E57" s="3083"/>
      <c r="F57" s="3083"/>
      <c r="G57" s="3083"/>
      <c r="H57" s="3083"/>
      <c r="I57" s="3083"/>
      <c r="J57" s="3083"/>
      <c r="K57" s="3083"/>
      <c r="L57" s="3083"/>
      <c r="M57" s="3083"/>
      <c r="N57" s="3083"/>
      <c r="O57" s="3084"/>
    </row>
    <row r="58" spans="1:15">
      <c r="A58" s="3080" t="s">
        <v>169</v>
      </c>
      <c r="B58" s="696" t="s">
        <v>721</v>
      </c>
      <c r="C58" s="697">
        <v>0</v>
      </c>
      <c r="D58" s="697">
        <v>0</v>
      </c>
      <c r="E58" s="697">
        <v>0</v>
      </c>
      <c r="F58" s="697">
        <v>0</v>
      </c>
      <c r="G58" s="697">
        <v>0</v>
      </c>
      <c r="H58" s="697">
        <v>0</v>
      </c>
      <c r="I58" s="697">
        <v>0</v>
      </c>
      <c r="J58" s="697">
        <v>0</v>
      </c>
      <c r="K58" s="697">
        <v>0</v>
      </c>
      <c r="L58" s="697">
        <v>0</v>
      </c>
      <c r="M58" s="697">
        <v>0</v>
      </c>
      <c r="N58" s="697">
        <v>0</v>
      </c>
      <c r="O58" s="697">
        <f>SUM(C58:N58)</f>
        <v>0</v>
      </c>
    </row>
    <row r="59" spans="1:15">
      <c r="A59" s="3081"/>
      <c r="B59" s="696" t="s">
        <v>722</v>
      </c>
      <c r="C59" s="697">
        <v>0</v>
      </c>
      <c r="D59" s="697">
        <v>0</v>
      </c>
      <c r="E59" s="697">
        <v>0</v>
      </c>
      <c r="F59" s="697">
        <v>0</v>
      </c>
      <c r="G59" s="697">
        <v>0</v>
      </c>
      <c r="H59" s="697">
        <v>0</v>
      </c>
      <c r="I59" s="697">
        <v>0</v>
      </c>
      <c r="J59" s="697">
        <v>0</v>
      </c>
      <c r="K59" s="697">
        <v>0</v>
      </c>
      <c r="L59" s="697">
        <v>0</v>
      </c>
      <c r="M59" s="697">
        <v>0</v>
      </c>
      <c r="N59" s="697">
        <v>0</v>
      </c>
      <c r="O59" s="697">
        <f>SUM(C59:N59)</f>
        <v>0</v>
      </c>
    </row>
    <row r="60" spans="1:15">
      <c r="A60" s="3080" t="s">
        <v>145</v>
      </c>
      <c r="B60" s="696" t="s">
        <v>721</v>
      </c>
      <c r="C60" s="697">
        <v>0</v>
      </c>
      <c r="D60" s="697">
        <v>0</v>
      </c>
      <c r="E60" s="697">
        <v>0</v>
      </c>
      <c r="F60" s="697">
        <v>0</v>
      </c>
      <c r="G60" s="697">
        <v>0</v>
      </c>
      <c r="H60" s="697">
        <v>0</v>
      </c>
      <c r="I60" s="697">
        <v>0</v>
      </c>
      <c r="J60" s="697">
        <v>0</v>
      </c>
      <c r="K60" s="697">
        <v>0</v>
      </c>
      <c r="L60" s="697">
        <v>0</v>
      </c>
      <c r="M60" s="697">
        <v>0</v>
      </c>
      <c r="N60" s="697">
        <v>0</v>
      </c>
      <c r="O60" s="697">
        <f>SUM(C60:N60)</f>
        <v>0</v>
      </c>
    </row>
    <row r="61" spans="1:15">
      <c r="A61" s="3081"/>
      <c r="B61" s="696" t="s">
        <v>722</v>
      </c>
      <c r="C61" s="697">
        <v>0</v>
      </c>
      <c r="D61" s="697">
        <v>0</v>
      </c>
      <c r="E61" s="697">
        <v>0</v>
      </c>
      <c r="F61" s="697">
        <v>0</v>
      </c>
      <c r="G61" s="697">
        <v>0</v>
      </c>
      <c r="H61" s="697">
        <v>0</v>
      </c>
      <c r="I61" s="697">
        <v>0</v>
      </c>
      <c r="J61" s="697">
        <v>0</v>
      </c>
      <c r="K61" s="697">
        <v>0</v>
      </c>
      <c r="L61" s="697">
        <v>0</v>
      </c>
      <c r="M61" s="697">
        <v>0</v>
      </c>
      <c r="N61" s="697">
        <v>0</v>
      </c>
      <c r="O61" s="697">
        <f>SUM(C61:N61)</f>
        <v>0</v>
      </c>
    </row>
    <row r="62" spans="1:15" ht="15.75" thickBot="1">
      <c r="A62" s="3075" t="s">
        <v>738</v>
      </c>
      <c r="B62" s="3076"/>
      <c r="C62" s="3076"/>
      <c r="D62" s="3076"/>
      <c r="E62" s="3076"/>
      <c r="F62" s="3076"/>
      <c r="G62" s="3076"/>
      <c r="H62" s="3076"/>
      <c r="I62" s="3076"/>
      <c r="J62" s="3076"/>
      <c r="K62" s="3076"/>
      <c r="L62" s="3076"/>
      <c r="M62" s="3076"/>
      <c r="N62" s="3076"/>
      <c r="O62" s="3077"/>
    </row>
    <row r="63" spans="1:15" ht="13.5" thickBot="1">
      <c r="A63" s="3078" t="s">
        <v>739</v>
      </c>
      <c r="B63" s="698" t="s">
        <v>721</v>
      </c>
      <c r="C63" s="699">
        <f>C17+C36+C55+C60</f>
        <v>95</v>
      </c>
      <c r="D63" s="699">
        <f t="shared" ref="D63:N63" si="3">D17+D36+D55+D60</f>
        <v>241</v>
      </c>
      <c r="E63" s="699">
        <f t="shared" si="3"/>
        <v>0</v>
      </c>
      <c r="F63" s="699">
        <f t="shared" si="3"/>
        <v>0</v>
      </c>
      <c r="G63" s="699">
        <f t="shared" si="3"/>
        <v>0</v>
      </c>
      <c r="H63" s="699">
        <f t="shared" si="3"/>
        <v>0</v>
      </c>
      <c r="I63" s="699">
        <f t="shared" si="3"/>
        <v>0</v>
      </c>
      <c r="J63" s="699">
        <f t="shared" si="3"/>
        <v>0</v>
      </c>
      <c r="K63" s="699">
        <f t="shared" si="3"/>
        <v>0</v>
      </c>
      <c r="L63" s="699">
        <f t="shared" si="3"/>
        <v>0</v>
      </c>
      <c r="M63" s="699">
        <f t="shared" si="3"/>
        <v>0</v>
      </c>
      <c r="N63" s="699">
        <f t="shared" si="3"/>
        <v>0</v>
      </c>
      <c r="O63" s="699">
        <f>SUM(C63:N63)</f>
        <v>336</v>
      </c>
    </row>
    <row r="64" spans="1:15" ht="13.5" thickBot="1">
      <c r="A64" s="3079"/>
      <c r="B64" s="698" t="s">
        <v>722</v>
      </c>
      <c r="C64" s="699">
        <f t="shared" ref="C64:N64" si="4">C18+C37+C56+C61</f>
        <v>1375</v>
      </c>
      <c r="D64" s="699">
        <f t="shared" si="4"/>
        <v>2878</v>
      </c>
      <c r="E64" s="699">
        <f t="shared" si="4"/>
        <v>0</v>
      </c>
      <c r="F64" s="699">
        <f t="shared" si="4"/>
        <v>0</v>
      </c>
      <c r="G64" s="699">
        <f t="shared" si="4"/>
        <v>0</v>
      </c>
      <c r="H64" s="699">
        <f t="shared" si="4"/>
        <v>0</v>
      </c>
      <c r="I64" s="699">
        <f t="shared" si="4"/>
        <v>0</v>
      </c>
      <c r="J64" s="699">
        <f t="shared" si="4"/>
        <v>0</v>
      </c>
      <c r="K64" s="699">
        <f t="shared" si="4"/>
        <v>0</v>
      </c>
      <c r="L64" s="699">
        <f t="shared" si="4"/>
        <v>0</v>
      </c>
      <c r="M64" s="699">
        <f t="shared" si="4"/>
        <v>0</v>
      </c>
      <c r="N64" s="699">
        <f t="shared" si="4"/>
        <v>0</v>
      </c>
      <c r="O64" s="699">
        <f>SUM(C64:N64)</f>
        <v>4253</v>
      </c>
    </row>
    <row r="68" spans="1:5">
      <c r="A68" s="194" t="s">
        <v>219</v>
      </c>
      <c r="B68" s="195" t="s">
        <v>224</v>
      </c>
      <c r="C68" s="388"/>
      <c r="D68" s="388"/>
      <c r="E68" s="388"/>
    </row>
  </sheetData>
  <sheetProtection algorithmName="SHA-512" hashValue="a89XTDtG0rX1ijh79E/SShfOCXrEoq73Ppcdrv5HAq5QrYHGtlFKfVljqy7La3lV5SNsH4w2mGsAaUjwJJg4Cg==" saltValue="ahABgMRyTvmS16phdaSwdA==" spinCount="100000" sheet="1" objects="1" scenarios="1"/>
  <mergeCells count="35">
    <mergeCell ref="A13:A14"/>
    <mergeCell ref="A15:A16"/>
    <mergeCell ref="A5:B5"/>
    <mergeCell ref="A6:O6"/>
    <mergeCell ref="A7:A8"/>
    <mergeCell ref="A9:A10"/>
    <mergeCell ref="A11:A12"/>
    <mergeCell ref="A38:O38"/>
    <mergeCell ref="A17:A18"/>
    <mergeCell ref="A19:O19"/>
    <mergeCell ref="A20:A21"/>
    <mergeCell ref="A22:A23"/>
    <mergeCell ref="A24:A25"/>
    <mergeCell ref="A26:A27"/>
    <mergeCell ref="A28:A29"/>
    <mergeCell ref="A30:A31"/>
    <mergeCell ref="A32:A33"/>
    <mergeCell ref="A34:A35"/>
    <mergeCell ref="A36:A37"/>
    <mergeCell ref="A62:O62"/>
    <mergeCell ref="A63:A64"/>
    <mergeCell ref="A1:O1"/>
    <mergeCell ref="A2:O2"/>
    <mergeCell ref="A51:A52"/>
    <mergeCell ref="A53:A54"/>
    <mergeCell ref="A55:A56"/>
    <mergeCell ref="A57:O57"/>
    <mergeCell ref="A58:A59"/>
    <mergeCell ref="A60:A61"/>
    <mergeCell ref="A39:A40"/>
    <mergeCell ref="A41:A42"/>
    <mergeCell ref="A43:A44"/>
    <mergeCell ref="A45:A46"/>
    <mergeCell ref="A47:A48"/>
    <mergeCell ref="A49:A50"/>
  </mergeCells>
  <pageMargins left="0.7" right="0.7" top="0.78740157499999996" bottom="0.78740157499999996" header="0.3" footer="0.3"/>
  <pageSetup paperSize="9" scale="63" fitToHeight="0" orientation="landscape" r:id="rId1"/>
  <headerFooter>
    <oddHeader>&amp;LVDV SUN Jahresschlussrechnung JJJJ&amp;R&amp;KFF0000&amp;F</oddHeader>
    <oddFooter>&amp;C&amp;P&amp;R&amp;A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25"/>
  <sheetViews>
    <sheetView view="pageLayout" zoomScaleNormal="100" workbookViewId="0">
      <selection activeCell="P11" sqref="P10:P11"/>
    </sheetView>
  </sheetViews>
  <sheetFormatPr baseColWidth="10" defaultRowHeight="12.75"/>
  <cols>
    <col min="1" max="1" width="10.7109375" customWidth="1"/>
    <col min="2" max="6" width="10.7109375" style="13" customWidth="1"/>
    <col min="7" max="8" width="13.140625" style="13" customWidth="1"/>
    <col min="9" max="9" width="14.7109375" customWidth="1"/>
    <col min="10" max="10" width="17.28515625" style="13" customWidth="1"/>
    <col min="11" max="11" width="20.28515625" style="13" customWidth="1"/>
    <col min="12" max="12" width="13.7109375" style="14" customWidth="1"/>
    <col min="13" max="14" width="8.7109375" customWidth="1"/>
  </cols>
  <sheetData>
    <row r="1" spans="1:12" ht="18">
      <c r="A1" s="3091" t="s">
        <v>1463</v>
      </c>
      <c r="B1" s="3090"/>
      <c r="C1" s="3090"/>
      <c r="D1" s="3090"/>
      <c r="E1" s="3090"/>
      <c r="F1" s="3090"/>
      <c r="G1" s="3090"/>
      <c r="H1" s="3090"/>
      <c r="I1" s="3090"/>
      <c r="J1" s="3090"/>
      <c r="K1" s="3090"/>
      <c r="L1" s="1169"/>
    </row>
    <row r="2" spans="1:12" ht="18">
      <c r="A2" s="3089" t="str">
        <f>'1a_Leistungsvolumen'!A2:C2</f>
        <v>Monat JJJJ</v>
      </c>
      <c r="B2" s="3090"/>
      <c r="C2" s="3090"/>
      <c r="D2" s="3090"/>
      <c r="E2" s="3090"/>
      <c r="F2" s="3090"/>
      <c r="G2" s="3090"/>
      <c r="H2" s="3090"/>
      <c r="I2" s="3090"/>
      <c r="J2" s="3090"/>
      <c r="K2" s="3090"/>
      <c r="L2" s="1168"/>
    </row>
    <row r="3" spans="1:12" ht="15.75" customHeight="1" thickBot="1">
      <c r="A3" s="195"/>
      <c r="F3"/>
      <c r="G3" s="2"/>
      <c r="H3" s="2"/>
      <c r="I3" s="13"/>
      <c r="J3"/>
      <c r="K3"/>
      <c r="L3"/>
    </row>
    <row r="4" spans="1:12" s="16" customFormat="1" ht="39" thickBot="1">
      <c r="A4" s="394" t="s">
        <v>0</v>
      </c>
      <c r="B4" s="52" t="s">
        <v>18</v>
      </c>
      <c r="C4" s="4" t="s">
        <v>8</v>
      </c>
      <c r="D4" s="4" t="s">
        <v>9</v>
      </c>
      <c r="E4" s="4" t="s">
        <v>10</v>
      </c>
      <c r="F4" s="4" t="s">
        <v>11</v>
      </c>
      <c r="G4" s="4" t="s">
        <v>12</v>
      </c>
      <c r="H4" s="52" t="s">
        <v>1109</v>
      </c>
      <c r="I4" s="1248" t="s">
        <v>13</v>
      </c>
      <c r="J4" s="1249" t="s">
        <v>14</v>
      </c>
      <c r="K4" s="1249" t="s">
        <v>15</v>
      </c>
      <c r="L4" s="1250" t="s">
        <v>16</v>
      </c>
    </row>
    <row r="5" spans="1:12" s="7" customFormat="1" ht="15" customHeight="1">
      <c r="A5" s="201" t="s">
        <v>1533</v>
      </c>
      <c r="B5" s="410" t="s">
        <v>139</v>
      </c>
      <c r="C5" s="19">
        <v>45759</v>
      </c>
      <c r="D5" s="202" t="s">
        <v>1555</v>
      </c>
      <c r="E5" s="20">
        <v>0.5229166666666667</v>
      </c>
      <c r="F5" s="20">
        <v>0.53125</v>
      </c>
      <c r="G5" s="45">
        <v>12</v>
      </c>
      <c r="H5" s="1436" t="s">
        <v>1066</v>
      </c>
      <c r="I5" s="2339" t="s">
        <v>313</v>
      </c>
      <c r="J5" s="191" t="s">
        <v>139</v>
      </c>
      <c r="K5" s="21" t="s">
        <v>17</v>
      </c>
      <c r="L5" s="1247" t="s">
        <v>1107</v>
      </c>
    </row>
    <row r="6" spans="1:12" s="7" customFormat="1" ht="15" customHeight="1">
      <c r="A6" s="201" t="s">
        <v>1529</v>
      </c>
      <c r="B6" s="410" t="s">
        <v>139</v>
      </c>
      <c r="C6" s="19">
        <v>45772</v>
      </c>
      <c r="D6" s="202" t="s">
        <v>1556</v>
      </c>
      <c r="E6" s="20">
        <v>0.32361111111111113</v>
      </c>
      <c r="F6" s="20">
        <v>0.32847222222222222</v>
      </c>
      <c r="G6" s="45">
        <v>7</v>
      </c>
      <c r="H6" s="1436" t="s">
        <v>1066</v>
      </c>
      <c r="I6" s="2339" t="s">
        <v>1557</v>
      </c>
      <c r="J6" s="191" t="s">
        <v>1108</v>
      </c>
      <c r="K6" s="191" t="s">
        <v>882</v>
      </c>
      <c r="L6" s="1247" t="s">
        <v>1106</v>
      </c>
    </row>
    <row r="7" spans="1:12" s="7" customFormat="1" ht="15" customHeight="1">
      <c r="A7" s="201" t="s">
        <v>1538</v>
      </c>
      <c r="B7" s="410" t="s">
        <v>139</v>
      </c>
      <c r="C7" s="19">
        <v>45777</v>
      </c>
      <c r="D7" s="202" t="s">
        <v>1558</v>
      </c>
      <c r="E7" s="20">
        <v>0.61319444444444449</v>
      </c>
      <c r="F7" s="20">
        <v>0.62222222222222223</v>
      </c>
      <c r="G7" s="45">
        <v>13</v>
      </c>
      <c r="H7" s="1436" t="s">
        <v>1066</v>
      </c>
      <c r="I7" s="2339" t="s">
        <v>1557</v>
      </c>
      <c r="J7" s="191" t="s">
        <v>139</v>
      </c>
      <c r="K7" s="191" t="s">
        <v>880</v>
      </c>
      <c r="L7" s="22" t="s">
        <v>1107</v>
      </c>
    </row>
    <row r="8" spans="1:12" s="12" customFormat="1" ht="15" customHeight="1" thickBot="1">
      <c r="A8" s="2337" t="s">
        <v>1535</v>
      </c>
      <c r="B8" s="717" t="s">
        <v>139</v>
      </c>
      <c r="C8" s="2288" t="s">
        <v>1560</v>
      </c>
      <c r="D8" s="2338" t="s">
        <v>1559</v>
      </c>
      <c r="E8" s="25">
        <v>0.52500000000000002</v>
      </c>
      <c r="F8" s="25">
        <v>0.53263888888888888</v>
      </c>
      <c r="G8" s="168">
        <v>11</v>
      </c>
      <c r="H8" s="2289" t="s">
        <v>1066</v>
      </c>
      <c r="I8" s="2340" t="s">
        <v>1388</v>
      </c>
      <c r="J8" s="2290" t="s">
        <v>139</v>
      </c>
      <c r="K8" s="2290" t="s">
        <v>1561</v>
      </c>
      <c r="L8" s="2291" t="s">
        <v>1107</v>
      </c>
    </row>
    <row r="10" spans="1:12" ht="13.15" customHeight="1">
      <c r="J10" s="3056" t="s">
        <v>203</v>
      </c>
      <c r="K10" s="3057"/>
      <c r="L10" s="3057"/>
    </row>
    <row r="11" spans="1:12">
      <c r="A11" s="194" t="s">
        <v>219</v>
      </c>
      <c r="B11" s="195" t="s">
        <v>224</v>
      </c>
      <c r="J11" s="3057"/>
      <c r="K11" s="3057"/>
      <c r="L11" s="3057"/>
    </row>
    <row r="12" spans="1:12" ht="13.9" customHeight="1">
      <c r="B12" s="195" t="s">
        <v>1645</v>
      </c>
      <c r="J12" s="3057"/>
      <c r="K12" s="3057"/>
      <c r="L12" s="3057"/>
    </row>
    <row r="13" spans="1:12">
      <c r="A13" s="195" t="s">
        <v>1111</v>
      </c>
      <c r="J13" s="3057"/>
      <c r="K13" s="3057"/>
      <c r="L13" s="3057"/>
    </row>
    <row r="14" spans="1:12">
      <c r="J14" s="3057"/>
      <c r="K14" s="3057"/>
      <c r="L14" s="3057"/>
    </row>
    <row r="15" spans="1:12">
      <c r="A15" s="335" t="s">
        <v>1434</v>
      </c>
      <c r="B15" s="335" t="s">
        <v>1435</v>
      </c>
      <c r="C15"/>
      <c r="D15" s="197"/>
      <c r="J15" s="3057"/>
      <c r="K15" s="3057"/>
      <c r="L15" s="3057"/>
    </row>
    <row r="16" spans="1:12">
      <c r="A16" s="335" t="s">
        <v>1554</v>
      </c>
      <c r="B16" s="335" t="s">
        <v>1550</v>
      </c>
      <c r="C16" s="2196" t="s">
        <v>1442</v>
      </c>
      <c r="D16" s="197"/>
      <c r="J16" s="3057"/>
      <c r="K16" s="3057"/>
      <c r="L16" s="3057"/>
    </row>
    <row r="17" spans="1:12">
      <c r="J17" s="3057"/>
      <c r="K17" s="3057"/>
      <c r="L17" s="3057"/>
    </row>
    <row r="18" spans="1:12">
      <c r="J18" s="3057"/>
      <c r="K18" s="3057"/>
      <c r="L18" s="3057"/>
    </row>
    <row r="19" spans="1:12">
      <c r="J19" s="3057"/>
      <c r="K19" s="3057"/>
      <c r="L19" s="3057"/>
    </row>
    <row r="20" spans="1:12">
      <c r="J20" s="3057"/>
      <c r="K20" s="3057"/>
      <c r="L20" s="3057"/>
    </row>
    <row r="25" spans="1:12">
      <c r="A25" s="194"/>
      <c r="B25" s="195"/>
    </row>
  </sheetData>
  <sheetProtection algorithmName="SHA-512" hashValue="OKMm/XgUYqXUSzGpMGCa9kZBRqNTDArHAnxPg1YkP3h/0tdZF9ST/rvOLAPVxC6uFCJlbv/FKW0a6u7cS2oy7w==" saltValue="PPLBOTT9i/RPtetkk/ozGQ==" spinCount="100000" sheet="1" objects="1" scenarios="1"/>
  <mergeCells count="3">
    <mergeCell ref="A2:K2"/>
    <mergeCell ref="A1:K1"/>
    <mergeCell ref="J10:L20"/>
  </mergeCells>
  <phoneticPr fontId="0" type="noConversion"/>
  <pageMargins left="0.7" right="0.7" top="0.78740157499999996" bottom="0.78740157499999996" header="0.3" footer="0.3"/>
  <pageSetup paperSize="9" scale="63" fitToHeight="0" orientation="landscape" r:id="rId1"/>
  <headerFooter>
    <oddHeader>&amp;LVDV SUN Jahresschlussrechnung JJJJ&amp;R&amp;KFF0000&amp;F</oddHeader>
    <oddFooter>&amp;C&amp;P&amp;R&amp;A</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AC128"/>
  <sheetViews>
    <sheetView view="pageLayout" zoomScale="80" zoomScaleNormal="80" zoomScaleSheetLayoutView="80" zoomScalePageLayoutView="80" workbookViewId="0">
      <selection activeCell="V22" sqref="V22"/>
    </sheetView>
  </sheetViews>
  <sheetFormatPr baseColWidth="10" defaultRowHeight="12.75"/>
  <cols>
    <col min="1" max="1" width="16" style="13" customWidth="1"/>
    <col min="2" max="2" width="21.5703125" style="13" customWidth="1"/>
    <col min="3" max="4" width="14.5703125" style="13" customWidth="1"/>
    <col min="5" max="5" width="16.85546875" style="13" customWidth="1"/>
    <col min="6" max="7" width="11.42578125" style="13" customWidth="1"/>
    <col min="9" max="9" width="12.28515625" style="2" customWidth="1"/>
    <col min="10" max="10" width="11.5703125" style="13" customWidth="1"/>
    <col min="11" max="11" width="10.42578125" style="13" customWidth="1"/>
    <col min="12" max="12" width="10" style="2175" customWidth="1"/>
    <col min="13" max="13" width="15" style="13" customWidth="1"/>
    <col min="14" max="14" width="16" style="13" customWidth="1"/>
    <col min="15" max="15" width="15.85546875" customWidth="1"/>
    <col min="16" max="16" width="14.5703125" customWidth="1"/>
    <col min="17" max="17" width="13" customWidth="1"/>
    <col min="21" max="21" width="11.5703125" customWidth="1"/>
    <col min="22" max="22" width="11" customWidth="1"/>
  </cols>
  <sheetData>
    <row r="1" spans="1:29" ht="18">
      <c r="A1" s="3095" t="s">
        <v>1464</v>
      </c>
      <c r="B1" s="3095"/>
      <c r="C1" s="3095"/>
      <c r="D1" s="3095"/>
      <c r="E1" s="3095"/>
      <c r="F1" s="3095"/>
      <c r="G1" s="3095"/>
      <c r="H1" s="3095"/>
      <c r="I1" s="3095"/>
      <c r="J1" s="3095"/>
      <c r="K1" s="3095"/>
      <c r="L1" s="3095"/>
      <c r="M1" s="3095"/>
      <c r="N1" s="3095"/>
      <c r="O1" s="3095"/>
      <c r="P1" s="3095"/>
      <c r="Q1" s="3095"/>
    </row>
    <row r="2" spans="1:29" ht="20.25" customHeight="1">
      <c r="A2" s="3096" t="str">
        <f>'1a_Leistungsvolumen'!A2</f>
        <v>Monat JJJJ</v>
      </c>
      <c r="B2" s="3096"/>
      <c r="C2" s="3096"/>
      <c r="D2" s="3096"/>
      <c r="E2" s="3096"/>
      <c r="F2" s="3096"/>
      <c r="G2" s="3096"/>
      <c r="H2" s="3096"/>
      <c r="I2" s="3096"/>
      <c r="J2" s="3096"/>
      <c r="K2" s="3096"/>
      <c r="L2" s="3096"/>
      <c r="M2" s="3096"/>
      <c r="N2" s="3096"/>
      <c r="O2" s="3096"/>
      <c r="P2" s="3096"/>
      <c r="Q2" s="3096"/>
    </row>
    <row r="3" spans="1:29" ht="20.25" customHeight="1" thickBot="1">
      <c r="A3" s="242"/>
      <c r="B3" s="553"/>
      <c r="C3" s="242"/>
      <c r="D3" s="242"/>
      <c r="E3" s="242"/>
      <c r="F3" s="242"/>
      <c r="G3" s="242"/>
      <c r="H3" s="242"/>
      <c r="I3" s="242"/>
      <c r="J3" s="242"/>
      <c r="K3" s="242"/>
      <c r="L3" s="553"/>
      <c r="M3" s="242"/>
      <c r="N3" s="242"/>
      <c r="O3" s="242"/>
      <c r="P3" s="242"/>
      <c r="Q3" s="242"/>
    </row>
    <row r="4" spans="1:29" ht="25.5" customHeight="1">
      <c r="A4" s="3092"/>
      <c r="B4" s="2315" t="s">
        <v>1526</v>
      </c>
      <c r="C4" s="2316" t="s">
        <v>1526</v>
      </c>
      <c r="D4" s="2868" t="s">
        <v>1566</v>
      </c>
      <c r="E4" s="2868" t="s">
        <v>1566</v>
      </c>
      <c r="F4" s="2316" t="s">
        <v>1566</v>
      </c>
      <c r="G4" s="2316" t="s">
        <v>1566</v>
      </c>
      <c r="H4" s="2316" t="s">
        <v>1566</v>
      </c>
      <c r="I4" s="2892" t="s">
        <v>1553</v>
      </c>
      <c r="J4" s="2316" t="s">
        <v>1553</v>
      </c>
      <c r="K4" s="2316" t="s">
        <v>1527</v>
      </c>
      <c r="L4" s="2316" t="s">
        <v>1527</v>
      </c>
      <c r="M4" s="2868" t="s">
        <v>1528</v>
      </c>
      <c r="N4" s="2316" t="s">
        <v>1528</v>
      </c>
      <c r="O4" s="2317" t="s">
        <v>1528</v>
      </c>
      <c r="P4" s="2317" t="s">
        <v>1666</v>
      </c>
      <c r="Q4" s="2330" t="s">
        <v>1552</v>
      </c>
      <c r="R4" s="2758" t="s">
        <v>1567</v>
      </c>
      <c r="S4" s="2758" t="s">
        <v>1568</v>
      </c>
      <c r="T4" s="2758" t="s">
        <v>1569</v>
      </c>
      <c r="U4" s="2758" t="s">
        <v>1571</v>
      </c>
      <c r="V4" s="2760" t="s">
        <v>1570</v>
      </c>
      <c r="W4" s="2760" t="s">
        <v>1668</v>
      </c>
      <c r="X4" s="2760" t="s">
        <v>1572</v>
      </c>
      <c r="Y4" s="2867" t="s">
        <v>1706</v>
      </c>
      <c r="Z4" s="953" t="s">
        <v>874</v>
      </c>
      <c r="AA4" s="954"/>
      <c r="AB4" s="956"/>
      <c r="AC4" s="955"/>
    </row>
    <row r="5" spans="1:29" ht="20.25" customHeight="1" thickBot="1">
      <c r="A5" s="3093"/>
      <c r="B5" s="2319" t="s">
        <v>1529</v>
      </c>
      <c r="C5" s="2320" t="s">
        <v>1531</v>
      </c>
      <c r="D5" s="2320" t="s">
        <v>1533</v>
      </c>
      <c r="E5" s="2320" t="s">
        <v>1534</v>
      </c>
      <c r="F5" s="2320" t="s">
        <v>1535</v>
      </c>
      <c r="G5" s="2320" t="s">
        <v>1536</v>
      </c>
      <c r="H5" s="2320" t="s">
        <v>1539</v>
      </c>
      <c r="I5" s="2893" t="s">
        <v>1535</v>
      </c>
      <c r="J5" s="2320" t="s">
        <v>1537</v>
      </c>
      <c r="K5" s="2321" t="s">
        <v>1529</v>
      </c>
      <c r="L5" s="2321" t="s">
        <v>1530</v>
      </c>
      <c r="M5" s="2320" t="s">
        <v>1533</v>
      </c>
      <c r="N5" s="2320" t="s">
        <v>1538</v>
      </c>
      <c r="O5" s="2322" t="s">
        <v>1539</v>
      </c>
      <c r="P5" s="2322" t="s">
        <v>1538</v>
      </c>
      <c r="Q5" s="2331" t="s">
        <v>1532</v>
      </c>
      <c r="R5" s="2759"/>
      <c r="S5" s="2759"/>
      <c r="T5" s="2759"/>
      <c r="U5" s="2759"/>
      <c r="V5" s="2759"/>
      <c r="W5" s="2759"/>
      <c r="X5" s="2759"/>
      <c r="Z5" s="954">
        <v>0</v>
      </c>
      <c r="AA5" s="957" t="s">
        <v>875</v>
      </c>
      <c r="AB5" s="956"/>
      <c r="AC5" s="955"/>
    </row>
    <row r="6" spans="1:29" ht="27" customHeight="1" thickBot="1">
      <c r="A6" s="416" t="s">
        <v>317</v>
      </c>
      <c r="B6" s="961">
        <f>SUMIFS($I$16:$I$25,$A$16:$A$25,B$5,$B$16:$B$25,B$4)</f>
        <v>71.817999999999998</v>
      </c>
      <c r="C6" s="960">
        <f>SUMIFS($I$16:$I$25,$A$16:$A$25,C$5,$B$16:$B$25,C$4)</f>
        <v>0</v>
      </c>
      <c r="D6" s="2972">
        <f>SUMIFS($I$16:$I$25,$A$16:$A$25,D$5,$B$16:$B$25,D$4)</f>
        <v>41.713999999999999</v>
      </c>
      <c r="E6" s="2972">
        <f t="shared" ref="E6:G6" si="0">SUMIFS($I$16:$I$25,$A$16:$A$25,E$5,$B$16:$B$25,E$4)</f>
        <v>0</v>
      </c>
      <c r="F6" s="960">
        <f t="shared" si="0"/>
        <v>0</v>
      </c>
      <c r="G6" s="960">
        <f t="shared" si="0"/>
        <v>22.018000000000001</v>
      </c>
      <c r="H6" s="960">
        <f>SUMIFS($I$16:$I$25,$A$16:$A$25,H$5,$B$16:$B$25,H$4)</f>
        <v>0</v>
      </c>
      <c r="I6" s="2894">
        <f t="shared" ref="I6" si="1">SUMIFS($I$16:$I$25,$A$16:$A$25,I$5,$B$16:$B$25,I$4)</f>
        <v>0</v>
      </c>
      <c r="J6" s="960">
        <f t="shared" ref="J6:O6" si="2">SUMIFS($I$16:$I$25,$A$16:$A$25,J$5,$B$16:$B$25,J$4)</f>
        <v>14.2</v>
      </c>
      <c r="K6" s="960">
        <f t="shared" si="2"/>
        <v>38.639000000000003</v>
      </c>
      <c r="L6" s="960">
        <f t="shared" si="2"/>
        <v>39.481000000000002</v>
      </c>
      <c r="M6" s="2972">
        <f>SUMIFS($I$16:$I$25,$A$16:$A$25,M$5,$B$16:$B$25,M$4)</f>
        <v>28.806999999999999</v>
      </c>
      <c r="N6" s="960">
        <f t="shared" si="2"/>
        <v>27.472000000000001</v>
      </c>
      <c r="O6" s="1839">
        <f t="shared" si="2"/>
        <v>9.0009999999999994</v>
      </c>
      <c r="P6" s="1839">
        <f>SUMIFS($I$16:$I$25,$A$16:$A$25,P$5,$B$16:$B$25,P$4)</f>
        <v>0</v>
      </c>
      <c r="Q6" s="2325">
        <f>SUMIFS($I$16:$I$25,$A$16:$A$25,Q$5,$B$16:$B$25,Q$4)</f>
        <v>0</v>
      </c>
      <c r="R6" s="2891">
        <f>SUM($B$6:$C$6)</f>
        <v>71.817999999999998</v>
      </c>
      <c r="S6" s="2891">
        <f>SUM($D$6:$H$6)</f>
        <v>63.731999999999999</v>
      </c>
      <c r="T6" s="2891">
        <f>SUM($J$6)</f>
        <v>14.2</v>
      </c>
      <c r="U6" s="2888">
        <f>SUM($K$6:$L$6)</f>
        <v>78.12</v>
      </c>
      <c r="V6" s="2888">
        <f>SUM($M$6:$O$6)</f>
        <v>65.28</v>
      </c>
      <c r="W6" s="1840">
        <f>SUM($P$6)</f>
        <v>0</v>
      </c>
      <c r="X6" s="1840">
        <f>$Q$6</f>
        <v>0</v>
      </c>
      <c r="Y6" s="2867" t="s">
        <v>1706</v>
      </c>
      <c r="Z6" s="954" t="s">
        <v>876</v>
      </c>
      <c r="AA6" s="957" t="s">
        <v>877</v>
      </c>
      <c r="AB6" s="956"/>
      <c r="AC6" s="956"/>
    </row>
    <row r="7" spans="1:29" ht="20.25" customHeight="1" thickBot="1">
      <c r="A7" s="416" t="s">
        <v>883</v>
      </c>
      <c r="B7" s="961">
        <f>SUMIFS($I$16:$I$25,$A$16:$A$25,B$5,$B$16:$B$25,B$4,$J$16:$J$25,$Z$6)</f>
        <v>0</v>
      </c>
      <c r="C7" s="960">
        <f t="shared" ref="C7:Q7" si="3">SUMIFS($I$16:$I$25,$A$16:$A$25,C$5,$B$16:$B$25,C$4,$J$16:$J$25,$Z$6)</f>
        <v>0</v>
      </c>
      <c r="D7" s="2972">
        <f>SUMIFS($I$16:$I$25,$A$16:$A$25,D$5,$B$16:$B$25,D$4,$J$16:$J$25,$Z$6)</f>
        <v>41.713999999999999</v>
      </c>
      <c r="E7" s="2972">
        <f t="shared" si="3"/>
        <v>0</v>
      </c>
      <c r="F7" s="960">
        <f t="shared" si="3"/>
        <v>0</v>
      </c>
      <c r="G7" s="960">
        <f t="shared" si="3"/>
        <v>0</v>
      </c>
      <c r="H7" s="960">
        <f t="shared" si="3"/>
        <v>0</v>
      </c>
      <c r="I7" s="2894">
        <f t="shared" si="3"/>
        <v>0</v>
      </c>
      <c r="J7" s="960">
        <f t="shared" si="3"/>
        <v>0</v>
      </c>
      <c r="K7" s="960">
        <f t="shared" si="3"/>
        <v>0</v>
      </c>
      <c r="L7" s="960">
        <f t="shared" si="3"/>
        <v>0</v>
      </c>
      <c r="M7" s="2972">
        <f>SUMIFS($I$16:$I$25,$A$16:$A$25,M$5,$B$16:$B$25,M$4,$J$16:$J$25,$Z$6)</f>
        <v>0</v>
      </c>
      <c r="N7" s="960">
        <f t="shared" si="3"/>
        <v>0</v>
      </c>
      <c r="O7" s="1839">
        <f t="shared" si="3"/>
        <v>0</v>
      </c>
      <c r="P7" s="1839">
        <f t="shared" si="3"/>
        <v>0</v>
      </c>
      <c r="Q7" s="2325">
        <f t="shared" si="3"/>
        <v>0</v>
      </c>
      <c r="R7" s="2891">
        <f>SUM($B$7:$C$7)</f>
        <v>0</v>
      </c>
      <c r="S7" s="2891">
        <f>SUM($D$7:$H$7)</f>
        <v>41.713999999999999</v>
      </c>
      <c r="T7" s="2891">
        <f>SUM($J$7)</f>
        <v>0</v>
      </c>
      <c r="U7" s="2888">
        <f>SUM($K$7:$L$7)</f>
        <v>0</v>
      </c>
      <c r="V7" s="2888">
        <f>SUM($M$7:$O$7)</f>
        <v>0</v>
      </c>
      <c r="W7" s="1840">
        <f>SUM($P$7)</f>
        <v>0</v>
      </c>
      <c r="X7" s="1840">
        <f>$Q$7</f>
        <v>0</v>
      </c>
      <c r="Y7" s="2867" t="s">
        <v>1706</v>
      </c>
      <c r="Z7" s="954" t="s">
        <v>882</v>
      </c>
      <c r="AA7" s="957" t="s">
        <v>985</v>
      </c>
    </row>
    <row r="8" spans="1:29" ht="20.25" customHeight="1" thickBot="1">
      <c r="A8" s="416" t="s">
        <v>884</v>
      </c>
      <c r="B8" s="961">
        <f t="shared" ref="B8:Q8" si="4">SUMIFS($I$16:$I$25,$A$16:$A$25,B$5,$B$16:$B$25,B$4,$J$16:$J$25,$Z$7)+SUMIFS($I$16:$I$25,$A$16:$A$25,B$5,$B$16:$B$25,B$4,$J$16:$J$25,$Z$9)</f>
        <v>71.817999999999998</v>
      </c>
      <c r="C8" s="960">
        <f t="shared" si="4"/>
        <v>0</v>
      </c>
      <c r="D8" s="2972">
        <f t="shared" si="4"/>
        <v>0</v>
      </c>
      <c r="E8" s="2972">
        <f t="shared" si="4"/>
        <v>0</v>
      </c>
      <c r="F8" s="960">
        <f t="shared" si="4"/>
        <v>0</v>
      </c>
      <c r="G8" s="960">
        <f t="shared" si="4"/>
        <v>0</v>
      </c>
      <c r="H8" s="960">
        <f t="shared" si="4"/>
        <v>0</v>
      </c>
      <c r="I8" s="2894">
        <f t="shared" si="4"/>
        <v>0</v>
      </c>
      <c r="J8" s="960">
        <f t="shared" si="4"/>
        <v>0</v>
      </c>
      <c r="K8" s="960">
        <f t="shared" si="4"/>
        <v>0</v>
      </c>
      <c r="L8" s="960">
        <f t="shared" si="4"/>
        <v>0</v>
      </c>
      <c r="M8" s="2974">
        <f>SUMIFS($I$16:$I$25,$A$16:$A$25,M$5,$B$16:$B$25,M$4,$J$16:$J$25,$Z$7)+SUMIFS($I$16:$I$25,$A$16:$A$25,M$5,$B$16:$B$25,M$4,$J$16:$J$25,$Z$9)</f>
        <v>0</v>
      </c>
      <c r="N8" s="960">
        <f t="shared" si="4"/>
        <v>0</v>
      </c>
      <c r="O8" s="1839">
        <f t="shared" si="4"/>
        <v>0</v>
      </c>
      <c r="P8" s="1839">
        <f t="shared" si="4"/>
        <v>0</v>
      </c>
      <c r="Q8" s="2325">
        <f t="shared" si="4"/>
        <v>0</v>
      </c>
      <c r="R8" s="2891">
        <f>SUM($B$8:$C$8)</f>
        <v>71.817999999999998</v>
      </c>
      <c r="S8" s="2891">
        <f>SUM($D$8:$H$8)</f>
        <v>0</v>
      </c>
      <c r="T8" s="2891">
        <f>SUM($J$8)</f>
        <v>0</v>
      </c>
      <c r="U8" s="2888">
        <f>SUM($K$8:$L$8)</f>
        <v>0</v>
      </c>
      <c r="V8" s="2888">
        <f>SUM($M$8:$O$8)</f>
        <v>0</v>
      </c>
      <c r="W8" s="1840">
        <f>SUM($P$8)</f>
        <v>0</v>
      </c>
      <c r="X8" s="1840">
        <f>$Q$8</f>
        <v>0</v>
      </c>
      <c r="Y8" s="2867" t="s">
        <v>1706</v>
      </c>
      <c r="Z8" s="954" t="s">
        <v>888</v>
      </c>
      <c r="AA8" s="957" t="s">
        <v>981</v>
      </c>
    </row>
    <row r="9" spans="1:29" s="958" customFormat="1" ht="24" customHeight="1" thickBot="1">
      <c r="A9" s="416" t="s">
        <v>995</v>
      </c>
      <c r="B9" s="961">
        <f t="shared" ref="B9:Q9" si="5">SUMIFS($I$16:$I$25,$A$16:$A$25,B$5,$B$16:$B$25,B$4,$J$16:$J$25,$Z$8)+SUMIFS($I$16:$I$25,$A$16:$A$25,B$5,$B$16:$B$25,B$4,$J$16:$J$25,$Z$10)</f>
        <v>0</v>
      </c>
      <c r="C9" s="960">
        <f t="shared" si="5"/>
        <v>0</v>
      </c>
      <c r="D9" s="2972">
        <f t="shared" si="5"/>
        <v>0</v>
      </c>
      <c r="E9" s="2972">
        <f t="shared" si="5"/>
        <v>0</v>
      </c>
      <c r="F9" s="960">
        <f t="shared" si="5"/>
        <v>0</v>
      </c>
      <c r="G9" s="960">
        <f t="shared" si="5"/>
        <v>0</v>
      </c>
      <c r="H9" s="960">
        <f t="shared" si="5"/>
        <v>0</v>
      </c>
      <c r="I9" s="2894">
        <f t="shared" si="5"/>
        <v>0</v>
      </c>
      <c r="J9" s="960">
        <f t="shared" si="5"/>
        <v>0</v>
      </c>
      <c r="K9" s="960">
        <f t="shared" si="5"/>
        <v>0</v>
      </c>
      <c r="L9" s="960">
        <f t="shared" si="5"/>
        <v>0</v>
      </c>
      <c r="M9" s="2972">
        <f>SUMIFS($I$16:$I$25,$A$16:$A$25,M$5,$B$16:$B$25,M$4,$J$16:$J$25,$Z$8)+SUMIFS($I$16:$I$25,$A$16:$A$25,M$5,$B$16:$B$25,M$4,$J$16:$J$25,$Z$10)</f>
        <v>0</v>
      </c>
      <c r="N9" s="960">
        <f t="shared" si="5"/>
        <v>0</v>
      </c>
      <c r="O9" s="1839">
        <f t="shared" si="5"/>
        <v>0</v>
      </c>
      <c r="P9" s="1839">
        <f t="shared" si="5"/>
        <v>0</v>
      </c>
      <c r="Q9" s="2325">
        <f t="shared" si="5"/>
        <v>0</v>
      </c>
      <c r="R9" s="2889">
        <f>SUM($B$9:$C$9)</f>
        <v>0</v>
      </c>
      <c r="S9" s="2889">
        <f>SUM($D$9:$H$9)</f>
        <v>0</v>
      </c>
      <c r="T9" s="2889">
        <f>SUM($J$9)</f>
        <v>0</v>
      </c>
      <c r="U9" s="2889">
        <f>SUM($K$9:$L$9)</f>
        <v>0</v>
      </c>
      <c r="V9" s="2889">
        <f>SUM($M$9:$O$9)</f>
        <v>0</v>
      </c>
      <c r="W9" s="1841">
        <f>SUM($P$9)</f>
        <v>0</v>
      </c>
      <c r="X9" s="1841">
        <f>$Q$9</f>
        <v>0</v>
      </c>
      <c r="Y9" s="2867" t="s">
        <v>1706</v>
      </c>
      <c r="Z9" s="366">
        <v>4</v>
      </c>
      <c r="AA9" s="977" t="s">
        <v>982</v>
      </c>
      <c r="AB9" s="954"/>
      <c r="AC9" s="957"/>
    </row>
    <row r="10" spans="1:29" s="958" customFormat="1" ht="28.5" customHeight="1" thickBot="1">
      <c r="A10" s="416" t="s">
        <v>996</v>
      </c>
      <c r="B10" s="961">
        <f t="shared" ref="B10:Q10" si="6">SUMIFS($I$16:$I$25,$A$16:$A$25,B$5,$B$16:$B$25,B$4,$J$16:$J$25,$Z$11)</f>
        <v>0</v>
      </c>
      <c r="C10" s="960">
        <f t="shared" si="6"/>
        <v>0</v>
      </c>
      <c r="D10" s="2972">
        <f t="shared" si="6"/>
        <v>0</v>
      </c>
      <c r="E10" s="2972">
        <f t="shared" si="6"/>
        <v>0</v>
      </c>
      <c r="F10" s="960">
        <f t="shared" si="6"/>
        <v>0</v>
      </c>
      <c r="G10" s="960">
        <f t="shared" si="6"/>
        <v>0</v>
      </c>
      <c r="H10" s="960">
        <f t="shared" si="6"/>
        <v>0</v>
      </c>
      <c r="I10" s="2894">
        <f t="shared" si="6"/>
        <v>0</v>
      </c>
      <c r="J10" s="960">
        <f t="shared" si="6"/>
        <v>0</v>
      </c>
      <c r="K10" s="960">
        <f t="shared" si="6"/>
        <v>0</v>
      </c>
      <c r="L10" s="960">
        <f t="shared" si="6"/>
        <v>0</v>
      </c>
      <c r="M10" s="2972">
        <f>SUMIFS($I$16:$I$25,$A$16:$A$25,M$5,$B$16:$B$25,M$4,$J$16:$J$25,$Z$11)</f>
        <v>0</v>
      </c>
      <c r="N10" s="960">
        <f t="shared" si="6"/>
        <v>0</v>
      </c>
      <c r="O10" s="1839">
        <f t="shared" si="6"/>
        <v>0</v>
      </c>
      <c r="P10" s="1839">
        <f t="shared" si="6"/>
        <v>0</v>
      </c>
      <c r="Q10" s="2325">
        <f t="shared" si="6"/>
        <v>0</v>
      </c>
      <c r="R10" s="2889">
        <f>SUM($B$10:$C$10)</f>
        <v>0</v>
      </c>
      <c r="S10" s="2889">
        <f>SUM($D$10:$H$10)</f>
        <v>0</v>
      </c>
      <c r="T10" s="2889">
        <f>SUM($J$10)</f>
        <v>0</v>
      </c>
      <c r="U10" s="2889">
        <f>SUM($K$10:$L$10)</f>
        <v>0</v>
      </c>
      <c r="V10" s="2889">
        <f>SUM($M$10:$O$10)</f>
        <v>0</v>
      </c>
      <c r="W10" s="1841">
        <f>SUM($P$10)</f>
        <v>0</v>
      </c>
      <c r="X10" s="1841">
        <f>$Q$10</f>
        <v>0</v>
      </c>
      <c r="Y10" s="2867" t="s">
        <v>1706</v>
      </c>
      <c r="Z10" s="366">
        <v>14</v>
      </c>
      <c r="AA10" s="966" t="s">
        <v>983</v>
      </c>
      <c r="AB10" s="553"/>
      <c r="AC10" s="553"/>
    </row>
    <row r="11" spans="1:29" s="958" customFormat="1" ht="18.75" thickBot="1">
      <c r="A11" s="416" t="s">
        <v>873</v>
      </c>
      <c r="B11" s="961">
        <f t="shared" ref="B11:Q11" si="7">SUMIFS($I$16:$I$25,$A$16:$A$25,B$5,$B$16:$B$25,B$4,$J$16:$J$25,$Z$12)+SUMIFS($I$16:$I$25,$A$16:$A$25,B$5,$B$16:$B$25,B$4,$J$16:$J$25,$Z$13)</f>
        <v>0</v>
      </c>
      <c r="C11" s="960">
        <f t="shared" si="7"/>
        <v>0</v>
      </c>
      <c r="D11" s="2972">
        <f t="shared" si="7"/>
        <v>0</v>
      </c>
      <c r="E11" s="2972">
        <f t="shared" si="7"/>
        <v>0</v>
      </c>
      <c r="F11" s="960">
        <f t="shared" si="7"/>
        <v>0</v>
      </c>
      <c r="G11" s="960">
        <f t="shared" si="7"/>
        <v>22.018000000000001</v>
      </c>
      <c r="H11" s="960">
        <f t="shared" si="7"/>
        <v>0</v>
      </c>
      <c r="I11" s="2894">
        <f t="shared" si="7"/>
        <v>0</v>
      </c>
      <c r="J11" s="960">
        <f t="shared" si="7"/>
        <v>14.2</v>
      </c>
      <c r="K11" s="960">
        <f t="shared" si="7"/>
        <v>38.639000000000003</v>
      </c>
      <c r="L11" s="960">
        <f t="shared" si="7"/>
        <v>39.481000000000002</v>
      </c>
      <c r="M11" s="2972">
        <f>SUMIFS($I$16:$I$25,$A$16:$A$25,M$5,$B$16:$B$25,M$4,$J$16:$J$25,$Z$12)+SUMIFS($I$16:$I$25,$A$16:$A$25,M$5,$B$16:$B$25,M$4,$J$16:$J$25,$Z$13)</f>
        <v>28.806999999999999</v>
      </c>
      <c r="N11" s="960">
        <f t="shared" si="7"/>
        <v>27.472000000000001</v>
      </c>
      <c r="O11" s="1839">
        <f t="shared" si="7"/>
        <v>0</v>
      </c>
      <c r="P11" s="1839">
        <f t="shared" si="7"/>
        <v>0</v>
      </c>
      <c r="Q11" s="2325">
        <f t="shared" si="7"/>
        <v>0</v>
      </c>
      <c r="R11" s="2890">
        <f>SUM($B$11:$C$11)</f>
        <v>0</v>
      </c>
      <c r="S11" s="2890">
        <f>SUM($D$11:$H$11)</f>
        <v>22.018000000000001</v>
      </c>
      <c r="T11" s="2890">
        <f>SUM($J$11)</f>
        <v>14.2</v>
      </c>
      <c r="U11" s="2890">
        <f>SUM($K$11:$L$11)</f>
        <v>78.12</v>
      </c>
      <c r="V11" s="2890">
        <f>SUM($M$11:$O$11)</f>
        <v>56.278999999999996</v>
      </c>
      <c r="W11" s="2890">
        <f>SUM($P$11)</f>
        <v>0</v>
      </c>
      <c r="X11" s="1842">
        <f>$Q$11</f>
        <v>0</v>
      </c>
      <c r="Y11" s="2867" t="s">
        <v>1706</v>
      </c>
      <c r="Z11" s="954" t="s">
        <v>880</v>
      </c>
      <c r="AA11" s="957" t="s">
        <v>984</v>
      </c>
      <c r="AB11" s="553"/>
      <c r="AC11" s="553"/>
    </row>
    <row r="12" spans="1:29" s="958" customFormat="1" ht="28.5" customHeight="1" thickBot="1">
      <c r="A12" s="416" t="s">
        <v>885</v>
      </c>
      <c r="B12" s="961">
        <f t="shared" ref="B12:Q12" si="8">SUMIFS($I$16:$I$25,$A$16:$A$25,B$5,$B$16:$B$25,B$4,$J$16:$J$25,$Z$5)+SUMIFS($I$16:$I$25,$A$16:$A$25,B$5,$B$16:$B$25,B$4,$J$16:$J$25,$Z$6)</f>
        <v>0</v>
      </c>
      <c r="C12" s="960">
        <f t="shared" si="8"/>
        <v>0</v>
      </c>
      <c r="D12" s="2972">
        <f t="shared" si="8"/>
        <v>41.713999999999999</v>
      </c>
      <c r="E12" s="2972">
        <f t="shared" si="8"/>
        <v>0</v>
      </c>
      <c r="F12" s="960">
        <f t="shared" si="8"/>
        <v>0</v>
      </c>
      <c r="G12" s="960">
        <f t="shared" si="8"/>
        <v>0</v>
      </c>
      <c r="H12" s="960">
        <f t="shared" si="8"/>
        <v>0</v>
      </c>
      <c r="I12" s="2894">
        <f t="shared" si="8"/>
        <v>0</v>
      </c>
      <c r="J12" s="960">
        <f t="shared" si="8"/>
        <v>0</v>
      </c>
      <c r="K12" s="960">
        <f t="shared" si="8"/>
        <v>0</v>
      </c>
      <c r="L12" s="960">
        <f t="shared" si="8"/>
        <v>0</v>
      </c>
      <c r="M12" s="2972">
        <f>SUMIFS($I$16:$I$25,$A$16:$A$25,M$5,$B$16:$B$25,M$4,$J$16:$J$25,$Z$5)+SUMIFS($I$16:$I$25,$A$16:$A$25,M$5,$B$16:$B$25,M$4,$J$16:$J$25,$Z$6)</f>
        <v>0</v>
      </c>
      <c r="N12" s="960">
        <f t="shared" si="8"/>
        <v>0</v>
      </c>
      <c r="O12" s="1839">
        <f t="shared" si="8"/>
        <v>9.0009999999999994</v>
      </c>
      <c r="P12" s="1839">
        <f t="shared" si="8"/>
        <v>0</v>
      </c>
      <c r="Q12" s="2325">
        <f t="shared" si="8"/>
        <v>0</v>
      </c>
      <c r="R12" s="2890">
        <f>SUM($B$12:$C$12)</f>
        <v>0</v>
      </c>
      <c r="S12" s="2890">
        <f>SUM($D$12:$H$12)</f>
        <v>41.713999999999999</v>
      </c>
      <c r="T12" s="2890">
        <f>SUM($J$12)</f>
        <v>0</v>
      </c>
      <c r="U12" s="2890">
        <f>SUM($K$12:$L$12)</f>
        <v>0</v>
      </c>
      <c r="V12" s="2890">
        <f>SUM($M$12:$O$12)</f>
        <v>9.0009999999999994</v>
      </c>
      <c r="W12" s="1842">
        <f>SUM($P$12)</f>
        <v>0</v>
      </c>
      <c r="X12" s="1842">
        <f>$Q$12</f>
        <v>0</v>
      </c>
      <c r="Y12" s="2867" t="s">
        <v>1706</v>
      </c>
      <c r="Z12" s="954">
        <v>2</v>
      </c>
      <c r="AA12" s="957" t="s">
        <v>878</v>
      </c>
      <c r="AB12" s="553"/>
      <c r="AC12" s="553"/>
    </row>
    <row r="13" spans="1:29" s="958" customFormat="1" ht="26.25" customHeight="1">
      <c r="A13" s="423"/>
      <c r="B13" s="423"/>
      <c r="C13" s="608"/>
      <c r="D13" s="608"/>
      <c r="E13" s="608"/>
      <c r="F13" s="608"/>
      <c r="G13" s="608"/>
      <c r="H13" s="608"/>
      <c r="I13" s="608"/>
      <c r="J13" s="553"/>
      <c r="Z13" s="954">
        <v>3</v>
      </c>
      <c r="AA13" s="957" t="s">
        <v>879</v>
      </c>
      <c r="AB13" s="553"/>
      <c r="AC13" s="553"/>
    </row>
    <row r="14" spans="1:29" ht="12" customHeight="1" thickBot="1">
      <c r="A14" s="212" t="s">
        <v>204</v>
      </c>
      <c r="B14" s="366" t="s">
        <v>35</v>
      </c>
      <c r="I14" s="965">
        <f>SUM(I16:I25)</f>
        <v>293.14999999999998</v>
      </c>
      <c r="M14" s="213"/>
      <c r="N14" s="213"/>
      <c r="O14" s="213"/>
      <c r="P14" s="1068">
        <v>4</v>
      </c>
    </row>
    <row r="15" spans="1:29" s="53" customFormat="1" ht="51.75" thickBot="1">
      <c r="A15" s="1438" t="s">
        <v>0</v>
      </c>
      <c r="B15" s="1438" t="s">
        <v>254</v>
      </c>
      <c r="C15" s="1439" t="s">
        <v>18</v>
      </c>
      <c r="D15" s="1439" t="s">
        <v>27</v>
      </c>
      <c r="E15" s="1439" t="s">
        <v>28</v>
      </c>
      <c r="F15" s="1439" t="s">
        <v>29</v>
      </c>
      <c r="G15" s="1439" t="s">
        <v>30</v>
      </c>
      <c r="H15" s="1439" t="s">
        <v>24</v>
      </c>
      <c r="I15" s="1440" t="s">
        <v>1160</v>
      </c>
      <c r="J15" s="1439" t="s">
        <v>31</v>
      </c>
      <c r="K15" s="1439" t="s">
        <v>1165</v>
      </c>
      <c r="L15" s="1439" t="s">
        <v>215</v>
      </c>
      <c r="M15" s="1439" t="s">
        <v>1166</v>
      </c>
      <c r="N15" s="1439" t="s">
        <v>216</v>
      </c>
      <c r="O15" s="1441" t="s">
        <v>33</v>
      </c>
      <c r="P15" s="1432" t="s">
        <v>989</v>
      </c>
    </row>
    <row r="16" spans="1:29" s="7" customFormat="1" ht="18" customHeight="1">
      <c r="A16" s="414" t="s">
        <v>1529</v>
      </c>
      <c r="B16" s="2326" t="s">
        <v>1526</v>
      </c>
      <c r="C16" s="202" t="s">
        <v>139</v>
      </c>
      <c r="D16" s="203">
        <v>45759</v>
      </c>
      <c r="E16" s="203">
        <v>45759</v>
      </c>
      <c r="F16" s="189" t="s">
        <v>1392</v>
      </c>
      <c r="G16" s="189" t="s">
        <v>1573</v>
      </c>
      <c r="H16" s="202">
        <v>1</v>
      </c>
      <c r="I16" s="204">
        <v>71.817999999999998</v>
      </c>
      <c r="J16" s="202">
        <v>11</v>
      </c>
      <c r="K16" s="202">
        <v>1</v>
      </c>
      <c r="L16" s="202">
        <v>1240</v>
      </c>
      <c r="M16" s="202" t="s">
        <v>34</v>
      </c>
      <c r="N16" s="202"/>
      <c r="O16" s="205">
        <v>36</v>
      </c>
      <c r="P16" s="1451"/>
    </row>
    <row r="17" spans="1:18" s="1830" customFormat="1" ht="18" customHeight="1">
      <c r="A17" s="2332" t="s">
        <v>1529</v>
      </c>
      <c r="B17" s="2326" t="s">
        <v>1527</v>
      </c>
      <c r="C17" s="202" t="s">
        <v>139</v>
      </c>
      <c r="D17" s="203">
        <v>45759</v>
      </c>
      <c r="E17" s="203">
        <v>45759</v>
      </c>
      <c r="F17" s="189" t="s">
        <v>1574</v>
      </c>
      <c r="G17" s="189" t="s">
        <v>1557</v>
      </c>
      <c r="H17" s="202">
        <v>1</v>
      </c>
      <c r="I17" s="204">
        <v>38.639000000000003</v>
      </c>
      <c r="J17" s="202">
        <v>2</v>
      </c>
      <c r="K17" s="202">
        <v>1</v>
      </c>
      <c r="L17" s="202">
        <v>1240</v>
      </c>
      <c r="M17" s="202" t="s">
        <v>34</v>
      </c>
      <c r="N17" s="202"/>
      <c r="O17" s="205"/>
      <c r="P17" s="1451"/>
    </row>
    <row r="18" spans="1:18" s="1830" customFormat="1" ht="18" customHeight="1">
      <c r="A18" s="2332" t="s">
        <v>1530</v>
      </c>
      <c r="B18" s="2326" t="s">
        <v>1527</v>
      </c>
      <c r="C18" s="202" t="s">
        <v>139</v>
      </c>
      <c r="D18" s="203">
        <v>45759</v>
      </c>
      <c r="E18" s="203">
        <v>45759</v>
      </c>
      <c r="F18" s="189" t="s">
        <v>1575</v>
      </c>
      <c r="G18" s="189" t="s">
        <v>1576</v>
      </c>
      <c r="H18" s="202">
        <v>1</v>
      </c>
      <c r="I18" s="204">
        <v>39.481000000000002</v>
      </c>
      <c r="J18" s="202">
        <v>2</v>
      </c>
      <c r="K18" s="202">
        <v>1</v>
      </c>
      <c r="L18" s="202">
        <v>1240</v>
      </c>
      <c r="M18" s="202" t="s">
        <v>34</v>
      </c>
      <c r="N18" s="202"/>
      <c r="O18" s="205"/>
      <c r="P18" s="1451"/>
    </row>
    <row r="19" spans="1:18" s="7" customFormat="1" ht="18" customHeight="1">
      <c r="A19" s="415" t="s">
        <v>1538</v>
      </c>
      <c r="B19" s="2326" t="s">
        <v>1528</v>
      </c>
      <c r="C19" s="202" t="s">
        <v>139</v>
      </c>
      <c r="D19" s="203">
        <v>45759</v>
      </c>
      <c r="E19" s="203">
        <v>45759</v>
      </c>
      <c r="F19" s="189" t="s">
        <v>1577</v>
      </c>
      <c r="G19" s="189" t="s">
        <v>1558</v>
      </c>
      <c r="H19" s="202">
        <v>1</v>
      </c>
      <c r="I19" s="204">
        <v>27.472000000000001</v>
      </c>
      <c r="J19" s="202">
        <v>2</v>
      </c>
      <c r="K19" s="202">
        <v>1</v>
      </c>
      <c r="L19" s="202">
        <v>1240</v>
      </c>
      <c r="M19" s="202" t="s">
        <v>34</v>
      </c>
      <c r="N19" s="202"/>
      <c r="O19" s="205"/>
      <c r="P19" s="1443"/>
    </row>
    <row r="20" spans="1:18" s="1830" customFormat="1" ht="18" customHeight="1">
      <c r="A20" s="415" t="s">
        <v>1536</v>
      </c>
      <c r="B20" s="2326" t="s">
        <v>1566</v>
      </c>
      <c r="C20" s="202" t="s">
        <v>139</v>
      </c>
      <c r="D20" s="203">
        <v>45759</v>
      </c>
      <c r="E20" s="203">
        <v>45759</v>
      </c>
      <c r="F20" s="189" t="s">
        <v>1578</v>
      </c>
      <c r="G20" s="189" t="s">
        <v>1579</v>
      </c>
      <c r="H20" s="202">
        <v>1</v>
      </c>
      <c r="I20" s="204">
        <v>22.018000000000001</v>
      </c>
      <c r="J20" s="202">
        <v>2</v>
      </c>
      <c r="K20" s="202">
        <v>1</v>
      </c>
      <c r="L20" s="202">
        <v>1240</v>
      </c>
      <c r="M20" s="202" t="s">
        <v>34</v>
      </c>
      <c r="N20" s="202"/>
      <c r="O20" s="205"/>
      <c r="P20" s="1443"/>
    </row>
    <row r="21" spans="1:18" s="2176" customFormat="1">
      <c r="A21" s="2333" t="s">
        <v>1539</v>
      </c>
      <c r="B21" s="2334" t="s">
        <v>1528</v>
      </c>
      <c r="C21" s="2188" t="s">
        <v>139</v>
      </c>
      <c r="D21" s="2189">
        <v>45759</v>
      </c>
      <c r="E21" s="2189">
        <v>45759</v>
      </c>
      <c r="F21" s="2335" t="s">
        <v>1557</v>
      </c>
      <c r="G21" s="2335" t="s">
        <v>1580</v>
      </c>
      <c r="H21" s="2188">
        <v>1</v>
      </c>
      <c r="I21" s="2336">
        <v>9.0009999999999994</v>
      </c>
      <c r="J21" s="2188">
        <v>0</v>
      </c>
      <c r="K21" s="2188">
        <v>1</v>
      </c>
      <c r="L21" s="2188">
        <v>1240</v>
      </c>
      <c r="M21" s="2188" t="s">
        <v>34</v>
      </c>
      <c r="N21" s="2188"/>
      <c r="O21" s="2190"/>
      <c r="P21" s="2191"/>
    </row>
    <row r="22" spans="1:18" s="7" customFormat="1" ht="18" customHeight="1">
      <c r="A22" s="415" t="s">
        <v>1533</v>
      </c>
      <c r="B22" s="2865" t="s">
        <v>1566</v>
      </c>
      <c r="C22" s="202" t="s">
        <v>139</v>
      </c>
      <c r="D22" s="203">
        <v>45759</v>
      </c>
      <c r="E22" s="203">
        <v>45759</v>
      </c>
      <c r="F22" s="189" t="s">
        <v>1555</v>
      </c>
      <c r="G22" s="189" t="s">
        <v>1581</v>
      </c>
      <c r="H22" s="202">
        <v>1</v>
      </c>
      <c r="I22" s="2329">
        <v>41.713999999999999</v>
      </c>
      <c r="J22" s="202">
        <v>5</v>
      </c>
      <c r="K22" s="202">
        <v>1</v>
      </c>
      <c r="L22" s="202">
        <v>1240</v>
      </c>
      <c r="M22" s="202" t="s">
        <v>34</v>
      </c>
      <c r="N22" s="202"/>
      <c r="O22" s="205">
        <v>46</v>
      </c>
      <c r="P22" s="1443"/>
      <c r="R22" s="2867" t="s">
        <v>1706</v>
      </c>
    </row>
    <row r="23" spans="1:18" s="7" customFormat="1" ht="18" customHeight="1">
      <c r="A23" s="415" t="s">
        <v>1533</v>
      </c>
      <c r="B23" s="2865" t="s">
        <v>1528</v>
      </c>
      <c r="C23" s="202" t="s">
        <v>139</v>
      </c>
      <c r="D23" s="203">
        <v>45759</v>
      </c>
      <c r="E23" s="203">
        <v>45759</v>
      </c>
      <c r="F23" s="189" t="s">
        <v>1582</v>
      </c>
      <c r="G23" s="189" t="s">
        <v>1557</v>
      </c>
      <c r="H23" s="202">
        <v>1</v>
      </c>
      <c r="I23" s="204">
        <v>28.806999999999999</v>
      </c>
      <c r="J23" s="202">
        <v>3</v>
      </c>
      <c r="K23" s="202">
        <v>1</v>
      </c>
      <c r="L23" s="202">
        <v>1240</v>
      </c>
      <c r="M23" s="202" t="s">
        <v>34</v>
      </c>
      <c r="N23" s="202"/>
      <c r="O23" s="205">
        <v>15</v>
      </c>
      <c r="P23" s="1443"/>
      <c r="R23" s="2867" t="s">
        <v>1706</v>
      </c>
    </row>
    <row r="24" spans="1:18" s="7" customFormat="1" ht="18" customHeight="1">
      <c r="A24" s="415" t="s">
        <v>1537</v>
      </c>
      <c r="B24" s="2326" t="s">
        <v>1553</v>
      </c>
      <c r="C24" s="202" t="s">
        <v>139</v>
      </c>
      <c r="D24" s="203">
        <v>45759</v>
      </c>
      <c r="E24" s="203">
        <v>45759</v>
      </c>
      <c r="F24" s="189" t="s">
        <v>1583</v>
      </c>
      <c r="G24" s="189" t="s">
        <v>1584</v>
      </c>
      <c r="H24" s="202">
        <v>1</v>
      </c>
      <c r="I24" s="204">
        <v>14.2</v>
      </c>
      <c r="J24" s="202">
        <v>3</v>
      </c>
      <c r="K24" s="202">
        <v>1</v>
      </c>
      <c r="L24" s="202">
        <v>1240</v>
      </c>
      <c r="M24" s="202" t="s">
        <v>34</v>
      </c>
      <c r="N24" s="202"/>
      <c r="O24" s="205">
        <v>15</v>
      </c>
      <c r="P24" s="1443"/>
    </row>
    <row r="25" spans="1:18" s="7" customFormat="1" ht="18" customHeight="1">
      <c r="A25" s="1855" t="s">
        <v>792</v>
      </c>
      <c r="B25" s="943"/>
      <c r="C25" s="202"/>
      <c r="D25" s="203"/>
      <c r="E25" s="203"/>
      <c r="F25" s="189"/>
      <c r="G25" s="189"/>
      <c r="H25" s="202"/>
      <c r="I25" s="204"/>
      <c r="J25" s="202"/>
      <c r="K25" s="202"/>
      <c r="L25" s="202"/>
      <c r="M25" s="202"/>
      <c r="N25" s="202"/>
      <c r="O25" s="205"/>
      <c r="P25" s="1443"/>
    </row>
    <row r="26" spans="1:18" s="55" customFormat="1" ht="18" customHeight="1" thickBot="1">
      <c r="A26" s="1444"/>
      <c r="B26" s="1452"/>
      <c r="C26" s="1446" t="s">
        <v>35</v>
      </c>
      <c r="D26" s="1447"/>
      <c r="E26" s="1447"/>
      <c r="F26" s="1448"/>
      <c r="G26" s="1448"/>
      <c r="H26" s="1447">
        <f>SUM(H16:H25)</f>
        <v>9</v>
      </c>
      <c r="I26" s="1449">
        <f>SUM(I16:I25)</f>
        <v>293.14999999999998</v>
      </c>
      <c r="J26" s="1447"/>
      <c r="K26" s="1447"/>
      <c r="L26" s="1447"/>
      <c r="M26" s="1447"/>
      <c r="N26" s="1447"/>
      <c r="O26" s="1450"/>
      <c r="P26" s="1431"/>
    </row>
    <row r="27" spans="1:18" s="7" customFormat="1" ht="13.15" customHeight="1">
      <c r="A27" s="207" t="s">
        <v>1162</v>
      </c>
      <c r="B27" s="207"/>
      <c r="C27" s="206"/>
      <c r="D27" s="206"/>
      <c r="E27" s="206"/>
      <c r="F27" s="206"/>
      <c r="G27" s="206"/>
      <c r="H27" s="208"/>
      <c r="I27" s="209"/>
      <c r="J27" s="206"/>
      <c r="K27" s="206"/>
      <c r="L27" s="206"/>
      <c r="M27" s="206"/>
      <c r="N27" s="206"/>
      <c r="O27" s="206"/>
      <c r="P27" s="206"/>
      <c r="Q27" s="208"/>
    </row>
    <row r="28" spans="1:18" s="7" customFormat="1" ht="13.15" customHeight="1">
      <c r="B28" s="207"/>
      <c r="C28" s="206"/>
      <c r="D28" s="206"/>
      <c r="E28" s="206"/>
      <c r="F28" s="206"/>
      <c r="G28" s="206"/>
      <c r="H28" s="208"/>
      <c r="I28" s="209"/>
      <c r="J28" s="206"/>
      <c r="K28" s="206"/>
      <c r="L28" s="206"/>
      <c r="M28" s="206"/>
      <c r="N28" s="206"/>
      <c r="O28" s="206"/>
      <c r="P28" s="206"/>
      <c r="Q28" s="208"/>
    </row>
    <row r="29" spans="1:18" s="7" customFormat="1" ht="13.15" customHeight="1">
      <c r="A29" s="194" t="s">
        <v>219</v>
      </c>
      <c r="B29" s="194"/>
      <c r="C29" s="195" t="s">
        <v>224</v>
      </c>
      <c r="D29" s="206"/>
      <c r="E29" s="206"/>
      <c r="F29" s="206"/>
      <c r="G29" s="206"/>
      <c r="H29" s="208"/>
      <c r="I29" s="209"/>
      <c r="J29" s="206"/>
      <c r="K29" s="206"/>
      <c r="L29" s="206"/>
      <c r="M29" s="206"/>
      <c r="N29" s="206"/>
      <c r="O29" s="206"/>
      <c r="P29" s="206"/>
      <c r="Q29" s="208"/>
    </row>
    <row r="30" spans="1:18" s="7" customFormat="1" ht="13.15" customHeight="1">
      <c r="A30" s="207"/>
      <c r="B30" s="207"/>
      <c r="C30" s="195" t="s">
        <v>1645</v>
      </c>
      <c r="D30" s="206"/>
      <c r="E30" s="206"/>
      <c r="F30" s="206"/>
      <c r="G30" s="206"/>
      <c r="H30" s="208"/>
      <c r="I30" s="209"/>
      <c r="J30" s="206"/>
      <c r="K30" s="206"/>
      <c r="L30" s="206"/>
      <c r="M30" s="206"/>
      <c r="N30" s="206"/>
      <c r="O30" s="206"/>
      <c r="P30" s="206"/>
      <c r="Q30" s="208"/>
    </row>
    <row r="31" spans="1:18" s="7" customFormat="1" ht="13.15" customHeight="1">
      <c r="D31" s="197"/>
      <c r="E31" s="206"/>
      <c r="F31" s="206"/>
      <c r="G31" s="206"/>
      <c r="H31" s="208"/>
      <c r="I31" s="209"/>
      <c r="J31" s="206"/>
      <c r="K31" s="206"/>
      <c r="L31" s="206"/>
      <c r="M31" s="206"/>
      <c r="N31" s="206"/>
      <c r="O31" s="206"/>
      <c r="P31" s="206"/>
      <c r="Q31" s="208"/>
    </row>
    <row r="32" spans="1:18" s="7" customFormat="1" ht="13.15" customHeight="1">
      <c r="A32" s="335" t="s">
        <v>1434</v>
      </c>
      <c r="B32" s="335" t="s">
        <v>1435</v>
      </c>
      <c r="C32"/>
      <c r="D32" s="197"/>
      <c r="E32" s="206"/>
      <c r="F32" s="206"/>
      <c r="G32" s="206"/>
      <c r="H32" s="208"/>
      <c r="I32" s="209"/>
      <c r="J32" s="206"/>
      <c r="K32" s="206"/>
      <c r="L32" s="206"/>
      <c r="M32" s="206"/>
      <c r="N32" s="206"/>
      <c r="O32" s="206"/>
      <c r="P32" s="206"/>
      <c r="Q32" s="208"/>
    </row>
    <row r="33" spans="1:17" s="7" customFormat="1" ht="13.15" customHeight="1">
      <c r="A33" s="335" t="s">
        <v>1554</v>
      </c>
      <c r="B33" s="335" t="s">
        <v>1550</v>
      </c>
      <c r="C33" s="2196" t="s">
        <v>1442</v>
      </c>
      <c r="D33" s="206"/>
      <c r="E33" s="206"/>
      <c r="F33" s="206"/>
      <c r="G33" s="206"/>
      <c r="H33" s="208"/>
      <c r="I33" s="209"/>
      <c r="J33" s="206"/>
      <c r="K33" s="206"/>
      <c r="L33" s="206"/>
      <c r="M33" s="206"/>
      <c r="N33" s="206"/>
      <c r="O33" s="206"/>
      <c r="P33" s="206"/>
      <c r="Q33" s="208"/>
    </row>
    <row r="34" spans="1:17" s="7" customFormat="1" ht="13.15" customHeight="1">
      <c r="A34" s="207"/>
      <c r="B34" s="207"/>
      <c r="C34" s="206"/>
      <c r="D34" s="206"/>
      <c r="E34" s="206"/>
      <c r="F34" s="206"/>
      <c r="G34" s="206"/>
      <c r="H34" s="208"/>
      <c r="I34" s="209"/>
      <c r="J34" s="206"/>
      <c r="K34" s="206"/>
      <c r="L34" s="206"/>
      <c r="M34" s="206"/>
      <c r="N34" s="206"/>
      <c r="O34" s="206"/>
      <c r="P34" s="206"/>
      <c r="Q34" s="208"/>
    </row>
    <row r="35" spans="1:17" s="7" customFormat="1" ht="15" customHeight="1">
      <c r="A35" s="210" t="s">
        <v>21</v>
      </c>
      <c r="B35" s="210"/>
      <c r="C35" s="206"/>
      <c r="D35" s="206"/>
      <c r="E35" s="207"/>
      <c r="F35" s="206"/>
      <c r="G35" s="206"/>
      <c r="H35" s="208"/>
      <c r="I35" s="209"/>
      <c r="J35" s="206"/>
      <c r="K35" s="3056" t="s">
        <v>321</v>
      </c>
      <c r="L35" s="3056"/>
      <c r="M35" s="3057"/>
      <c r="N35" s="3057"/>
      <c r="O35" s="3057"/>
      <c r="P35" s="3057"/>
      <c r="Q35" s="3057"/>
    </row>
    <row r="36" spans="1:17" s="7" customFormat="1" ht="7.15" customHeight="1">
      <c r="A36" s="207"/>
      <c r="B36" s="207"/>
      <c r="C36" s="206"/>
      <c r="D36" s="206"/>
      <c r="E36" s="207"/>
      <c r="F36" s="206"/>
      <c r="G36" s="206"/>
      <c r="H36" s="208"/>
      <c r="I36" s="209"/>
      <c r="J36" s="206"/>
      <c r="K36" s="3057"/>
      <c r="L36" s="3057"/>
      <c r="M36" s="3057"/>
      <c r="N36" s="3057"/>
      <c r="O36" s="3057"/>
      <c r="P36" s="3057"/>
      <c r="Q36" s="3057"/>
    </row>
    <row r="37" spans="1:17" s="7" customFormat="1" ht="15" customHeight="1">
      <c r="A37" s="207" t="s">
        <v>254</v>
      </c>
      <c r="B37" s="207"/>
      <c r="C37" s="206"/>
      <c r="D37" s="208"/>
      <c r="E37" s="207" t="s">
        <v>136</v>
      </c>
      <c r="F37" s="206"/>
      <c r="G37" s="206"/>
      <c r="H37" s="208"/>
      <c r="I37" s="209"/>
      <c r="J37" s="206"/>
      <c r="K37" s="3057"/>
      <c r="L37" s="3057"/>
      <c r="M37" s="3057"/>
      <c r="N37" s="3057"/>
      <c r="O37" s="3057"/>
      <c r="P37" s="3057"/>
      <c r="Q37" s="3057"/>
    </row>
    <row r="38" spans="1:17" s="7" customFormat="1" ht="15" customHeight="1">
      <c r="A38" s="207" t="s">
        <v>26</v>
      </c>
      <c r="B38" s="207"/>
      <c r="C38" s="206"/>
      <c r="D38" s="208"/>
      <c r="E38" s="207" t="s">
        <v>212</v>
      </c>
      <c r="F38" s="206"/>
      <c r="G38" s="206"/>
      <c r="H38" s="208"/>
      <c r="I38" s="209"/>
      <c r="J38" s="206"/>
      <c r="K38" s="3057"/>
      <c r="L38" s="3057"/>
      <c r="M38" s="3057"/>
      <c r="N38" s="3057"/>
      <c r="O38" s="3057"/>
      <c r="P38" s="3057"/>
      <c r="Q38" s="3057"/>
    </row>
    <row r="39" spans="1:17" s="7" customFormat="1" ht="15" customHeight="1">
      <c r="A39" s="207" t="s">
        <v>36</v>
      </c>
      <c r="B39" s="207"/>
      <c r="C39" s="206"/>
      <c r="D39" s="208"/>
      <c r="E39" s="207" t="s">
        <v>37</v>
      </c>
      <c r="F39" s="206"/>
      <c r="G39" s="206"/>
      <c r="H39" s="208"/>
      <c r="I39" s="209"/>
      <c r="J39" s="206"/>
      <c r="K39" s="3057"/>
      <c r="L39" s="3057"/>
      <c r="M39" s="3057"/>
      <c r="N39" s="3057"/>
      <c r="O39" s="3057"/>
      <c r="P39" s="3057"/>
      <c r="Q39" s="3057"/>
    </row>
    <row r="40" spans="1:17" s="7" customFormat="1" ht="15" customHeight="1">
      <c r="A40" s="207" t="s">
        <v>38</v>
      </c>
      <c r="B40" s="207"/>
      <c r="C40" s="206"/>
      <c r="D40" s="208"/>
      <c r="E40" s="207" t="s">
        <v>39</v>
      </c>
      <c r="F40" s="206"/>
      <c r="G40" s="206"/>
      <c r="H40" s="208"/>
      <c r="I40" s="209"/>
      <c r="J40" s="206"/>
      <c r="K40" s="3057"/>
      <c r="L40" s="3057"/>
      <c r="M40" s="3057"/>
      <c r="N40" s="3057"/>
      <c r="O40" s="3057"/>
      <c r="P40" s="3057"/>
      <c r="Q40" s="3057"/>
    </row>
    <row r="41" spans="1:17" s="7" customFormat="1" ht="15" customHeight="1">
      <c r="A41" s="207" t="s">
        <v>40</v>
      </c>
      <c r="B41" s="207"/>
      <c r="C41" s="206"/>
      <c r="D41" s="208"/>
      <c r="E41" s="207" t="s">
        <v>23</v>
      </c>
      <c r="F41" s="206"/>
      <c r="G41" s="206"/>
      <c r="H41" s="208"/>
      <c r="I41" s="209"/>
      <c r="J41" s="206"/>
      <c r="K41" s="3057"/>
      <c r="L41" s="3057"/>
      <c r="M41" s="3057"/>
      <c r="N41" s="3057"/>
      <c r="O41" s="3057"/>
      <c r="P41" s="3057"/>
      <c r="Q41" s="3057"/>
    </row>
    <row r="42" spans="1:17" s="7" customFormat="1" ht="15" customHeight="1">
      <c r="A42" s="207" t="s">
        <v>41</v>
      </c>
      <c r="B42" s="207"/>
      <c r="C42" s="206"/>
      <c r="D42" s="208"/>
      <c r="E42" s="207" t="s">
        <v>23</v>
      </c>
      <c r="F42" s="206"/>
      <c r="G42" s="206"/>
      <c r="H42" s="208"/>
      <c r="I42" s="209"/>
      <c r="J42" s="206"/>
      <c r="K42" s="3057"/>
      <c r="L42" s="3057"/>
      <c r="M42" s="3057"/>
      <c r="N42" s="3057"/>
      <c r="O42" s="3057"/>
      <c r="P42" s="3057"/>
      <c r="Q42" s="3057"/>
    </row>
    <row r="43" spans="1:17" s="7" customFormat="1" ht="15" customHeight="1">
      <c r="A43" s="207" t="s">
        <v>42</v>
      </c>
      <c r="B43" s="207"/>
      <c r="C43" s="206"/>
      <c r="D43" s="208"/>
      <c r="E43" s="207" t="s">
        <v>43</v>
      </c>
      <c r="F43" s="206"/>
      <c r="G43" s="206"/>
      <c r="H43" s="208"/>
      <c r="I43" s="209"/>
      <c r="J43" s="206"/>
      <c r="K43" s="206"/>
      <c r="L43" s="206"/>
      <c r="M43" s="206"/>
      <c r="N43" s="206"/>
      <c r="O43" s="206"/>
      <c r="P43" s="206"/>
      <c r="Q43" s="208"/>
    </row>
    <row r="44" spans="1:17" s="7" customFormat="1" ht="15" customHeight="1">
      <c r="A44" s="207"/>
      <c r="B44" s="207"/>
      <c r="C44" s="206"/>
      <c r="D44" s="208"/>
      <c r="E44" s="210" t="s">
        <v>213</v>
      </c>
      <c r="F44" s="206"/>
      <c r="G44" s="206"/>
      <c r="H44" s="208"/>
      <c r="I44" s="209"/>
      <c r="J44" s="206"/>
      <c r="K44" s="206"/>
      <c r="L44" s="206"/>
      <c r="M44" s="206"/>
      <c r="N44" s="206"/>
      <c r="O44" s="206"/>
      <c r="P44" s="206"/>
      <c r="Q44" s="208"/>
    </row>
    <row r="45" spans="1:17" s="7" customFormat="1" ht="15" customHeight="1">
      <c r="A45" s="207"/>
      <c r="B45" s="207"/>
      <c r="C45" s="206"/>
      <c r="D45" s="208"/>
      <c r="E45" s="207" t="s">
        <v>44</v>
      </c>
      <c r="F45" s="206"/>
      <c r="G45" s="206"/>
      <c r="H45" s="208"/>
      <c r="I45" s="209"/>
      <c r="J45" s="206"/>
      <c r="K45" s="206"/>
      <c r="L45" s="206"/>
      <c r="M45" s="206"/>
      <c r="N45" s="206"/>
      <c r="O45" s="206"/>
      <c r="P45" s="206"/>
      <c r="Q45" s="208"/>
    </row>
    <row r="46" spans="1:17" s="7" customFormat="1" ht="15" customHeight="1">
      <c r="A46" s="207" t="s">
        <v>45</v>
      </c>
      <c r="B46" s="207"/>
      <c r="C46" s="206"/>
      <c r="D46" s="208"/>
      <c r="E46" s="207" t="s">
        <v>46</v>
      </c>
      <c r="F46" s="206"/>
      <c r="G46" s="206"/>
      <c r="H46" s="208"/>
      <c r="I46" s="209"/>
      <c r="J46" s="206"/>
      <c r="K46" s="206"/>
      <c r="L46" s="206"/>
      <c r="M46" s="206"/>
      <c r="N46" s="206"/>
      <c r="O46" s="206"/>
      <c r="P46" s="206"/>
      <c r="Q46" s="208"/>
    </row>
    <row r="47" spans="1:17" s="7" customFormat="1" ht="15" customHeight="1">
      <c r="A47" s="207"/>
      <c r="B47" s="207"/>
      <c r="C47" s="206"/>
      <c r="D47" s="208"/>
      <c r="E47" s="210" t="s">
        <v>214</v>
      </c>
      <c r="F47" s="206"/>
      <c r="G47" s="206"/>
      <c r="H47" s="208"/>
      <c r="I47" s="209"/>
      <c r="J47" s="206"/>
      <c r="K47" s="206"/>
      <c r="L47" s="206"/>
      <c r="M47" s="206"/>
      <c r="N47" s="206"/>
      <c r="O47" s="206"/>
      <c r="P47" s="206"/>
      <c r="Q47" s="208"/>
    </row>
    <row r="48" spans="1:17" s="7" customFormat="1" ht="15" customHeight="1">
      <c r="A48" s="207"/>
      <c r="B48" s="207"/>
      <c r="C48" s="206"/>
      <c r="D48" s="208"/>
      <c r="E48" s="207" t="s">
        <v>47</v>
      </c>
      <c r="F48" s="206"/>
      <c r="G48" s="206"/>
      <c r="H48" s="208"/>
      <c r="I48" s="209"/>
      <c r="J48" s="206"/>
      <c r="K48" s="206"/>
      <c r="L48" s="206"/>
      <c r="M48" s="206"/>
      <c r="N48" s="206"/>
      <c r="O48" s="206"/>
      <c r="P48" s="206"/>
      <c r="Q48" s="208"/>
    </row>
    <row r="49" spans="1:17" s="7" customFormat="1" ht="15" customHeight="1">
      <c r="A49" s="207"/>
      <c r="B49" s="207"/>
      <c r="C49" s="206"/>
      <c r="D49" s="208"/>
      <c r="E49" s="207" t="s">
        <v>48</v>
      </c>
      <c r="F49" s="206"/>
      <c r="G49" s="206"/>
      <c r="H49" s="208"/>
      <c r="I49" s="209"/>
      <c r="J49" s="206"/>
      <c r="K49" s="206"/>
      <c r="L49" s="206"/>
      <c r="M49" s="206"/>
      <c r="N49" s="206"/>
      <c r="O49" s="206"/>
      <c r="P49" s="206"/>
      <c r="Q49" s="208"/>
    </row>
    <row r="50" spans="1:17" s="7" customFormat="1" ht="15" customHeight="1">
      <c r="A50" s="207" t="s">
        <v>31</v>
      </c>
      <c r="B50" s="207"/>
      <c r="C50" s="206"/>
      <c r="D50" s="208"/>
      <c r="E50" s="207" t="s">
        <v>49</v>
      </c>
      <c r="F50" s="206"/>
      <c r="G50" s="206"/>
      <c r="H50" s="208"/>
      <c r="I50" s="209"/>
      <c r="J50" s="206"/>
      <c r="K50" s="206"/>
      <c r="L50" s="206"/>
      <c r="M50" s="206"/>
      <c r="N50" s="206"/>
      <c r="O50" s="206"/>
      <c r="P50" s="206"/>
      <c r="Q50" s="208"/>
    </row>
    <row r="51" spans="1:17" s="7" customFormat="1" ht="15" customHeight="1">
      <c r="A51" s="207"/>
      <c r="B51" s="207"/>
      <c r="C51" s="206"/>
      <c r="D51" s="208"/>
      <c r="E51" s="207" t="s">
        <v>50</v>
      </c>
      <c r="F51" s="206"/>
      <c r="G51" s="206"/>
      <c r="H51" s="208"/>
      <c r="I51" s="209"/>
      <c r="J51" s="206"/>
      <c r="K51" s="206"/>
      <c r="L51" s="206"/>
      <c r="M51" s="206"/>
      <c r="N51" s="206"/>
      <c r="O51" s="206"/>
      <c r="P51" s="206"/>
      <c r="Q51" s="208"/>
    </row>
    <row r="52" spans="1:17" s="7" customFormat="1" ht="15" customHeight="1">
      <c r="A52" s="207"/>
      <c r="B52" s="207"/>
      <c r="C52" s="206"/>
      <c r="D52" s="208"/>
      <c r="E52" s="207" t="s">
        <v>980</v>
      </c>
      <c r="F52" s="206"/>
      <c r="G52" s="206"/>
      <c r="H52" s="208"/>
      <c r="I52" s="209"/>
      <c r="J52" s="206"/>
      <c r="K52" s="206"/>
      <c r="L52" s="206"/>
      <c r="M52" s="206"/>
      <c r="N52" s="206"/>
      <c r="O52" s="206"/>
      <c r="P52" s="206"/>
      <c r="Q52" s="208"/>
    </row>
    <row r="53" spans="1:17" s="7" customFormat="1" ht="15" customHeight="1">
      <c r="A53" s="207"/>
      <c r="B53" s="207"/>
      <c r="C53" s="206"/>
      <c r="D53" s="208"/>
      <c r="E53" s="207" t="s">
        <v>979</v>
      </c>
      <c r="F53" s="206"/>
      <c r="G53" s="206"/>
      <c r="H53" s="208"/>
      <c r="I53" s="209"/>
      <c r="J53" s="206"/>
      <c r="K53" s="206"/>
      <c r="L53" s="206"/>
      <c r="M53" s="206"/>
      <c r="N53" s="206"/>
      <c r="O53" s="206"/>
      <c r="P53" s="206"/>
      <c r="Q53" s="208"/>
    </row>
    <row r="54" spans="1:17" s="7" customFormat="1" ht="15" customHeight="1">
      <c r="A54" s="207"/>
      <c r="B54" s="207"/>
      <c r="C54" s="206"/>
      <c r="D54" s="208"/>
      <c r="E54" s="207" t="s">
        <v>51</v>
      </c>
      <c r="F54" s="206"/>
      <c r="G54" s="206"/>
      <c r="H54" s="208"/>
      <c r="I54" s="209"/>
      <c r="J54" s="206"/>
      <c r="K54" s="206"/>
      <c r="L54" s="206"/>
      <c r="M54" s="206"/>
      <c r="N54" s="206"/>
      <c r="O54" s="206"/>
      <c r="P54" s="206"/>
      <c r="Q54" s="208"/>
    </row>
    <row r="55" spans="1:17" s="7" customFormat="1" ht="15" customHeight="1">
      <c r="A55" s="207"/>
      <c r="B55" s="207"/>
      <c r="C55" s="206"/>
      <c r="D55" s="208"/>
      <c r="E55" s="207" t="s">
        <v>701</v>
      </c>
      <c r="F55" s="206"/>
      <c r="G55" s="206"/>
      <c r="H55" s="208"/>
      <c r="I55" s="209"/>
      <c r="J55" s="206"/>
      <c r="K55" s="206"/>
      <c r="L55" s="206"/>
      <c r="M55" s="206"/>
      <c r="N55" s="206"/>
      <c r="O55" s="206"/>
      <c r="P55" s="206"/>
      <c r="Q55" s="208"/>
    </row>
    <row r="56" spans="1:17" s="7" customFormat="1" ht="15" customHeight="1">
      <c r="A56" s="207"/>
      <c r="B56" s="207"/>
      <c r="C56" s="206"/>
      <c r="D56" s="208"/>
      <c r="E56" s="207" t="s">
        <v>702</v>
      </c>
      <c r="F56" s="206"/>
      <c r="G56" s="206"/>
      <c r="H56" s="208"/>
      <c r="I56" s="209"/>
      <c r="J56" s="206"/>
      <c r="K56" s="206"/>
      <c r="L56" s="206"/>
      <c r="M56" s="206"/>
      <c r="N56" s="206"/>
      <c r="O56" s="206"/>
      <c r="P56" s="206"/>
      <c r="Q56" s="208"/>
    </row>
    <row r="57" spans="1:17" s="978" customFormat="1" ht="15" customHeight="1">
      <c r="A57" s="207"/>
      <c r="B57" s="207"/>
      <c r="C57" s="206"/>
      <c r="D57" s="208"/>
      <c r="E57" s="1066" t="s">
        <v>986</v>
      </c>
      <c r="F57" s="977"/>
      <c r="G57" s="977"/>
      <c r="H57" s="977"/>
      <c r="I57" s="209"/>
      <c r="J57" s="206"/>
      <c r="K57" s="206"/>
      <c r="L57" s="206"/>
      <c r="M57" s="206"/>
      <c r="N57" s="206"/>
      <c r="O57" s="206"/>
      <c r="P57" s="206"/>
      <c r="Q57" s="208"/>
    </row>
    <row r="58" spans="1:17" s="978" customFormat="1" ht="15" customHeight="1">
      <c r="A58" s="207"/>
      <c r="B58" s="207"/>
      <c r="C58" s="206"/>
      <c r="D58" s="208"/>
      <c r="E58" s="1067" t="s">
        <v>987</v>
      </c>
      <c r="F58" s="966"/>
      <c r="G58" s="966"/>
      <c r="H58" s="966"/>
      <c r="I58" s="209"/>
      <c r="J58" s="206"/>
      <c r="K58" s="206"/>
      <c r="L58" s="206"/>
      <c r="M58" s="206"/>
      <c r="N58" s="206"/>
      <c r="O58" s="206"/>
      <c r="P58" s="206"/>
      <c r="Q58" s="208"/>
    </row>
    <row r="59" spans="1:17" s="978" customFormat="1" ht="15" customHeight="1">
      <c r="A59" s="207"/>
      <c r="B59" s="207"/>
      <c r="C59" s="206"/>
      <c r="D59" s="208"/>
      <c r="E59" s="207" t="s">
        <v>988</v>
      </c>
      <c r="F59" s="206"/>
      <c r="G59" s="206"/>
      <c r="H59" s="208"/>
      <c r="I59" s="209"/>
      <c r="J59" s="206"/>
      <c r="K59" s="206"/>
      <c r="L59" s="206"/>
      <c r="M59" s="206"/>
      <c r="N59" s="206"/>
      <c r="O59" s="206"/>
      <c r="P59" s="206"/>
      <c r="Q59" s="208"/>
    </row>
    <row r="60" spans="1:17" s="7" customFormat="1" ht="15" customHeight="1">
      <c r="A60" s="207" t="s">
        <v>52</v>
      </c>
      <c r="B60" s="207"/>
      <c r="C60" s="206"/>
      <c r="D60" s="208"/>
      <c r="E60" s="207" t="s">
        <v>206</v>
      </c>
      <c r="F60" s="206"/>
      <c r="G60" s="206"/>
      <c r="H60" s="208"/>
      <c r="I60" s="209"/>
      <c r="J60" s="206"/>
      <c r="K60" s="206"/>
      <c r="L60" s="206"/>
      <c r="M60" s="206"/>
      <c r="N60" s="206"/>
      <c r="O60" s="206"/>
      <c r="P60" s="206"/>
      <c r="Q60" s="208"/>
    </row>
    <row r="61" spans="1:17" s="7" customFormat="1" ht="15" customHeight="1">
      <c r="A61" s="207"/>
      <c r="B61" s="207"/>
      <c r="C61" s="206"/>
      <c r="D61" s="208"/>
      <c r="E61" s="207" t="s">
        <v>53</v>
      </c>
      <c r="F61" s="206"/>
      <c r="G61" s="206"/>
      <c r="H61" s="208"/>
      <c r="I61" s="209"/>
      <c r="J61" s="206"/>
      <c r="K61" s="206"/>
      <c r="L61" s="206"/>
      <c r="M61" s="206"/>
      <c r="N61" s="206"/>
      <c r="O61" s="206"/>
      <c r="P61" s="206"/>
      <c r="Q61" s="208"/>
    </row>
    <row r="62" spans="1:17" s="7" customFormat="1" ht="15" customHeight="1">
      <c r="A62" s="207"/>
      <c r="B62" s="207"/>
      <c r="C62" s="206"/>
      <c r="D62" s="208"/>
      <c r="E62" s="207" t="s">
        <v>54</v>
      </c>
      <c r="F62" s="206"/>
      <c r="G62" s="206"/>
      <c r="H62" s="208"/>
      <c r="I62" s="209"/>
      <c r="J62" s="206"/>
      <c r="K62" s="206"/>
      <c r="L62" s="206"/>
      <c r="M62" s="206"/>
      <c r="N62" s="206"/>
      <c r="O62" s="206"/>
      <c r="P62" s="206"/>
      <c r="Q62" s="208"/>
    </row>
    <row r="63" spans="1:17" s="7" customFormat="1" ht="15" customHeight="1">
      <c r="A63" s="207" t="s">
        <v>207</v>
      </c>
      <c r="B63" s="207"/>
      <c r="C63" s="206"/>
      <c r="D63" s="208"/>
      <c r="E63" s="207" t="s">
        <v>208</v>
      </c>
      <c r="F63" s="206"/>
      <c r="G63" s="206"/>
      <c r="H63" s="208"/>
      <c r="I63" s="209"/>
      <c r="J63" s="206"/>
      <c r="K63" s="206"/>
      <c r="L63" s="206"/>
      <c r="M63" s="206"/>
      <c r="N63" s="206"/>
      <c r="O63" s="206"/>
      <c r="P63" s="206"/>
      <c r="Q63" s="208"/>
    </row>
    <row r="64" spans="1:17" s="7" customFormat="1" ht="15" customHeight="1">
      <c r="A64" s="207" t="s">
        <v>32</v>
      </c>
      <c r="B64" s="207"/>
      <c r="C64" s="206"/>
      <c r="D64" s="208"/>
      <c r="E64" s="207" t="s">
        <v>209</v>
      </c>
      <c r="F64" s="206"/>
      <c r="G64" s="206"/>
      <c r="H64" s="208"/>
      <c r="I64" s="209"/>
      <c r="J64" s="206"/>
      <c r="K64" s="206"/>
      <c r="L64" s="206"/>
      <c r="M64" s="206"/>
      <c r="N64" s="206"/>
      <c r="O64" s="206"/>
      <c r="P64" s="206"/>
      <c r="Q64" s="208"/>
    </row>
    <row r="65" spans="1:17">
      <c r="A65" s="198" t="s">
        <v>205</v>
      </c>
      <c r="B65" s="198"/>
      <c r="C65" s="199"/>
      <c r="D65" s="211"/>
      <c r="E65" s="198" t="s">
        <v>210</v>
      </c>
      <c r="F65" s="199"/>
      <c r="G65" s="199"/>
      <c r="H65" s="196"/>
      <c r="I65" s="200"/>
      <c r="J65" s="199"/>
      <c r="K65" s="199"/>
      <c r="L65" s="199"/>
      <c r="M65" s="199"/>
      <c r="N65" s="199"/>
      <c r="O65" s="199"/>
      <c r="P65" s="199"/>
      <c r="Q65" s="196"/>
    </row>
    <row r="66" spans="1:17">
      <c r="A66" s="214" t="s">
        <v>55</v>
      </c>
      <c r="B66" s="214"/>
      <c r="C66" s="215"/>
      <c r="D66" s="216"/>
      <c r="E66" s="214" t="s">
        <v>211</v>
      </c>
      <c r="F66" s="215"/>
      <c r="G66" s="215"/>
      <c r="H66" s="217"/>
      <c r="I66" s="218"/>
      <c r="J66" s="215"/>
      <c r="K66" s="215"/>
      <c r="L66" s="215"/>
      <c r="M66" s="215"/>
      <c r="N66" s="215"/>
      <c r="O66" s="199"/>
      <c r="P66" s="199"/>
      <c r="Q66" s="196"/>
    </row>
    <row r="70" spans="1:17" ht="15">
      <c r="A70" s="445" t="s">
        <v>343</v>
      </c>
      <c r="B70" s="445"/>
    </row>
    <row r="71" spans="1:17" ht="13.5" thickBot="1"/>
    <row r="72" spans="1:17" ht="13.5" thickBot="1">
      <c r="A72" s="446" t="s">
        <v>344</v>
      </c>
      <c r="B72" s="939"/>
      <c r="C72" s="447"/>
      <c r="D72" s="3103" t="s">
        <v>345</v>
      </c>
      <c r="E72" s="3104"/>
      <c r="F72" s="3104"/>
      <c r="G72" s="3105"/>
      <c r="H72" s="3103" t="s">
        <v>346</v>
      </c>
      <c r="I72" s="3104"/>
      <c r="J72" s="3104"/>
      <c r="K72" s="3104"/>
      <c r="L72" s="3111"/>
      <c r="M72" s="3104"/>
      <c r="N72" s="3104"/>
      <c r="O72" s="3104"/>
      <c r="P72" s="3104"/>
      <c r="Q72" s="3112"/>
    </row>
    <row r="73" spans="1:17" ht="13.5" thickBot="1">
      <c r="H73" s="13"/>
    </row>
    <row r="74" spans="1:17">
      <c r="A74" s="448">
        <v>1100</v>
      </c>
      <c r="B74" s="944"/>
      <c r="C74" s="3097" t="s">
        <v>347</v>
      </c>
      <c r="D74" s="3102" t="s">
        <v>348</v>
      </c>
      <c r="E74" s="3102"/>
      <c r="F74" s="3102"/>
      <c r="G74" s="3102"/>
      <c r="H74" s="3102" t="s">
        <v>349</v>
      </c>
      <c r="I74" s="3102"/>
      <c r="J74" s="3102"/>
      <c r="K74" s="3102"/>
      <c r="L74" s="3109"/>
      <c r="M74" s="3102"/>
      <c r="N74" s="3102"/>
      <c r="O74" s="3102"/>
      <c r="P74" s="3102"/>
      <c r="Q74" s="3110"/>
    </row>
    <row r="75" spans="1:17">
      <c r="A75" s="449">
        <v>1110</v>
      </c>
      <c r="B75" s="945"/>
      <c r="C75" s="3098"/>
      <c r="D75" s="3101" t="s">
        <v>350</v>
      </c>
      <c r="E75" s="3101"/>
      <c r="F75" s="3101"/>
      <c r="G75" s="3101"/>
      <c r="H75" s="3101" t="s">
        <v>351</v>
      </c>
      <c r="I75" s="3101"/>
      <c r="J75" s="3101"/>
      <c r="K75" s="3101"/>
      <c r="L75" s="3106"/>
      <c r="M75" s="3101"/>
      <c r="N75" s="3101"/>
      <c r="O75" s="3101"/>
      <c r="P75" s="3101"/>
      <c r="Q75" s="3107"/>
    </row>
    <row r="76" spans="1:17">
      <c r="A76" s="449">
        <v>1120</v>
      </c>
      <c r="B76" s="945"/>
      <c r="C76" s="3098"/>
      <c r="D76" s="3101" t="s">
        <v>352</v>
      </c>
      <c r="E76" s="3101"/>
      <c r="F76" s="3101"/>
      <c r="G76" s="3101"/>
      <c r="H76" s="3101" t="s">
        <v>353</v>
      </c>
      <c r="I76" s="3101"/>
      <c r="J76" s="3101"/>
      <c r="K76" s="3101"/>
      <c r="L76" s="3106"/>
      <c r="M76" s="3101"/>
      <c r="N76" s="3101"/>
      <c r="O76" s="3101"/>
      <c r="P76" s="3101"/>
      <c r="Q76" s="3107"/>
    </row>
    <row r="77" spans="1:17">
      <c r="A77" s="449">
        <v>1130</v>
      </c>
      <c r="B77" s="945"/>
      <c r="C77" s="3098"/>
      <c r="D77" s="3101" t="s">
        <v>354</v>
      </c>
      <c r="E77" s="3101"/>
      <c r="F77" s="3101"/>
      <c r="G77" s="3101"/>
      <c r="H77" s="3101" t="s">
        <v>355</v>
      </c>
      <c r="I77" s="3101"/>
      <c r="J77" s="3101"/>
      <c r="K77" s="3101"/>
      <c r="L77" s="3106"/>
      <c r="M77" s="3101"/>
      <c r="N77" s="3101"/>
      <c r="O77" s="3101"/>
      <c r="P77" s="3101"/>
      <c r="Q77" s="3107"/>
    </row>
    <row r="78" spans="1:17">
      <c r="A78" s="449">
        <v>1140</v>
      </c>
      <c r="B78" s="945"/>
      <c r="C78" s="3098"/>
      <c r="D78" s="3101" t="s">
        <v>356</v>
      </c>
      <c r="E78" s="3101"/>
      <c r="F78" s="3101"/>
      <c r="G78" s="3101"/>
      <c r="H78" s="3101" t="s">
        <v>357</v>
      </c>
      <c r="I78" s="3101"/>
      <c r="J78" s="3101"/>
      <c r="K78" s="3101"/>
      <c r="L78" s="3106"/>
      <c r="M78" s="3101"/>
      <c r="N78" s="3101"/>
      <c r="O78" s="3101"/>
      <c r="P78" s="3101"/>
      <c r="Q78" s="3107"/>
    </row>
    <row r="79" spans="1:17">
      <c r="A79" s="450">
        <v>1150</v>
      </c>
      <c r="B79" s="945"/>
      <c r="C79" s="3098"/>
      <c r="D79" s="3101" t="s">
        <v>358</v>
      </c>
      <c r="E79" s="3101"/>
      <c r="F79" s="3101"/>
      <c r="G79" s="3101"/>
      <c r="H79" s="3101" t="s">
        <v>359</v>
      </c>
      <c r="I79" s="3101"/>
      <c r="J79" s="3101"/>
      <c r="K79" s="3101"/>
      <c r="L79" s="3106"/>
      <c r="M79" s="3101"/>
      <c r="N79" s="3101"/>
      <c r="O79" s="3101"/>
      <c r="P79" s="3101"/>
      <c r="Q79" s="3107"/>
    </row>
    <row r="80" spans="1:17" ht="13.5" thickBot="1">
      <c r="A80" s="451">
        <v>1190</v>
      </c>
      <c r="B80" s="946"/>
      <c r="C80" s="3099"/>
      <c r="D80" s="3100" t="s">
        <v>360</v>
      </c>
      <c r="E80" s="3100"/>
      <c r="F80" s="3100"/>
      <c r="G80" s="3100"/>
      <c r="H80" s="3100"/>
      <c r="I80" s="3100"/>
      <c r="J80" s="3100"/>
      <c r="K80" s="3100"/>
      <c r="L80" s="3100"/>
      <c r="M80" s="3100"/>
      <c r="N80" s="3100"/>
      <c r="O80" s="3100"/>
      <c r="P80" s="3100"/>
      <c r="Q80" s="3108"/>
    </row>
    <row r="81" spans="1:17" ht="13.5" thickBot="1">
      <c r="D81" s="28"/>
      <c r="E81" s="28"/>
      <c r="F81" s="28"/>
      <c r="G81" s="28"/>
      <c r="H81" s="28"/>
      <c r="I81" s="28"/>
      <c r="J81" s="28"/>
      <c r="K81" s="28"/>
      <c r="L81" s="28"/>
      <c r="M81" s="28"/>
      <c r="N81" s="28"/>
      <c r="O81" s="28"/>
      <c r="P81" s="28"/>
      <c r="Q81" s="28"/>
    </row>
    <row r="82" spans="1:17">
      <c r="A82" s="452">
        <v>1200</v>
      </c>
      <c r="B82" s="947"/>
      <c r="C82" s="3113" t="s">
        <v>361</v>
      </c>
      <c r="D82" s="3135" t="s">
        <v>362</v>
      </c>
      <c r="E82" s="3136"/>
      <c r="F82" s="3136"/>
      <c r="G82" s="3137"/>
      <c r="H82" s="3125" t="s">
        <v>370</v>
      </c>
      <c r="I82" s="3126"/>
      <c r="J82" s="3126"/>
      <c r="K82" s="3126"/>
      <c r="L82" s="3127"/>
      <c r="M82" s="3126"/>
      <c r="N82" s="3126"/>
      <c r="O82" s="3126"/>
      <c r="P82" s="3126"/>
      <c r="Q82" s="3128"/>
    </row>
    <row r="83" spans="1:17">
      <c r="A83" s="453">
        <v>1210</v>
      </c>
      <c r="B83" s="948"/>
      <c r="C83" s="3114"/>
      <c r="D83" s="3132" t="s">
        <v>363</v>
      </c>
      <c r="E83" s="3133"/>
      <c r="F83" s="3133"/>
      <c r="G83" s="3134"/>
      <c r="H83" s="3121" t="s">
        <v>371</v>
      </c>
      <c r="I83" s="3122"/>
      <c r="J83" s="3122"/>
      <c r="K83" s="3122"/>
      <c r="L83" s="3123"/>
      <c r="M83" s="3122"/>
      <c r="N83" s="3122"/>
      <c r="O83" s="3122"/>
      <c r="P83" s="3122"/>
      <c r="Q83" s="3124"/>
    </row>
    <row r="84" spans="1:17">
      <c r="A84" s="453">
        <v>1220</v>
      </c>
      <c r="B84" s="948"/>
      <c r="C84" s="3114"/>
      <c r="D84" s="3132" t="s">
        <v>364</v>
      </c>
      <c r="E84" s="3133"/>
      <c r="F84" s="3133"/>
      <c r="G84" s="3134"/>
      <c r="H84" s="3121" t="s">
        <v>372</v>
      </c>
      <c r="I84" s="3122"/>
      <c r="J84" s="3122"/>
      <c r="K84" s="3122"/>
      <c r="L84" s="3123"/>
      <c r="M84" s="3122"/>
      <c r="N84" s="3122"/>
      <c r="O84" s="3122"/>
      <c r="P84" s="3122"/>
      <c r="Q84" s="3124"/>
    </row>
    <row r="85" spans="1:17">
      <c r="A85" s="453">
        <v>1230</v>
      </c>
      <c r="B85" s="948"/>
      <c r="C85" s="3114"/>
      <c r="D85" s="3132" t="s">
        <v>365</v>
      </c>
      <c r="E85" s="3133"/>
      <c r="F85" s="3133"/>
      <c r="G85" s="3134"/>
      <c r="H85" s="3121" t="s">
        <v>373</v>
      </c>
      <c r="I85" s="3122"/>
      <c r="J85" s="3122"/>
      <c r="K85" s="3122"/>
      <c r="L85" s="3123"/>
      <c r="M85" s="3122"/>
      <c r="N85" s="3122"/>
      <c r="O85" s="3122"/>
      <c r="P85" s="3122"/>
      <c r="Q85" s="3124"/>
    </row>
    <row r="86" spans="1:17">
      <c r="A86" s="453">
        <v>1240</v>
      </c>
      <c r="B86" s="948"/>
      <c r="C86" s="3114"/>
      <c r="D86" s="3132" t="s">
        <v>34</v>
      </c>
      <c r="E86" s="3133"/>
      <c r="F86" s="3133"/>
      <c r="G86" s="3134"/>
      <c r="H86" s="3121" t="s">
        <v>374</v>
      </c>
      <c r="I86" s="3122"/>
      <c r="J86" s="3122"/>
      <c r="K86" s="3122"/>
      <c r="L86" s="3123"/>
      <c r="M86" s="3122"/>
      <c r="N86" s="3122"/>
      <c r="O86" s="3122"/>
      <c r="P86" s="3122"/>
      <c r="Q86" s="3124"/>
    </row>
    <row r="87" spans="1:17">
      <c r="A87" s="453">
        <v>1250</v>
      </c>
      <c r="B87" s="948"/>
      <c r="C87" s="3114"/>
      <c r="D87" s="3132" t="s">
        <v>366</v>
      </c>
      <c r="E87" s="3133"/>
      <c r="F87" s="3133"/>
      <c r="G87" s="3134"/>
      <c r="H87" s="3121" t="s">
        <v>375</v>
      </c>
      <c r="I87" s="3122"/>
      <c r="J87" s="3122"/>
      <c r="K87" s="3122"/>
      <c r="L87" s="3123"/>
      <c r="M87" s="3122"/>
      <c r="N87" s="3122"/>
      <c r="O87" s="3122"/>
      <c r="P87" s="3122"/>
      <c r="Q87" s="3124"/>
    </row>
    <row r="88" spans="1:17">
      <c r="A88" s="453">
        <v>1260</v>
      </c>
      <c r="B88" s="948"/>
      <c r="C88" s="3114"/>
      <c r="D88" s="3132" t="s">
        <v>367</v>
      </c>
      <c r="E88" s="3133"/>
      <c r="F88" s="3133"/>
      <c r="G88" s="3134"/>
      <c r="H88" s="3121" t="s">
        <v>376</v>
      </c>
      <c r="I88" s="3122"/>
      <c r="J88" s="3122"/>
      <c r="K88" s="3122"/>
      <c r="L88" s="3123"/>
      <c r="M88" s="3122"/>
      <c r="N88" s="3122"/>
      <c r="O88" s="3122"/>
      <c r="P88" s="3122"/>
      <c r="Q88" s="3124"/>
    </row>
    <row r="89" spans="1:17">
      <c r="A89" s="454">
        <v>1270</v>
      </c>
      <c r="B89" s="948"/>
      <c r="C89" s="3114"/>
      <c r="D89" s="3132" t="s">
        <v>368</v>
      </c>
      <c r="E89" s="3133"/>
      <c r="F89" s="3133"/>
      <c r="G89" s="3134"/>
      <c r="H89" s="3121" t="s">
        <v>377</v>
      </c>
      <c r="I89" s="3122"/>
      <c r="J89" s="3122"/>
      <c r="K89" s="3122"/>
      <c r="L89" s="3123"/>
      <c r="M89" s="3122"/>
      <c r="N89" s="3122"/>
      <c r="O89" s="3122"/>
      <c r="P89" s="3122"/>
      <c r="Q89" s="3124"/>
    </row>
    <row r="90" spans="1:17" ht="13.5" thickBot="1">
      <c r="A90" s="455">
        <v>1290</v>
      </c>
      <c r="B90" s="949"/>
      <c r="C90" s="3115"/>
      <c r="D90" s="3129" t="s">
        <v>369</v>
      </c>
      <c r="E90" s="3130"/>
      <c r="F90" s="3130"/>
      <c r="G90" s="3131"/>
      <c r="H90" s="3118" t="s">
        <v>378</v>
      </c>
      <c r="I90" s="3119"/>
      <c r="J90" s="3119"/>
      <c r="K90" s="3119"/>
      <c r="L90" s="3119"/>
      <c r="M90" s="3119"/>
      <c r="N90" s="3119"/>
      <c r="O90" s="3119"/>
      <c r="P90" s="3119"/>
      <c r="Q90" s="3120"/>
    </row>
    <row r="91" spans="1:17" ht="13.5" thickBot="1">
      <c r="D91" s="28"/>
      <c r="E91" s="28"/>
      <c r="F91" s="28"/>
      <c r="G91" s="28"/>
      <c r="H91" s="28"/>
      <c r="I91" s="465"/>
      <c r="J91" s="28"/>
      <c r="K91" s="28"/>
      <c r="L91" s="28"/>
      <c r="M91" s="28"/>
      <c r="N91" s="28"/>
      <c r="O91" s="28"/>
      <c r="P91" s="28"/>
      <c r="Q91" s="28"/>
    </row>
    <row r="92" spans="1:17">
      <c r="A92" s="448">
        <v>1300</v>
      </c>
      <c r="B92" s="944"/>
      <c r="C92" s="3097" t="s">
        <v>379</v>
      </c>
      <c r="D92" s="3102" t="s">
        <v>380</v>
      </c>
      <c r="E92" s="3102"/>
      <c r="F92" s="3102"/>
      <c r="G92" s="3102"/>
      <c r="H92" s="3102" t="s">
        <v>381</v>
      </c>
      <c r="I92" s="3102"/>
      <c r="J92" s="3102"/>
      <c r="K92" s="3102"/>
      <c r="L92" s="3109"/>
      <c r="M92" s="3102"/>
      <c r="N92" s="3102"/>
      <c r="O92" s="3102"/>
      <c r="P92" s="3102"/>
      <c r="Q92" s="3110"/>
    </row>
    <row r="93" spans="1:17">
      <c r="A93" s="449">
        <v>1310</v>
      </c>
      <c r="B93" s="945"/>
      <c r="C93" s="3098"/>
      <c r="D93" s="3101" t="s">
        <v>382</v>
      </c>
      <c r="E93" s="3101"/>
      <c r="F93" s="3101"/>
      <c r="G93" s="3101"/>
      <c r="H93" s="3101" t="s">
        <v>383</v>
      </c>
      <c r="I93" s="3101"/>
      <c r="J93" s="3101"/>
      <c r="K93" s="3101"/>
      <c r="L93" s="3106"/>
      <c r="M93" s="3101"/>
      <c r="N93" s="3101"/>
      <c r="O93" s="3101"/>
      <c r="P93" s="3101"/>
      <c r="Q93" s="3107"/>
    </row>
    <row r="94" spans="1:17">
      <c r="A94" s="449">
        <v>1320</v>
      </c>
      <c r="B94" s="945"/>
      <c r="C94" s="3098"/>
      <c r="D94" s="3101" t="s">
        <v>384</v>
      </c>
      <c r="E94" s="3101"/>
      <c r="F94" s="3101"/>
      <c r="G94" s="3101"/>
      <c r="H94" s="3101" t="s">
        <v>385</v>
      </c>
      <c r="I94" s="3101"/>
      <c r="J94" s="3101"/>
      <c r="K94" s="3101"/>
      <c r="L94" s="3106"/>
      <c r="M94" s="3101"/>
      <c r="N94" s="3101"/>
      <c r="O94" s="3101"/>
      <c r="P94" s="3101"/>
      <c r="Q94" s="3107"/>
    </row>
    <row r="95" spans="1:17">
      <c r="A95" s="449">
        <v>1330</v>
      </c>
      <c r="B95" s="945"/>
      <c r="C95" s="3098"/>
      <c r="D95" s="3101" t="s">
        <v>386</v>
      </c>
      <c r="E95" s="3101"/>
      <c r="F95" s="3101"/>
      <c r="G95" s="3101"/>
      <c r="H95" s="3101" t="s">
        <v>387</v>
      </c>
      <c r="I95" s="3101"/>
      <c r="J95" s="3101"/>
      <c r="K95" s="3101"/>
      <c r="L95" s="3106"/>
      <c r="M95" s="3101"/>
      <c r="N95" s="3101"/>
      <c r="O95" s="3101"/>
      <c r="P95" s="3101"/>
      <c r="Q95" s="3107"/>
    </row>
    <row r="96" spans="1:17">
      <c r="A96" s="449">
        <v>1340</v>
      </c>
      <c r="B96" s="945"/>
      <c r="C96" s="3098"/>
      <c r="D96" s="3101" t="s">
        <v>388</v>
      </c>
      <c r="E96" s="3101"/>
      <c r="F96" s="3101"/>
      <c r="G96" s="3101"/>
      <c r="H96" s="3101" t="s">
        <v>389</v>
      </c>
      <c r="I96" s="3101"/>
      <c r="J96" s="3101"/>
      <c r="K96" s="3101"/>
      <c r="L96" s="3106"/>
      <c r="M96" s="3101"/>
      <c r="N96" s="3101"/>
      <c r="O96" s="3101"/>
      <c r="P96" s="3101"/>
      <c r="Q96" s="3107"/>
    </row>
    <row r="97" spans="1:17">
      <c r="A97" s="450">
        <v>1350</v>
      </c>
      <c r="B97" s="945"/>
      <c r="C97" s="3098"/>
      <c r="D97" s="3101" t="s">
        <v>390</v>
      </c>
      <c r="E97" s="3101"/>
      <c r="F97" s="3101"/>
      <c r="G97" s="3101"/>
      <c r="H97" s="3101" t="s">
        <v>391</v>
      </c>
      <c r="I97" s="3101"/>
      <c r="J97" s="3101"/>
      <c r="K97" s="3101"/>
      <c r="L97" s="3106"/>
      <c r="M97" s="3101"/>
      <c r="N97" s="3101"/>
      <c r="O97" s="3101"/>
      <c r="P97" s="3101"/>
      <c r="Q97" s="3107"/>
    </row>
    <row r="98" spans="1:17" ht="13.5" thickBot="1">
      <c r="A98" s="451">
        <v>1390</v>
      </c>
      <c r="B98" s="946"/>
      <c r="C98" s="3099"/>
      <c r="D98" s="3100" t="s">
        <v>392</v>
      </c>
      <c r="E98" s="3100"/>
      <c r="F98" s="3100"/>
      <c r="G98" s="3100"/>
      <c r="H98" s="3100" t="s">
        <v>393</v>
      </c>
      <c r="I98" s="3100"/>
      <c r="J98" s="3100"/>
      <c r="K98" s="3100"/>
      <c r="L98" s="3100"/>
      <c r="M98" s="3100"/>
      <c r="N98" s="3100"/>
      <c r="O98" s="3100"/>
      <c r="P98" s="3100"/>
      <c r="Q98" s="3108"/>
    </row>
    <row r="99" spans="1:17" ht="13.5" thickBot="1">
      <c r="D99" s="28"/>
      <c r="E99" s="28"/>
      <c r="F99" s="28"/>
      <c r="G99" s="28"/>
      <c r="H99" s="28"/>
      <c r="I99" s="465"/>
      <c r="J99" s="28"/>
      <c r="K99" s="28"/>
      <c r="L99" s="28"/>
      <c r="M99" s="28"/>
      <c r="N99" s="28"/>
      <c r="O99" s="28"/>
      <c r="P99" s="28"/>
      <c r="Q99" s="28"/>
    </row>
    <row r="100" spans="1:17">
      <c r="A100" s="452">
        <v>1400</v>
      </c>
      <c r="B100" s="947"/>
      <c r="C100" s="3113" t="s">
        <v>394</v>
      </c>
      <c r="D100" s="3116" t="s">
        <v>395</v>
      </c>
      <c r="E100" s="3116"/>
      <c r="F100" s="3116"/>
      <c r="G100" s="3116"/>
      <c r="H100" s="3116" t="s">
        <v>396</v>
      </c>
      <c r="I100" s="3116"/>
      <c r="J100" s="3116"/>
      <c r="K100" s="3116"/>
      <c r="L100" s="3138"/>
      <c r="M100" s="3116"/>
      <c r="N100" s="3116"/>
      <c r="O100" s="3116"/>
      <c r="P100" s="3116"/>
      <c r="Q100" s="3139"/>
    </row>
    <row r="101" spans="1:17">
      <c r="A101" s="456">
        <v>1410</v>
      </c>
      <c r="B101" s="948"/>
      <c r="C101" s="3114"/>
      <c r="D101" s="3117" t="s">
        <v>397</v>
      </c>
      <c r="E101" s="3117"/>
      <c r="F101" s="3117"/>
      <c r="G101" s="3117"/>
      <c r="H101" s="3117"/>
      <c r="I101" s="3117"/>
      <c r="J101" s="3117"/>
      <c r="K101" s="3117"/>
      <c r="L101" s="3140"/>
      <c r="M101" s="3117"/>
      <c r="N101" s="3117"/>
      <c r="O101" s="3117"/>
      <c r="P101" s="3117"/>
      <c r="Q101" s="3141"/>
    </row>
    <row r="102" spans="1:17">
      <c r="A102" s="456">
        <v>1420</v>
      </c>
      <c r="B102" s="948"/>
      <c r="C102" s="3114"/>
      <c r="D102" s="3117" t="s">
        <v>398</v>
      </c>
      <c r="E102" s="3117"/>
      <c r="F102" s="3117"/>
      <c r="G102" s="3117"/>
      <c r="H102" s="3117" t="s">
        <v>399</v>
      </c>
      <c r="I102" s="3117"/>
      <c r="J102" s="3117"/>
      <c r="K102" s="3117"/>
      <c r="L102" s="3140"/>
      <c r="M102" s="3117"/>
      <c r="N102" s="3117"/>
      <c r="O102" s="3117"/>
      <c r="P102" s="3117"/>
      <c r="Q102" s="3141"/>
    </row>
    <row r="103" spans="1:17">
      <c r="A103" s="456">
        <v>1430</v>
      </c>
      <c r="B103" s="948"/>
      <c r="C103" s="3114"/>
      <c r="D103" s="3117" t="s">
        <v>400</v>
      </c>
      <c r="E103" s="3117"/>
      <c r="F103" s="3117"/>
      <c r="G103" s="3117"/>
      <c r="H103" s="3117"/>
      <c r="I103" s="3117"/>
      <c r="J103" s="3117"/>
      <c r="K103" s="3117"/>
      <c r="L103" s="3140"/>
      <c r="M103" s="3117"/>
      <c r="N103" s="3117"/>
      <c r="O103" s="3117"/>
      <c r="P103" s="3117"/>
      <c r="Q103" s="3141"/>
    </row>
    <row r="104" spans="1:17">
      <c r="A104" s="456">
        <v>1440</v>
      </c>
      <c r="B104" s="948"/>
      <c r="C104" s="3114"/>
      <c r="D104" s="3117" t="s">
        <v>401</v>
      </c>
      <c r="E104" s="3117"/>
      <c r="F104" s="3117"/>
      <c r="G104" s="3117"/>
      <c r="H104" s="3117" t="s">
        <v>402</v>
      </c>
      <c r="I104" s="3117"/>
      <c r="J104" s="3117"/>
      <c r="K104" s="3117"/>
      <c r="L104" s="3140"/>
      <c r="M104" s="3117"/>
      <c r="N104" s="3117"/>
      <c r="O104" s="3117"/>
      <c r="P104" s="3117"/>
      <c r="Q104" s="3141"/>
    </row>
    <row r="105" spans="1:17">
      <c r="A105" s="456">
        <v>1450</v>
      </c>
      <c r="B105" s="948"/>
      <c r="C105" s="3114"/>
      <c r="D105" s="3117" t="s">
        <v>403</v>
      </c>
      <c r="E105" s="3117"/>
      <c r="F105" s="3117"/>
      <c r="G105" s="3117"/>
      <c r="H105" s="3117" t="s">
        <v>404</v>
      </c>
      <c r="I105" s="3117"/>
      <c r="J105" s="3117"/>
      <c r="K105" s="3117"/>
      <c r="L105" s="3140"/>
      <c r="M105" s="3117"/>
      <c r="N105" s="3117"/>
      <c r="O105" s="3117"/>
      <c r="P105" s="3117"/>
      <c r="Q105" s="3141"/>
    </row>
    <row r="106" spans="1:17">
      <c r="A106" s="456">
        <v>1460</v>
      </c>
      <c r="B106" s="948"/>
      <c r="C106" s="3114"/>
      <c r="D106" s="3117" t="s">
        <v>405</v>
      </c>
      <c r="E106" s="3117"/>
      <c r="F106" s="3117"/>
      <c r="G106" s="3117"/>
      <c r="H106" s="3117" t="s">
        <v>406</v>
      </c>
      <c r="I106" s="3117"/>
      <c r="J106" s="3117"/>
      <c r="K106" s="3117"/>
      <c r="L106" s="3140"/>
      <c r="M106" s="3117"/>
      <c r="N106" s="3117"/>
      <c r="O106" s="3117"/>
      <c r="P106" s="3117"/>
      <c r="Q106" s="3141"/>
    </row>
    <row r="107" spans="1:17">
      <c r="A107" s="453">
        <v>1470</v>
      </c>
      <c r="B107" s="948"/>
      <c r="C107" s="3114"/>
      <c r="D107" s="3117" t="s">
        <v>195</v>
      </c>
      <c r="E107" s="3117"/>
      <c r="F107" s="3117"/>
      <c r="G107" s="3117"/>
      <c r="H107" s="3117" t="s">
        <v>407</v>
      </c>
      <c r="I107" s="3117"/>
      <c r="J107" s="3117"/>
      <c r="K107" s="3117"/>
      <c r="L107" s="3140"/>
      <c r="M107" s="3117"/>
      <c r="N107" s="3117"/>
      <c r="O107" s="3117"/>
      <c r="P107" s="3117"/>
      <c r="Q107" s="3141"/>
    </row>
    <row r="108" spans="1:17" ht="13.5" thickBot="1">
      <c r="A108" s="457">
        <v>1490</v>
      </c>
      <c r="B108" s="949"/>
      <c r="C108" s="3115"/>
      <c r="D108" s="3142" t="s">
        <v>408</v>
      </c>
      <c r="E108" s="3142"/>
      <c r="F108" s="3142"/>
      <c r="G108" s="3142"/>
      <c r="H108" s="3142"/>
      <c r="I108" s="3142"/>
      <c r="J108" s="3142"/>
      <c r="K108" s="3142"/>
      <c r="L108" s="3142"/>
      <c r="M108" s="3142"/>
      <c r="N108" s="3142"/>
      <c r="O108" s="3142"/>
      <c r="P108" s="3142"/>
      <c r="Q108" s="3143"/>
    </row>
    <row r="109" spans="1:17" ht="13.5" thickBot="1">
      <c r="D109" s="28"/>
      <c r="E109" s="28"/>
      <c r="F109" s="28"/>
      <c r="G109" s="28"/>
      <c r="H109" s="28"/>
      <c r="I109" s="465"/>
      <c r="J109" s="28"/>
      <c r="K109" s="28"/>
      <c r="L109" s="28"/>
      <c r="M109" s="28"/>
      <c r="N109" s="28"/>
      <c r="O109" s="28"/>
      <c r="P109" s="28"/>
      <c r="Q109" s="28"/>
    </row>
    <row r="110" spans="1:17">
      <c r="A110" s="448">
        <v>1500</v>
      </c>
      <c r="B110" s="944"/>
      <c r="C110" s="3097" t="s">
        <v>168</v>
      </c>
      <c r="D110" s="3102" t="s">
        <v>409</v>
      </c>
      <c r="E110" s="3102"/>
      <c r="F110" s="3102"/>
      <c r="G110" s="3102"/>
      <c r="H110" s="3102" t="s">
        <v>410</v>
      </c>
      <c r="I110" s="3102"/>
      <c r="J110" s="3102"/>
      <c r="K110" s="3102"/>
      <c r="L110" s="3109"/>
      <c r="M110" s="3102"/>
      <c r="N110" s="3102"/>
      <c r="O110" s="3102"/>
      <c r="P110" s="3102"/>
      <c r="Q110" s="3110"/>
    </row>
    <row r="111" spans="1:17">
      <c r="A111" s="449">
        <v>1501</v>
      </c>
      <c r="B111" s="945"/>
      <c r="C111" s="3098"/>
      <c r="D111" s="3154" t="s">
        <v>433</v>
      </c>
      <c r="E111" s="3155"/>
      <c r="F111" s="3155"/>
      <c r="G111" s="3156"/>
      <c r="H111" s="3154" t="s">
        <v>433</v>
      </c>
      <c r="I111" s="3155"/>
      <c r="J111" s="3155"/>
      <c r="K111" s="3155"/>
      <c r="L111" s="3157"/>
      <c r="M111" s="3155"/>
      <c r="N111" s="3155"/>
      <c r="O111" s="3155"/>
      <c r="P111" s="3155"/>
      <c r="Q111" s="3158"/>
    </row>
    <row r="112" spans="1:17">
      <c r="A112" s="449">
        <v>1510</v>
      </c>
      <c r="B112" s="945"/>
      <c r="C112" s="3098"/>
      <c r="D112" s="3101" t="s">
        <v>411</v>
      </c>
      <c r="E112" s="3101"/>
      <c r="F112" s="3101"/>
      <c r="G112" s="3101"/>
      <c r="H112" s="3101" t="s">
        <v>412</v>
      </c>
      <c r="I112" s="3101"/>
      <c r="J112" s="3101"/>
      <c r="K112" s="3101"/>
      <c r="L112" s="3106"/>
      <c r="M112" s="3101"/>
      <c r="N112" s="3101"/>
      <c r="O112" s="3101"/>
      <c r="P112" s="3101"/>
      <c r="Q112" s="3107"/>
    </row>
    <row r="113" spans="1:17">
      <c r="A113" s="449">
        <v>1520</v>
      </c>
      <c r="B113" s="945"/>
      <c r="C113" s="3098"/>
      <c r="D113" s="3101" t="s">
        <v>413</v>
      </c>
      <c r="E113" s="3101"/>
      <c r="F113" s="3101"/>
      <c r="G113" s="3101"/>
      <c r="H113" s="3101" t="s">
        <v>414</v>
      </c>
      <c r="I113" s="3101"/>
      <c r="J113" s="3101"/>
      <c r="K113" s="3101"/>
      <c r="L113" s="3106"/>
      <c r="M113" s="3101"/>
      <c r="N113" s="3101"/>
      <c r="O113" s="3101"/>
      <c r="P113" s="3101"/>
      <c r="Q113" s="3107"/>
    </row>
    <row r="114" spans="1:17">
      <c r="A114" s="449">
        <v>1530</v>
      </c>
      <c r="B114" s="945"/>
      <c r="C114" s="3098"/>
      <c r="D114" s="3101" t="s">
        <v>415</v>
      </c>
      <c r="E114" s="3101"/>
      <c r="F114" s="3101"/>
      <c r="G114" s="3101"/>
      <c r="H114" s="3101" t="s">
        <v>416</v>
      </c>
      <c r="I114" s="3101"/>
      <c r="J114" s="3101"/>
      <c r="K114" s="3101"/>
      <c r="L114" s="3106"/>
      <c r="M114" s="3101"/>
      <c r="N114" s="3101"/>
      <c r="O114" s="3101"/>
      <c r="P114" s="3101"/>
      <c r="Q114" s="3107"/>
    </row>
    <row r="115" spans="1:17" ht="13.5" thickBot="1">
      <c r="A115" s="458">
        <v>1590</v>
      </c>
      <c r="B115" s="946"/>
      <c r="C115" s="3099"/>
      <c r="D115" s="3100" t="s">
        <v>417</v>
      </c>
      <c r="E115" s="3100"/>
      <c r="F115" s="3100"/>
      <c r="G115" s="3100"/>
      <c r="H115" s="3100"/>
      <c r="I115" s="3100"/>
      <c r="J115" s="3100"/>
      <c r="K115" s="3100"/>
      <c r="L115" s="3100"/>
      <c r="M115" s="3100"/>
      <c r="N115" s="3100"/>
      <c r="O115" s="3100"/>
      <c r="P115" s="3100"/>
      <c r="Q115" s="3108"/>
    </row>
    <row r="116" spans="1:17" ht="13.5" thickBot="1">
      <c r="H116" s="13"/>
    </row>
    <row r="117" spans="1:17">
      <c r="A117" s="452">
        <v>1600</v>
      </c>
      <c r="B117" s="947"/>
      <c r="C117" s="3113" t="s">
        <v>418</v>
      </c>
      <c r="D117" s="3116" t="s">
        <v>419</v>
      </c>
      <c r="E117" s="3116"/>
      <c r="F117" s="3116"/>
      <c r="G117" s="3116"/>
      <c r="H117" s="3116" t="s">
        <v>420</v>
      </c>
      <c r="I117" s="3116"/>
      <c r="J117" s="3116"/>
      <c r="K117" s="3116"/>
      <c r="L117" s="3138"/>
      <c r="M117" s="3116"/>
      <c r="N117" s="3116"/>
      <c r="O117" s="3116"/>
      <c r="P117" s="3116"/>
      <c r="Q117" s="3139"/>
    </row>
    <row r="118" spans="1:17">
      <c r="A118" s="453">
        <v>1610</v>
      </c>
      <c r="B118" s="948"/>
      <c r="C118" s="3114"/>
      <c r="D118" s="3117" t="s">
        <v>421</v>
      </c>
      <c r="E118" s="3117"/>
      <c r="F118" s="3117"/>
      <c r="G118" s="3117"/>
      <c r="H118" s="3117" t="s">
        <v>422</v>
      </c>
      <c r="I118" s="3117"/>
      <c r="J118" s="3117"/>
      <c r="K118" s="3117"/>
      <c r="L118" s="3140"/>
      <c r="M118" s="3117"/>
      <c r="N118" s="3117"/>
      <c r="O118" s="3117"/>
      <c r="P118" s="3117"/>
      <c r="Q118" s="3141"/>
    </row>
    <row r="119" spans="1:17">
      <c r="A119" s="454">
        <v>1620</v>
      </c>
      <c r="B119" s="948"/>
      <c r="C119" s="3114"/>
      <c r="D119" s="3117" t="s">
        <v>423</v>
      </c>
      <c r="E119" s="3117"/>
      <c r="F119" s="3117"/>
      <c r="G119" s="3117"/>
      <c r="H119" s="3117" t="s">
        <v>424</v>
      </c>
      <c r="I119" s="3117"/>
      <c r="J119" s="3117"/>
      <c r="K119" s="3117"/>
      <c r="L119" s="3140"/>
      <c r="M119" s="3117"/>
      <c r="N119" s="3117"/>
      <c r="O119" s="3117"/>
      <c r="P119" s="3117"/>
      <c r="Q119" s="3141"/>
    </row>
    <row r="120" spans="1:17" ht="28.5" customHeight="1">
      <c r="A120" s="454">
        <v>1630</v>
      </c>
      <c r="B120" s="948"/>
      <c r="C120" s="3114"/>
      <c r="D120" s="3117" t="s">
        <v>425</v>
      </c>
      <c r="E120" s="3117"/>
      <c r="F120" s="3117"/>
      <c r="G120" s="3117"/>
      <c r="H120" s="3117" t="s">
        <v>426</v>
      </c>
      <c r="I120" s="3117"/>
      <c r="J120" s="3117"/>
      <c r="K120" s="3117"/>
      <c r="L120" s="3140"/>
      <c r="M120" s="3117"/>
      <c r="N120" s="3117"/>
      <c r="O120" s="3117"/>
      <c r="P120" s="3117"/>
      <c r="Q120" s="3141"/>
    </row>
    <row r="121" spans="1:17" ht="13.5" thickBot="1">
      <c r="A121" s="455">
        <v>1690</v>
      </c>
      <c r="B121" s="949"/>
      <c r="C121" s="3115"/>
      <c r="D121" s="3142" t="s">
        <v>427</v>
      </c>
      <c r="E121" s="3142"/>
      <c r="F121" s="3142"/>
      <c r="G121" s="3142"/>
      <c r="H121" s="3142" t="s">
        <v>428</v>
      </c>
      <c r="I121" s="3142"/>
      <c r="J121" s="3142"/>
      <c r="K121" s="3142"/>
      <c r="L121" s="3142"/>
      <c r="M121" s="3142"/>
      <c r="N121" s="3142"/>
      <c r="O121" s="3142"/>
      <c r="P121" s="3142"/>
      <c r="Q121" s="3143"/>
    </row>
    <row r="122" spans="1:17" ht="13.5" thickBot="1">
      <c r="D122" s="28"/>
      <c r="E122" s="28"/>
      <c r="F122" s="28"/>
      <c r="G122" s="28"/>
      <c r="H122" s="28"/>
      <c r="I122" s="465"/>
      <c r="J122" s="28"/>
      <c r="K122" s="28"/>
      <c r="L122" s="28"/>
      <c r="M122" s="28"/>
      <c r="N122" s="28"/>
      <c r="O122" s="28"/>
      <c r="P122" s="28"/>
      <c r="Q122" s="28"/>
    </row>
    <row r="123" spans="1:17" ht="12.75" customHeight="1">
      <c r="A123" s="448">
        <v>1900</v>
      </c>
      <c r="B123" s="950"/>
      <c r="C123" s="3148" t="s">
        <v>429</v>
      </c>
      <c r="D123" s="3102" t="s">
        <v>430</v>
      </c>
      <c r="E123" s="3102"/>
      <c r="F123" s="3102"/>
      <c r="G123" s="3102"/>
      <c r="H123" s="3102" t="s">
        <v>431</v>
      </c>
      <c r="I123" s="3102"/>
      <c r="J123" s="3102"/>
      <c r="K123" s="3102"/>
      <c r="L123" s="3109"/>
      <c r="M123" s="3102"/>
      <c r="N123" s="3102"/>
      <c r="O123" s="3102"/>
      <c r="P123" s="3102"/>
      <c r="Q123" s="3110"/>
    </row>
    <row r="124" spans="1:17">
      <c r="A124" s="459">
        <v>1910</v>
      </c>
      <c r="B124" s="951"/>
      <c r="C124" s="3149"/>
      <c r="D124" s="3147" t="s">
        <v>432</v>
      </c>
      <c r="E124" s="3147"/>
      <c r="F124" s="3147"/>
      <c r="G124" s="3147"/>
      <c r="H124" s="3144"/>
      <c r="I124" s="3144"/>
      <c r="J124" s="3144"/>
      <c r="K124" s="3144"/>
      <c r="L124" s="3145"/>
      <c r="M124" s="3144"/>
      <c r="N124" s="3144"/>
      <c r="O124" s="3144"/>
      <c r="P124" s="3144"/>
      <c r="Q124" s="3146"/>
    </row>
    <row r="125" spans="1:17" ht="13.5" thickBot="1">
      <c r="A125" s="451">
        <v>1920</v>
      </c>
      <c r="B125" s="952"/>
      <c r="C125" s="3150"/>
      <c r="D125" s="3151" t="s">
        <v>506</v>
      </c>
      <c r="E125" s="3151"/>
      <c r="F125" s="3151"/>
      <c r="G125" s="3151"/>
      <c r="H125" s="3152"/>
      <c r="I125" s="3152"/>
      <c r="J125" s="3152"/>
      <c r="K125" s="3152"/>
      <c r="L125" s="3152"/>
      <c r="M125" s="3152"/>
      <c r="N125" s="3152"/>
      <c r="O125" s="3152"/>
      <c r="P125" s="3152"/>
      <c r="Q125" s="3153"/>
    </row>
    <row r="127" spans="1:17">
      <c r="A127" s="3094" t="s">
        <v>1240</v>
      </c>
      <c r="B127" s="3094"/>
      <c r="C127" s="3094"/>
      <c r="D127" s="3094"/>
      <c r="E127" s="3094"/>
      <c r="F127" s="3094"/>
      <c r="G127" s="3094"/>
      <c r="H127" s="3094"/>
      <c r="I127" s="3094"/>
      <c r="J127" s="3094"/>
      <c r="K127" s="3094"/>
      <c r="L127" s="3094"/>
      <c r="M127" s="3094"/>
      <c r="N127" s="3094"/>
      <c r="O127" s="3094"/>
      <c r="P127" s="3094"/>
      <c r="Q127" s="3094"/>
    </row>
    <row r="128" spans="1:17">
      <c r="A128" s="3094"/>
      <c r="B128" s="3094"/>
      <c r="C128" s="3094"/>
      <c r="D128" s="3094"/>
      <c r="E128" s="3094"/>
      <c r="F128" s="3094"/>
      <c r="G128" s="3094"/>
      <c r="H128" s="3094"/>
      <c r="I128" s="3094"/>
      <c r="J128" s="3094"/>
      <c r="K128" s="3094"/>
      <c r="L128" s="3094"/>
      <c r="M128" s="3094"/>
      <c r="N128" s="3094"/>
      <c r="O128" s="3094"/>
      <c r="P128" s="3094"/>
      <c r="Q128" s="3094"/>
    </row>
  </sheetData>
  <sheetProtection algorithmName="SHA-512" hashValue="lDJxSQy5ScL9986CkMmzPR3K4G3PvpKeFVsgBoqBJ+I/+wp2gpuYZqWQvLQKEdFUjuY/zkmVtxR8hl6cuFIKJg==" saltValue="Oghp0EpvOOfek1/fjdOSbQ==" spinCount="100000" sheet="1" objects="1" scenarios="1"/>
  <mergeCells count="104">
    <mergeCell ref="H115:Q115"/>
    <mergeCell ref="H114:Q114"/>
    <mergeCell ref="H113:Q113"/>
    <mergeCell ref="H112:Q112"/>
    <mergeCell ref="H110:Q110"/>
    <mergeCell ref="D115:G115"/>
    <mergeCell ref="D114:G114"/>
    <mergeCell ref="D113:G113"/>
    <mergeCell ref="D112:G112"/>
    <mergeCell ref="D110:G110"/>
    <mergeCell ref="D111:G111"/>
    <mergeCell ref="H111:Q111"/>
    <mergeCell ref="H124:Q124"/>
    <mergeCell ref="H123:Q123"/>
    <mergeCell ref="D124:G124"/>
    <mergeCell ref="D123:G123"/>
    <mergeCell ref="C123:C125"/>
    <mergeCell ref="D125:G125"/>
    <mergeCell ref="H125:Q125"/>
    <mergeCell ref="D121:G121"/>
    <mergeCell ref="D120:G120"/>
    <mergeCell ref="C110:C115"/>
    <mergeCell ref="C117:C121"/>
    <mergeCell ref="H100:Q101"/>
    <mergeCell ref="D103:G103"/>
    <mergeCell ref="H102:Q103"/>
    <mergeCell ref="H108:Q108"/>
    <mergeCell ref="H107:Q107"/>
    <mergeCell ref="H106:Q106"/>
    <mergeCell ref="H105:Q105"/>
    <mergeCell ref="H104:Q104"/>
    <mergeCell ref="D108:G108"/>
    <mergeCell ref="D107:G107"/>
    <mergeCell ref="D106:G106"/>
    <mergeCell ref="D105:G105"/>
    <mergeCell ref="D102:G102"/>
    <mergeCell ref="D119:G119"/>
    <mergeCell ref="D118:G118"/>
    <mergeCell ref="D117:G117"/>
    <mergeCell ref="H121:Q121"/>
    <mergeCell ref="H120:Q120"/>
    <mergeCell ref="H119:Q119"/>
    <mergeCell ref="H118:Q118"/>
    <mergeCell ref="H117:Q117"/>
    <mergeCell ref="D104:G104"/>
    <mergeCell ref="C82:C90"/>
    <mergeCell ref="H90:Q90"/>
    <mergeCell ref="H89:Q89"/>
    <mergeCell ref="H88:Q88"/>
    <mergeCell ref="H87:Q87"/>
    <mergeCell ref="H86:Q86"/>
    <mergeCell ref="H85:Q85"/>
    <mergeCell ref="H84:Q84"/>
    <mergeCell ref="H83:Q83"/>
    <mergeCell ref="H82:Q82"/>
    <mergeCell ref="D90:G90"/>
    <mergeCell ref="D87:G87"/>
    <mergeCell ref="D88:G88"/>
    <mergeCell ref="D89:G89"/>
    <mergeCell ref="D84:G84"/>
    <mergeCell ref="D85:G85"/>
    <mergeCell ref="D86:G86"/>
    <mergeCell ref="D82:G82"/>
    <mergeCell ref="D83:G83"/>
    <mergeCell ref="D92:G92"/>
    <mergeCell ref="C100:C108"/>
    <mergeCell ref="D100:G100"/>
    <mergeCell ref="D101:G101"/>
    <mergeCell ref="D96:G96"/>
    <mergeCell ref="H96:Q96"/>
    <mergeCell ref="D97:G97"/>
    <mergeCell ref="H97:Q97"/>
    <mergeCell ref="D98:G98"/>
    <mergeCell ref="H98:Q98"/>
    <mergeCell ref="D93:G93"/>
    <mergeCell ref="H93:Q93"/>
    <mergeCell ref="D94:G94"/>
    <mergeCell ref="H94:Q94"/>
    <mergeCell ref="D95:G95"/>
    <mergeCell ref="H95:Q95"/>
    <mergeCell ref="A4:A5"/>
    <mergeCell ref="A127:Q128"/>
    <mergeCell ref="A1:Q1"/>
    <mergeCell ref="A2:Q2"/>
    <mergeCell ref="C74:C80"/>
    <mergeCell ref="D80:G80"/>
    <mergeCell ref="D79:G79"/>
    <mergeCell ref="D78:G78"/>
    <mergeCell ref="D77:G77"/>
    <mergeCell ref="D76:G76"/>
    <mergeCell ref="D75:G75"/>
    <mergeCell ref="D74:G74"/>
    <mergeCell ref="K35:Q42"/>
    <mergeCell ref="D72:G72"/>
    <mergeCell ref="H79:Q79"/>
    <mergeCell ref="H80:Q80"/>
    <mergeCell ref="H78:Q78"/>
    <mergeCell ref="H77:Q77"/>
    <mergeCell ref="H76:Q76"/>
    <mergeCell ref="H75:Q75"/>
    <mergeCell ref="H74:Q74"/>
    <mergeCell ref="H72:Q72"/>
    <mergeCell ref="C92:C98"/>
    <mergeCell ref="H92:Q92"/>
  </mergeCells>
  <phoneticPr fontId="0" type="noConversion"/>
  <pageMargins left="0.7" right="0.7" top="0.78740157499999996" bottom="0.78740157499999996" header="0.3" footer="0.3"/>
  <pageSetup paperSize="9" scale="34" fitToHeight="0" orientation="landscape" r:id="rId1"/>
  <headerFooter>
    <oddHeader>&amp;LVDV SUN Jahresschlussrechnung JJJJ&amp;R&amp;KFF0000&amp;F</oddHeader>
    <oddFooter>&amp;C&amp;P&amp;R&amp;A</oddFooter>
  </headerFooter>
  <rowBreaks count="1" manualBreakCount="1">
    <brk id="33" max="16383"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AE65"/>
  <sheetViews>
    <sheetView zoomScale="80" zoomScaleNormal="80" zoomScalePageLayoutView="80" workbookViewId="0">
      <selection activeCell="S30" sqref="S30"/>
    </sheetView>
  </sheetViews>
  <sheetFormatPr baseColWidth="10" defaultRowHeight="12.75"/>
  <cols>
    <col min="1" max="1" width="18.42578125" style="13" customWidth="1"/>
    <col min="2" max="2" width="23.85546875" style="13" customWidth="1"/>
    <col min="3" max="3" width="13.5703125" style="13" customWidth="1"/>
    <col min="4" max="4" width="11.5703125" style="13" customWidth="1"/>
    <col min="5" max="7" width="11.42578125" style="13" customWidth="1"/>
    <col min="9" max="9" width="9.7109375" style="2" customWidth="1"/>
    <col min="10" max="10" width="9" style="13" customWidth="1"/>
    <col min="11" max="11" width="8.140625" style="13" customWidth="1"/>
    <col min="12" max="12" width="10" style="2175" customWidth="1"/>
    <col min="13" max="13" width="16.28515625" style="13" customWidth="1"/>
    <col min="14" max="14" width="15" style="13" customWidth="1"/>
    <col min="15" max="15" width="14.7109375" customWidth="1"/>
    <col min="16" max="16" width="16.28515625" customWidth="1"/>
    <col min="17" max="17" width="12" customWidth="1"/>
    <col min="22" max="22" width="11.28515625" bestFit="1" customWidth="1"/>
    <col min="23" max="23" width="11.28515625" customWidth="1"/>
  </cols>
  <sheetData>
    <row r="1" spans="1:31" ht="18">
      <c r="A1" s="3095" t="s">
        <v>1465</v>
      </c>
      <c r="B1" s="3095"/>
      <c r="C1" s="3095"/>
      <c r="D1" s="3095"/>
      <c r="E1" s="3095"/>
      <c r="F1" s="3095"/>
      <c r="G1" s="3095"/>
      <c r="H1" s="3095"/>
      <c r="I1" s="3095"/>
      <c r="J1" s="3095"/>
      <c r="K1" s="3095"/>
      <c r="L1" s="3095"/>
      <c r="M1" s="3095"/>
      <c r="N1" s="3095"/>
      <c r="O1" s="3095"/>
      <c r="P1" s="3095"/>
      <c r="Q1" s="3095"/>
    </row>
    <row r="2" spans="1:31" ht="20.25" customHeight="1">
      <c r="A2" s="3096" t="str">
        <f>'1a_Leistungsvolumen'!A2</f>
        <v>Monat JJJJ</v>
      </c>
      <c r="B2" s="3096"/>
      <c r="C2" s="3096"/>
      <c r="D2" s="3096"/>
      <c r="E2" s="3096"/>
      <c r="F2" s="3096"/>
      <c r="G2" s="3096"/>
      <c r="H2" s="3096"/>
      <c r="I2" s="3096"/>
      <c r="J2" s="3096"/>
      <c r="K2" s="3096"/>
      <c r="L2" s="3096"/>
      <c r="M2" s="3096"/>
      <c r="N2" s="3096"/>
      <c r="O2" s="3096"/>
      <c r="P2" s="3096"/>
      <c r="Q2" s="3096"/>
    </row>
    <row r="3" spans="1:31" ht="20.25" customHeight="1" thickBot="1">
      <c r="A3" s="368"/>
      <c r="B3" s="553"/>
      <c r="C3" s="368"/>
      <c r="D3" s="368"/>
      <c r="E3" s="368"/>
      <c r="F3" s="368"/>
      <c r="G3" s="368"/>
      <c r="H3" s="368"/>
      <c r="I3" s="368"/>
      <c r="J3" s="368"/>
      <c r="K3" s="368"/>
      <c r="L3" s="553"/>
      <c r="M3" s="368"/>
      <c r="N3" s="368"/>
      <c r="O3" s="368"/>
      <c r="P3" s="368"/>
      <c r="Q3" s="368"/>
    </row>
    <row r="4" spans="1:31" ht="38.25">
      <c r="A4" s="3092"/>
      <c r="B4" s="2315" t="s">
        <v>1526</v>
      </c>
      <c r="C4" s="2316" t="s">
        <v>1526</v>
      </c>
      <c r="D4" s="2868" t="s">
        <v>1566</v>
      </c>
      <c r="E4" s="2868" t="s">
        <v>1566</v>
      </c>
      <c r="F4" s="2316" t="s">
        <v>1566</v>
      </c>
      <c r="G4" s="2316" t="s">
        <v>1566</v>
      </c>
      <c r="H4" s="2316" t="s">
        <v>1566</v>
      </c>
      <c r="I4" s="2892" t="s">
        <v>1553</v>
      </c>
      <c r="J4" s="2316" t="s">
        <v>1553</v>
      </c>
      <c r="K4" s="2316" t="s">
        <v>1527</v>
      </c>
      <c r="L4" s="2316" t="s">
        <v>1527</v>
      </c>
      <c r="M4" s="2868" t="s">
        <v>1528</v>
      </c>
      <c r="N4" s="2316" t="s">
        <v>1528</v>
      </c>
      <c r="O4" s="2317" t="s">
        <v>1528</v>
      </c>
      <c r="P4" s="2317" t="s">
        <v>1666</v>
      </c>
      <c r="Q4" s="2318" t="s">
        <v>1552</v>
      </c>
      <c r="R4" s="2758" t="s">
        <v>1567</v>
      </c>
      <c r="S4" s="2758" t="s">
        <v>1568</v>
      </c>
      <c r="T4" s="2758" t="s">
        <v>1569</v>
      </c>
      <c r="U4" s="2758" t="s">
        <v>1571</v>
      </c>
      <c r="V4" s="2760" t="s">
        <v>1570</v>
      </c>
      <c r="W4" s="2820" t="s">
        <v>1668</v>
      </c>
      <c r="X4" s="2760" t="s">
        <v>1572</v>
      </c>
      <c r="Y4" s="2867" t="s">
        <v>1706</v>
      </c>
      <c r="Z4" s="953" t="s">
        <v>874</v>
      </c>
      <c r="AA4" s="954"/>
      <c r="AB4" s="955"/>
      <c r="AC4" s="956"/>
      <c r="AD4" s="956"/>
      <c r="AE4" s="955"/>
    </row>
    <row r="5" spans="1:31" ht="20.25" customHeight="1" thickBot="1">
      <c r="A5" s="3159"/>
      <c r="B5" s="2319" t="s">
        <v>1529</v>
      </c>
      <c r="C5" s="2320" t="s">
        <v>1531</v>
      </c>
      <c r="D5" s="2320" t="s">
        <v>1533</v>
      </c>
      <c r="E5" s="2320" t="s">
        <v>1534</v>
      </c>
      <c r="F5" s="2320" t="s">
        <v>1535</v>
      </c>
      <c r="G5" s="2320" t="s">
        <v>1536</v>
      </c>
      <c r="H5" s="2320" t="s">
        <v>1539</v>
      </c>
      <c r="I5" s="2893" t="s">
        <v>1535</v>
      </c>
      <c r="J5" s="2320" t="s">
        <v>1537</v>
      </c>
      <c r="K5" s="2321" t="s">
        <v>1529</v>
      </c>
      <c r="L5" s="2321" t="s">
        <v>1530</v>
      </c>
      <c r="M5" s="2320" t="s">
        <v>1533</v>
      </c>
      <c r="N5" s="2320" t="s">
        <v>1538</v>
      </c>
      <c r="O5" s="2322" t="s">
        <v>1539</v>
      </c>
      <c r="P5" s="2322" t="s">
        <v>1538</v>
      </c>
      <c r="Q5" s="2323" t="s">
        <v>1532</v>
      </c>
      <c r="R5" s="2759"/>
      <c r="S5" s="2759"/>
      <c r="T5" s="2759"/>
      <c r="U5" s="2759"/>
      <c r="V5" s="2759"/>
      <c r="W5" s="2759"/>
      <c r="X5" s="2759"/>
      <c r="Z5" s="954">
        <v>0</v>
      </c>
      <c r="AA5" s="957" t="s">
        <v>875</v>
      </c>
      <c r="AB5" s="955"/>
      <c r="AC5" s="956"/>
      <c r="AD5" s="956"/>
      <c r="AE5" s="955"/>
    </row>
    <row r="6" spans="1:31" ht="26.25" thickBot="1">
      <c r="A6" s="416" t="s">
        <v>317</v>
      </c>
      <c r="B6" s="961">
        <f>SUMIFS($I$16:$I$24,$A$16:$A$24,B$5,$B$16:$B$24,B$4)</f>
        <v>62.884999999999998</v>
      </c>
      <c r="C6" s="960">
        <f t="shared" ref="C6:J6" si="0">SUMIFS($I$16:$I$24,$A$16:$A$24,C$5,$B$16:$B$24,C$4)</f>
        <v>0</v>
      </c>
      <c r="D6" s="2972">
        <f t="shared" si="0"/>
        <v>0</v>
      </c>
      <c r="E6" s="2972">
        <f>SUMIFS($I$16:$I$24,$A$16:$A$24,E$5,$B$16:$B$24,E$4)</f>
        <v>94.415999999999997</v>
      </c>
      <c r="F6" s="960">
        <f t="shared" si="0"/>
        <v>0</v>
      </c>
      <c r="G6" s="960">
        <f t="shared" si="0"/>
        <v>0</v>
      </c>
      <c r="H6" s="960">
        <f t="shared" si="0"/>
        <v>0</v>
      </c>
      <c r="I6" s="2894">
        <f t="shared" si="0"/>
        <v>0</v>
      </c>
      <c r="J6" s="960">
        <f t="shared" si="0"/>
        <v>0</v>
      </c>
      <c r="K6" s="1839">
        <f>SUMIFS($I$16:$I$24,$A$16:$A$24,K$5,$B$16:$B$24,K$4)</f>
        <v>0</v>
      </c>
      <c r="L6" s="2324">
        <f>SUMIFS($I$16:$I$24,$A$16:$A$24,L$5,$B$16:$B$24,L$4)</f>
        <v>0</v>
      </c>
      <c r="M6" s="2973">
        <f>SUMIFS($I$16:$I$24,$A$16:$A$24,M$5,$B$16:$B$24,M$4)</f>
        <v>0</v>
      </c>
      <c r="N6" s="2324">
        <f t="shared" ref="N6" si="1">SUMIFS($I$16:$I$24,$A$16:$A$24,N$5,$B$16:$B$24,N$4)</f>
        <v>0</v>
      </c>
      <c r="O6" s="2324">
        <f>SUMIFS($I$16:$I$24,$A$16:$A$24,O$5,$B$16:$B$24,O$4)</f>
        <v>45.030999999999999</v>
      </c>
      <c r="P6" s="2324">
        <f>SUMIFS($I$16:$I$24,$A$16:$A$24,P$5,$B$16:$B$24,P$4)</f>
        <v>0</v>
      </c>
      <c r="Q6" s="2325">
        <f>SUMIFS($I$16:$I$24,$A$16:$A$24,Q$5,$B$16:$B$24,Q$4)</f>
        <v>209.78399999999999</v>
      </c>
      <c r="R6" s="2891">
        <f>SUM($B$6:$C$6)</f>
        <v>62.884999999999998</v>
      </c>
      <c r="S6" s="2891">
        <f>SUM($D$6:$H$6)</f>
        <v>94.415999999999997</v>
      </c>
      <c r="T6" s="2891">
        <f t="shared" ref="T6:T12" si="2">J6</f>
        <v>0</v>
      </c>
      <c r="U6" s="2891">
        <f>SUM($K$6:$L$6)</f>
        <v>0</v>
      </c>
      <c r="V6" s="2891">
        <f>SUM($M$6:$O$6)</f>
        <v>45.030999999999999</v>
      </c>
      <c r="W6" s="2896">
        <f t="shared" ref="W6:X12" si="3">P6</f>
        <v>0</v>
      </c>
      <c r="X6" s="2897">
        <f t="shared" si="3"/>
        <v>209.78399999999999</v>
      </c>
      <c r="Y6" s="2867" t="s">
        <v>1706</v>
      </c>
      <c r="Z6" s="954" t="s">
        <v>876</v>
      </c>
      <c r="AA6" s="957" t="s">
        <v>877</v>
      </c>
      <c r="AB6" s="956"/>
      <c r="AC6" s="956"/>
      <c r="AD6" s="956"/>
      <c r="AE6" s="956"/>
    </row>
    <row r="7" spans="1:31" ht="28.5" customHeight="1" thickBot="1">
      <c r="A7" s="416" t="s">
        <v>883</v>
      </c>
      <c r="B7" s="961">
        <f t="shared" ref="B7:M7" si="4">SUMIFS($I$16:$I$24,$A$16:$A$24,B$5,$B$16:$B$24,B$4,$J$16:$J$24,$Z$6)</f>
        <v>0</v>
      </c>
      <c r="C7" s="960">
        <f t="shared" si="4"/>
        <v>0</v>
      </c>
      <c r="D7" s="2972">
        <f t="shared" si="4"/>
        <v>0</v>
      </c>
      <c r="E7" s="2972">
        <f t="shared" si="4"/>
        <v>0</v>
      </c>
      <c r="F7" s="960">
        <f t="shared" si="4"/>
        <v>0</v>
      </c>
      <c r="G7" s="960">
        <f t="shared" si="4"/>
        <v>0</v>
      </c>
      <c r="H7" s="960">
        <f t="shared" si="4"/>
        <v>0</v>
      </c>
      <c r="I7" s="2894">
        <f t="shared" si="4"/>
        <v>0</v>
      </c>
      <c r="J7" s="960">
        <f t="shared" si="4"/>
        <v>0</v>
      </c>
      <c r="K7" s="1839">
        <f t="shared" si="4"/>
        <v>0</v>
      </c>
      <c r="L7" s="2324">
        <f t="shared" si="4"/>
        <v>0</v>
      </c>
      <c r="M7" s="2973">
        <f t="shared" si="4"/>
        <v>0</v>
      </c>
      <c r="N7" s="2324">
        <f>SUMIFS($I$16:$I$24,$A$16:$A$24,N$5,$B$16:$B$24,N$4,$J$16:$J$24,$Z$6)</f>
        <v>0</v>
      </c>
      <c r="O7" s="2324">
        <f>SUMIFS($I$16:$I$24,$A$16:$A$24,O$5,$B$16:$B$24,O$4,$J$16:$J$24,$Z$6)</f>
        <v>0</v>
      </c>
      <c r="P7" s="2324">
        <f>SUMIFS($I$16:$I$24,$A$16:$A$24,P$5,$B$16:$B$24,P$4,$J$16:$J$24,$Z$6)</f>
        <v>0</v>
      </c>
      <c r="Q7" s="2325">
        <f>SUMIFS($I$16:$I$24,$A$16:$A$24,Q$5,$B$16:$B$24,Q$4,$J$16:$J$24,$Z$6)</f>
        <v>0</v>
      </c>
      <c r="R7" s="2891">
        <f>SUM($B$7:$C$7)</f>
        <v>0</v>
      </c>
      <c r="S7" s="2891">
        <f>SUM($D$7:$H$7)</f>
        <v>0</v>
      </c>
      <c r="T7" s="2891">
        <f t="shared" si="2"/>
        <v>0</v>
      </c>
      <c r="U7" s="2891">
        <f>SUM($K$7:$L$7)</f>
        <v>0</v>
      </c>
      <c r="V7" s="2891">
        <f>SUM($M$7:$O$7)</f>
        <v>0</v>
      </c>
      <c r="W7" s="2896">
        <f t="shared" si="3"/>
        <v>0</v>
      </c>
      <c r="X7" s="2897">
        <f t="shared" si="3"/>
        <v>0</v>
      </c>
      <c r="Y7" s="2867" t="s">
        <v>1706</v>
      </c>
      <c r="Z7" s="954" t="s">
        <v>882</v>
      </c>
      <c r="AA7" s="957" t="s">
        <v>985</v>
      </c>
      <c r="AB7" s="955"/>
    </row>
    <row r="8" spans="1:31" ht="24.75" customHeight="1" thickBot="1">
      <c r="A8" s="416" t="s">
        <v>991</v>
      </c>
      <c r="B8" s="1897">
        <f>SUMIFS($I$16:$I$24,$A$16:$A$24,B$5,$B$16:$B$24,B$4,$J$16:$J$24,$Z$7)+SUMIFS($I$16:$I$24,$A$16:$A$24,B$5,$B$16:$B$24,B$4,$J$16:$J$24,$Z$9)</f>
        <v>62.884999999999998</v>
      </c>
      <c r="C8" s="960">
        <f t="shared" ref="C8:M8" si="5">SUMIFS($I$16:$I$24,$A$16:$A$24,C$5,$B$16:$B$24,C$4,$J$16:$J$24,$Z$7)+SUMIFS($I$16:$I$24,$A$16:$A$24,C$5,$B$16:$B$24,C$4,$J$16:$J$24,$Z$9)</f>
        <v>0</v>
      </c>
      <c r="D8" s="2972">
        <f t="shared" si="5"/>
        <v>0</v>
      </c>
      <c r="E8" s="2972">
        <f t="shared" si="5"/>
        <v>94.415999999999997</v>
      </c>
      <c r="F8" s="960">
        <f t="shared" si="5"/>
        <v>0</v>
      </c>
      <c r="G8" s="960">
        <f t="shared" si="5"/>
        <v>0</v>
      </c>
      <c r="H8" s="960">
        <f t="shared" si="5"/>
        <v>0</v>
      </c>
      <c r="I8" s="2894">
        <f t="shared" si="5"/>
        <v>0</v>
      </c>
      <c r="J8" s="960">
        <f t="shared" si="5"/>
        <v>0</v>
      </c>
      <c r="K8" s="1839">
        <f t="shared" si="5"/>
        <v>0</v>
      </c>
      <c r="L8" s="2324">
        <f t="shared" si="5"/>
        <v>0</v>
      </c>
      <c r="M8" s="2973">
        <f t="shared" si="5"/>
        <v>0</v>
      </c>
      <c r="N8" s="2324">
        <f>SUMIFS($I$16:$I$24,$A$16:$A$24,N$5,$B$16:$B$24,N$4,$J$16:$J$24,$Z$7)+SUMIFS($I$16:$I$24,$A$16:$A$24,N$5,$B$16:$B$24,N$4,$J$16:$J$24,$Z$9)</f>
        <v>0</v>
      </c>
      <c r="O8" s="2324">
        <f>SUMIFS($I$16:$I$24,$A$16:$A$24,O$5,$B$16:$B$24,O$4,$J$16:$J$24,$Z$7)+SUMIFS($I$16:$I$24,$A$16:$A$24,O$5,$B$16:$B$24,O$4,$J$16:$J$24,$Z$9)</f>
        <v>0</v>
      </c>
      <c r="P8" s="2324">
        <f>SUMIFS($I$16:$I$24,$A$16:$A$24,P$5,$B$16:$B$24,P$4,$J$16:$J$24,$Z$7)+SUMIFS($I$16:$I$24,$A$16:$A$24,P$5,$B$16:$B$24,P$4,$J$16:$J$24,$Z$9)</f>
        <v>0</v>
      </c>
      <c r="Q8" s="2325">
        <f>SUMIFS($I$16:$I$24,$A$16:$A$24,Q$5,$B$16:$B$24,Q$4,$J$16:$J$24,$Z$7)+SUMIFS($I$16:$I$24,$A$16:$A$24,Q$5,$B$16:$B$24,Q$4,$J$16:$J$24,$Z$9)</f>
        <v>0</v>
      </c>
      <c r="R8" s="2891">
        <f>SUM($B$8:$C$8)</f>
        <v>62.884999999999998</v>
      </c>
      <c r="S8" s="2891">
        <f>SUM($D$8:$H$8)</f>
        <v>94.415999999999997</v>
      </c>
      <c r="T8" s="2891">
        <f t="shared" si="2"/>
        <v>0</v>
      </c>
      <c r="U8" s="2891">
        <f>SUM($K$8:$L$8)</f>
        <v>0</v>
      </c>
      <c r="V8" s="2891">
        <f>SUM($M$8:$O$8)</f>
        <v>0</v>
      </c>
      <c r="W8" s="2896">
        <f t="shared" si="3"/>
        <v>0</v>
      </c>
      <c r="X8" s="2897">
        <f t="shared" si="3"/>
        <v>0</v>
      </c>
      <c r="Y8" s="2867" t="s">
        <v>1706</v>
      </c>
      <c r="Z8" s="954" t="s">
        <v>888</v>
      </c>
      <c r="AA8" s="957" t="s">
        <v>981</v>
      </c>
      <c r="AB8" s="955"/>
    </row>
    <row r="9" spans="1:31" ht="24.75" customHeight="1" thickBot="1">
      <c r="A9" s="416" t="s">
        <v>992</v>
      </c>
      <c r="B9" s="961">
        <f>SUMIFS($I$16:$I$24,$A$16:$A$24,B$5,$B$16:$B$24,B$4,$J$16:$J$24,$Z$8)+SUMIFS($I$16:$I$24,$A$16:$A$24,B$5,$B$16:$B$24,B$4,$J$16:$J$24,$Z$10)</f>
        <v>0</v>
      </c>
      <c r="C9" s="960">
        <f>SUMIFS($I$16:$I$27,$A$16:$A$27,C$5,$B$16:$B$27,C$4,$J$16:$J$27,$Z$8)+SUMIFS($I$16:$I$27,$A$16:$A$27,C$5,$B$16:$B$27,C$4,$J$16:$J$27,$Z$10)</f>
        <v>0</v>
      </c>
      <c r="D9" s="2972">
        <f t="shared" ref="D9:M9" si="6">SUMIFS($I$16:$I$24,$A$16:$A$24,D$5,$B$16:$B$24,D$4,$J$16:$J$24,$Z$8)+SUMIFS($I$16:$I$24,$A$16:$A$24,D$5,$B$16:$B$24,D$4,$J$16:$J$24,$Z$10)</f>
        <v>0</v>
      </c>
      <c r="E9" s="2972">
        <f t="shared" si="6"/>
        <v>0</v>
      </c>
      <c r="F9" s="960">
        <f t="shared" si="6"/>
        <v>0</v>
      </c>
      <c r="G9" s="960">
        <f t="shared" si="6"/>
        <v>0</v>
      </c>
      <c r="H9" s="960">
        <f t="shared" si="6"/>
        <v>0</v>
      </c>
      <c r="I9" s="2894">
        <f t="shared" si="6"/>
        <v>0</v>
      </c>
      <c r="J9" s="960">
        <f t="shared" si="6"/>
        <v>0</v>
      </c>
      <c r="K9" s="1839">
        <f t="shared" si="6"/>
        <v>0</v>
      </c>
      <c r="L9" s="2324">
        <f t="shared" si="6"/>
        <v>0</v>
      </c>
      <c r="M9" s="2973">
        <f t="shared" si="6"/>
        <v>0</v>
      </c>
      <c r="N9" s="2324">
        <f>SUMIFS($I$16:$I$24,$A$16:$A$24,N$5,$B$16:$B$24,N$4,$J$16:$J$24,$Z$8)+SUMIFS($I$16:$I$24,$A$16:$A$24,N$5,$B$16:$B$24,N$4,$J$16:$J$24,$Z$10)</f>
        <v>0</v>
      </c>
      <c r="O9" s="2324">
        <f>SUMIFS($I$16:$I$24,$A$16:$A$24,O$5,$B$16:$B$24,O$4,$J$16:$J$24,$Z$8)+SUMIFS($I$16:$I$24,$A$16:$A$24,O$5,$B$16:$B$24,O$4,$J$16:$J$24,$Z$10)</f>
        <v>45.030999999999999</v>
      </c>
      <c r="P9" s="2324">
        <f>SUMIFS($I$16:$I$24,$A$16:$A$24,P$5,$B$16:$B$24,P$4,$J$16:$J$24,$Z$8)+SUMIFS($I$16:$I$24,$A$16:$A$24,P$5,$B$16:$B$24,P$4,$J$16:$J$24,$Z$10)</f>
        <v>0</v>
      </c>
      <c r="Q9" s="2325">
        <f>SUMIFS($I$16:$I$24,$A$16:$A$24,Q$5,$B$16:$B$24,Q$4,$J$16:$J$24,$Z$8)+SUMIFS($I$16:$I$24,$A$16:$A$24,Q$5,$B$16:$B$24,Q$4,$J$16:$J$24,$Z$10)</f>
        <v>0</v>
      </c>
      <c r="R9" s="2891">
        <f>SUM($B$9:$C$9)</f>
        <v>0</v>
      </c>
      <c r="S9" s="2891">
        <f>SUM($D$9:$H$9)</f>
        <v>0</v>
      </c>
      <c r="T9" s="2889">
        <f t="shared" si="2"/>
        <v>0</v>
      </c>
      <c r="U9" s="2891">
        <f>SUM($K$9:$L$9)</f>
        <v>0</v>
      </c>
      <c r="V9" s="2891">
        <f>SUM($M$9:$O$9)</f>
        <v>45.030999999999999</v>
      </c>
      <c r="W9" s="2896">
        <f t="shared" si="3"/>
        <v>0</v>
      </c>
      <c r="X9" s="1841">
        <f t="shared" si="3"/>
        <v>0</v>
      </c>
      <c r="Y9" s="2867" t="s">
        <v>1706</v>
      </c>
      <c r="Z9" s="366">
        <v>4</v>
      </c>
      <c r="AA9" s="977" t="s">
        <v>982</v>
      </c>
      <c r="AB9" s="977"/>
      <c r="AC9" s="977"/>
      <c r="AD9" s="954"/>
      <c r="AE9" s="957"/>
    </row>
    <row r="10" spans="1:31" ht="24.75" customHeight="1" thickBot="1">
      <c r="A10" s="416" t="s">
        <v>993</v>
      </c>
      <c r="B10" s="961">
        <f t="shared" ref="B10:M10" si="7">SUMIFS($I$16:$I$24,$A$16:$A$24,B$5,$B$16:$B$24,B$4,$J$16:$J$24,$Z$11)</f>
        <v>0</v>
      </c>
      <c r="C10" s="960">
        <f t="shared" si="7"/>
        <v>0</v>
      </c>
      <c r="D10" s="2972">
        <f t="shared" si="7"/>
        <v>0</v>
      </c>
      <c r="E10" s="2972">
        <f t="shared" si="7"/>
        <v>0</v>
      </c>
      <c r="F10" s="960">
        <f t="shared" si="7"/>
        <v>0</v>
      </c>
      <c r="G10" s="960">
        <f t="shared" si="7"/>
        <v>0</v>
      </c>
      <c r="H10" s="960">
        <f t="shared" si="7"/>
        <v>0</v>
      </c>
      <c r="I10" s="2894">
        <f t="shared" si="7"/>
        <v>0</v>
      </c>
      <c r="J10" s="960">
        <f t="shared" si="7"/>
        <v>0</v>
      </c>
      <c r="K10" s="1839">
        <f t="shared" si="7"/>
        <v>0</v>
      </c>
      <c r="L10" s="2324">
        <f t="shared" si="7"/>
        <v>0</v>
      </c>
      <c r="M10" s="2973">
        <f t="shared" si="7"/>
        <v>0</v>
      </c>
      <c r="N10" s="2324">
        <f>SUMIFS($I$16:$I$24,$A$16:$A$24,N$5,$B$16:$B$24,N$4,$J$16:$J$24,$Z$11)</f>
        <v>0</v>
      </c>
      <c r="O10" s="2324">
        <f>SUMIFS($I$16:$I$24,$A$16:$A$24,O$5,$B$16:$B$24,O$4,$J$16:$J$24,$Z$11)</f>
        <v>0</v>
      </c>
      <c r="P10" s="2324">
        <f>SUMIFS($I$16:$I$24,$A$16:$A$24,P$5,$B$16:$B$24,P$4,$J$16:$J$24,$Z$11)</f>
        <v>0</v>
      </c>
      <c r="Q10" s="2325">
        <f>SUMIFS($I$16:$I$24,$A$16:$A$24,Q$5,$B$16:$B$24,Q$4,$J$16:$J$24,$Z$11)</f>
        <v>0</v>
      </c>
      <c r="R10" s="2891">
        <f>SUM($B$10:$C$10)</f>
        <v>0</v>
      </c>
      <c r="S10" s="2891">
        <f>SUM($D$10:$H$10)</f>
        <v>0</v>
      </c>
      <c r="T10" s="2889">
        <f t="shared" si="2"/>
        <v>0</v>
      </c>
      <c r="U10" s="2891">
        <f>SUM($K$10:$L$10)</f>
        <v>0</v>
      </c>
      <c r="V10" s="2891">
        <f>SUM($M$10:$O$10)</f>
        <v>0</v>
      </c>
      <c r="W10" s="2896">
        <f t="shared" si="3"/>
        <v>0</v>
      </c>
      <c r="X10" s="1841">
        <f t="shared" si="3"/>
        <v>0</v>
      </c>
      <c r="Y10" s="2867" t="s">
        <v>1706</v>
      </c>
      <c r="Z10" s="366">
        <v>14</v>
      </c>
      <c r="AA10" s="966" t="s">
        <v>983</v>
      </c>
      <c r="AB10" s="966"/>
      <c r="AC10" s="966"/>
      <c r="AD10" s="553"/>
      <c r="AE10" s="392"/>
    </row>
    <row r="11" spans="1:31" ht="24.75" customHeight="1" thickBot="1">
      <c r="A11" s="416" t="s">
        <v>873</v>
      </c>
      <c r="B11" s="961">
        <f t="shared" ref="B11:M11" si="8">SUMIFS($I$16:$I$24,$A$16:$A$24,B$5,$B$16:$B$24,B$4,$J$16:$J$24,$Z$12)+SUMIFS($I$16:$I$24,$A$16:$A$24,B$5,$B$16:$B$24,B$4,$J$16:$J$24,$Z$13)</f>
        <v>0</v>
      </c>
      <c r="C11" s="960">
        <f t="shared" si="8"/>
        <v>0</v>
      </c>
      <c r="D11" s="2972">
        <f t="shared" si="8"/>
        <v>0</v>
      </c>
      <c r="E11" s="2972">
        <f t="shared" si="8"/>
        <v>0</v>
      </c>
      <c r="F11" s="960">
        <f t="shared" si="8"/>
        <v>0</v>
      </c>
      <c r="G11" s="960">
        <f t="shared" si="8"/>
        <v>0</v>
      </c>
      <c r="H11" s="960">
        <f t="shared" si="8"/>
        <v>0</v>
      </c>
      <c r="I11" s="2894">
        <f t="shared" si="8"/>
        <v>0</v>
      </c>
      <c r="J11" s="960">
        <f t="shared" si="8"/>
        <v>0</v>
      </c>
      <c r="K11" s="1839">
        <f t="shared" si="8"/>
        <v>0</v>
      </c>
      <c r="L11" s="2324">
        <f t="shared" si="8"/>
        <v>0</v>
      </c>
      <c r="M11" s="2973">
        <f t="shared" si="8"/>
        <v>0</v>
      </c>
      <c r="N11" s="2324">
        <f>SUMIFS($I$16:$I$24,$A$16:$A$24,N$5,$B$16:$B$24,N$4,$J$16:$J$24,$Z$12)+SUMIFS($I$16:$I$24,$A$16:$A$24,N$5,$B$16:$B$24,N$4,$J$16:$J$24,$Z$13)</f>
        <v>0</v>
      </c>
      <c r="O11" s="2324">
        <f>SUMIFS($I$16:$I$24,$A$16:$A$24,O$5,$B$16:$B$24,O$4,$J$16:$J$24,$Z$12)+SUMIFS($I$16:$I$24,$A$16:$A$24,O$5,$B$16:$B$24,O$4,$J$16:$J$24,$Z$13)</f>
        <v>0</v>
      </c>
      <c r="P11" s="2324">
        <f>SUMIFS($I$16:$I$24,$A$16:$A$24,P$5,$B$16:$B$24,P$4,$J$16:$J$24,$Z$12)+SUMIFS($I$16:$I$24,$A$16:$A$24,P$5,$B$16:$B$24,P$4,$J$16:$J$24,$Z$13)</f>
        <v>0</v>
      </c>
      <c r="Q11" s="2325">
        <f>SUMIFS($I$16:$I$24,$A$16:$A$24,Q$5,$B$16:$B$24,Q$4,$J$16:$J$24,$Z$12)+SUMIFS($I$16:$I$24,$A$16:$A$24,Q$5,$B$16:$B$24,Q$4,$J$16:$J$24,$Z$13)</f>
        <v>209.78399999999999</v>
      </c>
      <c r="R11" s="2891">
        <f>SUM($B$11:$C$11)</f>
        <v>0</v>
      </c>
      <c r="S11" s="2891">
        <f>SUM($D$11:$H$11)</f>
        <v>0</v>
      </c>
      <c r="T11" s="2890">
        <f t="shared" si="2"/>
        <v>0</v>
      </c>
      <c r="U11" s="2891">
        <f>SUM($K$11:$L$11)</f>
        <v>0</v>
      </c>
      <c r="V11" s="2891">
        <f>SUM($M$11:$O$11)</f>
        <v>0</v>
      </c>
      <c r="W11" s="2896">
        <f t="shared" si="3"/>
        <v>0</v>
      </c>
      <c r="X11" s="1842">
        <f t="shared" si="3"/>
        <v>209.78399999999999</v>
      </c>
      <c r="Y11" s="2867" t="s">
        <v>1706</v>
      </c>
      <c r="Z11" s="954" t="s">
        <v>880</v>
      </c>
      <c r="AA11" s="957" t="s">
        <v>984</v>
      </c>
      <c r="AB11" s="955"/>
      <c r="AC11" s="553"/>
      <c r="AD11" s="553"/>
      <c r="AE11" s="553"/>
    </row>
    <row r="12" spans="1:31" ht="24.75" customHeight="1" thickBot="1">
      <c r="A12" s="416" t="s">
        <v>994</v>
      </c>
      <c r="B12" s="961">
        <f t="shared" ref="B12:M12" si="9">SUMIFS($I$16:$I$24,$A$16:$A$24,B$5,$B$16:$B$24,B$4,$J$16:$J$24,$Z$5)+SUMIFS($I$16:$I$24,$A$16:$A$24,B$5,$B$16:$B$24,B$4,$J$16:$J$24,$Z$6)</f>
        <v>0</v>
      </c>
      <c r="C12" s="960">
        <f t="shared" si="9"/>
        <v>0</v>
      </c>
      <c r="D12" s="2972">
        <f t="shared" si="9"/>
        <v>0</v>
      </c>
      <c r="E12" s="2972">
        <f t="shared" si="9"/>
        <v>0</v>
      </c>
      <c r="F12" s="960">
        <f t="shared" si="9"/>
        <v>0</v>
      </c>
      <c r="G12" s="960">
        <f t="shared" si="9"/>
        <v>0</v>
      </c>
      <c r="H12" s="960">
        <f t="shared" si="9"/>
        <v>0</v>
      </c>
      <c r="I12" s="2894">
        <f t="shared" si="9"/>
        <v>0</v>
      </c>
      <c r="J12" s="960">
        <f t="shared" si="9"/>
        <v>0</v>
      </c>
      <c r="K12" s="1839">
        <f t="shared" si="9"/>
        <v>0</v>
      </c>
      <c r="L12" s="2324">
        <f t="shared" si="9"/>
        <v>0</v>
      </c>
      <c r="M12" s="2973">
        <f t="shared" si="9"/>
        <v>0</v>
      </c>
      <c r="N12" s="2324">
        <f>SUMIFS($I$16:$I$24,$A$16:$A$24,N$5,$B$16:$B$24,N$4,$J$16:$J$24,$Z$5)+SUMIFS($I$16:$I$24,$A$16:$A$24,N$5,$B$16:$B$24,N$4,$J$16:$J$24,$Z$6)</f>
        <v>0</v>
      </c>
      <c r="O12" s="2324">
        <f>SUMIFS($I$16:$I$24,$A$16:$A$24,O$5,$B$16:$B$24,O$4,$J$16:$J$24,$Z$5)+SUMIFS($I$16:$I$24,$A$16:$A$24,O$5,$B$16:$B$24,O$4,$J$16:$J$24,$Z$6)</f>
        <v>0</v>
      </c>
      <c r="P12" s="2324">
        <f>SUMIFS($I$16:$I$24,$A$16:$A$24,P$5,$B$16:$B$24,P$4,$J$16:$J$24,$Z$5)+SUMIFS($I$16:$I$24,$A$16:$A$24,P$5,$B$16:$B$24,P$4,$J$16:$J$24,$Z$6)</f>
        <v>0</v>
      </c>
      <c r="Q12" s="2325">
        <f>SUMIFS($I$16:$I$24,$A$16:$A$24,Q$5,$B$16:$B$24,Q$4,$J$16:$J$24,$Z$5)+SUMIFS($I$16:$I$24,$A$16:$A$24,Q$5,$B$16:$B$24,Q$4,$J$16:$J$24,$Z$6)</f>
        <v>0</v>
      </c>
      <c r="R12" s="2891">
        <f>SUM($B$12:$C$12)</f>
        <v>0</v>
      </c>
      <c r="S12" s="2891">
        <f>SUM($D$12:$H$12)</f>
        <v>0</v>
      </c>
      <c r="T12" s="2890">
        <f t="shared" si="2"/>
        <v>0</v>
      </c>
      <c r="U12" s="2891">
        <f>SUM($K$12:$L$12)</f>
        <v>0</v>
      </c>
      <c r="V12" s="2891">
        <f>SUM($M$12:$O$12)</f>
        <v>0</v>
      </c>
      <c r="W12" s="2896">
        <f t="shared" si="3"/>
        <v>0</v>
      </c>
      <c r="X12" s="1842">
        <f t="shared" si="3"/>
        <v>0</v>
      </c>
      <c r="Y12" s="2867" t="s">
        <v>1706</v>
      </c>
      <c r="Z12" s="954">
        <v>2</v>
      </c>
      <c r="AA12" s="957" t="s">
        <v>878</v>
      </c>
      <c r="AB12" s="392"/>
      <c r="AC12" s="553"/>
      <c r="AD12" s="553"/>
      <c r="AE12" s="553"/>
    </row>
    <row r="13" spans="1:31" ht="24.75" customHeight="1">
      <c r="A13" s="688"/>
      <c r="B13" s="963"/>
      <c r="C13" s="964"/>
      <c r="D13" s="964"/>
      <c r="E13" s="608"/>
      <c r="F13" s="608"/>
      <c r="G13" s="608"/>
      <c r="H13" s="608"/>
      <c r="I13" s="608"/>
      <c r="J13" s="553"/>
      <c r="R13" s="553"/>
      <c r="Z13" s="954">
        <v>3</v>
      </c>
      <c r="AA13" s="957" t="s">
        <v>879</v>
      </c>
      <c r="AB13" s="553"/>
      <c r="AC13" s="553"/>
      <c r="AD13" s="553"/>
      <c r="AE13" s="553"/>
    </row>
    <row r="14" spans="1:31" ht="12" customHeight="1" thickBot="1">
      <c r="A14" s="366" t="s">
        <v>204</v>
      </c>
      <c r="B14" s="366" t="s">
        <v>35</v>
      </c>
      <c r="I14" s="965">
        <f>SUM(I16:I24)</f>
        <v>412.11599999999999</v>
      </c>
      <c r="M14" s="213"/>
      <c r="N14" s="213"/>
      <c r="O14" s="213"/>
      <c r="P14" s="1068">
        <v>3.2</v>
      </c>
    </row>
    <row r="15" spans="1:31" s="53" customFormat="1" ht="60" thickBot="1">
      <c r="A15" s="1438" t="s">
        <v>0</v>
      </c>
      <c r="B15" s="1439" t="s">
        <v>1164</v>
      </c>
      <c r="C15" s="1439" t="s">
        <v>18</v>
      </c>
      <c r="D15" s="1439" t="s">
        <v>27</v>
      </c>
      <c r="E15" s="1439" t="s">
        <v>28</v>
      </c>
      <c r="F15" s="1439" t="s">
        <v>29</v>
      </c>
      <c r="G15" s="1439" t="s">
        <v>30</v>
      </c>
      <c r="H15" s="1439" t="s">
        <v>24</v>
      </c>
      <c r="I15" s="1440" t="s">
        <v>1160</v>
      </c>
      <c r="J15" s="1439" t="s">
        <v>31</v>
      </c>
      <c r="K15" s="1439" t="s">
        <v>1165</v>
      </c>
      <c r="L15" s="1439" t="s">
        <v>215</v>
      </c>
      <c r="M15" s="1439" t="s">
        <v>1166</v>
      </c>
      <c r="N15" s="1439" t="s">
        <v>216</v>
      </c>
      <c r="O15" s="1441" t="s">
        <v>1443</v>
      </c>
      <c r="P15" s="1432" t="s">
        <v>990</v>
      </c>
      <c r="T15" s="2819"/>
    </row>
    <row r="16" spans="1:31" s="7" customFormat="1" ht="18" customHeight="1">
      <c r="A16" s="414" t="s">
        <v>1529</v>
      </c>
      <c r="B16" s="2326" t="s">
        <v>1526</v>
      </c>
      <c r="C16" s="202" t="s">
        <v>139</v>
      </c>
      <c r="D16" s="203">
        <v>45759</v>
      </c>
      <c r="E16" s="203">
        <v>45759</v>
      </c>
      <c r="F16" s="189" t="s">
        <v>313</v>
      </c>
      <c r="G16" s="189" t="s">
        <v>1392</v>
      </c>
      <c r="H16" s="202">
        <v>5</v>
      </c>
      <c r="I16" s="204">
        <v>62.884999999999998</v>
      </c>
      <c r="J16" s="202">
        <v>11</v>
      </c>
      <c r="K16" s="202">
        <v>0</v>
      </c>
      <c r="L16" s="202">
        <v>1200</v>
      </c>
      <c r="M16" s="202" t="s">
        <v>1389</v>
      </c>
      <c r="N16" s="202"/>
      <c r="O16" s="205">
        <v>6</v>
      </c>
      <c r="P16" s="1442"/>
      <c r="W16" s="2762"/>
    </row>
    <row r="17" spans="1:23" s="7" customFormat="1" ht="18" customHeight="1">
      <c r="A17" s="415" t="s">
        <v>1532</v>
      </c>
      <c r="B17" s="2326" t="s">
        <v>1552</v>
      </c>
      <c r="C17" s="202" t="s">
        <v>139</v>
      </c>
      <c r="D17" s="203">
        <v>45761</v>
      </c>
      <c r="E17" s="203">
        <v>45763</v>
      </c>
      <c r="F17" s="189" t="s">
        <v>1556</v>
      </c>
      <c r="G17" s="189" t="s">
        <v>1576</v>
      </c>
      <c r="H17" s="202">
        <v>12</v>
      </c>
      <c r="I17" s="204">
        <v>209.78399999999999</v>
      </c>
      <c r="J17" s="202">
        <v>2</v>
      </c>
      <c r="K17" s="202">
        <v>0</v>
      </c>
      <c r="L17" s="202">
        <v>1200</v>
      </c>
      <c r="M17" s="202" t="s">
        <v>881</v>
      </c>
      <c r="N17" s="202"/>
      <c r="O17" s="205"/>
      <c r="P17" s="1443"/>
      <c r="W17" s="2762"/>
    </row>
    <row r="18" spans="1:23" s="7" customFormat="1" ht="18" customHeight="1">
      <c r="A18" s="2327" t="s">
        <v>1534</v>
      </c>
      <c r="B18" s="2895" t="s">
        <v>1566</v>
      </c>
      <c r="C18" s="411" t="s">
        <v>139</v>
      </c>
      <c r="D18" s="412">
        <v>45768</v>
      </c>
      <c r="E18" s="412">
        <v>45715</v>
      </c>
      <c r="F18" s="2328" t="s">
        <v>1392</v>
      </c>
      <c r="G18" s="2328" t="s">
        <v>1573</v>
      </c>
      <c r="H18" s="411">
        <v>7</v>
      </c>
      <c r="I18" s="2329">
        <v>94.415999999999997</v>
      </c>
      <c r="J18" s="411">
        <v>11</v>
      </c>
      <c r="K18" s="411">
        <v>0</v>
      </c>
      <c r="L18" s="206">
        <v>1200</v>
      </c>
      <c r="M18" s="411" t="s">
        <v>886</v>
      </c>
      <c r="N18" s="411"/>
      <c r="O18" s="413">
        <v>8</v>
      </c>
      <c r="P18" s="1443"/>
      <c r="R18" s="2867" t="s">
        <v>1706</v>
      </c>
      <c r="W18" s="2762"/>
    </row>
    <row r="19" spans="1:23" s="7" customFormat="1" ht="18" customHeight="1">
      <c r="A19" s="415" t="s">
        <v>1539</v>
      </c>
      <c r="B19" s="943" t="s">
        <v>1528</v>
      </c>
      <c r="C19" s="202" t="s">
        <v>139</v>
      </c>
      <c r="D19" s="203">
        <v>45770</v>
      </c>
      <c r="E19" s="203">
        <v>45712</v>
      </c>
      <c r="F19" s="189" t="s">
        <v>1585</v>
      </c>
      <c r="G19" s="189" t="s">
        <v>1557</v>
      </c>
      <c r="H19" s="202">
        <v>7</v>
      </c>
      <c r="I19" s="204">
        <v>45.030999999999999</v>
      </c>
      <c r="J19" s="202">
        <v>14</v>
      </c>
      <c r="K19" s="202">
        <v>0</v>
      </c>
      <c r="L19" s="202">
        <v>1200</v>
      </c>
      <c r="M19" s="202" t="s">
        <v>887</v>
      </c>
      <c r="N19" s="202"/>
      <c r="O19" s="205">
        <v>6</v>
      </c>
      <c r="P19" s="1443"/>
      <c r="W19" s="2762"/>
    </row>
    <row r="20" spans="1:23" s="1885" customFormat="1" ht="18" customHeight="1">
      <c r="A20" s="415"/>
      <c r="B20" s="943"/>
      <c r="C20" s="202"/>
      <c r="D20" s="203"/>
      <c r="E20" s="203"/>
      <c r="F20" s="189"/>
      <c r="G20" s="189"/>
      <c r="H20" s="202"/>
      <c r="I20" s="204"/>
      <c r="J20" s="202"/>
      <c r="K20" s="202"/>
      <c r="L20" s="202"/>
      <c r="M20" s="202"/>
      <c r="N20" s="202"/>
      <c r="O20" s="205"/>
      <c r="P20" s="1443"/>
      <c r="W20" s="2762"/>
    </row>
    <row r="21" spans="1:23" s="1885" customFormat="1" ht="18" customHeight="1">
      <c r="A21" s="415"/>
      <c r="B21" s="943"/>
      <c r="C21" s="202"/>
      <c r="D21" s="203"/>
      <c r="E21" s="203"/>
      <c r="F21" s="189"/>
      <c r="G21" s="189"/>
      <c r="H21" s="202"/>
      <c r="I21" s="204"/>
      <c r="J21" s="202"/>
      <c r="K21" s="202"/>
      <c r="L21" s="202"/>
      <c r="M21" s="202"/>
      <c r="N21" s="202"/>
      <c r="O21" s="205"/>
      <c r="P21" s="1443"/>
      <c r="W21" s="2762"/>
    </row>
    <row r="22" spans="1:23" s="1885" customFormat="1" ht="18" customHeight="1">
      <c r="A22" s="415"/>
      <c r="B22" s="943"/>
      <c r="C22" s="202"/>
      <c r="D22" s="203"/>
      <c r="E22" s="203"/>
      <c r="F22" s="189"/>
      <c r="G22" s="189"/>
      <c r="H22" s="202"/>
      <c r="I22" s="204"/>
      <c r="J22" s="202"/>
      <c r="K22" s="202"/>
      <c r="L22" s="202"/>
      <c r="M22" s="202"/>
      <c r="N22" s="202"/>
      <c r="O22" s="205"/>
      <c r="P22" s="1443"/>
      <c r="W22" s="2762"/>
    </row>
    <row r="23" spans="1:23" s="7" customFormat="1" ht="18" customHeight="1">
      <c r="A23" s="415"/>
      <c r="B23" s="943"/>
      <c r="C23" s="202"/>
      <c r="D23" s="203"/>
      <c r="E23" s="203"/>
      <c r="F23" s="189"/>
      <c r="G23" s="189"/>
      <c r="H23" s="202"/>
      <c r="I23" s="204"/>
      <c r="J23" s="202"/>
      <c r="K23" s="202"/>
      <c r="L23" s="202"/>
      <c r="M23" s="202"/>
      <c r="N23" s="202"/>
      <c r="O23" s="205"/>
      <c r="P23" s="1443"/>
      <c r="W23" s="2762"/>
    </row>
    <row r="24" spans="1:23" s="7" customFormat="1" ht="18" customHeight="1">
      <c r="A24" s="1855" t="s">
        <v>792</v>
      </c>
      <c r="B24" s="943"/>
      <c r="C24" s="202"/>
      <c r="D24" s="203"/>
      <c r="E24" s="203"/>
      <c r="F24" s="189"/>
      <c r="G24" s="189"/>
      <c r="H24" s="202"/>
      <c r="I24" s="204"/>
      <c r="J24" s="202"/>
      <c r="K24" s="202"/>
      <c r="L24" s="202"/>
      <c r="M24" s="202"/>
      <c r="N24" s="202"/>
      <c r="O24" s="205"/>
      <c r="P24" s="1443"/>
      <c r="W24" s="2762"/>
    </row>
    <row r="25" spans="1:23" s="55" customFormat="1" ht="18" customHeight="1" thickBot="1">
      <c r="A25" s="1444"/>
      <c r="B25" s="1445"/>
      <c r="C25" s="1446" t="s">
        <v>35</v>
      </c>
      <c r="D25" s="1447"/>
      <c r="E25" s="1447"/>
      <c r="F25" s="1448"/>
      <c r="G25" s="1448"/>
      <c r="H25" s="1447">
        <f>SUM(H16:H24)</f>
        <v>31</v>
      </c>
      <c r="I25" s="1449">
        <f>SUM(I16:I24)</f>
        <v>412.11599999999999</v>
      </c>
      <c r="J25" s="1447"/>
      <c r="K25" s="1447"/>
      <c r="L25" s="1447"/>
      <c r="M25" s="1447"/>
      <c r="N25" s="1447"/>
      <c r="O25" s="1450"/>
      <c r="P25" s="1431"/>
    </row>
    <row r="26" spans="1:23" ht="18" customHeight="1">
      <c r="A26" s="207"/>
      <c r="B26" s="207"/>
      <c r="C26" s="206"/>
      <c r="D26" s="206"/>
      <c r="E26" s="206"/>
      <c r="F26" s="206"/>
      <c r="G26" s="195"/>
      <c r="H26" s="195"/>
      <c r="I26" s="195"/>
      <c r="J26" s="195"/>
      <c r="K26" s="195"/>
      <c r="L26" s="195"/>
      <c r="M26" s="195"/>
      <c r="N26" s="195"/>
      <c r="O26" s="195"/>
      <c r="P26" s="195"/>
      <c r="Q26" s="195"/>
    </row>
    <row r="27" spans="1:23" ht="18" customHeight="1">
      <c r="A27" s="207"/>
      <c r="B27" s="207"/>
      <c r="C27" s="206"/>
      <c r="D27" s="206"/>
      <c r="E27" s="206"/>
      <c r="F27" s="206"/>
      <c r="G27" s="195"/>
      <c r="H27" s="195"/>
      <c r="I27" s="195"/>
      <c r="J27" s="195"/>
      <c r="K27" s="195"/>
      <c r="L27" s="195"/>
      <c r="M27" s="195"/>
      <c r="N27" s="195"/>
      <c r="O27" s="195"/>
      <c r="P27" s="195"/>
      <c r="Q27" s="195"/>
    </row>
    <row r="28" spans="1:23" ht="18" customHeight="1">
      <c r="A28" s="985" t="s">
        <v>219</v>
      </c>
      <c r="B28" s="985"/>
      <c r="C28" s="195" t="s">
        <v>224</v>
      </c>
      <c r="D28" s="195"/>
      <c r="E28" s="195"/>
      <c r="F28" s="195"/>
      <c r="G28" s="195"/>
      <c r="H28" s="195"/>
      <c r="I28" s="195"/>
      <c r="J28" s="195"/>
      <c r="K28" s="195"/>
      <c r="L28" s="195"/>
      <c r="M28" s="195"/>
      <c r="N28" s="195"/>
      <c r="O28" s="195"/>
      <c r="P28" s="195"/>
      <c r="Q28" s="195"/>
    </row>
    <row r="29" spans="1:23" ht="18" customHeight="1">
      <c r="A29" s="195"/>
      <c r="B29" s="195"/>
      <c r="C29" s="195" t="s">
        <v>1645</v>
      </c>
      <c r="D29" s="195"/>
      <c r="E29" s="195"/>
      <c r="F29" s="195"/>
      <c r="G29" s="195"/>
      <c r="H29" s="195"/>
      <c r="I29" s="195"/>
      <c r="J29" s="195"/>
      <c r="K29" s="195"/>
      <c r="L29" s="195"/>
      <c r="M29" s="195"/>
      <c r="N29" s="195"/>
      <c r="O29" s="195"/>
      <c r="P29" s="195"/>
      <c r="Q29" s="195"/>
    </row>
    <row r="30" spans="1:23" ht="18" customHeight="1">
      <c r="D30" s="197"/>
      <c r="E30" s="195"/>
      <c r="F30" s="195"/>
      <c r="G30" s="195"/>
      <c r="H30" s="195"/>
      <c r="I30" s="195"/>
      <c r="J30" s="195"/>
      <c r="K30" s="195"/>
      <c r="L30" s="195"/>
      <c r="M30" s="195"/>
      <c r="N30" s="195"/>
      <c r="O30" s="195"/>
      <c r="P30" s="195"/>
      <c r="Q30" s="195"/>
    </row>
    <row r="31" spans="1:23" ht="18" customHeight="1">
      <c r="A31" s="335" t="s">
        <v>1434</v>
      </c>
      <c r="B31" s="335" t="s">
        <v>1435</v>
      </c>
      <c r="C31"/>
      <c r="D31" s="197"/>
      <c r="E31" s="195"/>
      <c r="F31" s="195"/>
      <c r="G31" s="195"/>
      <c r="H31" s="195"/>
      <c r="I31" s="195"/>
      <c r="J31" s="195"/>
      <c r="K31" s="195"/>
      <c r="L31" s="195"/>
      <c r="M31" s="195"/>
      <c r="N31" s="195"/>
      <c r="O31" s="195"/>
      <c r="P31" s="195"/>
      <c r="Q31" s="195"/>
    </row>
    <row r="32" spans="1:23" ht="18" customHeight="1">
      <c r="A32" s="335" t="s">
        <v>1554</v>
      </c>
      <c r="B32" s="335" t="s">
        <v>1550</v>
      </c>
      <c r="C32" s="2196" t="s">
        <v>1442</v>
      </c>
      <c r="D32" s="195"/>
      <c r="E32" s="195"/>
      <c r="F32" s="195"/>
      <c r="G32" s="195"/>
      <c r="H32" s="195"/>
      <c r="I32" s="195"/>
      <c r="J32" s="195"/>
      <c r="K32" s="195"/>
      <c r="L32" s="195"/>
      <c r="M32" s="195"/>
      <c r="N32" s="195"/>
      <c r="O32" s="195"/>
      <c r="P32" s="195"/>
      <c r="Q32" s="195"/>
    </row>
    <row r="33" spans="1:23" s="7" customFormat="1" ht="13.15" customHeight="1">
      <c r="A33" s="207"/>
      <c r="B33" s="207"/>
      <c r="C33" s="206"/>
      <c r="D33" s="206"/>
      <c r="E33" s="206"/>
      <c r="F33" s="206"/>
      <c r="G33" s="206"/>
      <c r="H33" s="208"/>
      <c r="I33" s="209"/>
      <c r="J33" s="206"/>
      <c r="K33" s="206"/>
      <c r="L33" s="206"/>
      <c r="M33" s="206"/>
      <c r="N33" s="206"/>
      <c r="O33" s="206"/>
      <c r="P33" s="206"/>
      <c r="Q33" s="208"/>
      <c r="W33" s="2762"/>
    </row>
    <row r="34" spans="1:23" s="7" customFormat="1" ht="15" customHeight="1">
      <c r="A34" s="210" t="s">
        <v>21</v>
      </c>
      <c r="B34" s="210"/>
      <c r="C34" s="206"/>
      <c r="D34" s="206"/>
      <c r="E34" s="207"/>
      <c r="F34" s="206"/>
      <c r="G34" s="206"/>
      <c r="H34" s="208"/>
      <c r="I34" s="209"/>
      <c r="J34" s="206"/>
      <c r="K34" s="3056" t="s">
        <v>321</v>
      </c>
      <c r="L34" s="3056"/>
      <c r="M34" s="3057"/>
      <c r="N34" s="3057"/>
      <c r="O34" s="3057"/>
      <c r="P34" s="3057"/>
      <c r="Q34" s="3057"/>
      <c r="W34" s="2762"/>
    </row>
    <row r="35" spans="1:23" s="7" customFormat="1" ht="7.15" customHeight="1">
      <c r="A35" s="207"/>
      <c r="B35" s="207"/>
      <c r="C35" s="206"/>
      <c r="D35" s="206"/>
      <c r="E35" s="207"/>
      <c r="F35" s="206"/>
      <c r="G35" s="206"/>
      <c r="H35" s="208"/>
      <c r="I35" s="209"/>
      <c r="J35" s="206"/>
      <c r="K35" s="3057"/>
      <c r="L35" s="3057"/>
      <c r="M35" s="3057"/>
      <c r="N35" s="3057"/>
      <c r="O35" s="3057"/>
      <c r="P35" s="3057"/>
      <c r="Q35" s="3057"/>
      <c r="W35" s="2762"/>
    </row>
    <row r="36" spans="1:23" s="7" customFormat="1" ht="15" customHeight="1">
      <c r="A36" s="207" t="s">
        <v>254</v>
      </c>
      <c r="B36" s="207"/>
      <c r="C36" s="206"/>
      <c r="D36" s="208"/>
      <c r="E36" s="207" t="s">
        <v>136</v>
      </c>
      <c r="F36" s="206"/>
      <c r="G36" s="206"/>
      <c r="H36" s="208"/>
      <c r="I36" s="209"/>
      <c r="J36" s="206"/>
      <c r="K36" s="3057"/>
      <c r="L36" s="3057"/>
      <c r="M36" s="3057"/>
      <c r="N36" s="3057"/>
      <c r="O36" s="3057"/>
      <c r="P36" s="3057"/>
      <c r="Q36" s="3057"/>
      <c r="W36" s="2762"/>
    </row>
    <row r="37" spans="1:23" s="7" customFormat="1" ht="15" customHeight="1">
      <c r="A37" s="207" t="s">
        <v>26</v>
      </c>
      <c r="B37" s="207"/>
      <c r="C37" s="206"/>
      <c r="D37" s="208"/>
      <c r="E37" s="207" t="s">
        <v>60</v>
      </c>
      <c r="F37" s="206"/>
      <c r="G37" s="206"/>
      <c r="H37" s="208"/>
      <c r="I37" s="209"/>
      <c r="J37" s="206"/>
      <c r="K37" s="3057"/>
      <c r="L37" s="3057"/>
      <c r="M37" s="3057"/>
      <c r="N37" s="3057"/>
      <c r="O37" s="3057"/>
      <c r="P37" s="3057"/>
      <c r="Q37" s="3057"/>
      <c r="W37" s="2762"/>
    </row>
    <row r="38" spans="1:23" s="7" customFormat="1" ht="15" customHeight="1">
      <c r="A38" s="207" t="s">
        <v>36</v>
      </c>
      <c r="B38" s="207"/>
      <c r="C38" s="206"/>
      <c r="D38" s="208"/>
      <c r="E38" s="207" t="s">
        <v>37</v>
      </c>
      <c r="F38" s="206"/>
      <c r="G38" s="206"/>
      <c r="H38" s="208"/>
      <c r="I38" s="209"/>
      <c r="J38" s="206"/>
      <c r="K38" s="3057"/>
      <c r="L38" s="3057"/>
      <c r="M38" s="3057"/>
      <c r="N38" s="3057"/>
      <c r="O38" s="3057"/>
      <c r="P38" s="3057"/>
      <c r="Q38" s="3057"/>
      <c r="W38" s="2762"/>
    </row>
    <row r="39" spans="1:23" s="7" customFormat="1" ht="15" customHeight="1">
      <c r="A39" s="207" t="s">
        <v>38</v>
      </c>
      <c r="B39" s="207"/>
      <c r="C39" s="206"/>
      <c r="D39" s="208"/>
      <c r="E39" s="207" t="s">
        <v>39</v>
      </c>
      <c r="F39" s="206"/>
      <c r="G39" s="206"/>
      <c r="H39" s="208"/>
      <c r="I39" s="209"/>
      <c r="J39" s="206"/>
      <c r="K39" s="3057"/>
      <c r="L39" s="3057"/>
      <c r="M39" s="3057"/>
      <c r="N39" s="3057"/>
      <c r="O39" s="3057"/>
      <c r="P39" s="3057"/>
      <c r="Q39" s="3057"/>
      <c r="W39" s="2762"/>
    </row>
    <row r="40" spans="1:23" s="7" customFormat="1" ht="15" customHeight="1">
      <c r="A40" s="207" t="s">
        <v>40</v>
      </c>
      <c r="B40" s="207"/>
      <c r="C40" s="206"/>
      <c r="D40" s="208"/>
      <c r="E40" s="207" t="s">
        <v>23</v>
      </c>
      <c r="F40" s="206"/>
      <c r="G40" s="206"/>
      <c r="H40" s="208"/>
      <c r="I40" s="209"/>
      <c r="J40" s="206"/>
      <c r="K40" s="3057"/>
      <c r="L40" s="3057"/>
      <c r="M40" s="3057"/>
      <c r="N40" s="3057"/>
      <c r="O40" s="3057"/>
      <c r="P40" s="3057"/>
      <c r="Q40" s="3057"/>
      <c r="W40" s="2762"/>
    </row>
    <row r="41" spans="1:23" s="7" customFormat="1" ht="15" customHeight="1">
      <c r="A41" s="207" t="s">
        <v>41</v>
      </c>
      <c r="B41" s="207"/>
      <c r="C41" s="206"/>
      <c r="D41" s="208"/>
      <c r="E41" s="207" t="s">
        <v>23</v>
      </c>
      <c r="F41" s="206"/>
      <c r="G41" s="206"/>
      <c r="H41" s="208"/>
      <c r="I41" s="209"/>
      <c r="J41" s="206"/>
      <c r="K41" s="3057"/>
      <c r="L41" s="3057"/>
      <c r="M41" s="3057"/>
      <c r="N41" s="3057"/>
      <c r="O41" s="3057"/>
      <c r="P41" s="3057"/>
      <c r="Q41" s="3057"/>
      <c r="W41" s="2762"/>
    </row>
    <row r="42" spans="1:23" s="7" customFormat="1" ht="15" customHeight="1">
      <c r="A42" s="207" t="s">
        <v>42</v>
      </c>
      <c r="B42" s="207"/>
      <c r="C42" s="206"/>
      <c r="D42" s="208"/>
      <c r="E42" s="207" t="s">
        <v>43</v>
      </c>
      <c r="F42" s="206"/>
      <c r="G42" s="206"/>
      <c r="H42" s="208"/>
      <c r="I42" s="209"/>
      <c r="J42" s="206"/>
      <c r="K42" s="206"/>
      <c r="L42" s="206"/>
      <c r="M42" s="206"/>
      <c r="N42" s="206"/>
      <c r="O42" s="206"/>
      <c r="P42" s="206"/>
      <c r="Q42" s="208"/>
      <c r="W42" s="2762"/>
    </row>
    <row r="43" spans="1:23" s="7" customFormat="1" ht="15" customHeight="1">
      <c r="A43" s="207"/>
      <c r="B43" s="207"/>
      <c r="C43" s="206"/>
      <c r="D43" s="208"/>
      <c r="E43" s="210" t="s">
        <v>213</v>
      </c>
      <c r="F43" s="206"/>
      <c r="G43" s="206"/>
      <c r="H43" s="208"/>
      <c r="I43" s="209"/>
      <c r="J43" s="206"/>
      <c r="K43" s="206"/>
      <c r="L43" s="206"/>
      <c r="M43" s="206"/>
      <c r="N43" s="206"/>
      <c r="O43" s="206"/>
      <c r="P43" s="206"/>
      <c r="Q43" s="208"/>
      <c r="W43" s="2762"/>
    </row>
    <row r="44" spans="1:23" s="7" customFormat="1" ht="15" customHeight="1">
      <c r="A44" s="207"/>
      <c r="B44" s="207"/>
      <c r="C44" s="206"/>
      <c r="D44" s="208"/>
      <c r="E44" s="207" t="s">
        <v>44</v>
      </c>
      <c r="F44" s="206"/>
      <c r="G44" s="206"/>
      <c r="H44" s="208"/>
      <c r="I44" s="209"/>
      <c r="J44" s="206"/>
      <c r="K44" s="206"/>
      <c r="L44" s="206"/>
      <c r="M44" s="206"/>
      <c r="N44" s="206"/>
      <c r="O44" s="206"/>
      <c r="P44" s="206"/>
      <c r="Q44" s="208"/>
      <c r="W44" s="2762"/>
    </row>
    <row r="45" spans="1:23" s="7" customFormat="1" ht="15" customHeight="1">
      <c r="A45" s="207" t="s">
        <v>45</v>
      </c>
      <c r="B45" s="207"/>
      <c r="C45" s="206"/>
      <c r="D45" s="208"/>
      <c r="E45" s="207" t="s">
        <v>46</v>
      </c>
      <c r="F45" s="206"/>
      <c r="G45" s="206"/>
      <c r="H45" s="208"/>
      <c r="I45" s="209"/>
      <c r="J45" s="206"/>
      <c r="K45" s="206"/>
      <c r="L45" s="206"/>
      <c r="M45" s="206"/>
      <c r="N45" s="206"/>
      <c r="O45" s="206"/>
      <c r="P45" s="206"/>
      <c r="Q45" s="208"/>
      <c r="W45" s="2762"/>
    </row>
    <row r="46" spans="1:23" s="7" customFormat="1" ht="15" customHeight="1">
      <c r="A46" s="207"/>
      <c r="B46" s="207"/>
      <c r="C46" s="206"/>
      <c r="D46" s="208"/>
      <c r="E46" s="210" t="s">
        <v>214</v>
      </c>
      <c r="F46" s="206"/>
      <c r="G46" s="206"/>
      <c r="H46" s="208"/>
      <c r="I46" s="209"/>
      <c r="J46" s="206"/>
      <c r="K46" s="206"/>
      <c r="L46" s="206"/>
      <c r="M46" s="206"/>
      <c r="N46" s="206"/>
      <c r="O46" s="206"/>
      <c r="P46" s="206"/>
      <c r="Q46" s="208"/>
      <c r="W46" s="2762"/>
    </row>
    <row r="47" spans="1:23" s="7" customFormat="1" ht="15" customHeight="1">
      <c r="A47" s="207"/>
      <c r="B47" s="207"/>
      <c r="C47" s="206"/>
      <c r="D47" s="208"/>
      <c r="E47" s="207" t="s">
        <v>47</v>
      </c>
      <c r="F47" s="206"/>
      <c r="G47" s="206"/>
      <c r="H47" s="208"/>
      <c r="I47" s="209"/>
      <c r="J47" s="206"/>
      <c r="K47" s="206"/>
      <c r="L47" s="206"/>
      <c r="M47" s="206"/>
      <c r="N47" s="206"/>
      <c r="O47" s="206"/>
      <c r="P47" s="206"/>
      <c r="Q47" s="208"/>
      <c r="W47" s="2762"/>
    </row>
    <row r="48" spans="1:23" s="7" customFormat="1" ht="15" customHeight="1">
      <c r="A48" s="207"/>
      <c r="B48" s="207"/>
      <c r="C48" s="206"/>
      <c r="D48" s="208"/>
      <c r="E48" s="207" t="s">
        <v>48</v>
      </c>
      <c r="F48" s="206"/>
      <c r="G48" s="206"/>
      <c r="H48" s="208"/>
      <c r="I48" s="209"/>
      <c r="J48" s="206"/>
      <c r="K48" s="206"/>
      <c r="L48" s="206"/>
      <c r="M48" s="206"/>
      <c r="N48" s="206"/>
      <c r="O48" s="206"/>
      <c r="P48" s="206"/>
      <c r="Q48" s="208"/>
      <c r="W48" s="2762"/>
    </row>
    <row r="49" spans="1:23" s="7" customFormat="1" ht="15" customHeight="1">
      <c r="A49" s="207" t="s">
        <v>31</v>
      </c>
      <c r="B49" s="207"/>
      <c r="C49" s="206"/>
      <c r="D49" s="208"/>
      <c r="E49" s="207" t="s">
        <v>49</v>
      </c>
      <c r="F49" s="206"/>
      <c r="G49" s="206"/>
      <c r="H49" s="208"/>
      <c r="I49" s="209"/>
      <c r="J49" s="206"/>
      <c r="K49" s="206"/>
      <c r="L49" s="206"/>
      <c r="M49" s="206"/>
      <c r="N49" s="206"/>
      <c r="O49" s="206"/>
      <c r="P49" s="206"/>
      <c r="Q49" s="208"/>
      <c r="W49" s="2762"/>
    </row>
    <row r="50" spans="1:23" s="7" customFormat="1" ht="15" customHeight="1">
      <c r="A50" s="207"/>
      <c r="B50" s="207"/>
      <c r="C50" s="206"/>
      <c r="D50" s="208"/>
      <c r="E50" s="207" t="s">
        <v>50</v>
      </c>
      <c r="F50" s="206"/>
      <c r="G50" s="206"/>
      <c r="H50" s="208"/>
      <c r="I50" s="209"/>
      <c r="J50" s="206"/>
      <c r="K50" s="206"/>
      <c r="L50" s="206"/>
      <c r="M50" s="206"/>
      <c r="N50" s="206"/>
      <c r="O50" s="206"/>
      <c r="P50" s="206"/>
      <c r="Q50" s="208"/>
      <c r="W50" s="2762"/>
    </row>
    <row r="51" spans="1:23" s="7" customFormat="1" ht="15" customHeight="1">
      <c r="A51" s="207"/>
      <c r="B51" s="207"/>
      <c r="C51" s="206"/>
      <c r="D51" s="208"/>
      <c r="E51" s="207" t="s">
        <v>980</v>
      </c>
      <c r="F51" s="206"/>
      <c r="G51" s="206"/>
      <c r="H51" s="208"/>
      <c r="I51" s="209"/>
      <c r="J51" s="206"/>
      <c r="K51" s="206"/>
      <c r="L51" s="206"/>
      <c r="M51" s="206"/>
      <c r="N51" s="206"/>
      <c r="O51" s="206"/>
      <c r="P51" s="206"/>
      <c r="Q51" s="208"/>
      <c r="W51" s="2762"/>
    </row>
    <row r="52" spans="1:23" s="7" customFormat="1" ht="15" customHeight="1">
      <c r="A52" s="207"/>
      <c r="B52" s="207"/>
      <c r="C52" s="206"/>
      <c r="D52" s="208"/>
      <c r="E52" s="207" t="s">
        <v>979</v>
      </c>
      <c r="F52" s="206"/>
      <c r="G52" s="206"/>
      <c r="H52" s="208"/>
      <c r="I52" s="209"/>
      <c r="J52" s="206"/>
      <c r="K52" s="206"/>
      <c r="L52" s="206"/>
      <c r="M52" s="206"/>
      <c r="N52" s="206"/>
      <c r="O52" s="206"/>
      <c r="P52" s="206"/>
      <c r="Q52" s="208"/>
      <c r="W52" s="2762"/>
    </row>
    <row r="53" spans="1:23" s="7" customFormat="1" ht="15" customHeight="1">
      <c r="A53" s="207"/>
      <c r="B53" s="207"/>
      <c r="C53" s="206"/>
      <c r="D53" s="208"/>
      <c r="E53" s="207" t="s">
        <v>51</v>
      </c>
      <c r="F53" s="206"/>
      <c r="G53" s="206"/>
      <c r="H53" s="208"/>
      <c r="I53" s="209"/>
      <c r="J53" s="206"/>
      <c r="K53" s="206"/>
      <c r="L53" s="206"/>
      <c r="M53" s="206"/>
      <c r="N53" s="206"/>
      <c r="O53" s="206"/>
      <c r="P53" s="206"/>
      <c r="Q53" s="208"/>
      <c r="W53" s="2762"/>
    </row>
    <row r="54" spans="1:23" s="7" customFormat="1" ht="15" customHeight="1">
      <c r="A54" s="207"/>
      <c r="B54" s="207"/>
      <c r="C54" s="206"/>
      <c r="D54" s="208"/>
      <c r="E54" s="207" t="s">
        <v>701</v>
      </c>
      <c r="F54" s="206"/>
      <c r="G54" s="206"/>
      <c r="H54" s="208"/>
      <c r="I54" s="209"/>
      <c r="J54" s="206"/>
      <c r="K54" s="206"/>
      <c r="L54" s="206"/>
      <c r="M54" s="206"/>
      <c r="N54" s="206"/>
      <c r="O54" s="206"/>
      <c r="P54" s="206"/>
      <c r="Q54" s="208"/>
      <c r="W54" s="2762"/>
    </row>
    <row r="55" spans="1:23" s="7" customFormat="1" ht="15" customHeight="1">
      <c r="A55" s="207"/>
      <c r="B55" s="207"/>
      <c r="C55" s="206"/>
      <c r="D55" s="208"/>
      <c r="E55" s="207" t="s">
        <v>702</v>
      </c>
      <c r="F55" s="206"/>
      <c r="G55" s="206"/>
      <c r="H55" s="208"/>
      <c r="I55" s="209"/>
      <c r="J55" s="206"/>
      <c r="K55" s="206"/>
      <c r="L55" s="206"/>
      <c r="M55" s="206"/>
      <c r="N55" s="206"/>
      <c r="O55" s="206"/>
      <c r="P55" s="206"/>
      <c r="Q55" s="208"/>
      <c r="W55" s="2762"/>
    </row>
    <row r="56" spans="1:23" s="978" customFormat="1" ht="15" customHeight="1">
      <c r="A56" s="207"/>
      <c r="B56" s="207"/>
      <c r="C56" s="206"/>
      <c r="D56" s="208"/>
      <c r="E56" s="1066" t="s">
        <v>986</v>
      </c>
      <c r="F56" s="206"/>
      <c r="G56" s="206"/>
      <c r="H56" s="208"/>
      <c r="I56" s="209"/>
      <c r="J56" s="206"/>
      <c r="K56" s="206"/>
      <c r="L56" s="206"/>
      <c r="M56" s="206"/>
      <c r="N56" s="206"/>
      <c r="O56" s="206"/>
      <c r="P56" s="206"/>
      <c r="Q56" s="208"/>
      <c r="W56" s="2762"/>
    </row>
    <row r="57" spans="1:23" s="978" customFormat="1" ht="15" customHeight="1">
      <c r="A57" s="207"/>
      <c r="B57" s="207"/>
      <c r="C57" s="206"/>
      <c r="D57" s="208"/>
      <c r="E57" s="1067" t="s">
        <v>987</v>
      </c>
      <c r="F57" s="206"/>
      <c r="G57" s="206"/>
      <c r="H57" s="208"/>
      <c r="I57" s="209"/>
      <c r="J57" s="206"/>
      <c r="K57" s="206"/>
      <c r="L57" s="206"/>
      <c r="M57" s="206"/>
      <c r="N57" s="206"/>
      <c r="O57" s="206"/>
      <c r="P57" s="206"/>
      <c r="Q57" s="208"/>
      <c r="W57" s="2762"/>
    </row>
    <row r="58" spans="1:23" s="978" customFormat="1" ht="15" customHeight="1">
      <c r="A58" s="207"/>
      <c r="B58" s="207"/>
      <c r="C58" s="206"/>
      <c r="D58" s="208"/>
      <c r="E58" s="207" t="s">
        <v>988</v>
      </c>
      <c r="F58" s="206"/>
      <c r="G58" s="206"/>
      <c r="H58" s="208"/>
      <c r="I58" s="209"/>
      <c r="J58" s="206"/>
      <c r="K58" s="206"/>
      <c r="L58" s="206"/>
      <c r="M58" s="206"/>
      <c r="N58" s="206"/>
      <c r="O58" s="206"/>
      <c r="P58" s="206"/>
      <c r="Q58" s="208"/>
      <c r="W58" s="2762"/>
    </row>
    <row r="59" spans="1:23" s="7" customFormat="1" ht="15" customHeight="1">
      <c r="A59" s="207" t="s">
        <v>52</v>
      </c>
      <c r="B59" s="207"/>
      <c r="C59" s="206"/>
      <c r="D59" s="208"/>
      <c r="E59" s="207" t="s">
        <v>206</v>
      </c>
      <c r="F59" s="206"/>
      <c r="G59" s="206"/>
      <c r="H59" s="208"/>
      <c r="I59" s="209"/>
      <c r="J59" s="206"/>
      <c r="K59" s="206"/>
      <c r="L59" s="206"/>
      <c r="M59" s="206"/>
      <c r="N59" s="206"/>
      <c r="O59" s="206"/>
      <c r="P59" s="206"/>
      <c r="Q59" s="208"/>
      <c r="W59" s="2762"/>
    </row>
    <row r="60" spans="1:23" s="7" customFormat="1" ht="15" customHeight="1">
      <c r="A60" s="207"/>
      <c r="B60" s="207"/>
      <c r="C60" s="206"/>
      <c r="D60" s="208"/>
      <c r="E60" s="207" t="s">
        <v>53</v>
      </c>
      <c r="F60" s="206"/>
      <c r="G60" s="206"/>
      <c r="H60" s="208"/>
      <c r="I60" s="209"/>
      <c r="J60" s="206"/>
      <c r="K60" s="206"/>
      <c r="L60" s="206"/>
      <c r="M60" s="206"/>
      <c r="N60" s="206"/>
      <c r="O60" s="206"/>
      <c r="P60" s="206"/>
      <c r="Q60" s="208"/>
      <c r="W60" s="2762"/>
    </row>
    <row r="61" spans="1:23" s="7" customFormat="1" ht="15" customHeight="1">
      <c r="A61" s="207"/>
      <c r="B61" s="207"/>
      <c r="C61" s="206"/>
      <c r="D61" s="208"/>
      <c r="E61" s="207" t="s">
        <v>54</v>
      </c>
      <c r="F61" s="206"/>
      <c r="G61" s="206"/>
      <c r="H61" s="208"/>
      <c r="I61" s="209"/>
      <c r="J61" s="206"/>
      <c r="K61" s="206"/>
      <c r="L61" s="206"/>
      <c r="M61" s="206"/>
      <c r="N61" s="206"/>
      <c r="O61" s="206"/>
      <c r="P61" s="206"/>
      <c r="Q61" s="208"/>
      <c r="W61" s="2762"/>
    </row>
    <row r="62" spans="1:23" s="7" customFormat="1" ht="15" customHeight="1">
      <c r="A62" s="207" t="s">
        <v>207</v>
      </c>
      <c r="B62" s="207"/>
      <c r="C62" s="206"/>
      <c r="D62" s="208"/>
      <c r="E62" s="207" t="s">
        <v>208</v>
      </c>
      <c r="F62" s="206"/>
      <c r="G62" s="206"/>
      <c r="H62" s="208"/>
      <c r="I62" s="209"/>
      <c r="J62" s="206"/>
      <c r="K62" s="206"/>
      <c r="L62" s="206"/>
      <c r="M62" s="206"/>
      <c r="N62" s="206"/>
      <c r="O62" s="206"/>
      <c r="P62" s="206"/>
      <c r="Q62" s="208"/>
      <c r="W62" s="2762"/>
    </row>
    <row r="63" spans="1:23" s="7" customFormat="1" ht="15" customHeight="1">
      <c r="A63" s="207" t="s">
        <v>32</v>
      </c>
      <c r="B63" s="207"/>
      <c r="C63" s="206"/>
      <c r="D63" s="208"/>
      <c r="E63" s="207" t="s">
        <v>209</v>
      </c>
      <c r="F63" s="206"/>
      <c r="G63" s="206"/>
      <c r="H63" s="208"/>
      <c r="I63" s="209"/>
      <c r="J63" s="206"/>
      <c r="K63" s="206"/>
      <c r="L63" s="206"/>
      <c r="M63" s="206"/>
      <c r="N63" s="206"/>
      <c r="O63" s="206"/>
      <c r="P63" s="206"/>
      <c r="Q63" s="208"/>
      <c r="W63" s="2762"/>
    </row>
    <row r="64" spans="1:23">
      <c r="A64" s="198" t="s">
        <v>205</v>
      </c>
      <c r="B64" s="198"/>
      <c r="C64" s="199"/>
      <c r="D64" s="211"/>
      <c r="E64" s="198" t="s">
        <v>210</v>
      </c>
      <c r="F64" s="199"/>
      <c r="G64" s="199"/>
      <c r="H64" s="196"/>
      <c r="I64" s="200"/>
      <c r="J64" s="199"/>
      <c r="K64" s="199"/>
      <c r="L64" s="199"/>
      <c r="M64" s="199"/>
      <c r="N64" s="199"/>
      <c r="O64" s="199"/>
      <c r="P64" s="199"/>
      <c r="Q64" s="196"/>
    </row>
    <row r="65" spans="1:17">
      <c r="A65" s="214" t="s">
        <v>55</v>
      </c>
      <c r="B65" s="214"/>
      <c r="C65" s="215"/>
      <c r="D65" s="216"/>
      <c r="E65" s="214" t="s">
        <v>211</v>
      </c>
      <c r="F65" s="215"/>
      <c r="G65" s="215"/>
      <c r="H65" s="217"/>
      <c r="I65" s="218"/>
      <c r="J65" s="215"/>
      <c r="K65" s="215"/>
      <c r="L65" s="215"/>
      <c r="M65" s="215"/>
      <c r="N65" s="215"/>
      <c r="O65" s="199"/>
      <c r="P65" s="199"/>
      <c r="Q65" s="196"/>
    </row>
  </sheetData>
  <sheetProtection algorithmName="SHA-512" hashValue="3vrxHsTcqldRdSmJYqNKSrbRIj1yQKSnJER/jdSsGQPvbQZaGTatbADv4DUkF85Yx/EpG9tFCQR/Z293fZ0VsQ==" saltValue="K3B145jJTQIdkRaX8EJAfA==" spinCount="100000" sheet="1" objects="1" scenarios="1"/>
  <mergeCells count="4">
    <mergeCell ref="A1:Q1"/>
    <mergeCell ref="A2:Q2"/>
    <mergeCell ref="K34:Q41"/>
    <mergeCell ref="A4:A5"/>
  </mergeCells>
  <pageMargins left="0.7" right="0.7" top="0.78740157499999996" bottom="0.78740157499999996" header="0.3" footer="0.3"/>
  <pageSetup paperSize="9" scale="35" fitToHeight="0" orientation="landscape" r:id="rId1"/>
  <headerFooter>
    <oddHeader>&amp;LVDV SUN Jahresschlussrechnung JJJJ&amp;R&amp;KFF0000&amp;F</oddHeader>
    <oddFooter>&amp;C&amp;P&amp;R&amp;A</oddFooter>
  </headerFooter>
  <rowBreaks count="1" manualBreakCount="1">
    <brk id="33"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9"/>
  <sheetViews>
    <sheetView view="pageLayout" zoomScale="80" zoomScaleNormal="100" zoomScalePageLayoutView="80" workbookViewId="0">
      <selection activeCell="E52" sqref="E52"/>
    </sheetView>
  </sheetViews>
  <sheetFormatPr baseColWidth="10" defaultRowHeight="12.75"/>
  <cols>
    <col min="1" max="2" width="11.85546875" style="28" customWidth="1"/>
    <col min="3" max="4" width="11.85546875" customWidth="1"/>
    <col min="5" max="5" width="11.85546875" style="2" customWidth="1"/>
    <col min="6" max="7" width="11.85546875" customWidth="1"/>
    <col min="8" max="8" width="11.85546875" style="2" customWidth="1"/>
    <col min="9" max="14" width="11.85546875" customWidth="1"/>
  </cols>
  <sheetData>
    <row r="1" spans="1:14" s="1" customFormat="1" ht="18">
      <c r="A1" s="3036" t="s">
        <v>1502</v>
      </c>
      <c r="B1" s="3036"/>
      <c r="C1" s="3036"/>
      <c r="D1" s="3036"/>
      <c r="E1" s="3036"/>
      <c r="F1" s="3036"/>
      <c r="G1" s="3036"/>
      <c r="H1" s="3036"/>
      <c r="I1" s="3036"/>
      <c r="J1" s="3036"/>
      <c r="K1" s="3036"/>
      <c r="L1" s="3036"/>
      <c r="M1" s="3036"/>
      <c r="N1" s="3036"/>
    </row>
    <row r="2" spans="1:14" s="1" customFormat="1" ht="18">
      <c r="A2" s="3037" t="str">
        <f>INHALT!A2&amp;" "&amp;INHALT!B2</f>
        <v>Monat JJJJ</v>
      </c>
      <c r="B2" s="3037"/>
      <c r="C2" s="3037"/>
      <c r="D2" s="3037"/>
      <c r="E2" s="3037"/>
      <c r="F2" s="3037"/>
      <c r="G2" s="3037"/>
      <c r="H2" s="3037"/>
      <c r="I2" s="3037"/>
      <c r="J2" s="3037"/>
      <c r="K2" s="3037"/>
      <c r="L2" s="3037"/>
      <c r="M2" s="3037"/>
      <c r="N2" s="3037"/>
    </row>
    <row r="4" spans="1:14">
      <c r="A4" s="387" t="s">
        <v>289</v>
      </c>
    </row>
    <row r="5" spans="1:14">
      <c r="A5" s="3038" t="s">
        <v>290</v>
      </c>
      <c r="B5" s="3038"/>
      <c r="C5" s="3038"/>
      <c r="D5" s="3038"/>
      <c r="E5" s="3038"/>
      <c r="F5" s="3038"/>
      <c r="G5" s="3038"/>
      <c r="H5" s="3038"/>
      <c r="I5" s="3038"/>
      <c r="J5" s="3038"/>
      <c r="K5" s="3038"/>
      <c r="L5" s="3038"/>
      <c r="M5" s="3038"/>
      <c r="N5" s="3038"/>
    </row>
    <row r="6" spans="1:14">
      <c r="A6" s="3038"/>
      <c r="B6" s="3038"/>
      <c r="C6" s="3038"/>
      <c r="D6" s="3038"/>
      <c r="E6" s="3038"/>
      <c r="F6" s="3038"/>
      <c r="G6" s="3038"/>
      <c r="H6" s="3038"/>
      <c r="I6" s="3038"/>
      <c r="J6" s="3038"/>
      <c r="K6" s="3038"/>
      <c r="L6" s="3038"/>
      <c r="M6" s="3038"/>
      <c r="N6" s="3038"/>
    </row>
    <row r="7" spans="1:14">
      <c r="A7" s="389" t="s">
        <v>291</v>
      </c>
      <c r="B7" s="388"/>
      <c r="C7" s="388"/>
      <c r="D7" s="388"/>
      <c r="E7" s="388"/>
      <c r="F7" s="388"/>
      <c r="G7" s="388"/>
      <c r="H7" s="388"/>
      <c r="I7" s="388"/>
    </row>
    <row r="8" spans="1:14">
      <c r="A8" s="388" t="s">
        <v>56</v>
      </c>
      <c r="B8" s="388" t="s">
        <v>0</v>
      </c>
      <c r="C8" s="3039" t="s">
        <v>292</v>
      </c>
      <c r="D8" s="3039"/>
      <c r="E8" s="3039"/>
      <c r="F8" s="3039"/>
      <c r="G8" s="3039"/>
      <c r="H8" s="3039"/>
      <c r="I8" s="3039"/>
      <c r="J8" s="3039"/>
      <c r="K8" s="3039"/>
      <c r="L8" s="3039"/>
      <c r="M8" s="3039"/>
      <c r="N8" s="3039"/>
    </row>
    <row r="9" spans="1:14">
      <c r="A9" s="390" t="s">
        <v>296</v>
      </c>
      <c r="B9" s="2521" t="s">
        <v>1529</v>
      </c>
      <c r="C9" s="3039" t="s">
        <v>293</v>
      </c>
      <c r="D9" s="3039"/>
      <c r="E9" s="3039"/>
      <c r="F9" s="3039"/>
      <c r="G9" s="3039"/>
      <c r="H9" s="3039"/>
      <c r="I9" s="3039"/>
      <c r="J9" s="3039"/>
      <c r="K9" s="3039"/>
      <c r="L9" s="3039"/>
      <c r="M9" s="3039"/>
      <c r="N9" s="3039"/>
    </row>
    <row r="10" spans="1:14">
      <c r="A10" s="390" t="s">
        <v>296</v>
      </c>
      <c r="B10" s="2521" t="s">
        <v>1531</v>
      </c>
      <c r="C10" s="3039" t="s">
        <v>294</v>
      </c>
      <c r="D10" s="3039"/>
      <c r="E10" s="3039"/>
      <c r="F10" s="3039"/>
      <c r="G10" s="3039"/>
      <c r="H10" s="3039"/>
      <c r="I10" s="3039"/>
      <c r="J10" s="3039"/>
      <c r="K10" s="3039"/>
      <c r="L10" s="3039"/>
      <c r="M10" s="3039"/>
      <c r="N10" s="3039"/>
    </row>
    <row r="11" spans="1:14">
      <c r="A11" s="390" t="s">
        <v>296</v>
      </c>
      <c r="B11" s="2521" t="s">
        <v>1539</v>
      </c>
      <c r="C11" s="3039" t="s">
        <v>295</v>
      </c>
      <c r="D11" s="3039"/>
      <c r="E11" s="3039"/>
      <c r="F11" s="3039"/>
      <c r="G11" s="3039"/>
      <c r="H11" s="3039"/>
      <c r="I11" s="3039"/>
      <c r="J11" s="3039"/>
      <c r="K11" s="3039"/>
      <c r="L11" s="3039"/>
      <c r="M11" s="3039"/>
      <c r="N11" s="3039"/>
    </row>
    <row r="12" spans="1:14">
      <c r="A12" s="3038" t="s">
        <v>314</v>
      </c>
      <c r="B12" s="3038"/>
      <c r="C12" s="3038"/>
      <c r="D12" s="3038"/>
      <c r="E12" s="3038"/>
      <c r="F12" s="3038"/>
      <c r="G12" s="3038"/>
      <c r="H12" s="3038"/>
      <c r="I12" s="3038"/>
      <c r="J12" s="3038"/>
      <c r="K12" s="3038"/>
      <c r="L12" s="3038"/>
      <c r="M12" s="3038"/>
      <c r="N12" s="3038"/>
    </row>
    <row r="13" spans="1:14">
      <c r="A13" s="3038"/>
      <c r="B13" s="3038"/>
      <c r="C13" s="3038"/>
      <c r="D13" s="3038"/>
      <c r="E13" s="3038"/>
      <c r="F13" s="3038"/>
      <c r="G13" s="3038"/>
      <c r="H13" s="3038"/>
      <c r="I13" s="3038"/>
      <c r="J13" s="3038"/>
      <c r="K13" s="3038"/>
      <c r="L13" s="3038"/>
      <c r="M13" s="3038"/>
      <c r="N13" s="3038"/>
    </row>
    <row r="14" spans="1:14">
      <c r="A14" s="388"/>
      <c r="B14" s="388"/>
      <c r="C14" s="3039"/>
      <c r="D14" s="3039"/>
      <c r="E14" s="3039"/>
      <c r="F14" s="3039"/>
      <c r="G14" s="3039"/>
      <c r="H14" s="3039"/>
      <c r="I14" s="3039"/>
      <c r="J14" s="3039"/>
      <c r="K14" s="3039"/>
      <c r="L14" s="3039"/>
      <c r="M14" s="3039"/>
      <c r="N14" s="3039"/>
    </row>
    <row r="15" spans="1:14">
      <c r="A15" s="391" t="s">
        <v>297</v>
      </c>
      <c r="B15" s="388"/>
      <c r="C15" s="388"/>
      <c r="D15" s="388"/>
      <c r="E15" s="388"/>
      <c r="F15" s="388"/>
      <c r="G15" s="388"/>
      <c r="H15" s="388"/>
      <c r="I15" s="388"/>
    </row>
    <row r="16" spans="1:14">
      <c r="A16" s="3038" t="s">
        <v>315</v>
      </c>
      <c r="B16" s="3038"/>
      <c r="C16" s="3038"/>
      <c r="D16" s="3038"/>
      <c r="E16" s="3038"/>
      <c r="F16" s="3038"/>
      <c r="G16" s="3038"/>
      <c r="H16" s="3038"/>
      <c r="I16" s="3038"/>
      <c r="J16" s="3038"/>
      <c r="K16" s="3038"/>
      <c r="L16" s="3038"/>
      <c r="M16" s="3038"/>
      <c r="N16" s="3038"/>
    </row>
    <row r="17" spans="1:14">
      <c r="A17" s="3038"/>
      <c r="B17" s="3038"/>
      <c r="C17" s="3038"/>
      <c r="D17" s="3038"/>
      <c r="E17" s="3038"/>
      <c r="F17" s="3038"/>
      <c r="G17" s="3038"/>
      <c r="H17" s="3038"/>
      <c r="I17" s="3038"/>
      <c r="J17" s="3038"/>
      <c r="K17" s="3038"/>
      <c r="L17" s="3038"/>
      <c r="M17" s="3038"/>
      <c r="N17" s="3038"/>
    </row>
    <row r="18" spans="1:14">
      <c r="A18" s="3038" t="s">
        <v>314</v>
      </c>
      <c r="B18" s="3038"/>
      <c r="C18" s="3038"/>
      <c r="D18" s="3038"/>
      <c r="E18" s="3038"/>
      <c r="F18" s="3038"/>
      <c r="G18" s="3038"/>
      <c r="H18" s="3038"/>
      <c r="I18" s="3038"/>
      <c r="J18" s="3038"/>
      <c r="K18" s="3038"/>
      <c r="L18" s="3038"/>
      <c r="M18" s="3038"/>
      <c r="N18" s="3038"/>
    </row>
    <row r="19" spans="1:14">
      <c r="A19" s="3038"/>
      <c r="B19" s="3038"/>
      <c r="C19" s="3038"/>
      <c r="D19" s="3038"/>
      <c r="E19" s="3038"/>
      <c r="F19" s="3038"/>
      <c r="G19" s="3038"/>
      <c r="H19" s="3038"/>
      <c r="I19" s="3038"/>
      <c r="J19" s="3038"/>
      <c r="K19" s="3038"/>
      <c r="L19" s="3038"/>
      <c r="M19" s="3038"/>
      <c r="N19" s="3038"/>
    </row>
    <row r="20" spans="1:14">
      <c r="A20" s="388"/>
      <c r="B20" s="388"/>
      <c r="C20" s="388"/>
      <c r="D20" s="388"/>
      <c r="E20" s="388"/>
      <c r="F20" s="388"/>
      <c r="G20" s="388"/>
      <c r="H20" s="388"/>
      <c r="I20" s="388"/>
    </row>
    <row r="21" spans="1:14">
      <c r="A21" s="389" t="s">
        <v>298</v>
      </c>
      <c r="B21" s="388"/>
      <c r="C21" s="388"/>
      <c r="D21" s="388"/>
      <c r="E21" s="388"/>
      <c r="F21" s="388"/>
      <c r="G21" s="388"/>
      <c r="H21" s="388"/>
      <c r="I21" s="388"/>
    </row>
    <row r="22" spans="1:14">
      <c r="A22" s="3038" t="s">
        <v>316</v>
      </c>
      <c r="B22" s="3038"/>
      <c r="C22" s="3038"/>
      <c r="D22" s="3038"/>
      <c r="E22" s="3038"/>
      <c r="F22" s="3038"/>
      <c r="G22" s="3038"/>
      <c r="H22" s="3038"/>
      <c r="I22" s="3038"/>
      <c r="J22" s="3038"/>
      <c r="K22" s="3038"/>
      <c r="L22" s="3038"/>
      <c r="M22" s="3038"/>
      <c r="N22" s="3038"/>
    </row>
    <row r="23" spans="1:14">
      <c r="A23" s="3038"/>
      <c r="B23" s="3038"/>
      <c r="C23" s="3038"/>
      <c r="D23" s="3038"/>
      <c r="E23" s="3038"/>
      <c r="F23" s="3038"/>
      <c r="G23" s="3038"/>
      <c r="H23" s="3038"/>
      <c r="I23" s="3038"/>
      <c r="J23" s="3038"/>
      <c r="K23" s="3038"/>
      <c r="L23" s="3038"/>
      <c r="M23" s="3038"/>
      <c r="N23" s="3038"/>
    </row>
    <row r="24" spans="1:14">
      <c r="A24" s="3038" t="s">
        <v>314</v>
      </c>
      <c r="B24" s="3038"/>
      <c r="C24" s="3038"/>
      <c r="D24" s="3038"/>
      <c r="E24" s="3038"/>
      <c r="F24" s="3038"/>
      <c r="G24" s="3038"/>
      <c r="H24" s="3038"/>
      <c r="I24" s="3038"/>
      <c r="J24" s="3038"/>
      <c r="K24" s="3038"/>
      <c r="L24" s="3038"/>
      <c r="M24" s="3038"/>
      <c r="N24" s="3038"/>
    </row>
    <row r="25" spans="1:14">
      <c r="A25" s="3038"/>
      <c r="B25" s="3038"/>
      <c r="C25" s="3038"/>
      <c r="D25" s="3038"/>
      <c r="E25" s="3038"/>
      <c r="F25" s="3038"/>
      <c r="G25" s="3038"/>
      <c r="H25" s="3038"/>
      <c r="I25" s="3038"/>
      <c r="J25" s="3038"/>
      <c r="K25" s="3038"/>
      <c r="L25" s="3038"/>
      <c r="M25" s="3038"/>
      <c r="N25" s="3038"/>
    </row>
    <row r="26" spans="1:14">
      <c r="B26" s="388"/>
      <c r="C26" s="388"/>
      <c r="D26" s="388"/>
      <c r="E26" s="388"/>
      <c r="F26" s="388"/>
      <c r="G26" s="388"/>
      <c r="H26" s="388"/>
      <c r="I26" s="388"/>
    </row>
    <row r="27" spans="1:14">
      <c r="A27" s="391" t="s">
        <v>175</v>
      </c>
      <c r="B27" s="388"/>
      <c r="C27" s="388"/>
      <c r="D27" s="388"/>
      <c r="E27" s="388"/>
      <c r="F27" s="388"/>
      <c r="G27" s="388"/>
      <c r="H27" s="388"/>
      <c r="I27" s="388"/>
    </row>
    <row r="28" spans="1:14">
      <c r="A28" s="3038" t="s">
        <v>316</v>
      </c>
      <c r="B28" s="3038"/>
      <c r="C28" s="3038"/>
      <c r="D28" s="3038"/>
      <c r="E28" s="3038"/>
      <c r="F28" s="3038"/>
      <c r="G28" s="3038"/>
      <c r="H28" s="3038"/>
      <c r="I28" s="3038"/>
      <c r="J28" s="3038"/>
      <c r="K28" s="3038"/>
      <c r="L28" s="3038"/>
      <c r="M28" s="3038"/>
      <c r="N28" s="3038"/>
    </row>
    <row r="29" spans="1:14">
      <c r="A29" s="3038"/>
      <c r="B29" s="3038"/>
      <c r="C29" s="3038"/>
      <c r="D29" s="3038"/>
      <c r="E29" s="3038"/>
      <c r="F29" s="3038"/>
      <c r="G29" s="3038"/>
      <c r="H29" s="3038"/>
      <c r="I29" s="3038"/>
      <c r="J29" s="3038"/>
      <c r="K29" s="3038"/>
      <c r="L29" s="3038"/>
      <c r="M29" s="3038"/>
      <c r="N29" s="3038"/>
    </row>
    <row r="30" spans="1:14">
      <c r="A30" s="3038" t="s">
        <v>314</v>
      </c>
      <c r="B30" s="3038"/>
      <c r="C30" s="3038"/>
      <c r="D30" s="3038"/>
      <c r="E30" s="3038"/>
      <c r="F30" s="3038"/>
      <c r="G30" s="3038"/>
      <c r="H30" s="3038"/>
      <c r="I30" s="3038"/>
      <c r="J30" s="3038"/>
      <c r="K30" s="3038"/>
      <c r="L30" s="3038"/>
      <c r="M30" s="3038"/>
      <c r="N30" s="3038"/>
    </row>
    <row r="31" spans="1:14">
      <c r="A31" s="3038"/>
      <c r="B31" s="3038"/>
      <c r="C31" s="3038"/>
      <c r="D31" s="3038"/>
      <c r="E31" s="3038"/>
      <c r="F31" s="3038"/>
      <c r="G31" s="3038"/>
      <c r="H31" s="3038"/>
      <c r="I31" s="3038"/>
      <c r="J31" s="3038"/>
      <c r="K31" s="3038"/>
      <c r="L31" s="3038"/>
      <c r="M31" s="3038"/>
      <c r="N31" s="3038"/>
    </row>
    <row r="32" spans="1:14">
      <c r="A32" s="388"/>
      <c r="B32" s="388"/>
      <c r="C32" s="388"/>
      <c r="D32" s="388"/>
      <c r="E32" s="388"/>
      <c r="F32" s="388"/>
      <c r="G32" s="388"/>
      <c r="H32" s="388"/>
      <c r="I32" s="388"/>
    </row>
    <row r="33" spans="1:14">
      <c r="A33" s="391" t="s">
        <v>322</v>
      </c>
      <c r="B33" s="388"/>
      <c r="C33" s="388"/>
      <c r="D33" s="388"/>
      <c r="E33" s="388"/>
      <c r="F33" s="388"/>
      <c r="G33" s="388"/>
      <c r="H33" s="388"/>
      <c r="I33" s="388"/>
    </row>
    <row r="34" spans="1:14">
      <c r="A34" s="3038" t="s">
        <v>316</v>
      </c>
      <c r="B34" s="3038"/>
      <c r="C34" s="3038"/>
      <c r="D34" s="3038"/>
      <c r="E34" s="3038"/>
      <c r="F34" s="3038"/>
      <c r="G34" s="3038"/>
      <c r="H34" s="3038"/>
      <c r="I34" s="3038"/>
      <c r="J34" s="3038"/>
      <c r="K34" s="3038"/>
      <c r="L34" s="3038"/>
      <c r="M34" s="3038"/>
      <c r="N34" s="3038"/>
    </row>
    <row r="35" spans="1:14">
      <c r="A35" s="3038"/>
      <c r="B35" s="3038"/>
      <c r="C35" s="3038"/>
      <c r="D35" s="3038"/>
      <c r="E35" s="3038"/>
      <c r="F35" s="3038"/>
      <c r="G35" s="3038"/>
      <c r="H35" s="3038"/>
      <c r="I35" s="3038"/>
      <c r="J35" s="3038"/>
      <c r="K35" s="3038"/>
      <c r="L35" s="3038"/>
      <c r="M35" s="3038"/>
      <c r="N35" s="3038"/>
    </row>
    <row r="36" spans="1:14">
      <c r="A36" s="3038" t="s">
        <v>314</v>
      </c>
      <c r="B36" s="3038"/>
      <c r="C36" s="3038"/>
      <c r="D36" s="3038"/>
      <c r="E36" s="3038"/>
      <c r="F36" s="3038"/>
      <c r="G36" s="3038"/>
      <c r="H36" s="3038"/>
      <c r="I36" s="3038"/>
      <c r="J36" s="3038"/>
      <c r="K36" s="3038"/>
      <c r="L36" s="3038"/>
      <c r="M36" s="3038"/>
      <c r="N36" s="3038"/>
    </row>
    <row r="37" spans="1:14">
      <c r="A37" s="3038"/>
      <c r="B37" s="3038"/>
      <c r="C37" s="3038"/>
      <c r="D37" s="3038"/>
      <c r="E37" s="3038"/>
      <c r="F37" s="3038"/>
      <c r="G37" s="3038"/>
      <c r="H37" s="3038"/>
      <c r="I37" s="3038"/>
      <c r="J37" s="3038"/>
      <c r="K37" s="3038"/>
      <c r="L37" s="3038"/>
      <c r="M37" s="3038"/>
      <c r="N37" s="3038"/>
    </row>
    <row r="39" spans="1:14">
      <c r="A39" s="391" t="s">
        <v>169</v>
      </c>
      <c r="B39" s="388"/>
      <c r="C39" s="388"/>
      <c r="D39" s="388"/>
      <c r="E39" s="388"/>
      <c r="F39" s="388"/>
      <c r="G39" s="388"/>
      <c r="H39" s="388"/>
      <c r="I39" s="388"/>
    </row>
    <row r="40" spans="1:14">
      <c r="A40" s="3038" t="s">
        <v>316</v>
      </c>
      <c r="B40" s="3038"/>
      <c r="C40" s="3038"/>
      <c r="D40" s="3038"/>
      <c r="E40" s="3038"/>
      <c r="F40" s="3038"/>
      <c r="G40" s="3038"/>
      <c r="H40" s="3038"/>
      <c r="I40" s="3038"/>
      <c r="J40" s="3038"/>
      <c r="K40" s="3038"/>
      <c r="L40" s="3038"/>
      <c r="M40" s="3038"/>
      <c r="N40" s="3038"/>
    </row>
    <row r="41" spans="1:14">
      <c r="A41" s="3038"/>
      <c r="B41" s="3038"/>
      <c r="C41" s="3038"/>
      <c r="D41" s="3038"/>
      <c r="E41" s="3038"/>
      <c r="F41" s="3038"/>
      <c r="G41" s="3038"/>
      <c r="H41" s="3038"/>
      <c r="I41" s="3038"/>
      <c r="J41" s="3038"/>
      <c r="K41" s="3038"/>
      <c r="L41" s="3038"/>
      <c r="M41" s="3038"/>
      <c r="N41" s="3038"/>
    </row>
    <row r="42" spans="1:14">
      <c r="A42" s="3038" t="s">
        <v>314</v>
      </c>
      <c r="B42" s="3038"/>
      <c r="C42" s="3038"/>
      <c r="D42" s="3038"/>
      <c r="E42" s="3038"/>
      <c r="F42" s="3038"/>
      <c r="G42" s="3038"/>
      <c r="H42" s="3038"/>
      <c r="I42" s="3038"/>
      <c r="J42" s="3038"/>
      <c r="K42" s="3038"/>
      <c r="L42" s="3038"/>
      <c r="M42" s="3038"/>
      <c r="N42" s="3038"/>
    </row>
    <row r="43" spans="1:14">
      <c r="A43" s="3038"/>
      <c r="B43" s="3038"/>
      <c r="C43" s="3038"/>
      <c r="D43" s="3038"/>
      <c r="E43" s="3038"/>
      <c r="F43" s="3038"/>
      <c r="G43" s="3038"/>
      <c r="H43" s="3038"/>
      <c r="I43" s="3038"/>
      <c r="J43" s="3038"/>
      <c r="K43" s="3038"/>
      <c r="L43" s="3038"/>
      <c r="M43" s="3038"/>
      <c r="N43" s="3038"/>
    </row>
    <row r="44" spans="1:14">
      <c r="A44" s="335" t="s">
        <v>1434</v>
      </c>
      <c r="B44" s="335" t="s">
        <v>1435</v>
      </c>
      <c r="D44" s="197"/>
    </row>
    <row r="45" spans="1:14">
      <c r="A45" s="335" t="s">
        <v>1554</v>
      </c>
      <c r="B45" s="335" t="s">
        <v>1550</v>
      </c>
      <c r="C45" s="2196" t="s">
        <v>1442</v>
      </c>
      <c r="D45" s="197"/>
    </row>
    <row r="47" spans="1:14">
      <c r="A47" s="194" t="s">
        <v>219</v>
      </c>
      <c r="B47" s="195" t="s">
        <v>224</v>
      </c>
      <c r="C47" s="195"/>
      <c r="D47" s="369"/>
      <c r="E47" s="369"/>
    </row>
    <row r="48" spans="1:14">
      <c r="A48" s="195"/>
      <c r="B48" s="195" t="s">
        <v>1645</v>
      </c>
      <c r="C48" s="195"/>
      <c r="D48" s="369"/>
      <c r="E48" s="369"/>
    </row>
    <row r="49" spans="1:5">
      <c r="A49" s="195"/>
      <c r="B49" s="195"/>
      <c r="C49" s="195"/>
      <c r="D49" s="369"/>
      <c r="E49" s="369"/>
    </row>
  </sheetData>
  <sheetProtection algorithmName="SHA-512" hashValue="LWPka3Pi6f3aXCuxVzfTjXzKUcIs0HhSmlu2LJ6iVF5dIe1OZdeen4xMkhA6oyjVtXGzwFVibDI2mIgM75zP6Q==" saltValue="TeciwAApyQB1sz9Ecrz8sA==" spinCount="100000" sheet="1" objects="1" scenarios="1"/>
  <mergeCells count="19">
    <mergeCell ref="A40:N41"/>
    <mergeCell ref="A42:N43"/>
    <mergeCell ref="A36:N37"/>
    <mergeCell ref="A12:N13"/>
    <mergeCell ref="A34:N35"/>
    <mergeCell ref="A18:N19"/>
    <mergeCell ref="A24:N25"/>
    <mergeCell ref="A30:N31"/>
    <mergeCell ref="A1:N1"/>
    <mergeCell ref="A2:N2"/>
    <mergeCell ref="A5:N6"/>
    <mergeCell ref="A22:N23"/>
    <mergeCell ref="A28:N29"/>
    <mergeCell ref="A16:N17"/>
    <mergeCell ref="C8:N8"/>
    <mergeCell ref="C9:N9"/>
    <mergeCell ref="C10:N10"/>
    <mergeCell ref="C11:N11"/>
    <mergeCell ref="C14:N14"/>
  </mergeCells>
  <pageMargins left="0.7" right="0.7" top="0.78740157499999996" bottom="0.78740157499999996" header="0.3" footer="0.3"/>
  <pageSetup paperSize="9" scale="63" fitToHeight="0" orientation="landscape" r:id="rId1"/>
  <headerFooter>
    <oddHeader>&amp;LVDV SUN Jahresschlussrechnung JJJJ&amp;R&amp;F</oddHeader>
    <oddFooter>&amp;C&amp;P&amp;R&amp;A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P29"/>
  <sheetViews>
    <sheetView view="pageLayout" topLeftCell="A4" zoomScaleNormal="80" workbookViewId="0">
      <selection activeCell="M30" sqref="M30"/>
    </sheetView>
  </sheetViews>
  <sheetFormatPr baseColWidth="10" defaultRowHeight="12.75"/>
  <cols>
    <col min="1" max="1" width="31.28515625" style="13" bestFit="1" customWidth="1"/>
    <col min="2" max="2" width="28.140625" style="13" customWidth="1"/>
    <col min="3" max="3" width="12.85546875" style="13" customWidth="1"/>
    <col min="4" max="4" width="10.85546875" style="13" customWidth="1"/>
    <col min="5" max="5" width="9.28515625" style="13" customWidth="1"/>
    <col min="6" max="6" width="12.42578125" style="1402" customWidth="1"/>
    <col min="7" max="7" width="14.28515625" style="13" customWidth="1"/>
    <col min="8" max="8" width="19.140625" style="13" bestFit="1" customWidth="1"/>
  </cols>
  <sheetData>
    <row r="1" spans="1:16" ht="18">
      <c r="A1" s="3160" t="s">
        <v>1662</v>
      </c>
      <c r="B1" s="3160"/>
      <c r="C1" s="3160"/>
      <c r="D1" s="3160"/>
      <c r="E1" s="3160"/>
      <c r="F1" s="3160"/>
      <c r="G1" s="3160"/>
      <c r="H1" s="3160"/>
      <c r="I1" s="2943"/>
      <c r="K1" s="2863" t="s">
        <v>1708</v>
      </c>
    </row>
    <row r="2" spans="1:16" ht="20.25" customHeight="1">
      <c r="A2" s="3161" t="str">
        <f>'1a_Leistungsvolumen'!A2</f>
        <v>Monat JJJJ</v>
      </c>
      <c r="B2" s="3161"/>
      <c r="C2" s="3161"/>
      <c r="D2" s="3161"/>
      <c r="E2" s="3161"/>
      <c r="F2" s="3161"/>
      <c r="G2" s="3161"/>
      <c r="H2" s="3161"/>
      <c r="I2" s="2976"/>
      <c r="J2" s="693"/>
      <c r="K2" s="693"/>
      <c r="L2" s="693"/>
      <c r="M2" s="693"/>
      <c r="N2" s="693"/>
      <c r="O2" s="693"/>
      <c r="P2" s="693"/>
    </row>
    <row r="3" spans="1:16" ht="18" customHeight="1" thickBot="1">
      <c r="A3" s="2977"/>
      <c r="B3" s="2977"/>
      <c r="C3" s="2977"/>
      <c r="D3" s="2977"/>
      <c r="E3" s="2977"/>
      <c r="F3" s="2977"/>
      <c r="G3" s="2977"/>
      <c r="H3" s="2977"/>
      <c r="I3" s="2943"/>
    </row>
    <row r="4" spans="1:16" ht="33" customHeight="1" thickBot="1">
      <c r="A4" s="2978"/>
      <c r="B4" s="2979" t="s">
        <v>1467</v>
      </c>
      <c r="C4" s="2980" t="s">
        <v>1526</v>
      </c>
      <c r="D4" s="2981" t="s">
        <v>1527</v>
      </c>
      <c r="E4" s="2981" t="s">
        <v>1552</v>
      </c>
      <c r="F4" s="2981" t="s">
        <v>1551</v>
      </c>
      <c r="G4" s="2981" t="s">
        <v>1528</v>
      </c>
      <c r="H4" s="2981" t="s">
        <v>1666</v>
      </c>
      <c r="I4" s="2981" t="s">
        <v>1553</v>
      </c>
      <c r="K4" s="2863" t="s">
        <v>1708</v>
      </c>
    </row>
    <row r="5" spans="1:16">
      <c r="A5" s="2982" t="s">
        <v>1390</v>
      </c>
      <c r="B5" s="2983">
        <f>SUM($C$5:$I$5)</f>
        <v>5</v>
      </c>
      <c r="C5" s="2984">
        <f>SUMIF($H$10:$H$16,$C$4,$F$10:$F$16)</f>
        <v>1</v>
      </c>
      <c r="D5" s="2984">
        <f>SUMIF($H$10:$H$16,$D$4,$F$10:$F$16)</f>
        <v>0</v>
      </c>
      <c r="E5" s="2984">
        <f>SUMIF($H$10:$H$16,$E$4,$F$10:$F$16)</f>
        <v>0</v>
      </c>
      <c r="F5" s="2984">
        <f>SUMIF($H$10:$H$16,$F$4,$F$10:$F$16)</f>
        <v>2</v>
      </c>
      <c r="G5" s="2984">
        <f>SUMIF($H$10:$H$16,$G$4,$F$10:$F$16)</f>
        <v>1</v>
      </c>
      <c r="H5" s="2984">
        <f>SUMIF($H$10:$H$16,$G$4,$F$10:$F$16)</f>
        <v>1</v>
      </c>
      <c r="I5" s="2984">
        <f>SUMIF($H$10:$H$16,$I$4,$F$10:$F$16)</f>
        <v>0</v>
      </c>
      <c r="K5" s="2863" t="s">
        <v>1708</v>
      </c>
    </row>
    <row r="6" spans="1:16" ht="13.5" thickBot="1">
      <c r="A6" s="2985" t="s">
        <v>1391</v>
      </c>
      <c r="B6" s="2986">
        <f>SUM($C$6:$I$6)</f>
        <v>80.900999999999996</v>
      </c>
      <c r="C6" s="2986">
        <f>SUMIF($H$10:$H$16,$C$4,$G$10:$G$16)</f>
        <v>10.106999999999999</v>
      </c>
      <c r="D6" s="2986">
        <f>SUMIF($H$10:$H$16,$D$4,$G$10:$G$16)</f>
        <v>0</v>
      </c>
      <c r="E6" s="2986">
        <f>SUMIF($H$10:$H$16,$E$4,$G$10:$G$16)</f>
        <v>0</v>
      </c>
      <c r="F6" s="2986">
        <f>SUMIF($H$10:$H$16,$F$4,$G$10:$G$16)</f>
        <v>49.997999999999998</v>
      </c>
      <c r="G6" s="2986">
        <f>SUMIF($H$10:$H$16,$G$4,$G$10:$G$16)</f>
        <v>20.795999999999999</v>
      </c>
      <c r="H6" s="2986">
        <f>SUMIF($H$10:$H$16,$H$4,$G$10:$G$16)</f>
        <v>0</v>
      </c>
      <c r="I6" s="2986">
        <f>SUMIF($H$10:$H$16,$I$4,$G$10:$G$16)</f>
        <v>0</v>
      </c>
      <c r="K6" s="2863" t="s">
        <v>1708</v>
      </c>
    </row>
    <row r="7" spans="1:16">
      <c r="A7" s="2987"/>
      <c r="B7" s="2988"/>
      <c r="C7" s="2988"/>
      <c r="D7" s="2988"/>
      <c r="E7" s="2988"/>
      <c r="F7" s="2988"/>
      <c r="G7" s="2988"/>
      <c r="H7" s="2988"/>
      <c r="I7" s="2988"/>
    </row>
    <row r="8" spans="1:16" ht="18" customHeight="1" thickBot="1">
      <c r="A8" s="2977"/>
      <c r="B8" s="2977"/>
      <c r="C8" s="2977"/>
      <c r="D8" s="2977"/>
      <c r="E8" s="2977"/>
      <c r="F8" s="2977"/>
      <c r="G8" s="2977"/>
      <c r="H8" s="2977"/>
      <c r="I8" s="2943"/>
    </row>
    <row r="9" spans="1:16" ht="27.75" customHeight="1" thickBot="1">
      <c r="A9" s="2989" t="s">
        <v>0</v>
      </c>
      <c r="B9" s="2990" t="s">
        <v>18</v>
      </c>
      <c r="C9" s="2990" t="s">
        <v>56</v>
      </c>
      <c r="D9" s="2991" t="s">
        <v>57</v>
      </c>
      <c r="E9" s="2991" t="s">
        <v>58</v>
      </c>
      <c r="F9" s="2992" t="s">
        <v>59</v>
      </c>
      <c r="G9" s="2993" t="s">
        <v>1163</v>
      </c>
      <c r="H9" s="2994" t="s">
        <v>1154</v>
      </c>
      <c r="I9" s="2943"/>
      <c r="K9" s="2863" t="s">
        <v>1708</v>
      </c>
    </row>
    <row r="10" spans="1:16" ht="17.25" customHeight="1">
      <c r="A10" s="2995" t="s">
        <v>1529</v>
      </c>
      <c r="B10" s="2996" t="s">
        <v>139</v>
      </c>
      <c r="C10" s="2997">
        <v>45768</v>
      </c>
      <c r="D10" s="2998" t="s">
        <v>1392</v>
      </c>
      <c r="E10" s="2998" t="s">
        <v>1555</v>
      </c>
      <c r="F10" s="2999">
        <v>1</v>
      </c>
      <c r="G10" s="3000">
        <v>10.106999999999999</v>
      </c>
      <c r="H10" s="3001" t="s">
        <v>1526</v>
      </c>
      <c r="I10" s="2943"/>
      <c r="K10" s="2863" t="s">
        <v>1708</v>
      </c>
    </row>
    <row r="11" spans="1:16" ht="17.25" customHeight="1">
      <c r="A11" s="2995" t="s">
        <v>1533</v>
      </c>
      <c r="B11" s="2996" t="s">
        <v>139</v>
      </c>
      <c r="C11" s="2997">
        <v>45768</v>
      </c>
      <c r="D11" s="2998" t="s">
        <v>1573</v>
      </c>
      <c r="E11" s="2998" t="s">
        <v>1582</v>
      </c>
      <c r="F11" s="2999">
        <v>1</v>
      </c>
      <c r="G11" s="3000">
        <v>20.795999999999999</v>
      </c>
      <c r="H11" s="3002" t="s">
        <v>1528</v>
      </c>
      <c r="I11" s="2943"/>
      <c r="J11" s="2863" t="s">
        <v>1706</v>
      </c>
      <c r="K11" s="2863" t="s">
        <v>1708</v>
      </c>
    </row>
    <row r="12" spans="1:16" ht="17.25" customHeight="1">
      <c r="A12" s="2995" t="s">
        <v>1533</v>
      </c>
      <c r="B12" s="2996" t="s">
        <v>139</v>
      </c>
      <c r="C12" s="2997">
        <v>45768</v>
      </c>
      <c r="D12" s="2998" t="s">
        <v>1573</v>
      </c>
      <c r="E12" s="2998" t="s">
        <v>1582</v>
      </c>
      <c r="F12" s="2999">
        <v>1</v>
      </c>
      <c r="G12" s="3000">
        <v>16.128</v>
      </c>
      <c r="H12" s="3003" t="s">
        <v>1551</v>
      </c>
      <c r="I12" s="2943"/>
      <c r="J12" s="2863" t="s">
        <v>1706</v>
      </c>
      <c r="K12" s="2863" t="s">
        <v>1708</v>
      </c>
    </row>
    <row r="13" spans="1:16" ht="17.25" customHeight="1">
      <c r="A13" s="2995" t="s">
        <v>1535</v>
      </c>
      <c r="B13" s="2996" t="s">
        <v>139</v>
      </c>
      <c r="C13" s="2997">
        <v>45772</v>
      </c>
      <c r="D13" s="2998" t="s">
        <v>1559</v>
      </c>
      <c r="E13" s="2998" t="s">
        <v>1599</v>
      </c>
      <c r="F13" s="2999">
        <v>1</v>
      </c>
      <c r="G13" s="3000">
        <v>33.869999999999997</v>
      </c>
      <c r="H13" s="3004" t="s">
        <v>1551</v>
      </c>
      <c r="I13" s="2943"/>
      <c r="K13" s="2863" t="s">
        <v>1708</v>
      </c>
    </row>
    <row r="14" spans="1:16" ht="17.25" customHeight="1">
      <c r="A14" s="2995"/>
      <c r="B14" s="2996"/>
      <c r="C14" s="2997"/>
      <c r="D14" s="2998"/>
      <c r="E14" s="2998"/>
      <c r="F14" s="2999"/>
      <c r="G14" s="3000"/>
      <c r="H14" s="3005"/>
      <c r="I14" s="2943"/>
      <c r="K14" s="2863" t="s">
        <v>1708</v>
      </c>
    </row>
    <row r="15" spans="1:16" ht="17.25" customHeight="1">
      <c r="A15" s="2995"/>
      <c r="B15" s="2996"/>
      <c r="C15" s="2997"/>
      <c r="D15" s="2998"/>
      <c r="E15" s="2998"/>
      <c r="F15" s="2999"/>
      <c r="G15" s="3000"/>
      <c r="H15" s="3005"/>
      <c r="I15" s="2943"/>
      <c r="K15" s="2863" t="s">
        <v>1708</v>
      </c>
    </row>
    <row r="16" spans="1:16" ht="17.25" customHeight="1" thickBot="1">
      <c r="A16" s="3006" t="s">
        <v>792</v>
      </c>
      <c r="B16" s="2996"/>
      <c r="C16" s="2997"/>
      <c r="D16" s="2998"/>
      <c r="E16" s="2998"/>
      <c r="F16" s="2999"/>
      <c r="G16" s="3000"/>
      <c r="H16" s="3007"/>
      <c r="I16" s="2943"/>
      <c r="K16" s="2863" t="s">
        <v>1708</v>
      </c>
    </row>
    <row r="17" spans="1:11" ht="24.95" customHeight="1" thickBot="1">
      <c r="A17" s="3008" t="s">
        <v>35</v>
      </c>
      <c r="B17" s="3009"/>
      <c r="C17" s="3009"/>
      <c r="D17" s="3009"/>
      <c r="E17" s="3009"/>
      <c r="F17" s="3010">
        <f>SUM(F10:F16)</f>
        <v>4</v>
      </c>
      <c r="G17" s="3011">
        <f>SUM(G10:G16)</f>
        <v>80.900999999999996</v>
      </c>
      <c r="H17" s="3012"/>
      <c r="I17" s="2943"/>
      <c r="K17" s="2863" t="s">
        <v>1708</v>
      </c>
    </row>
    <row r="18" spans="1:11">
      <c r="A18" s="2977"/>
      <c r="B18" s="2977"/>
      <c r="C18" s="2977"/>
      <c r="D18" s="2977"/>
      <c r="E18" s="2977"/>
      <c r="F18" s="2977"/>
      <c r="G18" s="2977"/>
      <c r="H18" s="2977"/>
      <c r="I18" s="2943"/>
    </row>
    <row r="19" spans="1:11">
      <c r="A19" s="3013" t="s">
        <v>219</v>
      </c>
      <c r="B19" s="2943" t="s">
        <v>224</v>
      </c>
      <c r="C19" s="2977"/>
      <c r="D19" s="2977"/>
      <c r="E19" s="2977"/>
      <c r="F19" s="2977"/>
      <c r="G19" s="2977"/>
      <c r="H19" s="2977"/>
      <c r="I19" s="2943"/>
      <c r="K19" s="2863" t="s">
        <v>1708</v>
      </c>
    </row>
    <row r="20" spans="1:11">
      <c r="A20" s="2977"/>
      <c r="B20" s="2943" t="s">
        <v>1645</v>
      </c>
      <c r="C20" s="2977"/>
      <c r="D20" s="2977"/>
      <c r="E20" s="2977"/>
      <c r="F20" s="2977"/>
      <c r="G20" s="2977"/>
      <c r="H20" s="2977"/>
      <c r="I20" s="2943"/>
      <c r="K20" s="2863" t="s">
        <v>1708</v>
      </c>
    </row>
    <row r="21" spans="1:11">
      <c r="A21" s="3162" t="s">
        <v>1709</v>
      </c>
      <c r="B21" s="3162"/>
      <c r="C21" s="3162"/>
      <c r="D21" s="2977"/>
      <c r="E21" s="2977"/>
      <c r="F21" s="2977"/>
      <c r="G21" s="2977"/>
      <c r="H21" s="2977"/>
      <c r="I21" s="2943"/>
      <c r="K21" s="2863" t="s">
        <v>1708</v>
      </c>
    </row>
    <row r="22" spans="1:11">
      <c r="A22" s="3162"/>
      <c r="B22" s="3162"/>
      <c r="C22" s="3162"/>
      <c r="D22" s="2977"/>
      <c r="E22" s="2977"/>
      <c r="F22" s="2977"/>
      <c r="G22" s="2977"/>
      <c r="H22" s="2977"/>
      <c r="I22" s="2943"/>
      <c r="K22" s="2863" t="s">
        <v>1708</v>
      </c>
    </row>
    <row r="23" spans="1:11">
      <c r="A23" s="3162"/>
      <c r="B23" s="3162"/>
      <c r="C23" s="3162"/>
      <c r="D23" s="2977"/>
      <c r="E23" s="2977"/>
      <c r="F23" s="2977"/>
      <c r="G23" s="2977"/>
      <c r="H23" s="2977"/>
      <c r="I23" s="2943"/>
      <c r="K23" s="2863" t="s">
        <v>1708</v>
      </c>
    </row>
    <row r="24" spans="1:11">
      <c r="A24" s="3162"/>
      <c r="B24" s="3162"/>
      <c r="C24" s="3162"/>
      <c r="D24" s="2977"/>
      <c r="E24" s="2977"/>
      <c r="F24" s="2977"/>
      <c r="G24" s="2977"/>
      <c r="H24" s="2977"/>
      <c r="I24" s="2943"/>
      <c r="K24" s="2863" t="s">
        <v>1708</v>
      </c>
    </row>
    <row r="25" spans="1:11">
      <c r="A25" s="3162"/>
      <c r="B25" s="3162"/>
      <c r="C25" s="3162"/>
      <c r="D25" s="2977"/>
      <c r="E25" s="2977"/>
      <c r="F25" s="2977"/>
      <c r="G25" s="2977"/>
      <c r="H25" s="2977"/>
      <c r="I25" s="2943"/>
      <c r="K25" s="2863" t="s">
        <v>1708</v>
      </c>
    </row>
    <row r="26" spans="1:11">
      <c r="A26" s="3162"/>
      <c r="B26" s="3162"/>
      <c r="C26" s="3162"/>
      <c r="D26" s="2977"/>
      <c r="E26" s="2977"/>
      <c r="F26" s="2977"/>
      <c r="G26" s="2977"/>
      <c r="H26" s="2977"/>
      <c r="I26" s="2943"/>
      <c r="K26" s="2863" t="s">
        <v>1708</v>
      </c>
    </row>
    <row r="27" spans="1:11">
      <c r="A27" s="2977"/>
      <c r="B27" s="2977"/>
      <c r="C27" s="2977"/>
      <c r="D27" s="2977"/>
      <c r="E27" s="2977"/>
      <c r="F27" s="2977"/>
      <c r="G27" s="2977"/>
      <c r="H27" s="2977"/>
      <c r="I27" s="2943"/>
      <c r="K27" s="2863"/>
    </row>
    <row r="28" spans="1:11">
      <c r="A28" s="2941" t="s">
        <v>1434</v>
      </c>
      <c r="B28" s="2941" t="s">
        <v>1435</v>
      </c>
      <c r="C28" s="2943"/>
      <c r="D28" s="2912"/>
      <c r="E28" s="2977"/>
      <c r="F28" s="2977"/>
      <c r="G28" s="2977"/>
      <c r="H28" s="2977"/>
      <c r="I28" s="2943"/>
      <c r="K28" s="2863" t="s">
        <v>1708</v>
      </c>
    </row>
    <row r="29" spans="1:11">
      <c r="A29" s="2941" t="s">
        <v>1554</v>
      </c>
      <c r="B29" s="2941" t="s">
        <v>1550</v>
      </c>
      <c r="C29" s="3014" t="s">
        <v>1442</v>
      </c>
      <c r="D29" s="2912"/>
      <c r="E29" s="2977"/>
      <c r="F29" s="2977"/>
      <c r="G29" s="2977"/>
      <c r="H29" s="2977"/>
      <c r="I29" s="2943"/>
      <c r="K29" s="2863" t="s">
        <v>1708</v>
      </c>
    </row>
  </sheetData>
  <sheetProtection algorithmName="SHA-512" hashValue="4uTBVKa8lkkbL8wDsx3GeIBVjRRGROiiuAGsMu3/g1GstzISikOcrwvSxASrJ8mbvIg0da865pnRhsPN4C6hVQ==" saltValue="14H0SQRwtHMYwQof21N6bg==" spinCount="100000" sheet="1" objects="1" scenarios="1"/>
  <mergeCells count="3">
    <mergeCell ref="A1:H1"/>
    <mergeCell ref="A2:H2"/>
    <mergeCell ref="A21:C26"/>
  </mergeCells>
  <phoneticPr fontId="0" type="noConversion"/>
  <pageMargins left="0.7" right="0.7" top="0.78740157499999996" bottom="0.78740157499999996" header="0.3" footer="0.3"/>
  <pageSetup paperSize="9" scale="63" fitToHeight="0" orientation="landscape" r:id="rId1"/>
  <headerFooter>
    <oddHeader>&amp;LVDV SUN Jahresschlussrechnung JJJJ&amp;R&amp;KFF0000&amp;F</oddHeader>
    <oddFooter>&amp;C&amp;P&amp;R&amp;A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24DF0-68AA-40B3-8D55-C8ADBFB9937F}">
  <dimension ref="A1:K31"/>
  <sheetViews>
    <sheetView view="pageLayout" zoomScaleNormal="80" workbookViewId="0">
      <selection activeCell="J27" sqref="J27"/>
    </sheetView>
  </sheetViews>
  <sheetFormatPr baseColWidth="10" defaultColWidth="11.42578125" defaultRowHeight="12.75"/>
  <cols>
    <col min="1" max="1" width="24.42578125" style="1397" bestFit="1" customWidth="1"/>
    <col min="2" max="2" width="24.28515625" style="1397" customWidth="1"/>
    <col min="3" max="5" width="13.7109375" style="1397" customWidth="1"/>
    <col min="6" max="7" width="13.7109375" style="1402" customWidth="1"/>
    <col min="8" max="8" width="17.7109375" style="1397" bestFit="1" customWidth="1"/>
    <col min="9" max="9" width="19.140625" style="1397" bestFit="1" customWidth="1"/>
  </cols>
  <sheetData>
    <row r="1" spans="1:11" ht="18">
      <c r="A1" s="3091" t="s">
        <v>1471</v>
      </c>
      <c r="B1" s="3091"/>
      <c r="C1" s="3091"/>
      <c r="D1" s="3091"/>
      <c r="E1" s="3091"/>
      <c r="F1" s="3091"/>
      <c r="G1" s="3091"/>
      <c r="H1" s="3091"/>
      <c r="I1" s="3091"/>
    </row>
    <row r="2" spans="1:11" ht="17.45" customHeight="1">
      <c r="A2" s="3163" t="s">
        <v>748</v>
      </c>
      <c r="B2" s="3163"/>
      <c r="C2" s="3163"/>
      <c r="D2" s="3163"/>
      <c r="E2" s="3163"/>
      <c r="F2" s="3163"/>
      <c r="G2" s="3163"/>
      <c r="H2" s="3163"/>
      <c r="I2" s="3163"/>
    </row>
    <row r="3" spans="1:11" ht="17.45" customHeight="1" thickBot="1">
      <c r="A3" s="1400"/>
      <c r="B3" s="1400"/>
      <c r="C3" s="1400"/>
      <c r="D3" s="1400"/>
      <c r="E3" s="1400"/>
      <c r="F3" s="1404"/>
      <c r="G3" s="1404"/>
      <c r="H3" s="1400"/>
      <c r="I3" s="1400"/>
    </row>
    <row r="4" spans="1:11" ht="33" customHeight="1" thickBot="1">
      <c r="A4" s="1405"/>
      <c r="B4" s="2313" t="s">
        <v>743</v>
      </c>
      <c r="C4" s="2138" t="s">
        <v>1526</v>
      </c>
      <c r="D4" s="2301" t="s">
        <v>1527</v>
      </c>
      <c r="E4" s="2301" t="s">
        <v>1552</v>
      </c>
      <c r="F4" s="2301" t="s">
        <v>1551</v>
      </c>
      <c r="G4" s="2301" t="s">
        <v>1528</v>
      </c>
      <c r="H4" s="2301" t="s">
        <v>1666</v>
      </c>
      <c r="I4" s="2301" t="s">
        <v>1553</v>
      </c>
    </row>
    <row r="5" spans="1:11" ht="17.45" customHeight="1">
      <c r="A5" s="1424" t="s">
        <v>1151</v>
      </c>
      <c r="B5" s="2314">
        <f>SUM($C$5:$I$5)</f>
        <v>1</v>
      </c>
      <c r="C5" s="1425">
        <f>SUMIF($I$10:$I$13,$C$4,$F$10:$F$13)</f>
        <v>1</v>
      </c>
      <c r="D5" s="1425">
        <f>SUMIF($I$10:$I$13,$D$4,$F$10:$F$13)</f>
        <v>0</v>
      </c>
      <c r="E5" s="1425">
        <f>SUMIF($I$10:$I$13,$E$4,$F$10:$F$13)</f>
        <v>0</v>
      </c>
      <c r="F5" s="1425">
        <f>SUMIF($I$10:$I$13,$F$4,$F$10:$F$13)</f>
        <v>0</v>
      </c>
      <c r="G5" s="1425">
        <f>SUMIF($I$10:$I$13,$G$4,$F$10:$F$13)</f>
        <v>0</v>
      </c>
      <c r="H5" s="1425">
        <f>SUMIF($I$10:$I$13,$G$4,$F$10:$F$13)</f>
        <v>0</v>
      </c>
      <c r="I5" s="1898">
        <f>SUMIF($I$10:$I$13,$I$4,$F$10:$F$13)</f>
        <v>0</v>
      </c>
    </row>
    <row r="6" spans="1:11" ht="17.45" customHeight="1" thickBot="1">
      <c r="A6" s="1429" t="s">
        <v>1161</v>
      </c>
      <c r="B6" s="1430">
        <f>SUM($C$6:$I$6)</f>
        <v>12.577</v>
      </c>
      <c r="C6" s="1430">
        <f>SUMIF($I$10:$I$13,$C$4,$H$10:$H$13)</f>
        <v>12.577</v>
      </c>
      <c r="D6" s="1430">
        <f>SUMIF($I$10:$I$13,$D$4,$H$10:$H$13)</f>
        <v>0</v>
      </c>
      <c r="E6" s="1430">
        <f>SUMIF($I$10:$I$13,$E$4,$H$10:$H$13)</f>
        <v>0</v>
      </c>
      <c r="F6" s="1430">
        <f>SUMIF($I$10:$I$13,$F$4,$H$10:$H$13)</f>
        <v>0</v>
      </c>
      <c r="G6" s="1430">
        <f>SUMIF($I$10:$I$13,$G$4,$H$10:$H$13)</f>
        <v>0</v>
      </c>
      <c r="H6" s="1430">
        <f>SUMIF($I$10:$I$13,$H$4,$H$10:$H$13)</f>
        <v>0</v>
      </c>
      <c r="I6" s="1430">
        <f>SUMIF($I$10:$I$13,$I$4,$H$10:$H$13)</f>
        <v>0</v>
      </c>
    </row>
    <row r="7" spans="1:11" ht="17.45" customHeight="1">
      <c r="A7" s="1400"/>
      <c r="B7" s="1400"/>
      <c r="C7" s="1400"/>
      <c r="D7" s="1400"/>
      <c r="E7" s="1400"/>
      <c r="F7" s="1404"/>
      <c r="G7" s="1404"/>
      <c r="H7" s="1400"/>
      <c r="I7" s="1400"/>
    </row>
    <row r="8" spans="1:11" ht="17.45" customHeight="1" thickBot="1">
      <c r="A8" s="1400"/>
      <c r="B8" s="1400"/>
      <c r="C8" s="1400"/>
      <c r="D8" s="1400"/>
      <c r="E8" s="1400"/>
      <c r="F8" s="1404"/>
      <c r="G8" s="1404"/>
      <c r="H8" s="1400"/>
      <c r="I8" s="1400"/>
    </row>
    <row r="9" spans="1:11" s="53" customFormat="1" ht="39" thickBot="1">
      <c r="A9" s="1406" t="s">
        <v>0</v>
      </c>
      <c r="B9" s="1407" t="s">
        <v>26</v>
      </c>
      <c r="C9" s="1407" t="s">
        <v>1152</v>
      </c>
      <c r="D9" s="1407" t="s">
        <v>1158</v>
      </c>
      <c r="E9" s="1407" t="s">
        <v>1153</v>
      </c>
      <c r="F9" s="1435" t="s">
        <v>59</v>
      </c>
      <c r="G9" s="1408" t="s">
        <v>1157</v>
      </c>
      <c r="H9" s="1408" t="s">
        <v>1159</v>
      </c>
      <c r="I9" s="1433" t="s">
        <v>1154</v>
      </c>
    </row>
    <row r="10" spans="1:11" s="1399" customFormat="1" ht="18" customHeight="1">
      <c r="A10" s="1844" t="s">
        <v>1529</v>
      </c>
      <c r="B10" s="202" t="s">
        <v>139</v>
      </c>
      <c r="C10" s="2302">
        <v>45763</v>
      </c>
      <c r="D10" s="203" t="s">
        <v>313</v>
      </c>
      <c r="E10" s="2303">
        <v>-2</v>
      </c>
      <c r="F10" s="2304">
        <f>COUNTIF(E10,"&lt;=-2")</f>
        <v>1</v>
      </c>
      <c r="G10" s="2305" t="s">
        <v>1392</v>
      </c>
      <c r="H10" s="2306">
        <v>12.577</v>
      </c>
      <c r="I10" s="2307" t="s">
        <v>1526</v>
      </c>
    </row>
    <row r="11" spans="1:11" s="1885" customFormat="1" ht="18" customHeight="1">
      <c r="A11" s="1409"/>
      <c r="B11" s="410"/>
      <c r="C11" s="19"/>
      <c r="D11" s="651"/>
      <c r="E11" s="1410"/>
      <c r="F11" s="18">
        <f>COUNTIF(E11,"&lt;=-2")</f>
        <v>0</v>
      </c>
      <c r="G11" s="1426"/>
      <c r="H11" s="1427"/>
      <c r="I11" s="1434"/>
    </row>
    <row r="12" spans="1:11" s="1885" customFormat="1" ht="18" customHeight="1">
      <c r="A12" s="1409"/>
      <c r="B12" s="410"/>
      <c r="C12" s="19"/>
      <c r="D12" s="651"/>
      <c r="E12" s="1410"/>
      <c r="F12" s="18">
        <f>COUNTIF(E12,"&lt;=-2")</f>
        <v>0</v>
      </c>
      <c r="G12" s="1426"/>
      <c r="H12" s="1427"/>
      <c r="I12" s="1434"/>
      <c r="K12" s="1931"/>
    </row>
    <row r="13" spans="1:11" s="1399" customFormat="1" ht="18" customHeight="1" thickBot="1">
      <c r="A13" s="1856" t="s">
        <v>792</v>
      </c>
      <c r="B13" s="18"/>
      <c r="C13" s="19"/>
      <c r="D13" s="19"/>
      <c r="E13" s="1410"/>
      <c r="F13" s="2028">
        <f>COUNTIF(E13,"&lt;=-2")</f>
        <v>0</v>
      </c>
      <c r="G13" s="1411"/>
      <c r="H13" s="1411"/>
      <c r="I13" s="1434"/>
    </row>
    <row r="14" spans="1:11" s="55" customFormat="1" ht="18" customHeight="1" thickBot="1">
      <c r="A14" s="1412" t="s">
        <v>35</v>
      </c>
      <c r="B14" s="1413"/>
      <c r="C14" s="1413"/>
      <c r="D14" s="1413"/>
      <c r="E14" s="1413"/>
      <c r="F14" s="2027">
        <f>SUM(F10:F13)</f>
        <v>1</v>
      </c>
      <c r="G14" s="1414"/>
      <c r="H14" s="1428">
        <f>SUM(H10:H13)</f>
        <v>12.577</v>
      </c>
      <c r="I14" s="1415"/>
    </row>
    <row r="15" spans="1:11" s="1399" customFormat="1" ht="15" customHeight="1">
      <c r="A15" s="46"/>
      <c r="B15" s="1398"/>
      <c r="C15" s="1398"/>
      <c r="D15" s="1398"/>
      <c r="E15" s="1398"/>
      <c r="F15" s="1403"/>
      <c r="G15" s="1403"/>
      <c r="H15" s="1398"/>
      <c r="I15" s="1398"/>
    </row>
    <row r="16" spans="1:11">
      <c r="A16" s="194" t="s">
        <v>219</v>
      </c>
      <c r="B16" s="195" t="s">
        <v>224</v>
      </c>
    </row>
    <row r="17" spans="1:8">
      <c r="A17" s="1416"/>
      <c r="B17" s="195" t="s">
        <v>1645</v>
      </c>
      <c r="D17" s="3056" t="s">
        <v>1155</v>
      </c>
      <c r="E17" s="3056"/>
      <c r="F17" s="3056"/>
      <c r="G17" s="3056"/>
      <c r="H17" s="3056"/>
    </row>
    <row r="18" spans="1:8">
      <c r="A18" s="47"/>
      <c r="D18" s="3056"/>
      <c r="E18" s="3056"/>
      <c r="F18" s="3056"/>
      <c r="G18" s="3056"/>
      <c r="H18" s="3056"/>
    </row>
    <row r="19" spans="1:8">
      <c r="A19" s="47"/>
      <c r="D19" s="3056"/>
      <c r="E19" s="3056"/>
      <c r="F19" s="3056"/>
      <c r="G19" s="3056"/>
      <c r="H19" s="3056"/>
    </row>
    <row r="20" spans="1:8">
      <c r="A20" s="47"/>
      <c r="D20" s="3056"/>
      <c r="E20" s="3056"/>
      <c r="F20" s="3056"/>
      <c r="G20" s="3056"/>
      <c r="H20" s="3056"/>
    </row>
    <row r="21" spans="1:8">
      <c r="D21" s="3056"/>
      <c r="E21" s="3056"/>
      <c r="F21" s="3056"/>
      <c r="G21" s="3056"/>
      <c r="H21" s="3056"/>
    </row>
    <row r="22" spans="1:8">
      <c r="D22" s="3056"/>
      <c r="E22" s="3056"/>
      <c r="F22" s="3056"/>
      <c r="G22" s="3056"/>
      <c r="H22" s="3056"/>
    </row>
    <row r="23" spans="1:8">
      <c r="D23" s="3056"/>
      <c r="E23" s="3056"/>
      <c r="F23" s="3056"/>
      <c r="G23" s="3056"/>
      <c r="H23" s="3056"/>
    </row>
    <row r="25" spans="1:8">
      <c r="D25" s="3164" t="s">
        <v>1156</v>
      </c>
      <c r="E25" s="3164"/>
      <c r="F25" s="3164"/>
      <c r="G25" s="3164"/>
      <c r="H25" s="3164"/>
    </row>
    <row r="26" spans="1:8">
      <c r="D26" s="3164"/>
      <c r="E26" s="3164"/>
      <c r="F26" s="3164"/>
      <c r="G26" s="3164"/>
      <c r="H26" s="3164"/>
    </row>
    <row r="27" spans="1:8">
      <c r="D27" s="3164"/>
      <c r="E27" s="3164"/>
      <c r="F27" s="3164"/>
      <c r="G27" s="3164"/>
      <c r="H27" s="3164"/>
    </row>
    <row r="28" spans="1:8">
      <c r="D28" s="3164"/>
      <c r="E28" s="3164"/>
      <c r="F28" s="3164"/>
      <c r="G28" s="3164"/>
      <c r="H28" s="3164"/>
    </row>
    <row r="29" spans="1:8">
      <c r="D29" s="3164"/>
      <c r="E29" s="3164"/>
      <c r="F29" s="3164"/>
      <c r="G29" s="3164"/>
      <c r="H29" s="3164"/>
    </row>
    <row r="30" spans="1:8">
      <c r="A30" s="335" t="s">
        <v>1434</v>
      </c>
      <c r="B30" s="335" t="s">
        <v>1435</v>
      </c>
      <c r="C30"/>
      <c r="D30" s="197"/>
    </row>
    <row r="31" spans="1:8">
      <c r="A31" s="335" t="s">
        <v>1554</v>
      </c>
      <c r="B31" s="335" t="s">
        <v>1550</v>
      </c>
      <c r="C31" s="2196" t="s">
        <v>1442</v>
      </c>
      <c r="D31" s="197"/>
    </row>
  </sheetData>
  <sheetProtection algorithmName="SHA-512" hashValue="vI1NMBsNqMf9EtgQ0xkFE4OtNwipxsBwNBUIR1WLf7b2wquykl+FiHDLk2sqJrqiaepe7T++JmKznmimik9y5g==" saltValue="YJyQaC2/X0bstZuLtEqEJg==" spinCount="100000" sheet="1" objects="1" scenarios="1"/>
  <mergeCells count="4">
    <mergeCell ref="A1:I1"/>
    <mergeCell ref="A2:I2"/>
    <mergeCell ref="D17:H23"/>
    <mergeCell ref="D25:H29"/>
  </mergeCells>
  <printOptions horizontalCentered="1"/>
  <pageMargins left="0.7" right="0.7" top="0.78740157499999996" bottom="0.78740157499999996" header="0.3" footer="0.3"/>
  <pageSetup paperSize="9" scale="63" orientation="landscape" r:id="rId1"/>
  <headerFooter>
    <oddHeader>&amp;LVDV SUN Jahresschlussrechnung JJJJ&amp;R&amp;KFF0000&amp;F</oddHeader>
    <oddFooter>&amp;C&amp;P&amp;R&amp;A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B3362-12E7-4429-9315-894C61E0C77A}">
  <sheetPr>
    <tabColor rgb="FF0070C0"/>
  </sheetPr>
  <dimension ref="A1:Q42"/>
  <sheetViews>
    <sheetView view="pageBreakPreview" zoomScale="80" zoomScaleNormal="80" zoomScaleSheetLayoutView="80" zoomScalePageLayoutView="80" workbookViewId="0">
      <selection activeCell="Q11" sqref="Q11"/>
    </sheetView>
  </sheetViews>
  <sheetFormatPr baseColWidth="10" defaultColWidth="11.42578125" defaultRowHeight="12.75"/>
  <cols>
    <col min="1" max="1" width="25" style="1461" customWidth="1"/>
    <col min="2" max="2" width="15.5703125" style="1461" customWidth="1"/>
    <col min="3" max="3" width="18.85546875" style="1461" customWidth="1"/>
    <col min="4" max="6" width="11.42578125" style="1461" customWidth="1"/>
    <col min="7" max="7" width="11.42578125" style="1460"/>
    <col min="8" max="8" width="17.7109375" style="1462" bestFit="1" customWidth="1"/>
    <col min="9" max="9" width="10.7109375" style="1461" customWidth="1"/>
    <col min="10" max="11" width="10.85546875" style="1461" customWidth="1"/>
    <col min="12" max="12" width="18.7109375" style="1461" customWidth="1"/>
    <col min="13" max="13" width="35.28515625" style="1461" bestFit="1" customWidth="1"/>
    <col min="14" max="14" width="38.140625" style="1461" customWidth="1"/>
    <col min="15" max="15" width="19.42578125" style="1460" bestFit="1" customWidth="1"/>
    <col min="16" max="16384" width="11.42578125" style="1460"/>
  </cols>
  <sheetData>
    <row r="1" spans="1:17" ht="18">
      <c r="A1" s="3165" t="s">
        <v>1472</v>
      </c>
      <c r="B1" s="3165"/>
      <c r="C1" s="3165"/>
      <c r="D1" s="3165"/>
      <c r="E1" s="3165"/>
      <c r="F1" s="3165"/>
      <c r="G1" s="3165"/>
      <c r="H1" s="3165"/>
      <c r="I1" s="3165"/>
      <c r="J1" s="3165"/>
      <c r="K1" s="3165"/>
      <c r="L1" s="3165"/>
      <c r="M1" s="3165"/>
      <c r="N1" s="3165"/>
      <c r="O1" s="3165"/>
    </row>
    <row r="2" spans="1:17" ht="20.25" customHeight="1">
      <c r="A2" s="3166" t="s">
        <v>748</v>
      </c>
      <c r="B2" s="3166"/>
      <c r="C2" s="3166"/>
      <c r="D2" s="3166"/>
      <c r="E2" s="3166"/>
      <c r="F2" s="3166"/>
      <c r="G2" s="3166"/>
      <c r="H2" s="3166"/>
      <c r="I2" s="3166"/>
      <c r="J2" s="3166"/>
      <c r="K2" s="3166"/>
      <c r="L2" s="3166"/>
      <c r="M2" s="3166"/>
      <c r="N2" s="3166"/>
      <c r="O2" s="3166"/>
    </row>
    <row r="3" spans="1:17" ht="20.25" customHeight="1" thickBot="1">
      <c r="A3" s="1491"/>
      <c r="B3" s="1491"/>
      <c r="C3" s="1491"/>
      <c r="D3" s="1491"/>
      <c r="E3" s="1491"/>
      <c r="F3" s="1491"/>
      <c r="G3" s="1491"/>
      <c r="H3" s="1491"/>
      <c r="I3" s="1491"/>
      <c r="J3" s="1491"/>
      <c r="K3" s="1491"/>
      <c r="L3" s="1491"/>
      <c r="M3" s="1491"/>
      <c r="N3" s="1491"/>
      <c r="O3" s="1491"/>
    </row>
    <row r="4" spans="1:17" ht="34.5" customHeight="1" thickBot="1">
      <c r="A4" s="1405"/>
      <c r="B4" s="2313" t="s">
        <v>743</v>
      </c>
      <c r="C4" s="2138" t="s">
        <v>1526</v>
      </c>
      <c r="D4" s="2301" t="s">
        <v>1527</v>
      </c>
      <c r="E4" s="2301" t="s">
        <v>1552</v>
      </c>
      <c r="F4" s="2301" t="s">
        <v>1551</v>
      </c>
      <c r="G4" s="2301" t="s">
        <v>1528</v>
      </c>
      <c r="H4" s="2301" t="s">
        <v>1666</v>
      </c>
      <c r="I4" s="2301" t="s">
        <v>1553</v>
      </c>
      <c r="J4" s="1491"/>
      <c r="K4" s="1491"/>
      <c r="L4" s="1491"/>
      <c r="M4" s="1491"/>
      <c r="N4" s="1491"/>
      <c r="O4" s="1491"/>
    </row>
    <row r="5" spans="1:17" ht="20.25" customHeight="1">
      <c r="A5" s="1424" t="s">
        <v>1151</v>
      </c>
      <c r="B5" s="2314">
        <f>SUM(C5:I5)</f>
        <v>1</v>
      </c>
      <c r="C5" s="2311">
        <f>SUMIF($O$10:$O$12,$C$4,$H$10:$H$12)</f>
        <v>0</v>
      </c>
      <c r="D5" s="2311">
        <f>SUMIF($O$10:$O$12,$D$4,$H$10:$H$12)</f>
        <v>0</v>
      </c>
      <c r="E5" s="2311">
        <f>SUMIF($O$10:$O$12,$E$4,$H$10:$H$12)</f>
        <v>0</v>
      </c>
      <c r="F5" s="2311">
        <f>SUMIF($O$10:$O$12,$F$4,$H$10:$H$12)</f>
        <v>1</v>
      </c>
      <c r="G5" s="2311">
        <f>SUMIF($O$10:$O$12,$G$4,$H$10:$H$12)</f>
        <v>0</v>
      </c>
      <c r="H5" s="2311">
        <f>SUMIF($O$10:$O$12,$G$4,$H$10:$H$12)</f>
        <v>0</v>
      </c>
      <c r="I5" s="2025">
        <f>SUMIF($O$10:$O$12,$I$4,$H$10:$H$12)</f>
        <v>0</v>
      </c>
      <c r="J5" s="1491"/>
      <c r="K5" s="1491"/>
      <c r="L5" s="1491"/>
      <c r="M5" s="1491"/>
      <c r="N5" s="1491"/>
      <c r="O5" s="1491"/>
    </row>
    <row r="6" spans="1:17" ht="20.25" customHeight="1" thickBot="1">
      <c r="A6" s="1429" t="s">
        <v>1161</v>
      </c>
      <c r="B6" s="1430">
        <f>SUM(C6:I6)</f>
        <v>25.507999999999999</v>
      </c>
      <c r="C6" s="2312">
        <f>SUMIF($O$10:$O$12,$C$4,$I$10:$I$12)</f>
        <v>0</v>
      </c>
      <c r="D6" s="2312">
        <f>SUMIF($O$10:$O$12,$D$4,$I$10:$I$12)</f>
        <v>0</v>
      </c>
      <c r="E6" s="2312">
        <f>SUMIF($O$10:$O$12,$E$4,$I$10:$I$12)</f>
        <v>0</v>
      </c>
      <c r="F6" s="2312">
        <f>SUMIF($O$10:$O$12,$F$4,$I$10:$I$12)</f>
        <v>25.507999999999999</v>
      </c>
      <c r="G6" s="2312">
        <f>SUMIF($O$10:$O$12,$G$4,$I$10:$I$12)</f>
        <v>0</v>
      </c>
      <c r="H6" s="2312">
        <f>SUMIF($O$10:$O$12,$H$4,$I$10:$I$12)</f>
        <v>0</v>
      </c>
      <c r="I6" s="2312">
        <f>SUMIF($O$10:$O$12,$I$4,$I$10:$I$12)</f>
        <v>0</v>
      </c>
      <c r="J6" s="1491"/>
      <c r="K6" s="1491"/>
      <c r="L6" s="1491"/>
      <c r="M6" s="1491"/>
      <c r="N6" s="1491"/>
      <c r="O6" s="1491"/>
    </row>
    <row r="7" spans="1:17" ht="20.25" customHeight="1">
      <c r="A7" s="1491"/>
      <c r="B7" s="1491"/>
      <c r="C7" s="1491"/>
      <c r="D7" s="1491"/>
      <c r="E7" s="1491"/>
      <c r="F7" s="1491"/>
      <c r="G7" s="1491"/>
      <c r="H7" s="1491"/>
      <c r="I7" s="1491"/>
      <c r="J7" s="1491"/>
      <c r="K7" s="1491"/>
      <c r="L7" s="1491"/>
      <c r="M7" s="1491"/>
      <c r="N7" s="1491"/>
      <c r="O7" s="1491"/>
    </row>
    <row r="8" spans="1:17" ht="18" customHeight="1" thickBot="1">
      <c r="K8" s="1463"/>
      <c r="L8" s="1463"/>
      <c r="M8" s="1463"/>
      <c r="N8" s="1463"/>
      <c r="O8" s="1461"/>
    </row>
    <row r="9" spans="1:17" s="1469" customFormat="1" ht="69" customHeight="1" thickBot="1">
      <c r="A9" s="1464" t="s">
        <v>0</v>
      </c>
      <c r="B9" s="1465" t="s">
        <v>1168</v>
      </c>
      <c r="C9" s="1466" t="s">
        <v>26</v>
      </c>
      <c r="D9" s="1466" t="s">
        <v>27</v>
      </c>
      <c r="E9" s="1466" t="s">
        <v>28</v>
      </c>
      <c r="F9" s="1466" t="s">
        <v>29</v>
      </c>
      <c r="G9" s="1466" t="s">
        <v>30</v>
      </c>
      <c r="H9" s="1466" t="s">
        <v>24</v>
      </c>
      <c r="I9" s="1467" t="s">
        <v>1160</v>
      </c>
      <c r="J9" s="1466" t="s">
        <v>31</v>
      </c>
      <c r="K9" s="1466" t="s">
        <v>1169</v>
      </c>
      <c r="L9" s="1466" t="s">
        <v>1170</v>
      </c>
      <c r="M9" s="1466" t="s">
        <v>1171</v>
      </c>
      <c r="N9" s="1468" t="s">
        <v>1172</v>
      </c>
      <c r="O9" s="1433" t="s">
        <v>1154</v>
      </c>
    </row>
    <row r="10" spans="1:17" s="1476" customFormat="1" ht="18" customHeight="1">
      <c r="A10" s="2308" t="s">
        <v>1533</v>
      </c>
      <c r="B10" s="1843" t="s">
        <v>1585</v>
      </c>
      <c r="C10" s="1471" t="s">
        <v>139</v>
      </c>
      <c r="D10" s="1472">
        <v>45770</v>
      </c>
      <c r="E10" s="1472">
        <v>45770</v>
      </c>
      <c r="F10" s="2309" t="s">
        <v>1575</v>
      </c>
      <c r="G10" s="2309" t="s">
        <v>1557</v>
      </c>
      <c r="H10" s="1473">
        <v>1</v>
      </c>
      <c r="I10" s="1474">
        <v>18.276</v>
      </c>
      <c r="J10" s="1471">
        <v>2</v>
      </c>
      <c r="K10" s="1471">
        <v>1</v>
      </c>
      <c r="L10" s="1471">
        <v>1910</v>
      </c>
      <c r="M10" s="1471" t="s">
        <v>1150</v>
      </c>
      <c r="N10" s="1475" t="s">
        <v>1173</v>
      </c>
      <c r="O10" s="2862" t="s">
        <v>1613</v>
      </c>
      <c r="Q10" s="2864" t="s">
        <v>1706</v>
      </c>
    </row>
    <row r="11" spans="1:17" s="1476" customFormat="1" ht="18" customHeight="1">
      <c r="A11" s="2308" t="s">
        <v>1535</v>
      </c>
      <c r="B11" s="1470" t="s">
        <v>1600</v>
      </c>
      <c r="C11" s="1471" t="s">
        <v>139</v>
      </c>
      <c r="D11" s="1472">
        <v>45774</v>
      </c>
      <c r="E11" s="1472">
        <v>45774</v>
      </c>
      <c r="F11" s="2309" t="s">
        <v>1573</v>
      </c>
      <c r="G11" s="2309" t="s">
        <v>1601</v>
      </c>
      <c r="H11" s="1473">
        <v>1</v>
      </c>
      <c r="I11" s="1474">
        <v>25.507999999999999</v>
      </c>
      <c r="J11" s="1471">
        <v>0</v>
      </c>
      <c r="K11" s="1471">
        <v>0</v>
      </c>
      <c r="L11" s="1471">
        <v>1911</v>
      </c>
      <c r="M11" s="18" t="s">
        <v>1150</v>
      </c>
      <c r="N11" s="1475" t="s">
        <v>1175</v>
      </c>
      <c r="O11" s="2310" t="s">
        <v>1551</v>
      </c>
    </row>
    <row r="12" spans="1:17" s="1476" customFormat="1" ht="18" customHeight="1" thickBot="1">
      <c r="A12" s="2037" t="s">
        <v>792</v>
      </c>
      <c r="B12" s="2029"/>
      <c r="C12" s="2030"/>
      <c r="D12" s="2031"/>
      <c r="E12" s="2031"/>
      <c r="F12" s="2032"/>
      <c r="G12" s="2032"/>
      <c r="H12" s="2033"/>
      <c r="I12" s="2034"/>
      <c r="J12" s="2030"/>
      <c r="K12" s="2030"/>
      <c r="L12" s="2030"/>
      <c r="M12" s="1931"/>
      <c r="N12" s="2035"/>
      <c r="O12" s="2036"/>
    </row>
    <row r="13" spans="1:17" s="1484" customFormat="1" ht="18" customHeight="1" thickBot="1">
      <c r="A13" s="1477" t="s">
        <v>35</v>
      </c>
      <c r="B13" s="1478"/>
      <c r="C13" s="1479"/>
      <c r="D13" s="1479"/>
      <c r="E13" s="1479"/>
      <c r="F13" s="1480"/>
      <c r="G13" s="1480"/>
      <c r="H13" s="1481">
        <f>SUM(H10:H11)</f>
        <v>2</v>
      </c>
      <c r="I13" s="1482">
        <f>SUM(I10:I11)</f>
        <v>43.783999999999999</v>
      </c>
      <c r="J13" s="1479"/>
      <c r="K13" s="1479"/>
      <c r="L13" s="1479"/>
      <c r="M13" s="1479"/>
      <c r="N13" s="1483"/>
      <c r="O13" s="1492"/>
    </row>
    <row r="14" spans="1:17" s="1476" customFormat="1" ht="15" customHeight="1">
      <c r="A14" s="1485"/>
      <c r="B14" s="1486"/>
      <c r="C14" s="1487"/>
      <c r="D14" s="1487"/>
      <c r="E14" s="1487"/>
      <c r="F14" s="1487"/>
      <c r="G14" s="1487"/>
      <c r="I14" s="1488"/>
      <c r="J14" s="1487"/>
      <c r="K14" s="1487"/>
      <c r="L14" s="1487"/>
      <c r="M14" s="1487"/>
      <c r="N14" s="1487"/>
      <c r="O14" s="1487"/>
    </row>
    <row r="15" spans="1:17" s="1476" customFormat="1" ht="15" customHeight="1">
      <c r="A15" s="1485" t="s">
        <v>219</v>
      </c>
      <c r="B15" s="1486" t="s">
        <v>224</v>
      </c>
      <c r="C15" s="1487"/>
      <c r="D15" s="1487"/>
      <c r="E15" s="1487"/>
      <c r="F15" s="1487"/>
      <c r="G15" s="1487"/>
      <c r="I15" s="1488"/>
      <c r="J15" s="1487"/>
      <c r="K15" s="1487"/>
      <c r="L15" s="1487"/>
      <c r="M15" s="1487"/>
      <c r="N15" s="1487"/>
      <c r="O15" s="1487"/>
    </row>
    <row r="16" spans="1:17" s="1476" customFormat="1" ht="15" customHeight="1">
      <c r="A16" s="1485"/>
      <c r="B16" s="195" t="s">
        <v>1645</v>
      </c>
      <c r="C16" s="1487"/>
      <c r="D16" s="1487"/>
      <c r="E16" s="1487"/>
      <c r="F16" s="1487"/>
      <c r="G16" s="1487"/>
      <c r="I16" s="1488"/>
      <c r="J16" s="1487"/>
      <c r="K16" s="1487"/>
      <c r="L16" s="1487"/>
      <c r="M16" s="1487"/>
      <c r="N16" s="1487"/>
      <c r="O16" s="1487"/>
    </row>
    <row r="17" spans="1:15" s="1476" customFormat="1" ht="15" customHeight="1">
      <c r="A17" s="1485" t="s">
        <v>21</v>
      </c>
      <c r="B17" s="1486"/>
      <c r="C17" s="3168" t="s">
        <v>1174</v>
      </c>
      <c r="D17" s="3169"/>
      <c r="E17" s="3169"/>
      <c r="F17" s="1487"/>
      <c r="G17" s="1487"/>
      <c r="I17" s="1488"/>
      <c r="J17" s="1487"/>
      <c r="K17" s="1487"/>
      <c r="L17" s="1487"/>
      <c r="M17" s="1487"/>
      <c r="N17" s="1487"/>
      <c r="O17" s="1487"/>
    </row>
    <row r="18" spans="1:15" ht="12.75" customHeight="1">
      <c r="A18" s="1486"/>
      <c r="B18" s="1487"/>
      <c r="C18" s="1487"/>
      <c r="D18" s="1486"/>
      <c r="E18" s="1487"/>
      <c r="F18" s="1487"/>
      <c r="G18" s="1476"/>
      <c r="H18" s="1488"/>
      <c r="I18" s="3167" t="s">
        <v>321</v>
      </c>
      <c r="J18" s="3167"/>
      <c r="K18" s="3167"/>
      <c r="L18" s="3167"/>
      <c r="M18" s="3167"/>
      <c r="N18" s="3167"/>
      <c r="O18" s="3167"/>
    </row>
    <row r="19" spans="1:15">
      <c r="A19" s="335" t="s">
        <v>1434</v>
      </c>
      <c r="B19" s="335" t="s">
        <v>1435</v>
      </c>
      <c r="C19"/>
      <c r="D19" s="197"/>
      <c r="E19" s="1487"/>
      <c r="F19" s="1487"/>
      <c r="G19" s="1476"/>
      <c r="H19" s="1488"/>
      <c r="I19" s="3167"/>
      <c r="J19" s="3167"/>
      <c r="K19" s="3167"/>
      <c r="L19" s="3167"/>
      <c r="M19" s="3167"/>
      <c r="N19" s="3167"/>
      <c r="O19" s="3167"/>
    </row>
    <row r="20" spans="1:15">
      <c r="A20" s="335" t="s">
        <v>1554</v>
      </c>
      <c r="B20" s="335" t="s">
        <v>1550</v>
      </c>
      <c r="C20" s="2196" t="s">
        <v>1442</v>
      </c>
      <c r="D20" s="197"/>
      <c r="E20" s="1487"/>
      <c r="F20" s="1487"/>
      <c r="G20" s="1476"/>
      <c r="H20" s="1488"/>
      <c r="I20" s="3167"/>
      <c r="J20" s="3167"/>
      <c r="K20" s="3167"/>
      <c r="L20" s="3167"/>
      <c r="M20" s="3167"/>
      <c r="N20" s="3167"/>
      <c r="O20" s="3167"/>
    </row>
    <row r="21" spans="1:15">
      <c r="A21" s="1486"/>
      <c r="B21" s="1487"/>
      <c r="C21" s="1476"/>
      <c r="D21" s="1486"/>
      <c r="E21" s="1487"/>
      <c r="F21" s="1487"/>
      <c r="G21" s="1476"/>
      <c r="H21" s="1488"/>
      <c r="I21" s="3167"/>
      <c r="J21" s="3167"/>
      <c r="K21" s="3167"/>
      <c r="L21" s="3167"/>
      <c r="M21" s="3167"/>
      <c r="N21" s="3167"/>
      <c r="O21" s="3167"/>
    </row>
    <row r="22" spans="1:15">
      <c r="A22" s="1486"/>
      <c r="B22" s="1487"/>
      <c r="C22" s="1476"/>
      <c r="D22" s="1486"/>
      <c r="E22" s="1487"/>
      <c r="F22" s="1487"/>
      <c r="G22" s="1476"/>
      <c r="H22" s="1488"/>
      <c r="I22" s="3167"/>
      <c r="J22" s="3167"/>
      <c r="K22" s="3167"/>
      <c r="L22" s="3167"/>
      <c r="M22" s="3167"/>
      <c r="N22" s="3167"/>
      <c r="O22" s="3167"/>
    </row>
    <row r="23" spans="1:15">
      <c r="A23" s="1486"/>
      <c r="B23" s="1487"/>
      <c r="C23" s="1476"/>
      <c r="D23" s="1486"/>
      <c r="E23" s="1487"/>
      <c r="F23" s="1487"/>
      <c r="G23" s="1476"/>
      <c r="H23" s="1488"/>
      <c r="I23" s="3167"/>
      <c r="J23" s="3167"/>
      <c r="K23" s="3167"/>
      <c r="L23" s="3167"/>
      <c r="M23" s="3167"/>
      <c r="N23" s="3167"/>
      <c r="O23" s="3167"/>
    </row>
    <row r="24" spans="1:15">
      <c r="A24" s="1486"/>
      <c r="B24" s="1487"/>
      <c r="C24" s="1476"/>
      <c r="D24" s="1486"/>
      <c r="E24" s="1487"/>
      <c r="F24" s="1487"/>
      <c r="G24" s="1476"/>
      <c r="H24" s="1488"/>
      <c r="I24" s="3167"/>
      <c r="J24" s="3167"/>
      <c r="K24" s="3167"/>
      <c r="L24" s="3167"/>
      <c r="M24" s="3167"/>
      <c r="N24" s="3167"/>
      <c r="O24" s="3167"/>
    </row>
    <row r="25" spans="1:15">
      <c r="A25" s="1486"/>
      <c r="B25" s="1487"/>
      <c r="C25" s="1476"/>
      <c r="D25" s="1486"/>
      <c r="E25" s="1487"/>
      <c r="F25" s="1487"/>
      <c r="G25" s="1476"/>
      <c r="H25" s="1488"/>
      <c r="I25" s="3167"/>
      <c r="J25" s="3167"/>
      <c r="K25" s="3167"/>
      <c r="L25" s="3167"/>
      <c r="M25" s="3167"/>
      <c r="N25" s="3167"/>
      <c r="O25" s="3167"/>
    </row>
    <row r="26" spans="1:15">
      <c r="A26" s="1486"/>
      <c r="B26" s="1487"/>
      <c r="C26" s="1476"/>
      <c r="D26" s="1486"/>
      <c r="E26" s="1487"/>
      <c r="F26" s="1487"/>
      <c r="G26" s="1476"/>
      <c r="H26" s="1488"/>
      <c r="I26" s="1487"/>
      <c r="J26" s="1487"/>
      <c r="K26" s="1487"/>
      <c r="L26" s="1487"/>
      <c r="M26" s="1487"/>
      <c r="N26" s="1487"/>
    </row>
    <row r="27" spans="1:15">
      <c r="A27" s="1486"/>
      <c r="B27" s="1487"/>
      <c r="C27" s="1476"/>
      <c r="D27" s="1485"/>
      <c r="E27" s="1487"/>
      <c r="F27" s="1487"/>
      <c r="G27" s="1476"/>
      <c r="H27" s="1488"/>
      <c r="I27" s="1487"/>
      <c r="J27" s="1487"/>
      <c r="K27" s="1487"/>
      <c r="L27" s="1487"/>
      <c r="M27" s="1487"/>
      <c r="N27" s="1487"/>
    </row>
    <row r="28" spans="1:15">
      <c r="A28" s="1486"/>
      <c r="B28" s="1487"/>
      <c r="C28" s="1476"/>
      <c r="D28" s="1486"/>
      <c r="E28" s="1487"/>
      <c r="F28" s="1487"/>
      <c r="G28" s="1476"/>
      <c r="H28" s="1488"/>
      <c r="I28" s="1487"/>
      <c r="J28" s="1487"/>
      <c r="K28" s="1487"/>
      <c r="L28" s="1487"/>
      <c r="M28" s="1487"/>
      <c r="N28" s="1487"/>
    </row>
    <row r="29" spans="1:15">
      <c r="A29" s="1486"/>
      <c r="B29" s="1487"/>
      <c r="C29" s="1476"/>
      <c r="D29" s="1486"/>
      <c r="E29" s="1487"/>
      <c r="F29" s="1487"/>
      <c r="G29" s="1476"/>
      <c r="H29" s="1488"/>
      <c r="I29" s="1487"/>
      <c r="J29" s="1487"/>
      <c r="K29" s="1487"/>
      <c r="L29" s="1487"/>
      <c r="M29" s="1487"/>
      <c r="N29" s="1487"/>
    </row>
    <row r="30" spans="1:15">
      <c r="A30" s="1486"/>
      <c r="B30" s="1487"/>
      <c r="C30" s="1476"/>
      <c r="D30" s="1485"/>
      <c r="E30" s="1487"/>
      <c r="F30" s="1487"/>
      <c r="G30" s="1476"/>
      <c r="H30" s="1488"/>
      <c r="I30" s="1487"/>
      <c r="J30" s="1487"/>
      <c r="K30" s="1487"/>
      <c r="L30" s="1487"/>
      <c r="M30" s="1487"/>
      <c r="N30" s="1487"/>
    </row>
    <row r="31" spans="1:15">
      <c r="A31" s="1486"/>
      <c r="B31" s="1487"/>
      <c r="C31" s="1476"/>
      <c r="D31" s="1486"/>
      <c r="E31" s="1487"/>
      <c r="F31" s="1487"/>
      <c r="G31" s="1476"/>
      <c r="H31" s="1488"/>
      <c r="I31" s="1487"/>
      <c r="J31" s="1487"/>
      <c r="K31" s="1487"/>
      <c r="L31" s="1487"/>
      <c r="M31" s="1487"/>
      <c r="N31" s="1487"/>
    </row>
    <row r="32" spans="1:15">
      <c r="A32" s="1486"/>
      <c r="B32" s="1487"/>
      <c r="C32" s="1476"/>
      <c r="D32" s="1486"/>
      <c r="E32" s="1487"/>
      <c r="F32" s="1487"/>
      <c r="G32" s="1476"/>
      <c r="H32" s="1488"/>
      <c r="I32" s="1487"/>
      <c r="J32" s="1487"/>
      <c r="K32" s="1487"/>
      <c r="L32" s="1487"/>
      <c r="M32" s="1487"/>
      <c r="N32" s="1487"/>
    </row>
    <row r="33" spans="1:15">
      <c r="A33" s="1486"/>
      <c r="B33" s="1487"/>
      <c r="C33" s="1476"/>
      <c r="D33" s="1486"/>
      <c r="E33" s="1487"/>
      <c r="F33" s="1487"/>
      <c r="G33" s="1476"/>
      <c r="H33" s="1488"/>
      <c r="I33" s="1489"/>
      <c r="J33" s="1489"/>
      <c r="K33" s="1489"/>
      <c r="L33" s="1489"/>
      <c r="M33" s="1489"/>
      <c r="N33" s="1489"/>
      <c r="O33" s="1489"/>
    </row>
    <row r="34" spans="1:15">
      <c r="A34" s="1486"/>
      <c r="B34" s="1487"/>
      <c r="C34" s="1476"/>
      <c r="D34" s="1486"/>
      <c r="E34" s="1487"/>
      <c r="F34" s="1487"/>
      <c r="G34" s="1476"/>
      <c r="H34" s="1488"/>
      <c r="I34" s="1489"/>
      <c r="J34" s="1489"/>
      <c r="K34" s="1489"/>
      <c r="L34" s="1489"/>
      <c r="M34" s="1489"/>
      <c r="N34" s="1489"/>
      <c r="O34" s="1489"/>
    </row>
    <row r="35" spans="1:15">
      <c r="A35" s="1486"/>
      <c r="B35" s="1487"/>
      <c r="C35" s="1476"/>
      <c r="D35" s="1486"/>
      <c r="E35" s="1487"/>
      <c r="F35" s="1487"/>
      <c r="G35" s="1476"/>
      <c r="H35" s="1488"/>
      <c r="I35" s="1489"/>
      <c r="J35" s="1489"/>
      <c r="K35" s="1489"/>
      <c r="L35" s="1489"/>
      <c r="M35" s="1489"/>
      <c r="N35" s="1489"/>
      <c r="O35" s="1489"/>
    </row>
    <row r="36" spans="1:15">
      <c r="A36" s="1486"/>
      <c r="B36" s="1487"/>
      <c r="C36" s="1476"/>
      <c r="D36" s="1486"/>
      <c r="E36" s="1487"/>
      <c r="F36" s="1487"/>
      <c r="G36" s="1476"/>
      <c r="H36" s="1488"/>
      <c r="I36" s="1489"/>
      <c r="J36" s="1489"/>
      <c r="K36" s="1489"/>
      <c r="L36" s="1489"/>
      <c r="M36" s="1489"/>
      <c r="N36" s="1489"/>
      <c r="O36" s="1489"/>
    </row>
    <row r="37" spans="1:15">
      <c r="A37" s="1486"/>
      <c r="B37" s="1487"/>
      <c r="C37" s="1476"/>
      <c r="D37" s="1486"/>
      <c r="E37" s="1487"/>
      <c r="F37" s="1487"/>
      <c r="G37" s="1476"/>
      <c r="H37" s="1488"/>
      <c r="I37" s="1489"/>
      <c r="J37" s="1489"/>
      <c r="K37" s="1489"/>
      <c r="L37" s="1489"/>
      <c r="M37" s="1489"/>
      <c r="N37" s="1489"/>
      <c r="O37" s="1489"/>
    </row>
    <row r="38" spans="1:15">
      <c r="A38" s="1486"/>
      <c r="B38" s="1487"/>
      <c r="C38" s="1476"/>
      <c r="D38" s="1486"/>
      <c r="E38" s="1487"/>
      <c r="F38" s="1487"/>
      <c r="G38" s="1476"/>
      <c r="H38" s="1488"/>
      <c r="I38" s="1489"/>
      <c r="J38" s="1489"/>
      <c r="K38" s="1489"/>
      <c r="L38" s="1489"/>
      <c r="M38" s="1489"/>
      <c r="N38" s="1489"/>
      <c r="O38" s="1489"/>
    </row>
    <row r="39" spans="1:15">
      <c r="A39" s="1486"/>
      <c r="B39" s="1487"/>
      <c r="C39" s="1476"/>
      <c r="D39" s="1486"/>
      <c r="E39" s="1487"/>
      <c r="F39" s="1487"/>
      <c r="G39" s="1476"/>
      <c r="H39" s="1488"/>
      <c r="I39" s="1487"/>
      <c r="J39" s="1487"/>
      <c r="K39" s="1487"/>
      <c r="L39" s="1487"/>
      <c r="M39" s="1487"/>
      <c r="N39" s="1487"/>
    </row>
    <row r="40" spans="1:15">
      <c r="A40" s="1486"/>
      <c r="B40" s="1487"/>
      <c r="C40" s="1476"/>
      <c r="D40" s="1486"/>
    </row>
    <row r="41" spans="1:15">
      <c r="A41" s="1490"/>
      <c r="B41" s="1487"/>
      <c r="C41" s="1476"/>
      <c r="D41" s="1490"/>
    </row>
    <row r="42" spans="1:15">
      <c r="C42" s="1460"/>
    </row>
  </sheetData>
  <sheetProtection algorithmName="SHA-512" hashValue="wqTjA4c0mVpyX4Q8c8CIlMIKk/qY6UxADRl0t6vKu7Yoa4bMWYlfWgj/wBkf+2VhxhE0KwEs8ks37jfdkccukg==" saltValue="G8Vp2VjoiUosmJsITV3AIQ==" spinCount="100000" sheet="1" objects="1" scenarios="1"/>
  <mergeCells count="4">
    <mergeCell ref="A1:O1"/>
    <mergeCell ref="A2:O2"/>
    <mergeCell ref="I18:O25"/>
    <mergeCell ref="C17:E17"/>
  </mergeCells>
  <printOptions horizontalCentered="1"/>
  <pageMargins left="0.7" right="0.7" top="0.78740157499999996" bottom="0.78740157499999996" header="0.3" footer="0.3"/>
  <pageSetup paperSize="9" scale="46" fitToHeight="0" orientation="landscape" r:id="rId1"/>
  <headerFooter>
    <oddHeader>&amp;LVDV SUN Jahresschlussrechnung JJJJ&amp;R&amp;KFF0000&amp;F</oddHeader>
    <oddFooter>&amp;C&amp;P&amp;R&amp;A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T58"/>
  <sheetViews>
    <sheetView view="pageBreakPreview" topLeftCell="A13" zoomScale="80" zoomScaleNormal="100" zoomScaleSheetLayoutView="80" zoomScalePageLayoutView="80" workbookViewId="0">
      <selection activeCell="M69" sqref="M69"/>
    </sheetView>
  </sheetViews>
  <sheetFormatPr baseColWidth="10" defaultRowHeight="12.75"/>
  <cols>
    <col min="1" max="1" width="17.5703125" customWidth="1"/>
    <col min="2" max="2" width="64.28515625" customWidth="1"/>
    <col min="3" max="3" width="29.28515625" bestFit="1" customWidth="1"/>
    <col min="8" max="10" width="11.85546875" bestFit="1" customWidth="1"/>
    <col min="11" max="11" width="14.28515625" customWidth="1"/>
    <col min="12" max="12" width="18.85546875" customWidth="1"/>
    <col min="17" max="17" width="17.42578125" customWidth="1"/>
  </cols>
  <sheetData>
    <row r="1" spans="1:16" ht="18">
      <c r="A1" s="3036" t="s">
        <v>1473</v>
      </c>
      <c r="B1" s="3036"/>
      <c r="C1" s="3036"/>
      <c r="D1" s="3036"/>
      <c r="E1" s="3036"/>
      <c r="F1" s="3036"/>
      <c r="G1" s="3036"/>
      <c r="H1" s="3036"/>
      <c r="I1" s="3036"/>
      <c r="J1" s="3036"/>
      <c r="K1" s="3036"/>
    </row>
    <row r="2" spans="1:16" ht="18">
      <c r="A2" s="3185" t="str">
        <f>'1a_Leistungsvolumen'!A2:C2</f>
        <v>Monat JJJJ</v>
      </c>
      <c r="B2" s="3185"/>
      <c r="C2" s="3185"/>
      <c r="D2" s="3185"/>
      <c r="E2" s="3185"/>
      <c r="F2" s="3185"/>
      <c r="G2" s="3185"/>
      <c r="H2" s="3185"/>
      <c r="I2" s="3185"/>
      <c r="J2" s="3185"/>
      <c r="K2" s="3185"/>
    </row>
    <row r="3" spans="1:16" ht="13.5" thickBot="1">
      <c r="A3" s="28"/>
      <c r="B3" s="28"/>
      <c r="C3" s="28"/>
      <c r="E3" s="2"/>
      <c r="F3" s="2"/>
      <c r="L3" s="2131" t="s">
        <v>1421</v>
      </c>
      <c r="M3" s="2131" t="s">
        <v>1421</v>
      </c>
      <c r="N3" s="2131" t="s">
        <v>1421</v>
      </c>
    </row>
    <row r="4" spans="1:16" ht="19.149999999999999" customHeight="1" thickBot="1">
      <c r="A4" s="3178" t="s">
        <v>0</v>
      </c>
      <c r="B4" s="3180" t="s">
        <v>218</v>
      </c>
      <c r="C4" s="3186" t="s">
        <v>1167</v>
      </c>
      <c r="D4" s="3183" t="s">
        <v>146</v>
      </c>
      <c r="E4" s="3183"/>
      <c r="F4" s="3183"/>
      <c r="G4" s="3183"/>
      <c r="H4" s="3184" t="s">
        <v>147</v>
      </c>
      <c r="I4" s="3183"/>
      <c r="J4" s="3183"/>
      <c r="K4" s="3183"/>
      <c r="L4" s="3170" t="s">
        <v>1422</v>
      </c>
      <c r="M4" s="3172" t="s">
        <v>1193</v>
      </c>
      <c r="N4" s="3172" t="s">
        <v>1194</v>
      </c>
    </row>
    <row r="5" spans="1:16" ht="75" customHeight="1" thickBot="1">
      <c r="A5" s="3179"/>
      <c r="B5" s="3181"/>
      <c r="C5" s="3187"/>
      <c r="D5" s="935" t="s">
        <v>150</v>
      </c>
      <c r="E5" s="52" t="s">
        <v>143</v>
      </c>
      <c r="F5" s="634" t="s">
        <v>144</v>
      </c>
      <c r="G5" s="783" t="s">
        <v>145</v>
      </c>
      <c r="H5" s="935" t="s">
        <v>150</v>
      </c>
      <c r="I5" s="959" t="s">
        <v>148</v>
      </c>
      <c r="J5" s="1458" t="s">
        <v>144</v>
      </c>
      <c r="K5" s="1459" t="s">
        <v>145</v>
      </c>
      <c r="L5" s="3171"/>
      <c r="M5" s="3173"/>
      <c r="N5" s="3173"/>
    </row>
    <row r="6" spans="1:16" ht="21" customHeight="1">
      <c r="A6" s="404" t="s">
        <v>1529</v>
      </c>
      <c r="B6" s="2367" t="s">
        <v>1540</v>
      </c>
      <c r="C6" s="2645" t="s">
        <v>1526</v>
      </c>
      <c r="D6" s="1453">
        <v>7</v>
      </c>
      <c r="E6" s="110">
        <v>3</v>
      </c>
      <c r="F6" s="111">
        <v>0</v>
      </c>
      <c r="G6" s="609">
        <f>SUM(D6:F6)</f>
        <v>10</v>
      </c>
      <c r="H6" s="109">
        <v>2</v>
      </c>
      <c r="I6" s="110">
        <v>45</v>
      </c>
      <c r="J6" s="111">
        <v>1</v>
      </c>
      <c r="K6" s="112">
        <f>SUM(H6:J6)</f>
        <v>48</v>
      </c>
      <c r="L6" s="1547">
        <v>2</v>
      </c>
      <c r="M6" s="1550">
        <v>1</v>
      </c>
      <c r="N6" s="1550">
        <v>0</v>
      </c>
    </row>
    <row r="7" spans="1:16" ht="21" customHeight="1">
      <c r="A7" s="187" t="s">
        <v>1529</v>
      </c>
      <c r="B7" s="2368" t="s">
        <v>1540</v>
      </c>
      <c r="C7" s="2646" t="s">
        <v>1527</v>
      </c>
      <c r="D7" s="1454"/>
      <c r="E7" s="1857"/>
      <c r="F7" s="1858"/>
      <c r="G7" s="620"/>
      <c r="H7" s="36"/>
      <c r="I7" s="1857"/>
      <c r="J7" s="1858"/>
      <c r="K7" s="1859"/>
      <c r="L7" s="1548"/>
      <c r="M7" s="1550"/>
      <c r="N7" s="1550"/>
    </row>
    <row r="8" spans="1:16" ht="21" customHeight="1">
      <c r="A8" s="187" t="s">
        <v>1530</v>
      </c>
      <c r="B8" s="2368" t="s">
        <v>1541</v>
      </c>
      <c r="C8" s="2646" t="s">
        <v>1527</v>
      </c>
      <c r="D8" s="1454"/>
      <c r="E8" s="1857"/>
      <c r="F8" s="1858"/>
      <c r="G8" s="620"/>
      <c r="H8" s="36"/>
      <c r="I8" s="1857"/>
      <c r="J8" s="1858"/>
      <c r="K8" s="1859"/>
      <c r="L8" s="1548"/>
      <c r="M8" s="1550"/>
      <c r="N8" s="1550"/>
    </row>
    <row r="9" spans="1:16" ht="21" customHeight="1">
      <c r="A9" s="2369" t="s">
        <v>1531</v>
      </c>
      <c r="B9" s="2370" t="s">
        <v>1542</v>
      </c>
      <c r="C9" s="2647" t="s">
        <v>1526</v>
      </c>
      <c r="D9" s="1454"/>
      <c r="E9" s="30"/>
      <c r="F9" s="619"/>
      <c r="G9" s="620"/>
      <c r="H9" s="36"/>
      <c r="I9" s="30"/>
      <c r="J9" s="619"/>
      <c r="K9" s="621"/>
      <c r="L9" s="1548"/>
      <c r="M9" s="969"/>
      <c r="N9" s="969"/>
    </row>
    <row r="10" spans="1:16" ht="21" customHeight="1">
      <c r="A10" s="2369" t="s">
        <v>1532</v>
      </c>
      <c r="B10" s="2370" t="s">
        <v>1543</v>
      </c>
      <c r="C10" s="2647" t="s">
        <v>1552</v>
      </c>
      <c r="D10" s="1454"/>
      <c r="E10" s="1857"/>
      <c r="F10" s="1858"/>
      <c r="G10" s="620"/>
      <c r="H10" s="36"/>
      <c r="I10" s="1857"/>
      <c r="J10" s="1858"/>
      <c r="K10" s="1859"/>
      <c r="L10" s="1548"/>
      <c r="M10" s="969"/>
      <c r="N10" s="969"/>
    </row>
    <row r="11" spans="1:16" ht="21" customHeight="1">
      <c r="A11" s="2371" t="s">
        <v>1533</v>
      </c>
      <c r="B11" s="2372" t="s">
        <v>1544</v>
      </c>
      <c r="C11" s="2860" t="s">
        <v>1551</v>
      </c>
      <c r="D11" s="1454"/>
      <c r="E11" s="1857"/>
      <c r="F11" s="1858"/>
      <c r="G11" s="620"/>
      <c r="H11" s="36"/>
      <c r="I11" s="1857"/>
      <c r="J11" s="1858"/>
      <c r="K11" s="1859"/>
      <c r="L11" s="1548"/>
      <c r="M11" s="2662"/>
      <c r="N11" s="2662"/>
      <c r="P11" s="2863" t="s">
        <v>1706</v>
      </c>
    </row>
    <row r="12" spans="1:16" ht="21" customHeight="1">
      <c r="A12" s="2369" t="s">
        <v>1533</v>
      </c>
      <c r="B12" s="2370" t="s">
        <v>1544</v>
      </c>
      <c r="C12" s="2861" t="s">
        <v>1613</v>
      </c>
      <c r="D12" s="1454"/>
      <c r="E12" s="30"/>
      <c r="F12" s="619"/>
      <c r="G12" s="620"/>
      <c r="H12" s="36"/>
      <c r="I12" s="30"/>
      <c r="J12" s="619"/>
      <c r="K12" s="621"/>
      <c r="L12" s="1548"/>
      <c r="M12" s="969"/>
      <c r="N12" s="969"/>
      <c r="P12" s="2863" t="s">
        <v>1706</v>
      </c>
    </row>
    <row r="13" spans="1:16" ht="21" customHeight="1">
      <c r="A13" s="2369" t="s">
        <v>1534</v>
      </c>
      <c r="B13" s="2370" t="s">
        <v>1542</v>
      </c>
      <c r="C13" s="2861" t="s">
        <v>1551</v>
      </c>
      <c r="D13" s="610"/>
      <c r="E13" s="32"/>
      <c r="F13" s="611"/>
      <c r="G13" s="612"/>
      <c r="H13" s="37"/>
      <c r="I13" s="32"/>
      <c r="J13" s="611"/>
      <c r="K13" s="613"/>
      <c r="L13" s="1549"/>
      <c r="M13" s="969"/>
      <c r="N13" s="969"/>
      <c r="P13" s="2863" t="s">
        <v>1706</v>
      </c>
    </row>
    <row r="14" spans="1:16" ht="21" customHeight="1">
      <c r="A14" s="2369" t="s">
        <v>1535</v>
      </c>
      <c r="B14" s="2370" t="s">
        <v>1545</v>
      </c>
      <c r="C14" s="2647" t="s">
        <v>1551</v>
      </c>
      <c r="D14" s="610"/>
      <c r="E14" s="32"/>
      <c r="F14" s="611"/>
      <c r="G14" s="612"/>
      <c r="H14" s="37"/>
      <c r="I14" s="32"/>
      <c r="J14" s="611"/>
      <c r="K14" s="613"/>
      <c r="L14" s="1549"/>
      <c r="M14" s="969"/>
      <c r="N14" s="969"/>
    </row>
    <row r="15" spans="1:16" ht="21" customHeight="1">
      <c r="A15" s="2369" t="s">
        <v>1535</v>
      </c>
      <c r="B15" s="2370" t="s">
        <v>1545</v>
      </c>
      <c r="C15" s="2647" t="s">
        <v>1553</v>
      </c>
      <c r="D15" s="2656"/>
      <c r="E15" s="2297"/>
      <c r="F15" s="2657"/>
      <c r="G15" s="2658"/>
      <c r="H15" s="2298"/>
      <c r="I15" s="2297"/>
      <c r="J15" s="2657"/>
      <c r="K15" s="2659"/>
      <c r="L15" s="2660"/>
      <c r="M15" s="2661"/>
      <c r="N15" s="2661"/>
    </row>
    <row r="16" spans="1:16" ht="21" customHeight="1">
      <c r="A16" s="2369" t="s">
        <v>1536</v>
      </c>
      <c r="B16" s="2370" t="s">
        <v>1546</v>
      </c>
      <c r="C16" s="2647" t="s">
        <v>1551</v>
      </c>
      <c r="D16" s="2656"/>
      <c r="E16" s="2297"/>
      <c r="F16" s="2657"/>
      <c r="G16" s="2658"/>
      <c r="H16" s="2298"/>
      <c r="I16" s="2297"/>
      <c r="J16" s="2657"/>
      <c r="K16" s="2659"/>
      <c r="L16" s="2660"/>
      <c r="M16" s="2661"/>
      <c r="N16" s="2661"/>
    </row>
    <row r="17" spans="1:20" ht="21" customHeight="1">
      <c r="A17" s="2371" t="s">
        <v>1537</v>
      </c>
      <c r="B17" s="2372" t="s">
        <v>1547</v>
      </c>
      <c r="C17" s="2648" t="s">
        <v>1553</v>
      </c>
      <c r="D17" s="2656"/>
      <c r="E17" s="2297"/>
      <c r="F17" s="2657"/>
      <c r="G17" s="2658"/>
      <c r="H17" s="2298"/>
      <c r="I17" s="2297"/>
      <c r="J17" s="2657"/>
      <c r="K17" s="2659"/>
      <c r="L17" s="2660"/>
      <c r="M17" s="2661"/>
      <c r="N17" s="2661"/>
    </row>
    <row r="18" spans="1:20" ht="21" customHeight="1">
      <c r="A18" s="2371" t="s">
        <v>1538</v>
      </c>
      <c r="B18" s="2372" t="s">
        <v>1548</v>
      </c>
      <c r="C18" s="2648" t="s">
        <v>1528</v>
      </c>
      <c r="D18" s="2656"/>
      <c r="E18" s="2297"/>
      <c r="F18" s="2657"/>
      <c r="G18" s="2658"/>
      <c r="H18" s="2298"/>
      <c r="I18" s="2297"/>
      <c r="J18" s="2657"/>
      <c r="K18" s="2659"/>
      <c r="L18" s="2660"/>
      <c r="M18" s="2661"/>
      <c r="N18" s="2661"/>
    </row>
    <row r="19" spans="1:20" ht="21" customHeight="1">
      <c r="A19" s="2371" t="s">
        <v>1538</v>
      </c>
      <c r="B19" s="2372" t="s">
        <v>1548</v>
      </c>
      <c r="C19" s="2648" t="s">
        <v>1666</v>
      </c>
      <c r="D19" s="2656"/>
      <c r="E19" s="2297"/>
      <c r="F19" s="2657"/>
      <c r="G19" s="2658"/>
      <c r="H19" s="2298"/>
      <c r="I19" s="2297"/>
      <c r="J19" s="2657"/>
      <c r="K19" s="2659"/>
      <c r="L19" s="2660"/>
      <c r="M19" s="2661"/>
      <c r="N19" s="2661"/>
    </row>
    <row r="20" spans="1:20" ht="21" customHeight="1">
      <c r="A20" s="2371" t="s">
        <v>1539</v>
      </c>
      <c r="B20" s="2372" t="s">
        <v>1549</v>
      </c>
      <c r="C20" s="2648" t="s">
        <v>1551</v>
      </c>
      <c r="D20" s="610"/>
      <c r="E20" s="32"/>
      <c r="F20" s="611"/>
      <c r="G20" s="612"/>
      <c r="H20" s="37"/>
      <c r="I20" s="32"/>
      <c r="J20" s="611"/>
      <c r="K20" s="613"/>
      <c r="L20" s="1549"/>
      <c r="M20" s="969"/>
      <c r="N20" s="969"/>
    </row>
    <row r="21" spans="1:20" ht="21" customHeight="1" thickBot="1">
      <c r="A21" s="2393" t="s">
        <v>1539</v>
      </c>
      <c r="B21" s="2634" t="s">
        <v>1549</v>
      </c>
      <c r="C21" s="2649" t="s">
        <v>1613</v>
      </c>
      <c r="D21" s="610"/>
      <c r="E21" s="32"/>
      <c r="F21" s="611"/>
      <c r="G21" s="612"/>
      <c r="H21" s="37"/>
      <c r="I21" s="32"/>
      <c r="J21" s="611"/>
      <c r="K21" s="613"/>
      <c r="L21" s="1549"/>
      <c r="M21" s="969"/>
      <c r="N21" s="969"/>
    </row>
    <row r="22" spans="1:20" ht="21" customHeight="1" thickBot="1">
      <c r="A22" s="40"/>
      <c r="B22" s="2206" t="s">
        <v>1474</v>
      </c>
      <c r="C22" s="1456"/>
      <c r="D22" s="1455">
        <f t="shared" ref="D22:K22" si="0">SUM(D6:D11,D12:D21)</f>
        <v>7</v>
      </c>
      <c r="E22" s="2795">
        <f t="shared" si="0"/>
        <v>3</v>
      </c>
      <c r="F22" s="2795">
        <f t="shared" si="0"/>
        <v>0</v>
      </c>
      <c r="G22" s="2795">
        <f t="shared" si="0"/>
        <v>10</v>
      </c>
      <c r="H22" s="1455">
        <f t="shared" si="0"/>
        <v>2</v>
      </c>
      <c r="I22" s="2795">
        <f t="shared" si="0"/>
        <v>45</v>
      </c>
      <c r="J22" s="2795">
        <f t="shared" si="0"/>
        <v>1</v>
      </c>
      <c r="K22" s="2795">
        <f t="shared" si="0"/>
        <v>48</v>
      </c>
      <c r="L22" s="1455">
        <f t="shared" ref="L22:N22" si="1">SUM(L6:L11,L12:L21)</f>
        <v>2</v>
      </c>
      <c r="M22" s="1455">
        <f t="shared" si="1"/>
        <v>1</v>
      </c>
      <c r="N22" s="1455">
        <f t="shared" si="1"/>
        <v>0</v>
      </c>
    </row>
    <row r="23" spans="1:20">
      <c r="A23" s="42"/>
      <c r="B23" s="42"/>
      <c r="C23" s="42"/>
      <c r="D23" s="7"/>
      <c r="E23" s="7"/>
      <c r="F23" s="11"/>
      <c r="G23" s="11"/>
      <c r="H23" s="7"/>
      <c r="I23" s="7"/>
      <c r="J23" s="7"/>
      <c r="K23" s="7"/>
      <c r="L23" s="7"/>
    </row>
    <row r="24" spans="1:20" ht="13.5" thickBot="1">
      <c r="Q24" s="2131" t="s">
        <v>1421</v>
      </c>
      <c r="R24" s="2131" t="s">
        <v>1421</v>
      </c>
      <c r="S24" s="2131" t="s">
        <v>1421</v>
      </c>
    </row>
    <row r="25" spans="1:20" ht="19.149999999999999" customHeight="1" thickBot="1">
      <c r="A25" s="3178" t="s">
        <v>0</v>
      </c>
      <c r="B25" s="3180" t="s">
        <v>218</v>
      </c>
      <c r="C25" s="1457"/>
      <c r="D25" s="3182" t="s">
        <v>889</v>
      </c>
      <c r="E25" s="3183"/>
      <c r="F25" s="3183"/>
      <c r="G25" s="3183"/>
      <c r="H25" s="3183"/>
      <c r="I25" s="3183"/>
      <c r="J25" s="3184" t="s">
        <v>890</v>
      </c>
      <c r="K25" s="3183"/>
      <c r="L25" s="3183"/>
      <c r="M25" s="3183"/>
      <c r="N25" s="3183"/>
      <c r="O25" s="3183"/>
      <c r="P25" s="3170" t="s">
        <v>891</v>
      </c>
      <c r="Q25" s="3170" t="s">
        <v>1423</v>
      </c>
      <c r="R25" s="3172" t="s">
        <v>1195</v>
      </c>
      <c r="S25" s="3172" t="s">
        <v>1196</v>
      </c>
    </row>
    <row r="26" spans="1:20" ht="75" customHeight="1" thickBot="1">
      <c r="A26" s="3179"/>
      <c r="B26" s="3181"/>
      <c r="C26" s="1519" t="s">
        <v>1167</v>
      </c>
      <c r="D26" s="1520" t="s">
        <v>150</v>
      </c>
      <c r="E26" s="52" t="s">
        <v>892</v>
      </c>
      <c r="F26" s="634" t="s">
        <v>893</v>
      </c>
      <c r="G26" s="52" t="s">
        <v>894</v>
      </c>
      <c r="H26" s="634" t="s">
        <v>144</v>
      </c>
      <c r="I26" s="783" t="s">
        <v>145</v>
      </c>
      <c r="J26" s="1521" t="s">
        <v>895</v>
      </c>
      <c r="K26" s="959" t="s">
        <v>896</v>
      </c>
      <c r="L26" s="1458" t="s">
        <v>897</v>
      </c>
      <c r="M26" s="1458" t="s">
        <v>898</v>
      </c>
      <c r="N26" s="1458" t="s">
        <v>144</v>
      </c>
      <c r="O26" s="719" t="s">
        <v>145</v>
      </c>
      <c r="P26" s="3177"/>
      <c r="Q26" s="3171"/>
      <c r="R26" s="3173"/>
      <c r="S26" s="3173"/>
    </row>
    <row r="27" spans="1:20" ht="21" customHeight="1">
      <c r="A27" s="404" t="s">
        <v>1529</v>
      </c>
      <c r="B27" s="2367" t="s">
        <v>1540</v>
      </c>
      <c r="C27" s="2645" t="s">
        <v>1526</v>
      </c>
      <c r="D27" s="1534">
        <f>'4_Operative Zugausfälle'!B12</f>
        <v>0</v>
      </c>
      <c r="E27" s="1866">
        <f>'4_Operative Zugausfälle'!B8</f>
        <v>71.817999999999998</v>
      </c>
      <c r="F27" s="1535">
        <f>'4_Operative Zugausfälle'!B9</f>
        <v>0</v>
      </c>
      <c r="G27" s="1532">
        <f>'4_Operative Zugausfälle'!B10</f>
        <v>0</v>
      </c>
      <c r="H27" s="1533">
        <f>'4_Operative Zugausfälle'!B11</f>
        <v>0</v>
      </c>
      <c r="I27" s="1528">
        <f>SUM(D27:H27)</f>
        <v>71.817999999999998</v>
      </c>
      <c r="J27" s="1545">
        <f>'5_Planmäßige Zugausfälle '!B12</f>
        <v>0</v>
      </c>
      <c r="K27" s="1531">
        <f>'5_Planmäßige Zugausfälle '!B8</f>
        <v>62.884999999999998</v>
      </c>
      <c r="L27" s="1531">
        <f>'5_Planmäßige Zugausfälle '!B9</f>
        <v>0</v>
      </c>
      <c r="M27" s="1551">
        <f>'5_Planmäßige Zugausfälle '!B10</f>
        <v>0</v>
      </c>
      <c r="N27" s="1552">
        <f>'5_Planmäßige Zugausfälle '!B11</f>
        <v>0</v>
      </c>
      <c r="O27" s="1553">
        <f>SUM(J27:N27)</f>
        <v>62.884999999999998</v>
      </c>
      <c r="P27" s="1554">
        <f>SUM(I27,O27)</f>
        <v>134.703</v>
      </c>
      <c r="Q27" s="1569">
        <f>'6a_Verspätungsausfälle &gt;Takt'!G10</f>
        <v>10.106999999999999</v>
      </c>
      <c r="R27" s="1570">
        <f>'6b_Abfahrten vor Plan'!H10</f>
        <v>12.577</v>
      </c>
      <c r="S27" s="1570">
        <v>0</v>
      </c>
    </row>
    <row r="28" spans="1:20" ht="21" customHeight="1">
      <c r="A28" s="187" t="s">
        <v>1529</v>
      </c>
      <c r="B28" s="2368" t="s">
        <v>1540</v>
      </c>
      <c r="C28" s="2646" t="s">
        <v>1527</v>
      </c>
      <c r="D28" s="1536"/>
      <c r="E28" s="1542"/>
      <c r="F28" s="1538"/>
      <c r="G28" s="1532"/>
      <c r="H28" s="1539"/>
      <c r="I28" s="1529"/>
      <c r="J28" s="1860"/>
      <c r="K28" s="1532"/>
      <c r="L28" s="1532"/>
      <c r="M28" s="1861"/>
      <c r="N28" s="1862"/>
      <c r="O28" s="1863"/>
      <c r="P28" s="1864"/>
      <c r="Q28" s="1571"/>
      <c r="R28" s="1570"/>
      <c r="S28" s="1570"/>
    </row>
    <row r="29" spans="1:20" ht="21" customHeight="1">
      <c r="A29" s="187" t="s">
        <v>1530</v>
      </c>
      <c r="B29" s="2368" t="s">
        <v>1541</v>
      </c>
      <c r="C29" s="2646" t="s">
        <v>1527</v>
      </c>
      <c r="D29" s="1536"/>
      <c r="E29" s="1542"/>
      <c r="F29" s="1538"/>
      <c r="G29" s="1532"/>
      <c r="H29" s="1539"/>
      <c r="I29" s="1529"/>
      <c r="J29" s="1860"/>
      <c r="K29" s="1532"/>
      <c r="L29" s="1532"/>
      <c r="M29" s="1861"/>
      <c r="N29" s="1862"/>
      <c r="O29" s="1863"/>
      <c r="P29" s="1864"/>
      <c r="Q29" s="1571"/>
      <c r="R29" s="1570"/>
      <c r="S29" s="1570"/>
    </row>
    <row r="30" spans="1:20" ht="21" customHeight="1">
      <c r="A30" s="2369" t="s">
        <v>1531</v>
      </c>
      <c r="B30" s="2370" t="s">
        <v>1542</v>
      </c>
      <c r="C30" s="2647" t="s">
        <v>1526</v>
      </c>
      <c r="D30" s="1536"/>
      <c r="E30" s="1537"/>
      <c r="F30" s="1538"/>
      <c r="G30" s="1532"/>
      <c r="H30" s="1539"/>
      <c r="I30" s="1529"/>
      <c r="J30" s="1546"/>
      <c r="K30" s="1542"/>
      <c r="L30" s="1542"/>
      <c r="M30" s="1555"/>
      <c r="N30" s="1556"/>
      <c r="O30" s="1557"/>
      <c r="P30" s="1558"/>
      <c r="Q30" s="1571"/>
      <c r="R30" s="1572"/>
      <c r="S30" s="1572"/>
    </row>
    <row r="31" spans="1:20" ht="21" customHeight="1">
      <c r="A31" s="2369" t="s">
        <v>1532</v>
      </c>
      <c r="B31" s="2370" t="s">
        <v>1543</v>
      </c>
      <c r="C31" s="2647" t="s">
        <v>1552</v>
      </c>
      <c r="D31" s="1536"/>
      <c r="E31" s="1865"/>
      <c r="F31" s="1538"/>
      <c r="G31" s="1532"/>
      <c r="H31" s="1539"/>
      <c r="I31" s="1529"/>
      <c r="J31" s="1546"/>
      <c r="K31" s="1542"/>
      <c r="L31" s="1542"/>
      <c r="M31" s="1555"/>
      <c r="N31" s="1556"/>
      <c r="O31" s="1557"/>
      <c r="P31" s="1558"/>
      <c r="Q31" s="1571"/>
      <c r="R31" s="1572"/>
      <c r="S31" s="1572"/>
    </row>
    <row r="32" spans="1:20" ht="21" customHeight="1">
      <c r="A32" s="2371" t="s">
        <v>1533</v>
      </c>
      <c r="B32" s="2372" t="s">
        <v>1544</v>
      </c>
      <c r="C32" s="2860" t="s">
        <v>1551</v>
      </c>
      <c r="D32" s="1536"/>
      <c r="E32" s="2663"/>
      <c r="F32" s="1538"/>
      <c r="G32" s="1532"/>
      <c r="H32" s="1539"/>
      <c r="I32" s="1529"/>
      <c r="J32" s="2400"/>
      <c r="K32" s="2401"/>
      <c r="L32" s="2401"/>
      <c r="M32" s="2664"/>
      <c r="N32" s="2665"/>
      <c r="O32" s="2666"/>
      <c r="P32" s="2667"/>
      <c r="Q32" s="1571"/>
      <c r="R32" s="2668"/>
      <c r="S32" s="2668"/>
      <c r="T32" s="2863" t="s">
        <v>1706</v>
      </c>
    </row>
    <row r="33" spans="1:20" ht="21" customHeight="1">
      <c r="A33" s="2369" t="s">
        <v>1533</v>
      </c>
      <c r="B33" s="2370" t="s">
        <v>1544</v>
      </c>
      <c r="C33" s="2861" t="s">
        <v>1613</v>
      </c>
      <c r="D33" s="1536"/>
      <c r="E33" s="1540"/>
      <c r="F33" s="1538"/>
      <c r="G33" s="1532"/>
      <c r="H33" s="1539"/>
      <c r="I33" s="1529"/>
      <c r="J33" s="1546"/>
      <c r="K33" s="1542"/>
      <c r="L33" s="1542"/>
      <c r="M33" s="1555"/>
      <c r="N33" s="1556"/>
      <c r="O33" s="1557"/>
      <c r="P33" s="1558"/>
      <c r="Q33" s="1571"/>
      <c r="R33" s="1572"/>
      <c r="S33" s="1572"/>
      <c r="T33" s="2863" t="s">
        <v>1706</v>
      </c>
    </row>
    <row r="34" spans="1:20" ht="21" customHeight="1">
      <c r="A34" s="2369" t="s">
        <v>1534</v>
      </c>
      <c r="B34" s="2370" t="s">
        <v>1542</v>
      </c>
      <c r="C34" s="2861" t="s">
        <v>1566</v>
      </c>
      <c r="D34" s="1536"/>
      <c r="E34" s="1532"/>
      <c r="F34" s="1538"/>
      <c r="G34" s="1532"/>
      <c r="H34" s="2399"/>
      <c r="I34" s="1529"/>
      <c r="J34" s="2400"/>
      <c r="K34" s="2401"/>
      <c r="L34" s="2401"/>
      <c r="M34" s="2402"/>
      <c r="N34" s="2403"/>
      <c r="O34" s="2404"/>
      <c r="P34" s="2405"/>
      <c r="Q34" s="1571"/>
      <c r="R34" s="2406"/>
      <c r="S34" s="2406"/>
      <c r="T34" s="2863" t="s">
        <v>1706</v>
      </c>
    </row>
    <row r="35" spans="1:20" ht="21" customHeight="1">
      <c r="A35" s="2369" t="s">
        <v>1535</v>
      </c>
      <c r="B35" s="2370" t="s">
        <v>1545</v>
      </c>
      <c r="C35" s="2647" t="s">
        <v>1551</v>
      </c>
      <c r="D35" s="1536"/>
      <c r="E35" s="1532"/>
      <c r="F35" s="1538"/>
      <c r="G35" s="1532"/>
      <c r="H35" s="2399"/>
      <c r="I35" s="1529"/>
      <c r="J35" s="2400"/>
      <c r="K35" s="2401"/>
      <c r="L35" s="2401"/>
      <c r="M35" s="2402"/>
      <c r="N35" s="2403"/>
      <c r="O35" s="2404"/>
      <c r="P35" s="2405"/>
      <c r="Q35" s="1571"/>
      <c r="R35" s="2406"/>
      <c r="S35" s="2406"/>
    </row>
    <row r="36" spans="1:20" ht="21" customHeight="1">
      <c r="A36" s="2369" t="s">
        <v>1535</v>
      </c>
      <c r="B36" s="2370" t="s">
        <v>1545</v>
      </c>
      <c r="C36" s="2647" t="s">
        <v>1553</v>
      </c>
      <c r="D36" s="1536"/>
      <c r="E36" s="1532"/>
      <c r="F36" s="1538"/>
      <c r="G36" s="1532"/>
      <c r="H36" s="2399"/>
      <c r="I36" s="1529"/>
      <c r="J36" s="2400"/>
      <c r="K36" s="2401"/>
      <c r="L36" s="2401"/>
      <c r="M36" s="2402"/>
      <c r="N36" s="2403"/>
      <c r="O36" s="2404"/>
      <c r="P36" s="2405"/>
      <c r="Q36" s="1571"/>
      <c r="R36" s="2406"/>
      <c r="S36" s="2406"/>
    </row>
    <row r="37" spans="1:20" ht="21" customHeight="1">
      <c r="A37" s="2369" t="s">
        <v>1536</v>
      </c>
      <c r="B37" s="2370" t="s">
        <v>1546</v>
      </c>
      <c r="C37" s="2647" t="s">
        <v>1551</v>
      </c>
      <c r="D37" s="2397"/>
      <c r="E37" s="1540"/>
      <c r="F37" s="2398"/>
      <c r="G37" s="1540"/>
      <c r="H37" s="2399"/>
      <c r="I37" s="1529"/>
      <c r="J37" s="2400"/>
      <c r="K37" s="2401"/>
      <c r="L37" s="2401"/>
      <c r="M37" s="2402"/>
      <c r="N37" s="2403"/>
      <c r="O37" s="2404"/>
      <c r="P37" s="2405"/>
      <c r="Q37" s="1571"/>
      <c r="R37" s="2406"/>
      <c r="S37" s="2406"/>
    </row>
    <row r="38" spans="1:20" ht="21" customHeight="1">
      <c r="A38" s="2371" t="s">
        <v>1537</v>
      </c>
      <c r="B38" s="2372" t="s">
        <v>1547</v>
      </c>
      <c r="C38" s="2648" t="s">
        <v>1553</v>
      </c>
      <c r="D38" s="1541"/>
      <c r="E38" s="1542"/>
      <c r="F38" s="1543"/>
      <c r="G38" s="1542"/>
      <c r="H38" s="1544"/>
      <c r="I38" s="1530"/>
      <c r="J38" s="1546"/>
      <c r="K38" s="1542"/>
      <c r="L38" s="1542"/>
      <c r="M38" s="1555"/>
      <c r="N38" s="1556"/>
      <c r="O38" s="1557"/>
      <c r="P38" s="1558"/>
      <c r="Q38" s="1573"/>
      <c r="R38" s="1572"/>
      <c r="S38" s="1572"/>
    </row>
    <row r="39" spans="1:20" ht="21" customHeight="1">
      <c r="A39" s="2371" t="s">
        <v>1538</v>
      </c>
      <c r="B39" s="2372" t="s">
        <v>1548</v>
      </c>
      <c r="C39" s="2648" t="s">
        <v>1528</v>
      </c>
      <c r="D39" s="1541"/>
      <c r="E39" s="1542"/>
      <c r="F39" s="1543"/>
      <c r="G39" s="1542"/>
      <c r="H39" s="1544"/>
      <c r="I39" s="1530"/>
      <c r="J39" s="1546"/>
      <c r="K39" s="1542"/>
      <c r="L39" s="1542"/>
      <c r="M39" s="1555"/>
      <c r="N39" s="1556"/>
      <c r="O39" s="1557"/>
      <c r="P39" s="1558"/>
      <c r="Q39" s="1573"/>
      <c r="R39" s="1572"/>
      <c r="S39" s="1572"/>
    </row>
    <row r="40" spans="1:20" ht="21" customHeight="1">
      <c r="A40" s="2371" t="s">
        <v>1538</v>
      </c>
      <c r="B40" s="2372" t="s">
        <v>1548</v>
      </c>
      <c r="C40" s="2648" t="s">
        <v>1666</v>
      </c>
      <c r="D40" s="2790"/>
      <c r="E40" s="2401"/>
      <c r="F40" s="2791"/>
      <c r="G40" s="2401"/>
      <c r="H40" s="2792"/>
      <c r="I40" s="2793"/>
      <c r="J40" s="2400"/>
      <c r="K40" s="2401"/>
      <c r="L40" s="2401"/>
      <c r="M40" s="2402"/>
      <c r="N40" s="2403"/>
      <c r="O40" s="2404"/>
      <c r="P40" s="2405"/>
      <c r="Q40" s="2794"/>
      <c r="R40" s="2406"/>
      <c r="S40" s="2406"/>
    </row>
    <row r="41" spans="1:20" ht="21" customHeight="1">
      <c r="A41" s="2371" t="s">
        <v>1539</v>
      </c>
      <c r="B41" s="2372" t="s">
        <v>1549</v>
      </c>
      <c r="C41" s="2648" t="s">
        <v>1551</v>
      </c>
      <c r="D41" s="1541"/>
      <c r="E41" s="1542"/>
      <c r="F41" s="1543"/>
      <c r="G41" s="1542"/>
      <c r="H41" s="1544"/>
      <c r="I41" s="1530"/>
      <c r="J41" s="1546"/>
      <c r="K41" s="1542"/>
      <c r="L41" s="1542"/>
      <c r="M41" s="1555"/>
      <c r="N41" s="1556"/>
      <c r="O41" s="1557"/>
      <c r="P41" s="1558"/>
      <c r="Q41" s="1573"/>
      <c r="R41" s="1572"/>
      <c r="S41" s="1572"/>
    </row>
    <row r="42" spans="1:20" ht="21" customHeight="1" thickBot="1">
      <c r="A42" s="2393" t="s">
        <v>1539</v>
      </c>
      <c r="B42" s="2634" t="s">
        <v>1549</v>
      </c>
      <c r="C42" s="2649" t="s">
        <v>1613</v>
      </c>
      <c r="D42" s="1541"/>
      <c r="E42" s="1542"/>
      <c r="F42" s="1543"/>
      <c r="G42" s="1542"/>
      <c r="H42" s="1544"/>
      <c r="I42" s="1530"/>
      <c r="J42" s="1546"/>
      <c r="K42" s="1542"/>
      <c r="L42" s="1542"/>
      <c r="M42" s="1555"/>
      <c r="N42" s="1556"/>
      <c r="O42" s="1557"/>
      <c r="P42" s="1558"/>
      <c r="Q42" s="1573"/>
      <c r="R42" s="1572"/>
      <c r="S42" s="1572"/>
    </row>
    <row r="43" spans="1:20" ht="21" customHeight="1" thickBot="1">
      <c r="A43" s="40"/>
      <c r="B43" s="2206" t="s">
        <v>1475</v>
      </c>
      <c r="C43" s="1456"/>
      <c r="D43" s="1522">
        <f t="shared" ref="D43:S43" si="2">SUM(D27:D32,D33:D42)</f>
        <v>0</v>
      </c>
      <c r="E43" s="1523">
        <f t="shared" si="2"/>
        <v>71.817999999999998</v>
      </c>
      <c r="F43" s="1524">
        <f t="shared" si="2"/>
        <v>0</v>
      </c>
      <c r="G43" s="1523">
        <f t="shared" si="2"/>
        <v>0</v>
      </c>
      <c r="H43" s="1525">
        <f t="shared" si="2"/>
        <v>0</v>
      </c>
      <c r="I43" s="1526">
        <f t="shared" si="2"/>
        <v>71.817999999999998</v>
      </c>
      <c r="J43" s="1527">
        <f t="shared" si="2"/>
        <v>0</v>
      </c>
      <c r="K43" s="1523">
        <f t="shared" si="2"/>
        <v>62.884999999999998</v>
      </c>
      <c r="L43" s="1559">
        <f t="shared" si="2"/>
        <v>0</v>
      </c>
      <c r="M43" s="1559">
        <f t="shared" si="2"/>
        <v>0</v>
      </c>
      <c r="N43" s="1560">
        <f t="shared" si="2"/>
        <v>0</v>
      </c>
      <c r="O43" s="1561">
        <f t="shared" si="2"/>
        <v>62.884999999999998</v>
      </c>
      <c r="P43" s="1562">
        <f t="shared" si="2"/>
        <v>134.703</v>
      </c>
      <c r="Q43" s="1574">
        <f t="shared" si="2"/>
        <v>10.106999999999999</v>
      </c>
      <c r="R43" s="1575">
        <f t="shared" si="2"/>
        <v>12.577</v>
      </c>
      <c r="S43" s="1575">
        <f t="shared" si="2"/>
        <v>0</v>
      </c>
    </row>
    <row r="44" spans="1:20" ht="21" customHeight="1">
      <c r="A44" s="42"/>
      <c r="B44" s="42"/>
      <c r="C44" s="42"/>
      <c r="D44" s="7"/>
      <c r="E44" s="11"/>
      <c r="F44" s="11"/>
      <c r="G44" s="7"/>
      <c r="H44" s="7"/>
      <c r="I44" s="7"/>
      <c r="J44" s="7"/>
      <c r="K44" s="7"/>
    </row>
    <row r="45" spans="1:20" ht="20.85" customHeight="1">
      <c r="A45" s="194" t="s">
        <v>219</v>
      </c>
      <c r="B45" s="195" t="s">
        <v>224</v>
      </c>
      <c r="C45" s="195"/>
    </row>
    <row r="46" spans="1:20">
      <c r="A46" s="622"/>
      <c r="B46" s="195" t="s">
        <v>1645</v>
      </c>
      <c r="C46" s="622"/>
      <c r="I46" s="3056" t="s">
        <v>899</v>
      </c>
      <c r="J46" s="3057"/>
      <c r="K46" s="3057"/>
    </row>
    <row r="47" spans="1:20">
      <c r="D47" s="197"/>
      <c r="I47" s="3057"/>
      <c r="J47" s="3057"/>
      <c r="K47" s="3057"/>
    </row>
    <row r="48" spans="1:20">
      <c r="A48" s="335" t="s">
        <v>1434</v>
      </c>
      <c r="B48" s="335" t="s">
        <v>1435</v>
      </c>
      <c r="D48" s="197"/>
      <c r="I48" s="3057"/>
      <c r="J48" s="3057"/>
      <c r="K48" s="3057"/>
    </row>
    <row r="49" spans="1:11">
      <c r="A49" s="335" t="s">
        <v>1554</v>
      </c>
      <c r="B49" s="335" t="s">
        <v>1550</v>
      </c>
      <c r="C49" s="2196" t="s">
        <v>1442</v>
      </c>
      <c r="D49" s="716"/>
      <c r="E49" s="716"/>
      <c r="F49" s="716"/>
      <c r="G49" s="716"/>
      <c r="I49" s="3057"/>
      <c r="J49" s="3057"/>
      <c r="K49" s="3057"/>
    </row>
    <row r="50" spans="1:11">
      <c r="D50" s="221"/>
      <c r="E50" s="221"/>
      <c r="F50" s="221"/>
      <c r="G50" s="221"/>
      <c r="I50" s="3057"/>
      <c r="J50" s="3057"/>
      <c r="K50" s="3057"/>
    </row>
    <row r="51" spans="1:11">
      <c r="A51" s="194" t="s">
        <v>149</v>
      </c>
    </row>
    <row r="52" spans="1:11">
      <c r="A52" s="195" t="s">
        <v>1192</v>
      </c>
      <c r="D52" s="716"/>
      <c r="E52" s="716"/>
      <c r="F52" s="716"/>
      <c r="G52" s="716"/>
    </row>
    <row r="53" spans="1:11" ht="12.75" customHeight="1">
      <c r="A53" s="3174" t="s">
        <v>220</v>
      </c>
      <c r="B53" s="3175"/>
      <c r="C53" s="3175"/>
      <c r="D53" s="3042"/>
      <c r="E53" s="3042"/>
      <c r="F53" s="3042"/>
      <c r="G53" s="3042"/>
      <c r="H53" s="3042"/>
      <c r="I53" s="3042"/>
    </row>
    <row r="54" spans="1:11">
      <c r="A54" s="3042"/>
      <c r="B54" s="3042"/>
      <c r="C54" s="3042"/>
      <c r="D54" s="3042"/>
      <c r="E54" s="3042"/>
      <c r="F54" s="3042"/>
      <c r="G54" s="3042"/>
      <c r="H54" s="3042"/>
      <c r="I54" s="3042"/>
    </row>
    <row r="55" spans="1:11" ht="12.75" customHeight="1">
      <c r="A55" s="3176" t="s">
        <v>221</v>
      </c>
      <c r="B55" s="3042"/>
      <c r="C55" s="3042"/>
      <c r="D55" s="3042"/>
      <c r="E55" s="3042"/>
      <c r="F55" s="3042"/>
      <c r="G55" s="3042"/>
      <c r="H55" s="3042"/>
      <c r="I55" s="3042"/>
    </row>
    <row r="56" spans="1:11">
      <c r="A56" s="3042"/>
      <c r="B56" s="3042"/>
      <c r="C56" s="3042"/>
      <c r="D56" s="3042"/>
      <c r="E56" s="3042"/>
      <c r="F56" s="3042"/>
      <c r="G56" s="3042"/>
      <c r="H56" s="3042"/>
      <c r="I56" s="3042"/>
    </row>
    <row r="57" spans="1:11" ht="12.75" customHeight="1">
      <c r="A57" s="3174" t="s">
        <v>222</v>
      </c>
      <c r="B57" s="3042"/>
      <c r="C57" s="3042"/>
      <c r="D57" s="3042"/>
      <c r="E57" s="3042"/>
      <c r="F57" s="3042"/>
      <c r="G57" s="3042"/>
      <c r="H57" s="3042"/>
      <c r="I57" s="3042"/>
    </row>
    <row r="58" spans="1:11">
      <c r="A58" s="3042"/>
      <c r="B58" s="3042"/>
      <c r="C58" s="3042"/>
      <c r="D58" s="3042"/>
      <c r="E58" s="3042"/>
      <c r="F58" s="3042"/>
      <c r="G58" s="3042"/>
      <c r="H58" s="3042"/>
      <c r="I58" s="3042"/>
    </row>
  </sheetData>
  <sheetProtection algorithmName="SHA-512" hashValue="CukJASKxLGrxBQng5ogcZdKyhgHl0ner13NuKkpk6dSLMFDW8AqEf1YNwjmDr9CR+6MwLfcZv1mEMtx+Hbu1fQ==" saltValue="1fOvff8F5RT3jOCZWEiCHA==" spinCount="100000" sheet="1" objects="1" scenarios="1"/>
  <mergeCells count="22">
    <mergeCell ref="A1:K1"/>
    <mergeCell ref="A2:K2"/>
    <mergeCell ref="A4:A5"/>
    <mergeCell ref="D4:G4"/>
    <mergeCell ref="H4:K4"/>
    <mergeCell ref="C4:C5"/>
    <mergeCell ref="A57:I58"/>
    <mergeCell ref="L4:L5"/>
    <mergeCell ref="I46:K50"/>
    <mergeCell ref="A25:A26"/>
    <mergeCell ref="B25:B26"/>
    <mergeCell ref="B4:B5"/>
    <mergeCell ref="D25:I25"/>
    <mergeCell ref="J25:O25"/>
    <mergeCell ref="M4:M5"/>
    <mergeCell ref="N4:N5"/>
    <mergeCell ref="Q25:Q26"/>
    <mergeCell ref="R25:R26"/>
    <mergeCell ref="S25:S26"/>
    <mergeCell ref="A53:I54"/>
    <mergeCell ref="A55:I56"/>
    <mergeCell ref="P25:P26"/>
  </mergeCells>
  <conditionalFormatting sqref="F23:G23">
    <cfRule type="cellIs" dxfId="96" priority="2" stopIfTrue="1" operator="lessThan">
      <formula>95</formula>
    </cfRule>
  </conditionalFormatting>
  <conditionalFormatting sqref="E44:F44">
    <cfRule type="cellIs" dxfId="95" priority="1" stopIfTrue="1" operator="lessThan">
      <formula>95</formula>
    </cfRule>
  </conditionalFormatting>
  <pageMargins left="0.7" right="0.7" top="0.78740157499999996" bottom="0.78740157499999996" header="0.3" footer="0.3"/>
  <pageSetup paperSize="9" scale="41" fitToHeight="0" orientation="landscape" r:id="rId1"/>
  <headerFooter>
    <oddHeader>&amp;LVDV SUN Jahresschlussrechnung JJJJ&amp;R&amp;KFF0000&amp;F</oddHeader>
    <oddFooter>&amp;C&amp;P&amp;R&amp;A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O39"/>
  <sheetViews>
    <sheetView view="pageLayout" zoomScale="85" zoomScaleNormal="100" zoomScaleSheetLayoutView="90" zoomScalePageLayoutView="85" workbookViewId="0">
      <selection activeCell="O17" sqref="O17"/>
    </sheetView>
  </sheetViews>
  <sheetFormatPr baseColWidth="10" defaultRowHeight="12.75"/>
  <cols>
    <col min="1" max="1" width="17" style="13" customWidth="1"/>
    <col min="2" max="2" width="28.85546875" style="13" customWidth="1"/>
    <col min="3" max="6" width="13.140625" style="13" customWidth="1"/>
    <col min="7" max="7" width="11.28515625" style="13" customWidth="1"/>
    <col min="8" max="8" width="13.140625" customWidth="1"/>
    <col min="9" max="9" width="13.140625" style="73" customWidth="1"/>
    <col min="10" max="10" width="13.140625" style="2" customWidth="1"/>
    <col min="11" max="11" width="13.140625" style="13" customWidth="1"/>
    <col min="12" max="13" width="13.140625" customWidth="1"/>
  </cols>
  <sheetData>
    <row r="1" spans="1:15" ht="18">
      <c r="A1" s="3091" t="s">
        <v>1476</v>
      </c>
      <c r="B1" s="3091"/>
      <c r="C1" s="3091"/>
      <c r="D1" s="3091"/>
      <c r="E1" s="3091"/>
      <c r="F1" s="3091"/>
      <c r="G1" s="3091"/>
      <c r="H1" s="3091"/>
      <c r="I1" s="3091"/>
      <c r="J1" s="3091"/>
      <c r="K1" s="3091"/>
      <c r="L1" s="3091"/>
      <c r="M1" s="3091"/>
      <c r="N1" s="556"/>
      <c r="O1" s="556"/>
    </row>
    <row r="2" spans="1:15" ht="18">
      <c r="A2" s="3205" t="str">
        <f>'1a_Leistungsvolumen'!A2</f>
        <v>Monat JJJJ</v>
      </c>
      <c r="B2" s="3205"/>
      <c r="C2" s="3205"/>
      <c r="D2" s="3205"/>
      <c r="E2" s="3205"/>
      <c r="F2" s="3205"/>
      <c r="G2" s="3205"/>
      <c r="H2" s="3205"/>
      <c r="I2" s="3205"/>
      <c r="J2" s="3205"/>
      <c r="K2" s="3205"/>
      <c r="L2" s="3205"/>
      <c r="M2" s="3205"/>
      <c r="N2" s="557"/>
      <c r="O2" s="557"/>
    </row>
    <row r="3" spans="1:15" ht="13.5" thickBot="1">
      <c r="C3" s="720"/>
      <c r="D3" s="720"/>
      <c r="E3" s="720"/>
      <c r="F3" s="720"/>
    </row>
    <row r="4" spans="1:15" ht="26.25" thickBot="1">
      <c r="B4" s="2138" t="s">
        <v>1526</v>
      </c>
      <c r="C4" s="2301" t="s">
        <v>1527</v>
      </c>
      <c r="D4" s="2301" t="s">
        <v>1552</v>
      </c>
      <c r="E4" s="2301" t="s">
        <v>1551</v>
      </c>
      <c r="F4" s="2301" t="s">
        <v>1528</v>
      </c>
      <c r="G4" s="2301" t="s">
        <v>1666</v>
      </c>
      <c r="H4" s="2301" t="s">
        <v>1553</v>
      </c>
      <c r="I4" s="2301" t="s">
        <v>743</v>
      </c>
    </row>
    <row r="5" spans="1:15" ht="18.75" customHeight="1" thickBot="1">
      <c r="A5" s="416" t="s">
        <v>1161</v>
      </c>
      <c r="B5" s="721">
        <f>SUMIF(B9:B13,$B$4,M9:M13)</f>
        <v>10.106999999999999</v>
      </c>
      <c r="C5" s="721">
        <f>SUMIF(B9:B13,$C$4,M9:M13)</f>
        <v>0</v>
      </c>
      <c r="D5" s="721">
        <f>SUMIF(B9:B13,$D$4,M9:M13)</f>
        <v>0</v>
      </c>
      <c r="E5" s="721">
        <f>SUMIF(B9:B13,$E$4,M9:M13)</f>
        <v>49.997999999999998</v>
      </c>
      <c r="F5" s="721">
        <f>SUMIF(B9:B13,$F$4,M9:M13)</f>
        <v>20.795999999999999</v>
      </c>
      <c r="G5" s="721">
        <f>SUMIF(C9:C13,$G$4,N9:N13)</f>
        <v>0</v>
      </c>
      <c r="H5" s="2358">
        <f>SUMIF(B9:B13,$H$4,M9:M13)</f>
        <v>0</v>
      </c>
      <c r="I5" s="721">
        <f>SUM($B$5:$H$5)</f>
        <v>80.900999999999996</v>
      </c>
    </row>
    <row r="7" spans="1:15" s="7" customFormat="1" ht="18" customHeight="1" thickBot="1">
      <c r="A7" s="222" t="s">
        <v>204</v>
      </c>
      <c r="B7" s="222" t="s">
        <v>204</v>
      </c>
      <c r="C7" s="49"/>
      <c r="D7" s="58"/>
      <c r="E7" s="58"/>
      <c r="F7" s="163"/>
      <c r="G7" s="59"/>
      <c r="H7" s="60"/>
      <c r="I7" s="222" t="s">
        <v>204</v>
      </c>
      <c r="J7" s="972" t="s">
        <v>67</v>
      </c>
      <c r="K7" s="58"/>
      <c r="L7" s="49"/>
      <c r="M7" s="222" t="s">
        <v>204</v>
      </c>
    </row>
    <row r="8" spans="1:15" s="62" customFormat="1" ht="26.25" thickBot="1">
      <c r="A8" s="227" t="s">
        <v>0</v>
      </c>
      <c r="B8" s="220" t="s">
        <v>254</v>
      </c>
      <c r="C8" s="219" t="s">
        <v>56</v>
      </c>
      <c r="D8" s="220" t="s">
        <v>26</v>
      </c>
      <c r="E8" s="220" t="s">
        <v>57</v>
      </c>
      <c r="F8" s="220" t="s">
        <v>58</v>
      </c>
      <c r="G8" s="220" t="s">
        <v>29</v>
      </c>
      <c r="H8" s="220" t="s">
        <v>30</v>
      </c>
      <c r="I8" s="220" t="s">
        <v>61</v>
      </c>
      <c r="J8" s="228" t="s">
        <v>223</v>
      </c>
      <c r="K8" s="229" t="s">
        <v>62</v>
      </c>
      <c r="L8" s="220" t="s">
        <v>63</v>
      </c>
      <c r="M8" s="230" t="s">
        <v>1361</v>
      </c>
    </row>
    <row r="9" spans="1:15" s="7" customFormat="1" ht="18" customHeight="1">
      <c r="A9" s="2354" t="s">
        <v>1529</v>
      </c>
      <c r="B9" s="2355" t="s">
        <v>1526</v>
      </c>
      <c r="C9" s="223">
        <v>45772</v>
      </c>
      <c r="D9" s="410" t="s">
        <v>139</v>
      </c>
      <c r="E9" s="2355" t="s">
        <v>313</v>
      </c>
      <c r="F9" s="2355" t="s">
        <v>1556</v>
      </c>
      <c r="G9" s="190" t="s">
        <v>1392</v>
      </c>
      <c r="H9" s="190" t="s">
        <v>1555</v>
      </c>
      <c r="I9" s="225">
        <v>0.67708333333333337</v>
      </c>
      <c r="J9" s="971">
        <v>3</v>
      </c>
      <c r="K9" s="971">
        <v>2</v>
      </c>
      <c r="L9" s="18">
        <v>0</v>
      </c>
      <c r="M9" s="92">
        <v>10.106999999999999</v>
      </c>
    </row>
    <row r="10" spans="1:15" s="7" customFormat="1" ht="18" customHeight="1">
      <c r="A10" s="2354" t="s">
        <v>1533</v>
      </c>
      <c r="B10" s="2898" t="s">
        <v>1528</v>
      </c>
      <c r="C10" s="223">
        <v>45762</v>
      </c>
      <c r="D10" s="410" t="s">
        <v>139</v>
      </c>
      <c r="E10" s="2355" t="s">
        <v>313</v>
      </c>
      <c r="F10" s="2355" t="s">
        <v>1557</v>
      </c>
      <c r="G10" s="190" t="s">
        <v>1573</v>
      </c>
      <c r="H10" s="190" t="s">
        <v>1582</v>
      </c>
      <c r="I10" s="225">
        <v>0.55208333333333337</v>
      </c>
      <c r="J10" s="971">
        <v>3</v>
      </c>
      <c r="K10" s="971">
        <v>2</v>
      </c>
      <c r="L10" s="18">
        <v>0</v>
      </c>
      <c r="M10" s="92">
        <v>20.795999999999999</v>
      </c>
      <c r="O10" s="2863" t="s">
        <v>1706</v>
      </c>
    </row>
    <row r="11" spans="1:15" s="2300" customFormat="1" ht="18" customHeight="1">
      <c r="A11" s="2356" t="s">
        <v>1533</v>
      </c>
      <c r="B11" s="2899" t="s">
        <v>1551</v>
      </c>
      <c r="C11" s="2349">
        <v>45762</v>
      </c>
      <c r="D11" s="2266" t="s">
        <v>139</v>
      </c>
      <c r="E11" s="2357" t="s">
        <v>313</v>
      </c>
      <c r="F11" s="2357" t="s">
        <v>1557</v>
      </c>
      <c r="G11" s="190" t="s">
        <v>1573</v>
      </c>
      <c r="H11" s="190" t="s">
        <v>1582</v>
      </c>
      <c r="I11" s="2350">
        <v>0.55625000000000002</v>
      </c>
      <c r="J11" s="2351">
        <v>2</v>
      </c>
      <c r="K11" s="2351">
        <v>1</v>
      </c>
      <c r="L11" s="2352">
        <v>0</v>
      </c>
      <c r="M11" s="2353">
        <v>16.128</v>
      </c>
      <c r="O11" s="2863" t="s">
        <v>1706</v>
      </c>
    </row>
    <row r="12" spans="1:15" s="7" customFormat="1" ht="18" customHeight="1">
      <c r="A12" s="2354" t="s">
        <v>1535</v>
      </c>
      <c r="B12" s="2355" t="s">
        <v>1551</v>
      </c>
      <c r="C12" s="223">
        <v>45770</v>
      </c>
      <c r="D12" s="410" t="s">
        <v>139</v>
      </c>
      <c r="E12" s="2355" t="s">
        <v>1388</v>
      </c>
      <c r="F12" s="2355" t="s">
        <v>1602</v>
      </c>
      <c r="G12" s="190" t="s">
        <v>1559</v>
      </c>
      <c r="H12" s="190" t="s">
        <v>1599</v>
      </c>
      <c r="I12" s="225">
        <v>0.75555555555555554</v>
      </c>
      <c r="J12" s="971">
        <v>3</v>
      </c>
      <c r="K12" s="971">
        <v>2</v>
      </c>
      <c r="L12" s="18">
        <v>0</v>
      </c>
      <c r="M12" s="92">
        <v>33.869999999999997</v>
      </c>
    </row>
    <row r="13" spans="1:15" s="7" customFormat="1" ht="18" customHeight="1" thickBot="1">
      <c r="A13" s="1867" t="s">
        <v>792</v>
      </c>
      <c r="B13" s="63"/>
      <c r="C13" s="224"/>
      <c r="D13" s="50"/>
      <c r="E13" s="63"/>
      <c r="F13" s="63"/>
      <c r="G13" s="51"/>
      <c r="H13" s="51"/>
      <c r="I13" s="226"/>
      <c r="J13" s="226"/>
      <c r="K13" s="420"/>
      <c r="L13" s="50"/>
      <c r="M13" s="93"/>
    </row>
    <row r="14" spans="1:15" s="7" customFormat="1" ht="18" customHeight="1" thickBot="1">
      <c r="A14" s="57"/>
      <c r="B14" s="57"/>
      <c r="C14" s="49"/>
      <c r="D14" s="58"/>
      <c r="E14" s="58"/>
      <c r="F14" s="59"/>
      <c r="G14" s="59"/>
      <c r="H14" s="60"/>
      <c r="I14" s="58"/>
      <c r="J14" s="49"/>
      <c r="K14" s="27"/>
      <c r="L14" s="64"/>
    </row>
    <row r="15" spans="1:15" s="7" customFormat="1" ht="18" customHeight="1" thickBot="1">
      <c r="A15" s="3193" t="s">
        <v>65</v>
      </c>
      <c r="B15" s="3194"/>
      <c r="C15" s="3195"/>
      <c r="D15" s="3196" t="s">
        <v>66</v>
      </c>
      <c r="E15" s="3194"/>
      <c r="F15" s="3194"/>
      <c r="G15" s="3194"/>
      <c r="H15" s="3194"/>
      <c r="I15" s="3194"/>
      <c r="J15" s="3194"/>
      <c r="K15" s="3195"/>
      <c r="L15" s="65" t="s">
        <v>67</v>
      </c>
      <c r="M15" s="66" t="s">
        <v>68</v>
      </c>
    </row>
    <row r="16" spans="1:15" s="7" customFormat="1" ht="18" customHeight="1">
      <c r="A16" s="3197" t="s">
        <v>56</v>
      </c>
      <c r="B16" s="3198"/>
      <c r="C16" s="3199"/>
      <c r="D16" s="3200" t="s">
        <v>69</v>
      </c>
      <c r="E16" s="3198"/>
      <c r="F16" s="3198"/>
      <c r="G16" s="3198"/>
      <c r="H16" s="3198"/>
      <c r="I16" s="3198"/>
      <c r="J16" s="3198"/>
      <c r="K16" s="3199"/>
      <c r="L16" s="43"/>
      <c r="M16" s="67" t="s">
        <v>70</v>
      </c>
    </row>
    <row r="17" spans="1:15" s="7" customFormat="1" ht="18" customHeight="1">
      <c r="A17" s="3192" t="s">
        <v>26</v>
      </c>
      <c r="B17" s="3189"/>
      <c r="C17" s="3190"/>
      <c r="D17" s="3191" t="s">
        <v>60</v>
      </c>
      <c r="E17" s="3189"/>
      <c r="F17" s="3189"/>
      <c r="G17" s="3189"/>
      <c r="H17" s="3189"/>
      <c r="I17" s="3189"/>
      <c r="J17" s="3189"/>
      <c r="K17" s="3190"/>
      <c r="L17" s="18"/>
      <c r="M17" s="54" t="s">
        <v>70</v>
      </c>
    </row>
    <row r="18" spans="1:15" s="7" customFormat="1" ht="18" customHeight="1">
      <c r="A18" s="3192" t="s">
        <v>57</v>
      </c>
      <c r="B18" s="3189"/>
      <c r="C18" s="3190"/>
      <c r="D18" s="3191" t="s">
        <v>71</v>
      </c>
      <c r="E18" s="3189"/>
      <c r="F18" s="3189"/>
      <c r="G18" s="3189"/>
      <c r="H18" s="3189"/>
      <c r="I18" s="3189"/>
      <c r="J18" s="3189"/>
      <c r="K18" s="3190"/>
      <c r="L18" s="18"/>
      <c r="M18" s="54" t="s">
        <v>70</v>
      </c>
    </row>
    <row r="19" spans="1:15" s="7" customFormat="1" ht="18" customHeight="1">
      <c r="A19" s="3192" t="s">
        <v>58</v>
      </c>
      <c r="B19" s="3189"/>
      <c r="C19" s="3190"/>
      <c r="D19" s="3191" t="s">
        <v>72</v>
      </c>
      <c r="E19" s="3189"/>
      <c r="F19" s="3189"/>
      <c r="G19" s="3189"/>
      <c r="H19" s="3189"/>
      <c r="I19" s="3189"/>
      <c r="J19" s="3189"/>
      <c r="K19" s="3190"/>
      <c r="L19" s="18"/>
      <c r="M19" s="54" t="s">
        <v>70</v>
      </c>
    </row>
    <row r="20" spans="1:15" s="7" customFormat="1" ht="18" customHeight="1">
      <c r="A20" s="3192" t="s">
        <v>40</v>
      </c>
      <c r="B20" s="3189"/>
      <c r="C20" s="3190"/>
      <c r="D20" s="3191" t="s">
        <v>73</v>
      </c>
      <c r="E20" s="3189"/>
      <c r="F20" s="3189"/>
      <c r="G20" s="3189"/>
      <c r="H20" s="3189"/>
      <c r="I20" s="3189"/>
      <c r="J20" s="3189"/>
      <c r="K20" s="3190"/>
      <c r="L20" s="18" t="s">
        <v>70</v>
      </c>
      <c r="M20" s="54"/>
    </row>
    <row r="21" spans="1:15" s="7" customFormat="1" ht="18" customHeight="1">
      <c r="A21" s="3192" t="s">
        <v>41</v>
      </c>
      <c r="B21" s="3189"/>
      <c r="C21" s="3190"/>
      <c r="D21" s="3191" t="s">
        <v>74</v>
      </c>
      <c r="E21" s="3189"/>
      <c r="F21" s="3189"/>
      <c r="G21" s="3189"/>
      <c r="H21" s="3189"/>
      <c r="I21" s="3189"/>
      <c r="J21" s="3189"/>
      <c r="K21" s="3190"/>
      <c r="L21" s="18" t="s">
        <v>70</v>
      </c>
      <c r="M21" s="54"/>
    </row>
    <row r="22" spans="1:15" s="7" customFormat="1" ht="18" customHeight="1">
      <c r="A22" s="3192" t="s">
        <v>75</v>
      </c>
      <c r="B22" s="3189"/>
      <c r="C22" s="3190"/>
      <c r="D22" s="3191" t="s">
        <v>76</v>
      </c>
      <c r="E22" s="3189"/>
      <c r="F22" s="3189"/>
      <c r="G22" s="3189"/>
      <c r="H22" s="3189"/>
      <c r="I22" s="3189"/>
      <c r="J22" s="3189"/>
      <c r="K22" s="3190"/>
      <c r="L22" s="18"/>
      <c r="M22" s="54" t="s">
        <v>70</v>
      </c>
    </row>
    <row r="23" spans="1:15" s="7" customFormat="1" ht="18" customHeight="1">
      <c r="A23" s="3192" t="s">
        <v>77</v>
      </c>
      <c r="B23" s="3189"/>
      <c r="C23" s="3190"/>
      <c r="D23" s="3191" t="s">
        <v>78</v>
      </c>
      <c r="E23" s="3189"/>
      <c r="F23" s="3189"/>
      <c r="G23" s="3189"/>
      <c r="H23" s="3189"/>
      <c r="I23" s="3189"/>
      <c r="J23" s="3189"/>
      <c r="K23" s="3190"/>
      <c r="L23" s="18"/>
      <c r="M23" s="54" t="s">
        <v>70</v>
      </c>
    </row>
    <row r="24" spans="1:15" s="7" customFormat="1" ht="18" customHeight="1">
      <c r="A24" s="3192" t="s">
        <v>63</v>
      </c>
      <c r="B24" s="3189"/>
      <c r="C24" s="3190"/>
      <c r="D24" s="3191" t="s">
        <v>196</v>
      </c>
      <c r="E24" s="3189"/>
      <c r="F24" s="3189"/>
      <c r="G24" s="3189"/>
      <c r="H24" s="3189"/>
      <c r="I24" s="3189"/>
      <c r="J24" s="3189"/>
      <c r="K24" s="3190"/>
      <c r="L24" s="18"/>
      <c r="M24" s="1493" t="s">
        <v>70</v>
      </c>
    </row>
    <row r="25" spans="1:15" s="7" customFormat="1" ht="18" customHeight="1">
      <c r="A25" s="3188" t="s">
        <v>1176</v>
      </c>
      <c r="B25" s="3189"/>
      <c r="C25" s="3190"/>
      <c r="D25" s="3191" t="s">
        <v>1177</v>
      </c>
      <c r="E25" s="3189"/>
      <c r="F25" s="3189"/>
      <c r="G25" s="3189"/>
      <c r="H25" s="3189"/>
      <c r="I25" s="3189"/>
      <c r="J25" s="3189"/>
      <c r="K25" s="3190"/>
      <c r="L25" s="18" t="s">
        <v>70</v>
      </c>
      <c r="M25" s="54"/>
    </row>
    <row r="26" spans="1:15" s="7" customFormat="1" ht="18" customHeight="1">
      <c r="A26" s="3188" t="s">
        <v>1178</v>
      </c>
      <c r="B26" s="3189"/>
      <c r="C26" s="3190"/>
      <c r="D26" s="3191" t="s">
        <v>1179</v>
      </c>
      <c r="E26" s="3189"/>
      <c r="F26" s="3189"/>
      <c r="G26" s="3189"/>
      <c r="H26" s="3189"/>
      <c r="I26" s="3189"/>
      <c r="J26" s="3189"/>
      <c r="K26" s="3190"/>
      <c r="L26" s="18"/>
      <c r="M26" s="1493" t="s">
        <v>70</v>
      </c>
    </row>
    <row r="27" spans="1:15" s="7" customFormat="1" ht="18" customHeight="1" thickBot="1">
      <c r="A27" s="68" t="s">
        <v>64</v>
      </c>
      <c r="B27" s="71"/>
      <c r="C27" s="69"/>
      <c r="D27" s="70" t="s">
        <v>130</v>
      </c>
      <c r="E27" s="71"/>
      <c r="F27" s="71"/>
      <c r="G27" s="71"/>
      <c r="H27" s="71"/>
      <c r="I27" s="71"/>
      <c r="J27" s="71"/>
      <c r="K27" s="69"/>
      <c r="L27" s="50"/>
      <c r="M27" s="72" t="s">
        <v>70</v>
      </c>
    </row>
    <row r="28" spans="1:15">
      <c r="A28" s="47"/>
      <c r="B28" s="47"/>
      <c r="D28" s="48"/>
      <c r="I28" s="2"/>
      <c r="J28" s="13"/>
    </row>
    <row r="30" spans="1:15" ht="12.75" customHeight="1">
      <c r="A30" s="194" t="s">
        <v>219</v>
      </c>
      <c r="B30" s="195" t="s">
        <v>224</v>
      </c>
      <c r="J30" s="3056" t="s">
        <v>321</v>
      </c>
      <c r="K30" s="3204"/>
      <c r="L30" s="3204"/>
      <c r="M30" s="3204"/>
      <c r="N30" s="3204"/>
      <c r="O30" s="3204"/>
    </row>
    <row r="31" spans="1:15">
      <c r="B31" s="195" t="s">
        <v>1645</v>
      </c>
      <c r="J31" s="3204"/>
      <c r="K31" s="3204"/>
      <c r="L31" s="3204"/>
      <c r="M31" s="3204"/>
      <c r="N31" s="3204"/>
      <c r="O31" s="3204"/>
    </row>
    <row r="32" spans="1:15">
      <c r="J32" s="3204"/>
      <c r="K32" s="3204"/>
      <c r="L32" s="3204"/>
      <c r="M32" s="3204"/>
      <c r="N32" s="3204"/>
      <c r="O32" s="3204"/>
    </row>
    <row r="33" spans="1:15">
      <c r="A33" s="3201" t="s">
        <v>1183</v>
      </c>
      <c r="B33" s="3202"/>
      <c r="C33" s="3202"/>
      <c r="D33" s="3202"/>
      <c r="E33" s="3202"/>
      <c r="F33" s="3202"/>
      <c r="G33" s="970"/>
      <c r="J33" s="3204"/>
      <c r="K33" s="3204"/>
      <c r="L33" s="3204"/>
      <c r="M33" s="3204"/>
      <c r="N33" s="3204"/>
      <c r="O33" s="3204"/>
    </row>
    <row r="34" spans="1:15">
      <c r="A34" s="3202"/>
      <c r="B34" s="3202"/>
      <c r="C34" s="3202"/>
      <c r="D34" s="3202"/>
      <c r="E34" s="3202"/>
      <c r="F34" s="3202"/>
      <c r="G34" s="970"/>
      <c r="J34" s="3204"/>
      <c r="K34" s="3204"/>
      <c r="L34" s="3204"/>
      <c r="M34" s="3204"/>
      <c r="N34" s="3204"/>
      <c r="O34" s="3204"/>
    </row>
    <row r="35" spans="1:15">
      <c r="A35" s="3203"/>
      <c r="B35" s="3203"/>
      <c r="C35" s="3203"/>
      <c r="D35" s="3203"/>
      <c r="E35" s="3203"/>
      <c r="F35" s="3203"/>
      <c r="G35" s="970"/>
      <c r="J35" s="3204"/>
      <c r="K35" s="3204"/>
      <c r="L35" s="3204"/>
      <c r="M35" s="3204"/>
      <c r="N35" s="3204"/>
      <c r="O35" s="3204"/>
    </row>
    <row r="36" spans="1:15">
      <c r="A36" s="3203"/>
      <c r="B36" s="3203"/>
      <c r="C36" s="3203"/>
      <c r="D36" s="3203"/>
      <c r="E36" s="3203"/>
      <c r="F36" s="3203"/>
      <c r="J36" s="3204"/>
      <c r="K36" s="3204"/>
      <c r="L36" s="3204"/>
      <c r="M36" s="3204"/>
      <c r="N36" s="3204"/>
      <c r="O36" s="3204"/>
    </row>
    <row r="37" spans="1:15">
      <c r="J37" s="3204"/>
      <c r="K37" s="3204"/>
      <c r="L37" s="3204"/>
      <c r="M37" s="3204"/>
      <c r="N37" s="3204"/>
      <c r="O37" s="3204"/>
    </row>
    <row r="38" spans="1:15">
      <c r="A38" s="335" t="s">
        <v>1434</v>
      </c>
      <c r="B38" s="335" t="s">
        <v>1435</v>
      </c>
      <c r="C38"/>
      <c r="D38" s="197"/>
    </row>
    <row r="39" spans="1:15">
      <c r="A39" s="335" t="s">
        <v>1554</v>
      </c>
      <c r="B39" s="335" t="s">
        <v>1550</v>
      </c>
      <c r="C39" s="2196" t="s">
        <v>1442</v>
      </c>
      <c r="D39" s="197"/>
    </row>
  </sheetData>
  <sheetProtection algorithmName="SHA-512" hashValue="AXfKOd8DiahGnfUp5hghAN2RCjtNkHb8rGg1dc8osD42rPwCXwV3geS6ae2DfyvOgJYczxiM90LFozdxWUoQ/g==" saltValue="Es33m+1e0Zp4f7cwguOfeg==" spinCount="100000" sheet="1" objects="1" scenarios="1"/>
  <mergeCells count="28">
    <mergeCell ref="A33:F36"/>
    <mergeCell ref="J30:O37"/>
    <mergeCell ref="A1:M1"/>
    <mergeCell ref="A2:M2"/>
    <mergeCell ref="A22:C22"/>
    <mergeCell ref="D22:K22"/>
    <mergeCell ref="A18:C18"/>
    <mergeCell ref="D18:K18"/>
    <mergeCell ref="A19:C19"/>
    <mergeCell ref="D19:K19"/>
    <mergeCell ref="A20:C20"/>
    <mergeCell ref="D20:K20"/>
    <mergeCell ref="A26:C26"/>
    <mergeCell ref="D26:K26"/>
    <mergeCell ref="A23:C23"/>
    <mergeCell ref="D23:K23"/>
    <mergeCell ref="A25:C25"/>
    <mergeCell ref="D25:K25"/>
    <mergeCell ref="A24:C24"/>
    <mergeCell ref="D24:K24"/>
    <mergeCell ref="A15:C15"/>
    <mergeCell ref="D15:K15"/>
    <mergeCell ref="A16:C16"/>
    <mergeCell ref="D16:K16"/>
    <mergeCell ref="A21:C21"/>
    <mergeCell ref="D21:K21"/>
    <mergeCell ref="A17:C17"/>
    <mergeCell ref="D17:K17"/>
  </mergeCells>
  <phoneticPr fontId="0" type="noConversion"/>
  <pageMargins left="0.7" right="0.7" top="0.78740157499999996" bottom="0.78740157499999996" header="0.3" footer="0.3"/>
  <pageSetup paperSize="9" scale="63" fitToHeight="0" orientation="landscape" r:id="rId1"/>
  <headerFooter>
    <oddHeader>&amp;LVDV SUN Jahresschlussrechnung JJJJ&amp;R&amp;KFF0000&amp;F</oddHeader>
    <oddFooter>&amp;C&amp;P&amp;R&amp;A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K31"/>
  <sheetViews>
    <sheetView view="pageBreakPreview" zoomScale="80" zoomScaleNormal="100" zoomScaleSheetLayoutView="80" workbookViewId="0">
      <selection activeCell="D15" sqref="D15"/>
    </sheetView>
  </sheetViews>
  <sheetFormatPr baseColWidth="10" defaultRowHeight="12.75"/>
  <cols>
    <col min="1" max="1" width="8.85546875" style="28" customWidth="1"/>
    <col min="2" max="2" width="78.85546875" style="28" bestFit="1" customWidth="1"/>
    <col min="3" max="3" width="23.85546875" style="28" customWidth="1"/>
    <col min="4" max="4" width="12.7109375" bestFit="1" customWidth="1"/>
    <col min="5" max="5" width="14" style="2" customWidth="1"/>
    <col min="6" max="6" width="17.42578125" customWidth="1"/>
    <col min="7" max="7" width="12.7109375" bestFit="1" customWidth="1"/>
    <col min="8" max="8" width="14.85546875" style="2" customWidth="1"/>
    <col min="9" max="9" width="18.5703125" customWidth="1"/>
    <col min="10" max="10" width="10.7109375" customWidth="1"/>
    <col min="11" max="11" width="12" bestFit="1" customWidth="1"/>
    <col min="12" max="12" width="12.85546875" customWidth="1"/>
  </cols>
  <sheetData>
    <row r="1" spans="1:11" s="1" customFormat="1" ht="18">
      <c r="A1" s="3036" t="s">
        <v>1477</v>
      </c>
      <c r="B1" s="3203"/>
      <c r="C1" s="3203"/>
      <c r="D1" s="3203"/>
      <c r="E1" s="3203"/>
      <c r="F1" s="3203"/>
      <c r="G1" s="3203"/>
      <c r="H1" s="3203"/>
      <c r="I1" s="3203"/>
      <c r="J1" s="2761"/>
    </row>
    <row r="2" spans="1:11" s="1" customFormat="1" ht="18.75" thickBot="1">
      <c r="A2" s="3089" t="str">
        <f>'1a_Leistungsvolumen'!A2</f>
        <v>Monat JJJJ</v>
      </c>
      <c r="B2" s="3203"/>
      <c r="C2" s="3203"/>
      <c r="D2" s="3203"/>
      <c r="E2" s="3203"/>
      <c r="F2" s="3203"/>
      <c r="G2" s="3203"/>
      <c r="H2" s="3203"/>
      <c r="I2" s="3203"/>
      <c r="J2" s="2761"/>
    </row>
    <row r="3" spans="1:11" s="1" customFormat="1" ht="26.25" thickBot="1">
      <c r="A3" s="2416"/>
      <c r="B3" s="2345"/>
      <c r="C3" s="2346"/>
      <c r="D3" s="2127" t="s">
        <v>743</v>
      </c>
      <c r="E3" s="719" t="s">
        <v>1526</v>
      </c>
      <c r="F3" s="719" t="s">
        <v>1527</v>
      </c>
      <c r="G3" s="719" t="s">
        <v>1552</v>
      </c>
      <c r="H3" s="719" t="s">
        <v>1551</v>
      </c>
      <c r="I3" s="719" t="s">
        <v>1528</v>
      </c>
      <c r="J3" s="2806" t="s">
        <v>1666</v>
      </c>
      <c r="K3" s="719" t="s">
        <v>1553</v>
      </c>
    </row>
    <row r="4" spans="1:11" s="1" customFormat="1" ht="18.75" thickBot="1">
      <c r="A4" s="2416"/>
      <c r="B4" s="3206" t="s">
        <v>1213</v>
      </c>
      <c r="C4" s="3207"/>
      <c r="D4" s="2396">
        <v>1</v>
      </c>
      <c r="E4" s="1999"/>
      <c r="F4" s="1999"/>
      <c r="G4" s="1999"/>
      <c r="H4" s="1999"/>
      <c r="I4" s="1999"/>
      <c r="J4" s="2807"/>
      <c r="K4" s="1999"/>
    </row>
    <row r="5" spans="1:11" s="1" customFormat="1" ht="18.75" thickBot="1">
      <c r="A5" s="2416"/>
      <c r="B5" s="3208" t="s">
        <v>453</v>
      </c>
      <c r="C5" s="3209"/>
      <c r="D5" s="1616">
        <f>SUM($E$5:$K$5)</f>
        <v>9051.35</v>
      </c>
      <c r="E5" s="2386">
        <f>SUMIFS($H$9:$H$24,$C$9:$C$24,E3)</f>
        <v>4381.3500000000004</v>
      </c>
      <c r="F5" s="2386">
        <f t="shared" ref="F5:H5" si="0">SUMIFS($H$9:$H$24,$C$9:$C$24,F3)</f>
        <v>742</v>
      </c>
      <c r="G5" s="2386">
        <f t="shared" si="0"/>
        <v>234</v>
      </c>
      <c r="H5" s="2386">
        <f t="shared" si="0"/>
        <v>80</v>
      </c>
      <c r="I5" s="2386">
        <f>SUMIFS($H$9:$H$24,$C$9:$C$24,I3)</f>
        <v>269</v>
      </c>
      <c r="J5" s="2810">
        <f>SUMIFS($H$9:$H$24,$C$9:$C$24,J3)</f>
        <v>0</v>
      </c>
      <c r="K5" s="2386">
        <f>SUMIFS($H$9:$H$24,$C$9:$C$24,K3)</f>
        <v>3345</v>
      </c>
    </row>
    <row r="6" spans="1:11" ht="23.25" customHeight="1" thickBot="1">
      <c r="B6" s="3210" t="s">
        <v>201</v>
      </c>
      <c r="C6" s="3211"/>
      <c r="D6" s="1564">
        <f>SUM($E$6:$K$6)</f>
        <v>-9051.35</v>
      </c>
      <c r="E6" s="1617">
        <f>E5*$D$4*-1</f>
        <v>-4381.3500000000004</v>
      </c>
      <c r="F6" s="1617">
        <f t="shared" ref="F6:K6" si="1">F5*$D$4*-1</f>
        <v>-742</v>
      </c>
      <c r="G6" s="1617">
        <f t="shared" si="1"/>
        <v>-234</v>
      </c>
      <c r="H6" s="1617">
        <f t="shared" si="1"/>
        <v>-80</v>
      </c>
      <c r="I6" s="1617">
        <f t="shared" si="1"/>
        <v>-269</v>
      </c>
      <c r="J6" s="2811">
        <f t="shared" si="1"/>
        <v>0</v>
      </c>
      <c r="K6" s="1617">
        <f t="shared" si="1"/>
        <v>-3345</v>
      </c>
    </row>
    <row r="7" spans="1:11" ht="23.25" customHeight="1" thickBot="1"/>
    <row r="8" spans="1:11" s="6" customFormat="1" ht="45" customHeight="1" thickBot="1">
      <c r="A8" s="40" t="s">
        <v>0</v>
      </c>
      <c r="B8" s="102" t="s">
        <v>1</v>
      </c>
      <c r="C8" s="1174" t="s">
        <v>1167</v>
      </c>
      <c r="D8" s="15" t="s">
        <v>140</v>
      </c>
      <c r="E8" s="4" t="s">
        <v>141</v>
      </c>
      <c r="F8" s="5" t="s">
        <v>142</v>
      </c>
      <c r="G8" s="394" t="s">
        <v>1362</v>
      </c>
      <c r="H8" s="52" t="s">
        <v>1363</v>
      </c>
      <c r="I8" s="1826" t="s">
        <v>1364</v>
      </c>
      <c r="J8" s="1131"/>
    </row>
    <row r="9" spans="1:11" s="7" customFormat="1" ht="18" customHeight="1">
      <c r="A9" s="404" t="s">
        <v>1529</v>
      </c>
      <c r="B9" s="2367" t="s">
        <v>1540</v>
      </c>
      <c r="C9" s="2645" t="s">
        <v>1526</v>
      </c>
      <c r="D9" s="615">
        <v>1000</v>
      </c>
      <c r="E9" s="110">
        <v>50</v>
      </c>
      <c r="F9" s="616">
        <f>100-E9/D9*100</f>
        <v>95</v>
      </c>
      <c r="G9" s="617">
        <v>89125</v>
      </c>
      <c r="H9" s="618">
        <v>4258.3500000000004</v>
      </c>
      <c r="I9" s="616">
        <f>100-H9/G9*100</f>
        <v>95.222047685834497</v>
      </c>
      <c r="J9" s="2808"/>
    </row>
    <row r="10" spans="1:11" s="1852" customFormat="1" ht="18" customHeight="1">
      <c r="A10" s="187" t="s">
        <v>1529</v>
      </c>
      <c r="B10" s="2368" t="s">
        <v>1540</v>
      </c>
      <c r="C10" s="2646" t="s">
        <v>1527</v>
      </c>
      <c r="D10" s="1868"/>
      <c r="E10" s="1857"/>
      <c r="F10" s="1869"/>
      <c r="G10" s="1870"/>
      <c r="H10" s="1871">
        <v>675</v>
      </c>
      <c r="I10" s="1869"/>
      <c r="J10" s="2808"/>
    </row>
    <row r="11" spans="1:11" s="1852" customFormat="1" ht="18" customHeight="1">
      <c r="A11" s="187" t="s">
        <v>1530</v>
      </c>
      <c r="B11" s="2368" t="s">
        <v>1541</v>
      </c>
      <c r="C11" s="2646" t="s">
        <v>1527</v>
      </c>
      <c r="D11" s="1868"/>
      <c r="E11" s="1857"/>
      <c r="F11" s="1869"/>
      <c r="G11" s="1870"/>
      <c r="H11" s="1871">
        <v>67</v>
      </c>
      <c r="I11" s="1869"/>
      <c r="J11" s="2808"/>
    </row>
    <row r="12" spans="1:11" s="7" customFormat="1" ht="18" customHeight="1">
      <c r="A12" s="2369" t="s">
        <v>1531</v>
      </c>
      <c r="B12" s="2370" t="s">
        <v>1542</v>
      </c>
      <c r="C12" s="2647" t="s">
        <v>1526</v>
      </c>
      <c r="D12" s="107"/>
      <c r="E12" s="32"/>
      <c r="F12" s="38"/>
      <c r="G12" s="103"/>
      <c r="H12" s="104">
        <v>123</v>
      </c>
      <c r="I12" s="38"/>
      <c r="J12" s="2808"/>
    </row>
    <row r="13" spans="1:11" s="1852" customFormat="1" ht="18" customHeight="1">
      <c r="A13" s="2369" t="s">
        <v>1532</v>
      </c>
      <c r="B13" s="2370" t="s">
        <v>1543</v>
      </c>
      <c r="C13" s="2647" t="s">
        <v>1552</v>
      </c>
      <c r="D13" s="107"/>
      <c r="E13" s="32"/>
      <c r="F13" s="38"/>
      <c r="G13" s="103"/>
      <c r="H13" s="104">
        <v>234</v>
      </c>
      <c r="I13" s="38"/>
      <c r="J13" s="2808"/>
    </row>
    <row r="14" spans="1:11" s="2176" customFormat="1" ht="18" customHeight="1">
      <c r="A14" s="2371" t="s">
        <v>1533</v>
      </c>
      <c r="B14" s="2372" t="s">
        <v>1544</v>
      </c>
      <c r="C14" s="2860" t="s">
        <v>1566</v>
      </c>
      <c r="D14" s="2363"/>
      <c r="E14" s="2297"/>
      <c r="F14" s="2364"/>
      <c r="G14" s="2365"/>
      <c r="H14" s="2366">
        <v>2340</v>
      </c>
      <c r="I14" s="2364"/>
      <c r="J14" s="2808"/>
      <c r="K14" s="2863" t="s">
        <v>1706</v>
      </c>
    </row>
    <row r="15" spans="1:11" s="7" customFormat="1" ht="18" customHeight="1">
      <c r="A15" s="2369" t="s">
        <v>1533</v>
      </c>
      <c r="B15" s="2370" t="s">
        <v>1544</v>
      </c>
      <c r="C15" s="2861" t="s">
        <v>1528</v>
      </c>
      <c r="D15" s="107"/>
      <c r="E15" s="32"/>
      <c r="F15" s="38"/>
      <c r="G15" s="103"/>
      <c r="H15" s="104">
        <v>234</v>
      </c>
      <c r="I15" s="38"/>
      <c r="J15" s="2808"/>
      <c r="K15" s="2863" t="s">
        <v>1706</v>
      </c>
    </row>
    <row r="16" spans="1:11" s="7" customFormat="1" ht="18" customHeight="1">
      <c r="A16" s="2369" t="s">
        <v>1534</v>
      </c>
      <c r="B16" s="2370" t="s">
        <v>1542</v>
      </c>
      <c r="C16" s="2861" t="s">
        <v>1566</v>
      </c>
      <c r="D16" s="107"/>
      <c r="E16" s="32"/>
      <c r="F16" s="38"/>
      <c r="G16" s="103"/>
      <c r="H16" s="104">
        <v>235</v>
      </c>
      <c r="I16" s="38"/>
      <c r="J16" s="2808"/>
      <c r="K16" s="2863" t="s">
        <v>1706</v>
      </c>
    </row>
    <row r="17" spans="1:10" s="7" customFormat="1" ht="18" customHeight="1">
      <c r="A17" s="2369" t="s">
        <v>1535</v>
      </c>
      <c r="B17" s="2370" t="s">
        <v>1545</v>
      </c>
      <c r="C17" s="2647" t="s">
        <v>1551</v>
      </c>
      <c r="D17" s="107"/>
      <c r="E17" s="32"/>
      <c r="F17" s="38"/>
      <c r="G17" s="103"/>
      <c r="H17" s="104">
        <v>34</v>
      </c>
      <c r="I17" s="38"/>
      <c r="J17" s="2808"/>
    </row>
    <row r="18" spans="1:10" s="1852" customFormat="1" ht="18" customHeight="1">
      <c r="A18" s="2369" t="s">
        <v>1535</v>
      </c>
      <c r="B18" s="2370" t="s">
        <v>1545</v>
      </c>
      <c r="C18" s="2647" t="s">
        <v>1553</v>
      </c>
      <c r="D18" s="107"/>
      <c r="E18" s="32"/>
      <c r="F18" s="38"/>
      <c r="G18" s="103"/>
      <c r="H18" s="104">
        <v>3345</v>
      </c>
      <c r="I18" s="38"/>
      <c r="J18" s="2808"/>
    </row>
    <row r="19" spans="1:10" s="7" customFormat="1" ht="18" customHeight="1">
      <c r="A19" s="2369" t="s">
        <v>1536</v>
      </c>
      <c r="B19" s="2370" t="s">
        <v>1546</v>
      </c>
      <c r="C19" s="2647" t="s">
        <v>1551</v>
      </c>
      <c r="D19" s="107"/>
      <c r="E19" s="32"/>
      <c r="F19" s="38"/>
      <c r="G19" s="103"/>
      <c r="H19" s="104">
        <v>23</v>
      </c>
      <c r="I19" s="38"/>
      <c r="J19" s="2808"/>
    </row>
    <row r="20" spans="1:10" s="2417" customFormat="1" ht="18" customHeight="1">
      <c r="A20" s="2371" t="s">
        <v>1537</v>
      </c>
      <c r="B20" s="2372" t="s">
        <v>1547</v>
      </c>
      <c r="C20" s="2648" t="s">
        <v>1553</v>
      </c>
      <c r="D20" s="2363"/>
      <c r="E20" s="2297"/>
      <c r="F20" s="2364"/>
      <c r="G20" s="2365"/>
      <c r="H20" s="2366">
        <v>0</v>
      </c>
      <c r="I20" s="2364"/>
      <c r="J20" s="2808"/>
    </row>
    <row r="21" spans="1:10" s="2417" customFormat="1" ht="18" customHeight="1">
      <c r="A21" s="2371" t="s">
        <v>1538</v>
      </c>
      <c r="B21" s="2372" t="s">
        <v>1548</v>
      </c>
      <c r="C21" s="2648" t="s">
        <v>1528</v>
      </c>
      <c r="D21" s="2363"/>
      <c r="E21" s="2297"/>
      <c r="F21" s="2364"/>
      <c r="G21" s="2365"/>
      <c r="H21" s="2366">
        <v>35</v>
      </c>
      <c r="I21" s="2364"/>
      <c r="J21" s="2808"/>
    </row>
    <row r="22" spans="1:10" s="2762" customFormat="1" ht="18" customHeight="1">
      <c r="A22" s="2371" t="s">
        <v>1538</v>
      </c>
      <c r="B22" s="2372" t="s">
        <v>1548</v>
      </c>
      <c r="C22" s="2648" t="s">
        <v>1666</v>
      </c>
      <c r="D22" s="2363"/>
      <c r="E22" s="2297"/>
      <c r="F22" s="2364"/>
      <c r="G22" s="2365"/>
      <c r="H22" s="2366">
        <v>0</v>
      </c>
      <c r="I22" s="2364"/>
      <c r="J22" s="2808"/>
    </row>
    <row r="23" spans="1:10" s="2417" customFormat="1" ht="18" customHeight="1">
      <c r="A23" s="2371" t="s">
        <v>1539</v>
      </c>
      <c r="B23" s="2372" t="s">
        <v>1549</v>
      </c>
      <c r="C23" s="2648" t="s">
        <v>1551</v>
      </c>
      <c r="D23" s="2363"/>
      <c r="E23" s="2297"/>
      <c r="F23" s="2364"/>
      <c r="G23" s="2365"/>
      <c r="H23" s="2366">
        <v>23</v>
      </c>
      <c r="I23" s="2364"/>
      <c r="J23" s="2808"/>
    </row>
    <row r="24" spans="1:10" s="2417" customFormat="1" ht="18" customHeight="1" thickBot="1">
      <c r="A24" s="2393" t="s">
        <v>1539</v>
      </c>
      <c r="B24" s="2634" t="s">
        <v>1549</v>
      </c>
      <c r="C24" s="2649" t="s">
        <v>1613</v>
      </c>
      <c r="D24" s="2635"/>
      <c r="E24" s="397"/>
      <c r="F24" s="2636"/>
      <c r="G24" s="2637"/>
      <c r="H24" s="2638">
        <v>245</v>
      </c>
      <c r="I24" s="2636"/>
      <c r="J24" s="2808"/>
    </row>
    <row r="25" spans="1:10" s="7" customFormat="1" ht="18" customHeight="1" thickBot="1">
      <c r="A25" s="40"/>
      <c r="B25" s="2207" t="s">
        <v>1444</v>
      </c>
      <c r="C25" s="1173"/>
      <c r="D25" s="108">
        <f>SUM(D9:D13,D15:D19)</f>
        <v>1000</v>
      </c>
      <c r="E25" s="9">
        <f>SUM(E9:E13,E15:E19)</f>
        <v>50</v>
      </c>
      <c r="F25" s="10">
        <f>100-E25/D25*100</f>
        <v>95</v>
      </c>
      <c r="G25" s="105">
        <f>SUM(G9:G13,G15:G19)</f>
        <v>89125</v>
      </c>
      <c r="H25" s="106">
        <f>SUM(H9:H13,H15:H19)</f>
        <v>9228.35</v>
      </c>
      <c r="I25" s="10">
        <f>100-H25/G25*100</f>
        <v>89.645610098176718</v>
      </c>
      <c r="J25" s="2809"/>
    </row>
    <row r="26" spans="1:10" s="7" customFormat="1" ht="18" customHeight="1">
      <c r="A26" s="42"/>
      <c r="B26" s="42"/>
      <c r="C26" s="42"/>
      <c r="E26" s="11"/>
      <c r="H26" s="11"/>
      <c r="J26" s="1358"/>
    </row>
    <row r="27" spans="1:10" s="7" customFormat="1" ht="18" customHeight="1">
      <c r="A27" s="194" t="s">
        <v>219</v>
      </c>
      <c r="B27" s="195" t="s">
        <v>224</v>
      </c>
      <c r="C27" s="195"/>
      <c r="E27" s="11"/>
      <c r="F27" s="3056" t="s">
        <v>900</v>
      </c>
      <c r="G27" s="3057"/>
      <c r="H27" s="3057"/>
      <c r="J27" s="2762"/>
    </row>
    <row r="28" spans="1:10">
      <c r="B28" s="195" t="s">
        <v>1645</v>
      </c>
      <c r="F28" s="3057"/>
      <c r="G28" s="3057"/>
      <c r="H28" s="3057"/>
    </row>
    <row r="29" spans="1:10">
      <c r="D29" s="197"/>
      <c r="F29" s="3057"/>
      <c r="G29" s="3057"/>
      <c r="H29" s="3057"/>
    </row>
    <row r="30" spans="1:10">
      <c r="A30" s="335" t="s">
        <v>1434</v>
      </c>
      <c r="B30" s="335" t="s">
        <v>1435</v>
      </c>
      <c r="C30"/>
      <c r="D30" s="197"/>
      <c r="F30" s="3057"/>
      <c r="G30" s="3057"/>
      <c r="H30" s="3057"/>
    </row>
    <row r="31" spans="1:10">
      <c r="A31" s="335" t="s">
        <v>1554</v>
      </c>
      <c r="B31" s="335" t="s">
        <v>1550</v>
      </c>
      <c r="C31" s="2196" t="s">
        <v>1442</v>
      </c>
      <c r="F31" s="3057"/>
      <c r="G31" s="3057"/>
      <c r="H31" s="3057"/>
    </row>
  </sheetData>
  <sheetProtection algorithmName="SHA-512" hashValue="K18ecTNvKSagz/LrphwqzePyLgp01awFOjBquqwOH7c/IS6X9vnwDWj2TdHxcdURBy6MWdeEWbJsuoYejSdkXA==" saltValue="hJ+ydtl4wvZ08G/wDnf0aA==" spinCount="100000" sheet="1" objects="1" scenarios="1"/>
  <mergeCells count="6">
    <mergeCell ref="B4:C4"/>
    <mergeCell ref="B5:C5"/>
    <mergeCell ref="B6:C6"/>
    <mergeCell ref="F27:H31"/>
    <mergeCell ref="A1:I1"/>
    <mergeCell ref="A2:I2"/>
  </mergeCells>
  <phoneticPr fontId="0" type="noConversion"/>
  <conditionalFormatting sqref="E26 H26 F9:F25 I9:J25">
    <cfRule type="cellIs" dxfId="94" priority="1" stopIfTrue="1" operator="lessThan">
      <formula>95</formula>
    </cfRule>
  </conditionalFormatting>
  <pageMargins left="0.7" right="0.7" top="0.78740157499999996" bottom="0.78740157499999996" header="0.3" footer="0.3"/>
  <pageSetup paperSize="9" scale="57" fitToHeight="0" orientation="landscape" r:id="rId1"/>
  <headerFooter>
    <oddHeader>&amp;LVDV SUN Jahresschlussrechnung JJJJ&amp;R&amp;KFF0000&amp;F</oddHeader>
    <oddFooter>&amp;C&amp;P&amp;R&amp;A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45"/>
  <sheetViews>
    <sheetView view="pageLayout" zoomScale="80" zoomScaleNormal="100" zoomScaleSheetLayoutView="80" zoomScalePageLayoutView="80" workbookViewId="0">
      <selection activeCell="B85" sqref="B85"/>
    </sheetView>
  </sheetViews>
  <sheetFormatPr baseColWidth="10" defaultColWidth="11.42578125" defaultRowHeight="12.75"/>
  <cols>
    <col min="1" max="1" width="7.42578125" style="27" customWidth="1"/>
    <col min="2" max="2" width="13" style="27" bestFit="1" customWidth="1"/>
    <col min="3" max="3" width="6.7109375" style="27" customWidth="1"/>
    <col min="4" max="5" width="9" style="27" customWidth="1"/>
    <col min="6" max="6" width="9.7109375" style="7" customWidth="1"/>
    <col min="7" max="7" width="9" style="7" customWidth="1"/>
    <col min="8" max="8" width="15.140625" style="7" bestFit="1" customWidth="1"/>
    <col min="9" max="9" width="9" style="7" customWidth="1"/>
    <col min="10" max="11" width="12.85546875" style="7" customWidth="1"/>
    <col min="12" max="12" width="10.5703125" style="7" customWidth="1"/>
    <col min="13" max="13" width="9.85546875" style="7" customWidth="1"/>
    <col min="14" max="14" width="10.140625" style="7" customWidth="1"/>
    <col min="15" max="16" width="11.5703125" style="7" customWidth="1"/>
    <col min="17" max="17" width="15.140625" style="7" customWidth="1"/>
    <col min="18" max="18" width="12.140625" style="7" bestFit="1" customWidth="1"/>
    <col min="19" max="19" width="16.28515625" style="7" customWidth="1"/>
    <col min="20" max="16384" width="11.42578125" style="7"/>
  </cols>
  <sheetData>
    <row r="1" spans="1:20" ht="18">
      <c r="A1" s="3215" t="s">
        <v>1478</v>
      </c>
      <c r="B1" s="3215"/>
      <c r="C1" s="3215"/>
      <c r="D1" s="3215"/>
      <c r="E1" s="3215"/>
      <c r="F1" s="3215"/>
      <c r="G1" s="3215"/>
      <c r="H1" s="3215"/>
      <c r="I1" s="3215"/>
      <c r="J1" s="3215"/>
      <c r="K1" s="3215"/>
      <c r="L1" s="3215"/>
      <c r="M1" s="3215"/>
      <c r="N1" s="3215"/>
      <c r="O1" s="3215"/>
      <c r="P1" s="3215"/>
      <c r="Q1" s="3215"/>
      <c r="R1" s="3215"/>
      <c r="S1" s="3215"/>
    </row>
    <row r="2" spans="1:20" ht="18">
      <c r="A2" s="3216" t="s">
        <v>319</v>
      </c>
      <c r="B2" s="3216"/>
      <c r="C2" s="3216"/>
      <c r="D2" s="3216"/>
      <c r="E2" s="3216"/>
      <c r="F2" s="3216"/>
      <c r="G2" s="3216"/>
      <c r="H2" s="3216"/>
      <c r="I2" s="3216"/>
      <c r="J2" s="3216"/>
      <c r="K2" s="3216"/>
      <c r="L2" s="3216"/>
      <c r="M2" s="3216"/>
      <c r="N2" s="3216"/>
      <c r="O2" s="3216"/>
      <c r="P2" s="3216"/>
      <c r="Q2" s="3216"/>
      <c r="R2" s="3216"/>
      <c r="S2" s="3216"/>
    </row>
    <row r="3" spans="1:20">
      <c r="F3" s="27"/>
      <c r="H3" s="159"/>
      <c r="I3" s="11"/>
      <c r="J3" s="27"/>
      <c r="M3" s="27"/>
      <c r="O3" s="159"/>
      <c r="P3" s="11"/>
      <c r="Q3" s="27"/>
    </row>
    <row r="4" spans="1:20" ht="18" customHeight="1" thickBot="1">
      <c r="A4" s="57"/>
      <c r="B4" s="49"/>
      <c r="C4" s="58"/>
      <c r="D4" s="58"/>
      <c r="E4" s="49"/>
      <c r="F4" s="59"/>
      <c r="G4" s="60"/>
      <c r="H4" s="58"/>
      <c r="I4" s="58"/>
      <c r="J4" s="49"/>
      <c r="M4" s="59"/>
      <c r="N4" s="60"/>
      <c r="O4" s="58"/>
      <c r="P4" s="58"/>
      <c r="Q4" s="49"/>
    </row>
    <row r="5" spans="1:20" ht="17.25" customHeight="1">
      <c r="A5" s="3217" t="s">
        <v>26</v>
      </c>
      <c r="B5" s="3219" t="s">
        <v>182</v>
      </c>
      <c r="C5" s="3219" t="s">
        <v>183</v>
      </c>
      <c r="D5" s="3219" t="s">
        <v>184</v>
      </c>
      <c r="E5" s="3221" t="s">
        <v>185</v>
      </c>
      <c r="F5" s="3212" t="s">
        <v>1181</v>
      </c>
      <c r="G5" s="3213"/>
      <c r="H5" s="3213"/>
      <c r="I5" s="3213"/>
      <c r="J5" s="3213"/>
      <c r="K5" s="3213"/>
      <c r="L5" s="3214"/>
      <c r="M5" s="3224" t="s">
        <v>1180</v>
      </c>
      <c r="N5" s="3225"/>
      <c r="O5" s="3225"/>
      <c r="P5" s="3225"/>
      <c r="Q5" s="3225"/>
      <c r="R5" s="3225"/>
      <c r="S5" s="3226"/>
      <c r="T5" s="424"/>
    </row>
    <row r="6" spans="1:20" ht="18" customHeight="1" thickBot="1">
      <c r="A6" s="3218"/>
      <c r="B6" s="3220"/>
      <c r="C6" s="3220"/>
      <c r="D6" s="3220"/>
      <c r="E6" s="3222"/>
      <c r="F6" s="426" t="s">
        <v>186</v>
      </c>
      <c r="G6" s="427" t="s">
        <v>187</v>
      </c>
      <c r="H6" s="427" t="s">
        <v>188</v>
      </c>
      <c r="I6" s="427" t="s">
        <v>189</v>
      </c>
      <c r="J6" s="427" t="s">
        <v>190</v>
      </c>
      <c r="K6" s="427" t="s">
        <v>191</v>
      </c>
      <c r="L6" s="428" t="s">
        <v>192</v>
      </c>
      <c r="M6" s="1495" t="s">
        <v>186</v>
      </c>
      <c r="N6" s="1496" t="s">
        <v>187</v>
      </c>
      <c r="O6" s="1496" t="s">
        <v>188</v>
      </c>
      <c r="P6" s="1496" t="s">
        <v>189</v>
      </c>
      <c r="Q6" s="1496" t="s">
        <v>190</v>
      </c>
      <c r="R6" s="1496" t="s">
        <v>191</v>
      </c>
      <c r="S6" s="1497" t="s">
        <v>192</v>
      </c>
      <c r="T6" s="424"/>
    </row>
    <row r="7" spans="1:20" ht="30" customHeight="1">
      <c r="A7" s="686" t="s">
        <v>139</v>
      </c>
      <c r="B7" s="2341" t="s">
        <v>313</v>
      </c>
      <c r="C7" s="2341" t="s">
        <v>1575</v>
      </c>
      <c r="D7" s="2605">
        <v>0.58888888888888891</v>
      </c>
      <c r="E7" s="2606">
        <v>0.58472222222222225</v>
      </c>
      <c r="F7" s="2607">
        <v>240</v>
      </c>
      <c r="G7" s="2608">
        <v>240</v>
      </c>
      <c r="H7" s="2608">
        <v>240</v>
      </c>
      <c r="I7" s="2608">
        <v>240</v>
      </c>
      <c r="J7" s="2609">
        <v>360</v>
      </c>
      <c r="K7" s="2608">
        <v>240</v>
      </c>
      <c r="L7" s="2610">
        <v>240</v>
      </c>
      <c r="M7" s="2611" t="s">
        <v>1639</v>
      </c>
      <c r="N7" s="2612" t="s">
        <v>1639</v>
      </c>
      <c r="O7" s="2612" t="s">
        <v>1639</v>
      </c>
      <c r="P7" s="2612" t="s">
        <v>1639</v>
      </c>
      <c r="Q7" s="2612" t="s">
        <v>1640</v>
      </c>
      <c r="R7" s="2613" t="s">
        <v>1639</v>
      </c>
      <c r="S7" s="2614" t="s">
        <v>1639</v>
      </c>
      <c r="T7" s="424"/>
    </row>
    <row r="8" spans="1:20" s="1835" customFormat="1" ht="30" customHeight="1">
      <c r="A8" s="1844" t="s">
        <v>139</v>
      </c>
      <c r="B8" s="2613" t="s">
        <v>313</v>
      </c>
      <c r="C8" s="2613" t="s">
        <v>1575</v>
      </c>
      <c r="D8" s="2615"/>
      <c r="E8" s="2616"/>
      <c r="F8" s="2617">
        <v>240</v>
      </c>
      <c r="G8" s="2618">
        <v>240</v>
      </c>
      <c r="H8" s="2618">
        <v>240</v>
      </c>
      <c r="I8" s="2618">
        <v>240</v>
      </c>
      <c r="J8" s="2619">
        <v>360</v>
      </c>
      <c r="K8" s="2618">
        <v>360</v>
      </c>
      <c r="L8" s="2614">
        <v>360</v>
      </c>
      <c r="M8" s="2620" t="s">
        <v>1639</v>
      </c>
      <c r="N8" s="2621" t="s">
        <v>1639</v>
      </c>
      <c r="O8" s="2621" t="s">
        <v>1639</v>
      </c>
      <c r="P8" s="2621" t="s">
        <v>1639</v>
      </c>
      <c r="Q8" s="2621" t="s">
        <v>1640</v>
      </c>
      <c r="R8" s="2613" t="s">
        <v>1640</v>
      </c>
      <c r="S8" s="2614" t="s">
        <v>1640</v>
      </c>
      <c r="T8" s="424"/>
    </row>
    <row r="9" spans="1:20" ht="30" customHeight="1">
      <c r="A9" s="201" t="s">
        <v>139</v>
      </c>
      <c r="B9" s="202" t="s">
        <v>313</v>
      </c>
      <c r="C9" s="202" t="s">
        <v>1599</v>
      </c>
      <c r="D9" s="2622"/>
      <c r="E9" s="2623"/>
      <c r="F9" s="2624">
        <v>120</v>
      </c>
      <c r="G9" s="2625">
        <v>120</v>
      </c>
      <c r="H9" s="2625">
        <v>120</v>
      </c>
      <c r="I9" s="2625">
        <v>120</v>
      </c>
      <c r="J9" s="2626">
        <v>360</v>
      </c>
      <c r="K9" s="2625">
        <v>240</v>
      </c>
      <c r="L9" s="2627">
        <v>240</v>
      </c>
      <c r="M9" s="2628" t="s">
        <v>1641</v>
      </c>
      <c r="N9" s="202" t="s">
        <v>1641</v>
      </c>
      <c r="O9" s="202" t="s">
        <v>1641</v>
      </c>
      <c r="P9" s="202" t="s">
        <v>1641</v>
      </c>
      <c r="Q9" s="2599" t="s">
        <v>1640</v>
      </c>
      <c r="R9" s="2625" t="s">
        <v>1639</v>
      </c>
      <c r="S9" s="205" t="s">
        <v>1639</v>
      </c>
      <c r="T9" s="424"/>
    </row>
    <row r="10" spans="1:20" ht="30" customHeight="1" thickBot="1">
      <c r="A10" s="201" t="s">
        <v>139</v>
      </c>
      <c r="B10" s="202" t="s">
        <v>1388</v>
      </c>
      <c r="C10" s="202" t="s">
        <v>1599</v>
      </c>
      <c r="D10" s="2622"/>
      <c r="E10" s="2623"/>
      <c r="F10" s="2624">
        <v>120</v>
      </c>
      <c r="G10" s="2625">
        <v>120</v>
      </c>
      <c r="H10" s="2625">
        <v>120</v>
      </c>
      <c r="I10" s="2625">
        <v>120</v>
      </c>
      <c r="J10" s="2626">
        <v>240</v>
      </c>
      <c r="K10" s="2625">
        <v>120</v>
      </c>
      <c r="L10" s="2627">
        <v>240</v>
      </c>
      <c r="M10" s="2629" t="s">
        <v>1641</v>
      </c>
      <c r="N10" s="2338" t="s">
        <v>1641</v>
      </c>
      <c r="O10" s="2338" t="s">
        <v>1641</v>
      </c>
      <c r="P10" s="2338" t="s">
        <v>1641</v>
      </c>
      <c r="Q10" s="2338" t="s">
        <v>1639</v>
      </c>
      <c r="R10" s="2338" t="s">
        <v>1641</v>
      </c>
      <c r="S10" s="2630" t="s">
        <v>1639</v>
      </c>
      <c r="T10" s="424"/>
    </row>
    <row r="11" spans="1:20" ht="18" customHeight="1">
      <c r="A11" s="160"/>
    </row>
    <row r="12" spans="1:20" ht="18" customHeight="1">
      <c r="A12" s="194"/>
      <c r="B12" s="195"/>
      <c r="C12" s="388"/>
      <c r="D12" s="388"/>
      <c r="E12" s="388"/>
    </row>
    <row r="13" spans="1:20" ht="18" customHeight="1">
      <c r="A13" s="161"/>
    </row>
    <row r="14" spans="1:20" ht="18" customHeight="1">
      <c r="D14" s="197"/>
      <c r="F14" s="3056" t="s">
        <v>902</v>
      </c>
      <c r="G14" s="3223"/>
      <c r="H14" s="3223"/>
      <c r="I14" s="3223"/>
      <c r="J14" s="3223"/>
      <c r="K14" s="3223"/>
    </row>
    <row r="15" spans="1:20" ht="18" customHeight="1">
      <c r="D15" s="197"/>
      <c r="F15" s="3223"/>
      <c r="G15" s="3223"/>
      <c r="H15" s="3223"/>
      <c r="I15" s="3223"/>
      <c r="J15" s="3223"/>
      <c r="K15" s="3223"/>
    </row>
    <row r="16" spans="1:20" ht="18" customHeight="1">
      <c r="F16" s="3223"/>
      <c r="G16" s="3223"/>
      <c r="H16" s="3223"/>
      <c r="I16" s="3223"/>
      <c r="J16" s="3223"/>
      <c r="K16" s="3223"/>
    </row>
    <row r="17" spans="1:18">
      <c r="F17" s="3223"/>
      <c r="G17" s="3223"/>
      <c r="H17" s="3223"/>
      <c r="I17" s="3223"/>
      <c r="J17" s="3223"/>
      <c r="K17" s="3223"/>
    </row>
    <row r="18" spans="1:18">
      <c r="F18" s="3223"/>
      <c r="G18" s="3223"/>
      <c r="H18" s="3223"/>
      <c r="I18" s="3223"/>
      <c r="J18" s="3223"/>
      <c r="K18" s="3223"/>
    </row>
    <row r="19" spans="1:18">
      <c r="F19" s="3223"/>
      <c r="G19" s="3223"/>
      <c r="H19" s="3223"/>
      <c r="I19" s="3223"/>
      <c r="J19" s="3223"/>
      <c r="K19" s="3223"/>
    </row>
    <row r="20" spans="1:18" ht="12.75" customHeight="1">
      <c r="F20" s="3223"/>
      <c r="G20" s="3223"/>
      <c r="H20" s="3223"/>
      <c r="I20" s="3223"/>
      <c r="J20" s="3223"/>
      <c r="K20" s="3223"/>
    </row>
    <row r="22" spans="1:18">
      <c r="D22" s="49"/>
      <c r="E22" s="430"/>
      <c r="F22" s="421"/>
      <c r="G22" s="431"/>
      <c r="H22" s="422"/>
      <c r="I22" s="422"/>
      <c r="J22" s="422"/>
      <c r="K22" s="422"/>
      <c r="L22" s="422"/>
      <c r="M22" s="64"/>
    </row>
    <row r="23" spans="1:18">
      <c r="D23" s="49"/>
      <c r="E23" s="432"/>
      <c r="F23" s="3057" t="s">
        <v>225</v>
      </c>
      <c r="G23" s="3057"/>
      <c r="H23" s="3057"/>
      <c r="I23" s="3057"/>
      <c r="J23" s="3057"/>
      <c r="K23" s="3057"/>
      <c r="L23" s="422"/>
      <c r="M23" s="64"/>
    </row>
    <row r="24" spans="1:18">
      <c r="D24" s="49"/>
      <c r="E24" s="432"/>
      <c r="F24" s="3057"/>
      <c r="G24" s="3057"/>
      <c r="H24" s="3057"/>
      <c r="I24" s="3057"/>
      <c r="J24" s="3057"/>
      <c r="K24" s="3057"/>
      <c r="L24" s="422"/>
      <c r="M24" s="64"/>
    </row>
    <row r="25" spans="1:18">
      <c r="D25" s="49"/>
      <c r="E25" s="49"/>
      <c r="F25" s="64"/>
      <c r="G25" s="64"/>
      <c r="H25" s="64"/>
      <c r="I25" s="64"/>
      <c r="J25" s="64"/>
      <c r="K25" s="64"/>
      <c r="L25" s="64"/>
      <c r="M25" s="64"/>
    </row>
    <row r="26" spans="1:18">
      <c r="D26" s="49"/>
      <c r="E26" s="49"/>
      <c r="F26" s="64"/>
      <c r="G26" s="64"/>
      <c r="H26" s="1175" t="s">
        <v>67</v>
      </c>
      <c r="I26" s="1175" t="s">
        <v>67</v>
      </c>
      <c r="J26" s="64"/>
      <c r="K26" s="64"/>
      <c r="L26" s="64"/>
      <c r="M26" s="64"/>
    </row>
    <row r="27" spans="1:18" ht="22.5">
      <c r="A27" s="1359" t="s">
        <v>26</v>
      </c>
      <c r="B27" s="1360" t="s">
        <v>57</v>
      </c>
      <c r="C27" s="1360" t="s">
        <v>58</v>
      </c>
      <c r="D27" s="1360" t="s">
        <v>1059</v>
      </c>
      <c r="E27" s="1360" t="s">
        <v>1060</v>
      </c>
      <c r="F27" s="1361" t="s">
        <v>75</v>
      </c>
      <c r="G27" s="1361" t="s">
        <v>0</v>
      </c>
      <c r="H27" s="1361" t="s">
        <v>1061</v>
      </c>
      <c r="I27" s="1361" t="s">
        <v>1218</v>
      </c>
      <c r="J27" s="1361" t="s">
        <v>36</v>
      </c>
      <c r="K27" s="1361" t="s">
        <v>38</v>
      </c>
      <c r="L27" s="1362" t="s">
        <v>1058</v>
      </c>
      <c r="M27" s="1175"/>
      <c r="O27" s="197" t="s">
        <v>1182</v>
      </c>
    </row>
    <row r="28" spans="1:18">
      <c r="A28" s="1363" t="s">
        <v>139</v>
      </c>
      <c r="B28" s="958"/>
      <c r="C28" s="958"/>
      <c r="D28" s="196" t="s">
        <v>1557</v>
      </c>
      <c r="E28" s="196" t="s">
        <v>1556</v>
      </c>
      <c r="F28" s="958"/>
      <c r="G28" s="196" t="s">
        <v>1529</v>
      </c>
      <c r="H28" s="335" t="s">
        <v>1639</v>
      </c>
      <c r="I28" s="2601">
        <v>240</v>
      </c>
      <c r="J28" s="1364">
        <v>46005</v>
      </c>
      <c r="K28" s="1364">
        <v>46368</v>
      </c>
      <c r="L28" s="1365" t="s">
        <v>1053</v>
      </c>
      <c r="M28" s="1358"/>
      <c r="O28" s="972" t="s">
        <v>1053</v>
      </c>
      <c r="P28" s="972" t="s">
        <v>1062</v>
      </c>
      <c r="Q28" s="972"/>
      <c r="R28" s="972"/>
    </row>
    <row r="29" spans="1:18">
      <c r="A29" s="1363" t="s">
        <v>139</v>
      </c>
      <c r="B29" s="958"/>
      <c r="C29" s="958"/>
      <c r="D29" s="196" t="s">
        <v>313</v>
      </c>
      <c r="E29" s="196" t="s">
        <v>1575</v>
      </c>
      <c r="F29" s="958"/>
      <c r="G29" s="196" t="s">
        <v>1529</v>
      </c>
      <c r="H29" s="335" t="s">
        <v>1639</v>
      </c>
      <c r="I29" s="2601">
        <v>240</v>
      </c>
      <c r="J29" s="1364">
        <v>46005</v>
      </c>
      <c r="K29" s="1364">
        <v>46368</v>
      </c>
      <c r="L29" s="1365" t="s">
        <v>1129</v>
      </c>
      <c r="M29" s="1358"/>
      <c r="O29" s="972" t="s">
        <v>1129</v>
      </c>
      <c r="P29" s="972" t="s">
        <v>1130</v>
      </c>
      <c r="Q29" s="972"/>
      <c r="R29" s="972"/>
    </row>
    <row r="30" spans="1:18">
      <c r="A30" s="1363" t="s">
        <v>139</v>
      </c>
      <c r="B30" s="958"/>
      <c r="C30" s="958"/>
      <c r="D30" s="196" t="s">
        <v>1388</v>
      </c>
      <c r="E30" s="196" t="s">
        <v>1599</v>
      </c>
      <c r="F30" s="958"/>
      <c r="G30" s="196" t="s">
        <v>1535</v>
      </c>
      <c r="H30" s="335" t="s">
        <v>1640</v>
      </c>
      <c r="I30" s="2601">
        <v>360</v>
      </c>
      <c r="J30" s="1364">
        <v>46005</v>
      </c>
      <c r="K30" s="1364">
        <v>46368</v>
      </c>
      <c r="L30" s="1365" t="s">
        <v>1054</v>
      </c>
      <c r="M30" s="1358"/>
      <c r="O30" s="972" t="s">
        <v>1055</v>
      </c>
      <c r="P30" s="972" t="s">
        <v>1063</v>
      </c>
      <c r="Q30" s="972"/>
      <c r="R30" s="972"/>
    </row>
    <row r="31" spans="1:18">
      <c r="A31" s="1363" t="s">
        <v>139</v>
      </c>
      <c r="B31" s="958"/>
      <c r="C31" s="958"/>
      <c r="D31" s="196" t="s">
        <v>1388</v>
      </c>
      <c r="E31" s="196" t="s">
        <v>1602</v>
      </c>
      <c r="F31" s="958"/>
      <c r="G31" s="196" t="s">
        <v>1535</v>
      </c>
      <c r="H31" s="335" t="s">
        <v>1641</v>
      </c>
      <c r="I31" s="2601">
        <v>120</v>
      </c>
      <c r="J31" s="1364">
        <v>46005</v>
      </c>
      <c r="K31" s="1364">
        <v>46368</v>
      </c>
      <c r="L31" s="1365" t="s">
        <v>1055</v>
      </c>
      <c r="M31" s="1358"/>
      <c r="O31" s="972" t="s">
        <v>1128</v>
      </c>
      <c r="P31" s="972" t="s">
        <v>1132</v>
      </c>
      <c r="Q31" s="972"/>
      <c r="R31" s="972"/>
    </row>
    <row r="32" spans="1:18">
      <c r="A32" s="1363" t="s">
        <v>139</v>
      </c>
      <c r="B32" s="196" t="s">
        <v>1388</v>
      </c>
      <c r="C32" s="196" t="s">
        <v>1611</v>
      </c>
      <c r="D32" s="196" t="s">
        <v>1388</v>
      </c>
      <c r="E32" s="196" t="s">
        <v>1599</v>
      </c>
      <c r="F32" s="958"/>
      <c r="G32" s="196" t="s">
        <v>1535</v>
      </c>
      <c r="H32" s="1358" t="s">
        <v>1639</v>
      </c>
      <c r="I32" s="2601">
        <v>240</v>
      </c>
      <c r="J32" s="1364">
        <v>46005</v>
      </c>
      <c r="K32" s="1364">
        <v>46368</v>
      </c>
      <c r="L32" s="1365" t="s">
        <v>1056</v>
      </c>
      <c r="M32" s="1358"/>
      <c r="O32" s="972" t="s">
        <v>1056</v>
      </c>
      <c r="P32" s="972" t="s">
        <v>1127</v>
      </c>
    </row>
    <row r="33" spans="1:16">
      <c r="A33" s="1363" t="s">
        <v>139</v>
      </c>
      <c r="B33" s="196" t="s">
        <v>1388</v>
      </c>
      <c r="C33" s="196" t="s">
        <v>1614</v>
      </c>
      <c r="D33" s="196" t="s">
        <v>1388</v>
      </c>
      <c r="E33" s="196" t="s">
        <v>1599</v>
      </c>
      <c r="F33" s="958"/>
      <c r="G33" s="196" t="s">
        <v>1535</v>
      </c>
      <c r="H33" s="1358" t="s">
        <v>1639</v>
      </c>
      <c r="I33" s="2601">
        <v>240</v>
      </c>
      <c r="J33" s="1364">
        <v>46005</v>
      </c>
      <c r="K33" s="1364">
        <v>46368</v>
      </c>
      <c r="L33" s="1365" t="s">
        <v>1057</v>
      </c>
      <c r="M33" s="1358"/>
      <c r="O33" s="972" t="s">
        <v>1057</v>
      </c>
      <c r="P33" s="972" t="s">
        <v>1064</v>
      </c>
    </row>
    <row r="34" spans="1:16">
      <c r="A34" s="1363" t="s">
        <v>139</v>
      </c>
      <c r="B34" s="958"/>
      <c r="C34" s="958"/>
      <c r="D34" s="196" t="s">
        <v>1575</v>
      </c>
      <c r="E34" s="196" t="s">
        <v>1556</v>
      </c>
      <c r="F34" s="958"/>
      <c r="G34" s="196" t="s">
        <v>1529</v>
      </c>
      <c r="H34" s="1358" t="s">
        <v>1640</v>
      </c>
      <c r="I34" s="2601">
        <v>360</v>
      </c>
      <c r="J34" s="1364">
        <v>46008</v>
      </c>
      <c r="K34" s="1364">
        <v>46368</v>
      </c>
      <c r="L34" s="1365" t="s">
        <v>1054</v>
      </c>
      <c r="M34" s="1358"/>
      <c r="O34" s="972" t="s">
        <v>1131</v>
      </c>
      <c r="P34" s="972" t="s">
        <v>1133</v>
      </c>
    </row>
    <row r="35" spans="1:16">
      <c r="A35" s="1363" t="s">
        <v>139</v>
      </c>
      <c r="B35" s="958"/>
      <c r="C35" s="958"/>
      <c r="D35" s="958" t="s">
        <v>1575</v>
      </c>
      <c r="E35" s="196" t="s">
        <v>1556</v>
      </c>
      <c r="F35" s="958"/>
      <c r="G35" s="196" t="s">
        <v>1530</v>
      </c>
      <c r="H35" s="1358" t="s">
        <v>1640</v>
      </c>
      <c r="I35" s="2601">
        <v>360</v>
      </c>
      <c r="J35" s="1364">
        <v>46008</v>
      </c>
      <c r="K35" s="1364">
        <v>46368</v>
      </c>
      <c r="L35" s="1365" t="s">
        <v>1055</v>
      </c>
      <c r="M35" s="1358"/>
    </row>
    <row r="36" spans="1:16">
      <c r="A36" s="1363" t="s">
        <v>139</v>
      </c>
      <c r="B36" s="958"/>
      <c r="C36" s="958"/>
      <c r="D36" s="958" t="s">
        <v>1575</v>
      </c>
      <c r="E36" s="196" t="s">
        <v>1556</v>
      </c>
      <c r="F36" s="958"/>
      <c r="G36" s="196" t="s">
        <v>1529</v>
      </c>
      <c r="H36" s="1358" t="s">
        <v>1640</v>
      </c>
      <c r="I36" s="2601">
        <v>360</v>
      </c>
      <c r="J36" s="1364">
        <v>46008</v>
      </c>
      <c r="K36" s="1364">
        <v>46368</v>
      </c>
      <c r="L36" s="1365" t="s">
        <v>1056</v>
      </c>
      <c r="M36" s="1358"/>
    </row>
    <row r="37" spans="1:16">
      <c r="A37" s="1366" t="s">
        <v>139</v>
      </c>
      <c r="B37" s="1367"/>
      <c r="C37" s="1367"/>
      <c r="D37" s="1367" t="s">
        <v>1575</v>
      </c>
      <c r="E37" s="2602" t="s">
        <v>1556</v>
      </c>
      <c r="F37" s="1367"/>
      <c r="G37" s="2602" t="s">
        <v>1529</v>
      </c>
      <c r="H37" s="2603" t="s">
        <v>1640</v>
      </c>
      <c r="I37" s="2604">
        <v>360</v>
      </c>
      <c r="J37" s="1368">
        <v>46008</v>
      </c>
      <c r="K37" s="1368">
        <v>46368</v>
      </c>
      <c r="L37" s="1369" t="s">
        <v>1057</v>
      </c>
      <c r="M37" s="1358"/>
    </row>
    <row r="38" spans="1:16" s="2344" customFormat="1">
      <c r="A38" s="196"/>
      <c r="B38" s="958"/>
      <c r="C38" s="958"/>
      <c r="D38" s="958"/>
      <c r="E38" s="196"/>
      <c r="F38" s="958"/>
      <c r="G38" s="196"/>
      <c r="H38" s="424"/>
      <c r="I38" s="2601"/>
      <c r="J38" s="1364"/>
      <c r="K38" s="1364"/>
      <c r="L38" s="196"/>
      <c r="M38" s="1358"/>
    </row>
    <row r="39" spans="1:16" s="2344" customFormat="1">
      <c r="A39" s="197" t="s">
        <v>1642</v>
      </c>
      <c r="B39" s="7"/>
      <c r="C39" s="7"/>
      <c r="D39" s="7"/>
      <c r="E39" s="7"/>
      <c r="F39" s="7"/>
      <c r="G39" s="7"/>
      <c r="H39" s="7"/>
      <c r="I39" s="7"/>
      <c r="J39" s="1364"/>
      <c r="K39" s="1364"/>
      <c r="L39" s="196"/>
      <c r="M39" s="1358"/>
    </row>
    <row r="41" spans="1:16">
      <c r="A41" s="1494" t="s">
        <v>219</v>
      </c>
      <c r="B41" s="3094" t="s">
        <v>224</v>
      </c>
      <c r="C41" s="3094"/>
      <c r="D41" s="3094"/>
      <c r="E41" s="3094"/>
      <c r="F41" s="3094"/>
      <c r="G41" s="3094"/>
      <c r="H41" s="3094"/>
      <c r="I41" s="3094"/>
      <c r="J41" s="3094"/>
    </row>
    <row r="42" spans="1:16">
      <c r="B42" s="195" t="s">
        <v>1645</v>
      </c>
    </row>
    <row r="44" spans="1:16">
      <c r="A44" s="335" t="s">
        <v>1434</v>
      </c>
      <c r="B44" s="335" t="s">
        <v>1435</v>
      </c>
      <c r="C44"/>
    </row>
    <row r="45" spans="1:16">
      <c r="A45" s="335" t="s">
        <v>1554</v>
      </c>
      <c r="B45" s="335" t="s">
        <v>1550</v>
      </c>
      <c r="C45" s="2196" t="s">
        <v>1442</v>
      </c>
    </row>
  </sheetData>
  <sheetProtection algorithmName="SHA-512" hashValue="ut+IAdIkJUijvaQjf+a9i/e7C9IpTu90vDCa6WmGyxGJkjoEC+eCHOG8QuGYEAVMGYVtbTTrkldwuvhLqfYCOA==" saltValue="UbAOthXBUdA9Go2t7ZmgQw==" spinCount="100000" sheet="1" objects="1" scenarios="1"/>
  <mergeCells count="12">
    <mergeCell ref="B41:J41"/>
    <mergeCell ref="F23:K24"/>
    <mergeCell ref="F5:L5"/>
    <mergeCell ref="A1:S1"/>
    <mergeCell ref="A2:S2"/>
    <mergeCell ref="A5:A6"/>
    <mergeCell ref="B5:B6"/>
    <mergeCell ref="C5:C6"/>
    <mergeCell ref="D5:D6"/>
    <mergeCell ref="E5:E6"/>
    <mergeCell ref="F14:K20"/>
    <mergeCell ref="M5:S5"/>
  </mergeCells>
  <phoneticPr fontId="0" type="noConversion"/>
  <pageMargins left="0.7" right="0.7" top="0.78740157499999996" bottom="0.78740157499999996" header="0.3" footer="0.3"/>
  <pageSetup paperSize="9" scale="63" fitToHeight="0" orientation="landscape" r:id="rId1"/>
  <headerFooter>
    <oddHeader>&amp;LVDV SUN Jahresschlussrechnung JJJJ&amp;R&amp;F</oddHeader>
    <oddFooter>&amp;C&amp;P&amp;R&amp;A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6"/>
  <sheetViews>
    <sheetView view="pageLayout" zoomScale="80" zoomScaleNormal="100" zoomScalePageLayoutView="80" workbookViewId="0">
      <selection activeCell="B85" sqref="B85"/>
    </sheetView>
  </sheetViews>
  <sheetFormatPr baseColWidth="10" defaultRowHeight="12.75"/>
  <cols>
    <col min="1" max="1" width="15.5703125" style="13" customWidth="1"/>
    <col min="2" max="3" width="18.5703125" style="13" customWidth="1"/>
    <col min="4" max="4" width="20.140625" style="13" customWidth="1"/>
    <col min="5" max="5" width="22.5703125" style="13" customWidth="1"/>
    <col min="6" max="6" width="12.85546875" style="13" customWidth="1"/>
    <col min="7" max="7" width="16.85546875" style="13" customWidth="1"/>
    <col min="8" max="8" width="20.7109375" customWidth="1"/>
    <col min="9" max="9" width="24" customWidth="1"/>
    <col min="10" max="10" width="19.28515625" customWidth="1"/>
  </cols>
  <sheetData>
    <row r="1" spans="1:10" s="74" customFormat="1" ht="18" customHeight="1">
      <c r="A1" s="3227" t="s">
        <v>1479</v>
      </c>
      <c r="B1" s="3227"/>
      <c r="C1" s="3227"/>
      <c r="D1" s="3227"/>
      <c r="E1" s="3227"/>
      <c r="F1" s="3227"/>
      <c r="G1" s="3227"/>
    </row>
    <row r="2" spans="1:10" s="75" customFormat="1" ht="23.25" customHeight="1">
      <c r="A2" s="3228" t="s">
        <v>159</v>
      </c>
      <c r="B2" s="3228"/>
      <c r="C2" s="3228"/>
      <c r="D2" s="3228"/>
      <c r="E2" s="3228"/>
      <c r="F2" s="3228"/>
      <c r="G2" s="3228"/>
    </row>
    <row r="3" spans="1:10" ht="37.5" customHeight="1" thickBot="1"/>
    <row r="4" spans="1:10" s="62" customFormat="1" ht="54" customHeight="1" thickBot="1">
      <c r="A4" s="118" t="s">
        <v>674</v>
      </c>
      <c r="B4" s="119" t="s">
        <v>22</v>
      </c>
      <c r="C4" s="119" t="s">
        <v>675</v>
      </c>
      <c r="D4" s="119" t="s">
        <v>152</v>
      </c>
      <c r="E4" s="119" t="s">
        <v>153</v>
      </c>
      <c r="F4" s="52" t="s">
        <v>154</v>
      </c>
      <c r="G4" s="655" t="s">
        <v>155</v>
      </c>
      <c r="H4" s="120" t="s">
        <v>688</v>
      </c>
      <c r="I4" s="120" t="s">
        <v>861</v>
      </c>
      <c r="J4" s="1499" t="s">
        <v>1167</v>
      </c>
    </row>
    <row r="5" spans="1:10" s="7" customFormat="1" ht="56.85" customHeight="1" thickBot="1">
      <c r="A5" s="665"/>
      <c r="B5" s="666"/>
      <c r="C5" s="667"/>
      <c r="D5" s="661"/>
      <c r="E5" s="661"/>
      <c r="F5" s="663"/>
      <c r="G5" s="663"/>
      <c r="H5" s="664"/>
      <c r="I5" s="664"/>
      <c r="J5" s="1498"/>
    </row>
    <row r="6" spans="1:10" s="7" customFormat="1" ht="56.85" customHeight="1" thickBot="1">
      <c r="A6" s="668"/>
      <c r="B6" s="670"/>
      <c r="C6" s="670"/>
      <c r="D6" s="670"/>
      <c r="E6" s="670"/>
      <c r="F6" s="673"/>
      <c r="G6" s="662"/>
      <c r="H6" s="675"/>
      <c r="I6" s="675"/>
      <c r="J6" s="1498"/>
    </row>
    <row r="7" spans="1:10" s="7" customFormat="1" ht="56.85" customHeight="1" thickBot="1">
      <c r="A7" s="677"/>
      <c r="B7" s="678"/>
      <c r="C7" s="679"/>
      <c r="D7" s="679"/>
      <c r="E7" s="679"/>
      <c r="F7" s="680"/>
      <c r="G7" s="682"/>
      <c r="H7" s="681"/>
      <c r="I7" s="681"/>
      <c r="J7" s="1498"/>
    </row>
    <row r="8" spans="1:10" s="7" customFormat="1" ht="56.85" customHeight="1" thickBot="1">
      <c r="A8" s="669"/>
      <c r="B8" s="671"/>
      <c r="C8" s="672"/>
      <c r="D8" s="672"/>
      <c r="E8" s="672"/>
      <c r="F8" s="674"/>
      <c r="G8" s="663"/>
      <c r="H8" s="676"/>
      <c r="I8" s="676"/>
      <c r="J8" s="1498"/>
    </row>
    <row r="9" spans="1:10">
      <c r="A9" s="28"/>
      <c r="B9" s="28"/>
      <c r="C9" s="28"/>
      <c r="D9" s="28"/>
    </row>
    <row r="10" spans="1:10">
      <c r="A10" s="28"/>
      <c r="B10" s="28"/>
      <c r="C10" s="28"/>
      <c r="D10" s="28"/>
    </row>
    <row r="11" spans="1:10">
      <c r="A11" s="194" t="s">
        <v>219</v>
      </c>
      <c r="B11" s="195" t="s">
        <v>224</v>
      </c>
      <c r="C11" s="388"/>
      <c r="D11" s="388"/>
      <c r="E11" s="388"/>
      <c r="F11" s="3056" t="s">
        <v>225</v>
      </c>
      <c r="G11" s="3057"/>
      <c r="H11" s="467"/>
      <c r="I11" s="467"/>
    </row>
    <row r="12" spans="1:10">
      <c r="A12" s="2343"/>
      <c r="B12" s="195" t="s">
        <v>1645</v>
      </c>
      <c r="C12" s="28"/>
      <c r="D12" s="28"/>
      <c r="F12" s="3057"/>
      <c r="G12" s="3057"/>
      <c r="H12" s="467"/>
      <c r="I12" s="467"/>
    </row>
    <row r="13" spans="1:10">
      <c r="D13" s="197"/>
      <c r="F13" s="3057"/>
      <c r="G13" s="3057"/>
      <c r="H13" s="467"/>
      <c r="I13" s="467"/>
    </row>
    <row r="14" spans="1:10">
      <c r="A14" s="335" t="s">
        <v>1434</v>
      </c>
      <c r="B14" s="335" t="s">
        <v>1435</v>
      </c>
      <c r="C14"/>
      <c r="D14" s="197"/>
      <c r="F14" s="3057"/>
      <c r="G14" s="3057"/>
      <c r="H14" s="467"/>
      <c r="I14" s="467"/>
    </row>
    <row r="15" spans="1:10">
      <c r="A15" s="335" t="s">
        <v>1554</v>
      </c>
      <c r="B15" s="335" t="s">
        <v>1550</v>
      </c>
      <c r="C15" s="2196" t="s">
        <v>1442</v>
      </c>
      <c r="D15" s="28"/>
      <c r="F15" s="3057"/>
      <c r="G15" s="3057"/>
      <c r="H15" s="467"/>
      <c r="I15" s="467"/>
    </row>
    <row r="16" spans="1:10">
      <c r="A16" s="28"/>
      <c r="B16" s="28"/>
      <c r="C16" s="28"/>
      <c r="D16" s="28"/>
    </row>
    <row r="17" spans="1:7">
      <c r="A17" s="28"/>
      <c r="B17" s="28"/>
      <c r="C17" s="28"/>
      <c r="D17" s="28"/>
      <c r="F17" s="3229" t="s">
        <v>901</v>
      </c>
      <c r="G17" s="3230"/>
    </row>
    <row r="18" spans="1:7">
      <c r="A18" s="28"/>
      <c r="B18" s="28"/>
      <c r="C18" s="28"/>
      <c r="D18" s="28"/>
      <c r="F18" s="3230"/>
      <c r="G18" s="3230"/>
    </row>
    <row r="19" spans="1:7">
      <c r="A19" s="28"/>
      <c r="B19" s="28"/>
      <c r="C19" s="28"/>
      <c r="D19" s="28"/>
      <c r="F19" s="3230"/>
      <c r="G19" s="3230"/>
    </row>
    <row r="20" spans="1:7">
      <c r="A20" s="28"/>
      <c r="B20" s="28"/>
      <c r="C20" s="28"/>
      <c r="D20" s="28"/>
    </row>
    <row r="21" spans="1:7">
      <c r="A21" s="28"/>
      <c r="B21" s="28"/>
      <c r="C21" s="28"/>
      <c r="D21" s="28"/>
    </row>
    <row r="22" spans="1:7">
      <c r="A22" s="28"/>
      <c r="B22" s="28"/>
      <c r="C22" s="28"/>
      <c r="D22" s="28"/>
    </row>
    <row r="23" spans="1:7">
      <c r="A23" s="28"/>
      <c r="B23" s="28"/>
      <c r="C23" s="28"/>
      <c r="D23" s="28"/>
    </row>
    <row r="24" spans="1:7">
      <c r="A24" s="28"/>
      <c r="B24" s="28"/>
      <c r="C24" s="28"/>
      <c r="D24" s="28"/>
    </row>
    <row r="25" spans="1:7">
      <c r="A25" s="28"/>
      <c r="B25" s="28"/>
      <c r="C25" s="28"/>
      <c r="D25" s="28"/>
    </row>
    <row r="26" spans="1:7">
      <c r="A26" s="28"/>
      <c r="B26" s="28"/>
      <c r="C26" s="28"/>
      <c r="D26" s="28"/>
    </row>
  </sheetData>
  <sheetProtection algorithmName="SHA-512" hashValue="iQiDiRt2Mb1lCoJZyZSsgbC6I44niwwVOdoWVqqsyJjy/G4sxQoaOGMO36FQqKINTDL4xpoRm3wjG0ljHzhtxA==" saltValue="Krh/prrSAO8nviIQx5e4Dg==" spinCount="100000" sheet="1" objects="1" scenarios="1"/>
  <mergeCells count="4">
    <mergeCell ref="F11:G15"/>
    <mergeCell ref="A1:G1"/>
    <mergeCell ref="A2:G2"/>
    <mergeCell ref="F17:G19"/>
  </mergeCells>
  <phoneticPr fontId="0" type="noConversion"/>
  <pageMargins left="0.7" right="0.7" top="0.78740157499999996" bottom="0.78740157499999996" header="0.3" footer="0.3"/>
  <pageSetup paperSize="9" scale="63" fitToHeight="0" orientation="landscape" r:id="rId1"/>
  <headerFooter>
    <oddHeader>&amp;LVDV SUN Jahresschlussrechnung JJJJ&amp;R&amp;F</oddHeader>
    <oddFooter>&amp;C&amp;P&amp;R&amp;A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28"/>
  <sheetViews>
    <sheetView view="pageLayout" zoomScale="60" zoomScaleNormal="100" zoomScalePageLayoutView="60" workbookViewId="0">
      <selection activeCell="B85" sqref="B85"/>
    </sheetView>
  </sheetViews>
  <sheetFormatPr baseColWidth="10" defaultColWidth="11.42578125" defaultRowHeight="18"/>
  <cols>
    <col min="1" max="2" width="24.5703125" style="123" customWidth="1"/>
    <col min="3" max="3" width="9.7109375" style="121" customWidth="1"/>
    <col min="4" max="4" width="20.85546875" style="654" customWidth="1"/>
    <col min="5" max="5" width="23.85546875" style="654" customWidth="1"/>
    <col min="6" max="6" width="24" style="122" customWidth="1"/>
    <col min="7" max="7" width="34" style="122" customWidth="1"/>
    <col min="8" max="16384" width="11.42578125" style="122"/>
  </cols>
  <sheetData>
    <row r="1" spans="1:13" ht="36" customHeight="1">
      <c r="A1" s="3231" t="s">
        <v>1480</v>
      </c>
      <c r="B1" s="3231"/>
      <c r="C1" s="3231"/>
      <c r="D1" s="3231"/>
      <c r="E1" s="3231"/>
      <c r="F1" s="3231"/>
      <c r="G1" s="3231"/>
    </row>
    <row r="2" spans="1:13" ht="22.5" customHeight="1">
      <c r="A2" s="3232" t="s">
        <v>160</v>
      </c>
      <c r="B2" s="3232"/>
      <c r="C2" s="3232"/>
      <c r="D2" s="3232"/>
      <c r="E2" s="3232"/>
      <c r="F2" s="3232"/>
      <c r="G2" s="3232"/>
    </row>
    <row r="3" spans="1:13" ht="21.75" customHeight="1" thickBot="1">
      <c r="F3" s="123"/>
      <c r="G3" s="123"/>
    </row>
    <row r="4" spans="1:13" ht="21" customHeight="1" thickBot="1">
      <c r="A4" s="118" t="s">
        <v>678</v>
      </c>
      <c r="B4" s="119" t="s">
        <v>1167</v>
      </c>
      <c r="C4" s="4" t="s">
        <v>157</v>
      </c>
      <c r="D4" s="52" t="s">
        <v>22</v>
      </c>
      <c r="E4" s="52" t="s">
        <v>677</v>
      </c>
      <c r="F4" s="56" t="s">
        <v>158</v>
      </c>
      <c r="G4" s="120" t="s">
        <v>676</v>
      </c>
      <c r="H4" s="16"/>
      <c r="I4" s="16"/>
      <c r="J4" s="16"/>
      <c r="K4" s="16"/>
      <c r="L4" s="16"/>
      <c r="M4" s="16"/>
    </row>
    <row r="5" spans="1:13" ht="18" customHeight="1">
      <c r="A5" s="192"/>
      <c r="B5" s="656"/>
      <c r="C5" s="126"/>
      <c r="D5" s="126"/>
      <c r="E5" s="126"/>
      <c r="F5" s="125"/>
      <c r="G5" s="130"/>
      <c r="H5" s="127"/>
      <c r="I5" s="127"/>
      <c r="J5" s="127"/>
      <c r="K5" s="127"/>
      <c r="L5" s="127"/>
      <c r="M5" s="127"/>
    </row>
    <row r="6" spans="1:13" ht="18" customHeight="1">
      <c r="A6" s="193"/>
      <c r="B6" s="656"/>
      <c r="C6" s="126"/>
      <c r="D6" s="126"/>
      <c r="E6" s="126"/>
      <c r="F6" s="125"/>
      <c r="G6" s="130"/>
      <c r="H6" s="127"/>
      <c r="I6" s="127"/>
      <c r="J6" s="127"/>
      <c r="K6" s="127"/>
      <c r="L6" s="127"/>
      <c r="M6" s="127"/>
    </row>
    <row r="7" spans="1:13">
      <c r="A7" s="128"/>
      <c r="B7" s="657"/>
      <c r="C7" s="126"/>
      <c r="D7" s="126"/>
      <c r="E7" s="126"/>
      <c r="F7" s="125"/>
      <c r="G7" s="130"/>
      <c r="H7" s="127"/>
      <c r="I7" s="127"/>
      <c r="J7" s="127"/>
      <c r="K7" s="127"/>
      <c r="L7" s="127"/>
      <c r="M7" s="127"/>
    </row>
    <row r="8" spans="1:13">
      <c r="A8" s="128"/>
      <c r="B8" s="657"/>
      <c r="C8" s="126"/>
      <c r="D8" s="126"/>
      <c r="E8" s="126"/>
      <c r="F8" s="125"/>
      <c r="G8" s="130"/>
      <c r="H8" s="127"/>
      <c r="I8" s="127"/>
      <c r="J8" s="127"/>
      <c r="K8" s="127"/>
      <c r="L8" s="127"/>
      <c r="M8" s="127"/>
    </row>
    <row r="9" spans="1:13" ht="18.75" thickBot="1">
      <c r="A9" s="136"/>
      <c r="B9" s="658"/>
      <c r="C9" s="137"/>
      <c r="D9" s="137"/>
      <c r="E9" s="137"/>
      <c r="F9" s="132"/>
      <c r="G9" s="138"/>
      <c r="H9" s="127"/>
      <c r="I9" s="127"/>
      <c r="J9" s="127"/>
      <c r="K9" s="127"/>
      <c r="L9" s="127"/>
      <c r="M9" s="127"/>
    </row>
    <row r="10" spans="1:13">
      <c r="A10" s="133"/>
      <c r="B10" s="133"/>
      <c r="C10" s="134"/>
      <c r="D10" s="134"/>
      <c r="E10" s="134"/>
      <c r="F10" s="133"/>
      <c r="G10" s="135"/>
      <c r="H10" s="127"/>
      <c r="I10" s="127"/>
      <c r="J10" s="127"/>
      <c r="K10" s="127"/>
      <c r="L10" s="127"/>
      <c r="M10" s="127"/>
    </row>
    <row r="11" spans="1:13">
      <c r="A11" s="194" t="s">
        <v>219</v>
      </c>
      <c r="B11" s="195" t="s">
        <v>224</v>
      </c>
      <c r="C11" s="388"/>
      <c r="D11" s="388"/>
      <c r="E11" s="388"/>
      <c r="F11" s="133"/>
      <c r="G11" s="135"/>
      <c r="H11" s="127"/>
      <c r="I11" s="127"/>
      <c r="J11" s="127"/>
      <c r="K11" s="127"/>
      <c r="L11" s="127"/>
      <c r="M11" s="127"/>
    </row>
    <row r="12" spans="1:13" ht="17.45" customHeight="1">
      <c r="A12" s="133"/>
      <c r="B12" s="195" t="s">
        <v>1645</v>
      </c>
      <c r="C12" s="134"/>
      <c r="D12" s="134"/>
      <c r="E12" s="134"/>
      <c r="G12" s="3056" t="s">
        <v>687</v>
      </c>
      <c r="H12" s="127"/>
      <c r="I12" s="127"/>
      <c r="J12" s="127"/>
      <c r="K12" s="127"/>
      <c r="L12" s="127"/>
    </row>
    <row r="13" spans="1:13">
      <c r="D13" s="197"/>
      <c r="E13" s="134"/>
      <c r="F13" s="467"/>
      <c r="G13" s="3057"/>
      <c r="H13" s="127"/>
      <c r="I13" s="127"/>
      <c r="J13" s="127"/>
      <c r="K13" s="127"/>
      <c r="L13" s="127"/>
    </row>
    <row r="14" spans="1:13">
      <c r="A14" s="335" t="s">
        <v>1434</v>
      </c>
      <c r="B14" s="335" t="s">
        <v>1435</v>
      </c>
      <c r="C14"/>
      <c r="D14" s="197"/>
      <c r="E14" s="134"/>
      <c r="F14" s="467"/>
      <c r="G14" s="467"/>
      <c r="H14" s="127"/>
      <c r="I14" s="127"/>
      <c r="J14" s="127"/>
      <c r="K14" s="127"/>
      <c r="L14" s="127"/>
    </row>
    <row r="15" spans="1:13" ht="18" customHeight="1">
      <c r="A15" s="335" t="s">
        <v>1554</v>
      </c>
      <c r="B15" s="335" t="s">
        <v>1550</v>
      </c>
      <c r="C15" s="2196" t="s">
        <v>1442</v>
      </c>
      <c r="D15" s="134"/>
      <c r="E15" s="134"/>
      <c r="F15" s="467"/>
      <c r="G15" s="3229" t="s">
        <v>901</v>
      </c>
      <c r="H15" s="3230"/>
      <c r="I15" s="127"/>
      <c r="J15" s="127"/>
      <c r="K15" s="127"/>
      <c r="L15" s="127"/>
    </row>
    <row r="16" spans="1:13">
      <c r="A16" s="133"/>
      <c r="B16" s="133"/>
      <c r="C16" s="134"/>
      <c r="D16" s="134"/>
      <c r="E16" s="134"/>
      <c r="F16" s="467"/>
      <c r="G16" s="3230"/>
      <c r="H16" s="3230"/>
      <c r="I16" s="127"/>
      <c r="J16" s="127"/>
      <c r="K16" s="127"/>
      <c r="L16" s="127"/>
    </row>
    <row r="17" spans="1:13">
      <c r="A17" s="133"/>
      <c r="B17" s="133"/>
      <c r="C17" s="134"/>
      <c r="D17" s="134"/>
      <c r="E17" s="134"/>
      <c r="F17" s="133"/>
      <c r="G17" s="3230"/>
      <c r="H17" s="3230"/>
      <c r="I17" s="127"/>
      <c r="J17" s="127"/>
      <c r="K17" s="127"/>
      <c r="L17" s="127"/>
      <c r="M17" s="127"/>
    </row>
    <row r="18" spans="1:13">
      <c r="A18" s="133"/>
      <c r="B18" s="133"/>
      <c r="C18" s="134"/>
      <c r="D18" s="134"/>
      <c r="E18" s="134"/>
      <c r="F18" s="133"/>
      <c r="G18" s="127"/>
      <c r="H18" s="127"/>
      <c r="I18" s="127"/>
      <c r="J18" s="127"/>
      <c r="K18" s="127"/>
      <c r="L18" s="127"/>
      <c r="M18" s="127"/>
    </row>
    <row r="19" spans="1:13">
      <c r="A19" s="133"/>
      <c r="B19" s="133"/>
      <c r="C19" s="134"/>
      <c r="D19" s="134"/>
      <c r="E19" s="134"/>
      <c r="F19" s="133"/>
      <c r="G19" s="127"/>
      <c r="H19" s="127"/>
      <c r="I19" s="127"/>
      <c r="J19" s="127"/>
      <c r="K19" s="127"/>
      <c r="L19" s="127"/>
      <c r="M19" s="127"/>
    </row>
    <row r="20" spans="1:13">
      <c r="A20" s="133"/>
      <c r="B20" s="133"/>
      <c r="C20" s="134"/>
      <c r="D20" s="134"/>
      <c r="E20" s="134"/>
      <c r="F20" s="133"/>
      <c r="G20" s="127"/>
      <c r="H20" s="127"/>
      <c r="I20" s="127"/>
      <c r="J20" s="127"/>
      <c r="K20" s="127"/>
      <c r="L20" s="127"/>
      <c r="M20" s="127"/>
    </row>
    <row r="21" spans="1:13">
      <c r="A21" s="133"/>
      <c r="B21" s="133"/>
      <c r="C21" s="134"/>
      <c r="D21" s="134"/>
      <c r="E21" s="134"/>
      <c r="F21" s="133"/>
      <c r="G21" s="127"/>
      <c r="H21" s="127"/>
      <c r="I21" s="127"/>
      <c r="J21" s="127"/>
      <c r="K21" s="127"/>
      <c r="L21" s="127"/>
      <c r="M21" s="127"/>
    </row>
    <row r="22" spans="1:13">
      <c r="F22" s="123"/>
    </row>
    <row r="23" spans="1:13">
      <c r="F23" s="123"/>
    </row>
    <row r="24" spans="1:13">
      <c r="F24" s="123"/>
    </row>
    <row r="25" spans="1:13">
      <c r="F25" s="123"/>
    </row>
    <row r="26" spans="1:13">
      <c r="F26" s="123"/>
    </row>
    <row r="27" spans="1:13">
      <c r="F27" s="123"/>
    </row>
    <row r="28" spans="1:13">
      <c r="F28" s="123"/>
    </row>
  </sheetData>
  <sheetProtection algorithmName="SHA-512" hashValue="A3q2G1rCjFfvzz7AuSlgVwjImlvi17EJhgbSvIqblbjQrdmmaVDN2QBoGDjkZkOz6jebD1aoyIdXf5r6J3NuMw==" saltValue="aYT8DoPlHt2K2e2UAxHHDQ==" spinCount="100000" sheet="1" objects="1" scenarios="1"/>
  <mergeCells count="4">
    <mergeCell ref="A1:G1"/>
    <mergeCell ref="A2:G2"/>
    <mergeCell ref="G12:G13"/>
    <mergeCell ref="G15:H17"/>
  </mergeCells>
  <phoneticPr fontId="0" type="noConversion"/>
  <pageMargins left="0.7" right="0.7" top="0.78740157499999996" bottom="0.78740157499999996" header="0.3" footer="0.3"/>
  <pageSetup paperSize="9" scale="63" fitToHeight="0" orientation="landscape" r:id="rId1"/>
  <headerFooter>
    <oddHeader>&amp;LVDV SUN Jahresschlussrechnung JJJJ&amp;R&amp;F</oddHeader>
    <oddFooter>&amp;C&amp;P&amp;R&amp;A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21"/>
  <sheetViews>
    <sheetView view="pageLayout" zoomScale="60" zoomScaleNormal="100" zoomScalePageLayoutView="60" workbookViewId="0">
      <selection activeCell="B85" sqref="B85"/>
    </sheetView>
  </sheetViews>
  <sheetFormatPr baseColWidth="10" defaultColWidth="11.42578125" defaultRowHeight="18"/>
  <cols>
    <col min="1" max="1" width="15.5703125" style="123" customWidth="1"/>
    <col min="2" max="2" width="27" style="123" customWidth="1"/>
    <col min="3" max="4" width="25.85546875" style="123" customWidth="1"/>
    <col min="5" max="5" width="18" style="418" customWidth="1"/>
    <col min="6" max="6" width="35.42578125" style="122" customWidth="1"/>
    <col min="7" max="16384" width="11.42578125" style="122"/>
  </cols>
  <sheetData>
    <row r="1" spans="1:12" ht="36" customHeight="1">
      <c r="A1" s="3231" t="s">
        <v>1481</v>
      </c>
      <c r="B1" s="3231"/>
      <c r="C1" s="3231"/>
      <c r="D1" s="3231"/>
      <c r="E1" s="3231"/>
      <c r="F1" s="3231"/>
    </row>
    <row r="2" spans="1:12" ht="22.5" customHeight="1">
      <c r="A2" s="3232" t="s">
        <v>160</v>
      </c>
      <c r="B2" s="3232"/>
      <c r="C2" s="3232"/>
      <c r="D2" s="3232"/>
      <c r="E2" s="3232"/>
      <c r="F2" s="3232"/>
    </row>
    <row r="3" spans="1:12" ht="21.75" customHeight="1" thickBot="1">
      <c r="F3" s="123"/>
    </row>
    <row r="4" spans="1:12" ht="33.75" customHeight="1" thickBot="1">
      <c r="A4" s="118" t="s">
        <v>674</v>
      </c>
      <c r="B4" s="119" t="s">
        <v>1167</v>
      </c>
      <c r="C4" s="56" t="s">
        <v>22</v>
      </c>
      <c r="D4" s="655" t="s">
        <v>677</v>
      </c>
      <c r="E4" s="4" t="s">
        <v>157</v>
      </c>
      <c r="F4" s="120" t="s">
        <v>676</v>
      </c>
      <c r="G4" s="16"/>
      <c r="H4" s="16"/>
      <c r="I4" s="16"/>
      <c r="J4" s="16"/>
      <c r="K4" s="16"/>
      <c r="L4" s="16"/>
    </row>
    <row r="5" spans="1:12" ht="18" customHeight="1">
      <c r="A5" s="192"/>
      <c r="B5" s="656"/>
      <c r="C5" s="125"/>
      <c r="D5" s="125"/>
      <c r="E5" s="126"/>
      <c r="F5" s="130"/>
      <c r="G5" s="127"/>
      <c r="H5" s="127"/>
      <c r="I5" s="127"/>
      <c r="J5" s="127"/>
      <c r="K5" s="127"/>
      <c r="L5" s="127"/>
    </row>
    <row r="6" spans="1:12" ht="18" customHeight="1">
      <c r="A6" s="193"/>
      <c r="B6" s="656"/>
      <c r="C6" s="125"/>
      <c r="D6" s="125"/>
      <c r="E6" s="126"/>
      <c r="F6" s="130"/>
      <c r="G6" s="127"/>
      <c r="H6" s="127"/>
      <c r="I6" s="127"/>
      <c r="J6" s="127"/>
      <c r="K6" s="127"/>
      <c r="L6" s="127"/>
    </row>
    <row r="7" spans="1:12">
      <c r="A7" s="128"/>
      <c r="B7" s="657"/>
      <c r="C7" s="125"/>
      <c r="D7" s="125"/>
      <c r="E7" s="126"/>
      <c r="F7" s="130"/>
      <c r="G7" s="127"/>
      <c r="H7" s="127"/>
      <c r="I7" s="127"/>
      <c r="J7" s="127"/>
      <c r="K7" s="127"/>
      <c r="L7" s="127"/>
    </row>
    <row r="8" spans="1:12">
      <c r="A8" s="128"/>
      <c r="B8" s="657"/>
      <c r="C8" s="125"/>
      <c r="D8" s="125"/>
      <c r="E8" s="126"/>
      <c r="F8" s="130"/>
      <c r="G8" s="127"/>
      <c r="H8" s="127"/>
      <c r="I8" s="127"/>
      <c r="J8" s="127"/>
      <c r="K8" s="127"/>
      <c r="L8" s="127"/>
    </row>
    <row r="9" spans="1:12" ht="18.75" thickBot="1">
      <c r="A9" s="136"/>
      <c r="B9" s="658"/>
      <c r="C9" s="132"/>
      <c r="D9" s="132"/>
      <c r="E9" s="137"/>
      <c r="F9" s="138"/>
      <c r="G9" s="127"/>
      <c r="H9" s="127"/>
      <c r="I9" s="127"/>
      <c r="J9" s="127"/>
      <c r="K9" s="127"/>
      <c r="L9" s="127"/>
    </row>
    <row r="10" spans="1:12">
      <c r="A10" s="133"/>
      <c r="B10" s="133"/>
      <c r="C10" s="133"/>
      <c r="D10" s="133"/>
      <c r="E10" s="134"/>
      <c r="F10" s="135"/>
      <c r="G10" s="127"/>
      <c r="H10" s="127"/>
      <c r="I10" s="127"/>
      <c r="J10" s="127"/>
      <c r="K10" s="127"/>
      <c r="L10" s="127"/>
    </row>
    <row r="11" spans="1:12">
      <c r="A11" s="194" t="s">
        <v>219</v>
      </c>
      <c r="B11" s="195" t="s">
        <v>224</v>
      </c>
      <c r="C11" s="388"/>
      <c r="D11" s="388"/>
      <c r="E11" s="388"/>
      <c r="F11" s="135"/>
      <c r="G11" s="127"/>
      <c r="H11" s="127"/>
      <c r="I11" s="127"/>
      <c r="J11" s="127"/>
      <c r="K11" s="127"/>
      <c r="L11" s="127"/>
    </row>
    <row r="12" spans="1:12" ht="17.45" customHeight="1">
      <c r="A12" s="133"/>
      <c r="B12" s="195" t="s">
        <v>1645</v>
      </c>
      <c r="C12" s="133"/>
      <c r="D12" s="133"/>
      <c r="E12" s="3056" t="s">
        <v>687</v>
      </c>
      <c r="F12" s="3057"/>
      <c r="I12" s="127"/>
      <c r="J12" s="127"/>
      <c r="K12" s="127"/>
    </row>
    <row r="13" spans="1:12">
      <c r="D13" s="197"/>
      <c r="E13" s="3057"/>
      <c r="F13" s="3057"/>
      <c r="I13" s="127"/>
      <c r="J13" s="127"/>
      <c r="K13" s="127"/>
    </row>
    <row r="14" spans="1:12">
      <c r="A14" s="335" t="s">
        <v>1434</v>
      </c>
      <c r="B14" s="335" t="s">
        <v>1435</v>
      </c>
      <c r="C14"/>
      <c r="D14" s="197"/>
      <c r="E14" s="3057"/>
      <c r="F14" s="3057"/>
      <c r="I14" s="127"/>
      <c r="J14" s="127"/>
      <c r="K14" s="127"/>
    </row>
    <row r="15" spans="1:12">
      <c r="A15" s="335" t="s">
        <v>1554</v>
      </c>
      <c r="B15" s="335" t="s">
        <v>1550</v>
      </c>
      <c r="C15" s="2196" t="s">
        <v>1442</v>
      </c>
      <c r="D15" s="133"/>
      <c r="E15" s="3057"/>
      <c r="F15" s="3057"/>
      <c r="I15" s="127"/>
      <c r="J15" s="127"/>
      <c r="K15" s="127"/>
    </row>
    <row r="16" spans="1:12">
      <c r="A16" s="133"/>
      <c r="B16" s="133"/>
      <c r="C16" s="133"/>
      <c r="D16" s="133"/>
      <c r="E16" s="3057"/>
      <c r="F16" s="3057"/>
      <c r="I16" s="127"/>
      <c r="J16" s="127"/>
      <c r="K16" s="127"/>
    </row>
    <row r="17" spans="1:12">
      <c r="A17" s="133"/>
      <c r="B17" s="133"/>
      <c r="C17" s="133"/>
      <c r="D17" s="133"/>
      <c r="E17" s="134"/>
      <c r="F17" s="133"/>
      <c r="G17" s="127"/>
      <c r="H17" s="127"/>
      <c r="I17" s="127"/>
      <c r="J17" s="127"/>
      <c r="K17" s="127"/>
      <c r="L17" s="127"/>
    </row>
    <row r="18" spans="1:12" ht="18" customHeight="1">
      <c r="A18" s="133"/>
      <c r="B18" s="133"/>
      <c r="C18" s="133"/>
      <c r="D18" s="133"/>
      <c r="E18" s="3229" t="s">
        <v>901</v>
      </c>
      <c r="F18" s="3230"/>
      <c r="G18" s="127"/>
      <c r="H18" s="127"/>
      <c r="I18" s="127"/>
      <c r="J18" s="127"/>
      <c r="K18" s="127"/>
      <c r="L18" s="127"/>
    </row>
    <row r="19" spans="1:12">
      <c r="A19" s="133"/>
      <c r="B19" s="133"/>
      <c r="C19" s="133"/>
      <c r="D19" s="133"/>
      <c r="E19" s="3230"/>
      <c r="F19" s="3230"/>
      <c r="G19" s="127"/>
      <c r="H19" s="127"/>
      <c r="I19" s="127"/>
      <c r="J19" s="127"/>
      <c r="K19" s="127"/>
      <c r="L19" s="127"/>
    </row>
    <row r="20" spans="1:12">
      <c r="A20" s="133"/>
      <c r="B20" s="133"/>
      <c r="C20" s="133"/>
      <c r="D20" s="133"/>
      <c r="E20" s="3230"/>
      <c r="F20" s="3230"/>
      <c r="G20" s="127"/>
      <c r="H20" s="127"/>
      <c r="I20" s="127"/>
      <c r="J20" s="127"/>
      <c r="K20" s="127"/>
      <c r="L20" s="127"/>
    </row>
    <row r="21" spans="1:12">
      <c r="A21" s="133"/>
      <c r="B21" s="133"/>
      <c r="C21" s="133"/>
      <c r="D21" s="133"/>
      <c r="E21" s="134"/>
      <c r="F21" s="127"/>
      <c r="G21" s="127"/>
      <c r="H21" s="127"/>
      <c r="I21" s="127"/>
      <c r="J21" s="127"/>
      <c r="K21" s="127"/>
      <c r="L21" s="127"/>
    </row>
  </sheetData>
  <sheetProtection algorithmName="SHA-512" hashValue="8FNS5W+viNUTeu6kHpDr3yuMm3kB6x3k7RvI3DZM79NHF5s2Uhdy6UUHn+Nt+jGpRqEngu5qFKvTdXbEwdQvzg==" saltValue="GHpP10NXQQvAreJC4xFKvA==" spinCount="100000" sheet="1" objects="1" scenarios="1"/>
  <mergeCells count="4">
    <mergeCell ref="A1:F1"/>
    <mergeCell ref="A2:F2"/>
    <mergeCell ref="E12:F16"/>
    <mergeCell ref="E18:F20"/>
  </mergeCells>
  <pageMargins left="0.7" right="0.7" top="0.78740157499999996" bottom="0.78740157499999996" header="0.3" footer="0.3"/>
  <pageSetup paperSize="9" scale="63" fitToHeight="0" orientation="landscape" r:id="rId1"/>
  <headerFooter>
    <oddHeader>&amp;LVDV SUN Jahresschlussrechnung JJJJ&amp;R&amp;F</oddHeader>
    <oddFooter>&amp;C&amp;P&amp;R&amp;A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G115"/>
  <sheetViews>
    <sheetView showGridLines="0" view="pageLayout" zoomScale="80" zoomScaleNormal="100" zoomScaleSheetLayoutView="80" zoomScalePageLayoutView="80" workbookViewId="0">
      <selection activeCell="A10" sqref="A10"/>
    </sheetView>
  </sheetViews>
  <sheetFormatPr baseColWidth="10" defaultColWidth="11.42578125" defaultRowHeight="12.75"/>
  <cols>
    <col min="1" max="1" width="55.85546875" style="195" bestFit="1" customWidth="1"/>
    <col min="2" max="2" width="15.5703125" style="195" customWidth="1"/>
    <col min="3" max="3" width="20.140625" style="195" customWidth="1"/>
    <col min="4" max="4" width="24.140625" style="195" customWidth="1"/>
    <col min="5" max="5" width="25.7109375" style="195" customWidth="1"/>
    <col min="6" max="6" width="2.5703125" style="195" customWidth="1"/>
    <col min="7" max="7" width="15.28515625" style="195" customWidth="1"/>
    <col min="8" max="16384" width="11.42578125" style="195"/>
  </cols>
  <sheetData>
    <row r="1" spans="1:7" ht="18">
      <c r="A1" s="2272" t="s">
        <v>1458</v>
      </c>
      <c r="B1" s="254"/>
      <c r="C1" s="369"/>
      <c r="D1" s="369"/>
      <c r="E1" s="255"/>
      <c r="F1" s="255"/>
      <c r="G1" s="342" t="s">
        <v>279</v>
      </c>
    </row>
    <row r="2" spans="1:7" ht="15">
      <c r="A2" s="256"/>
      <c r="B2" s="257"/>
      <c r="C2" s="344" t="s">
        <v>1681</v>
      </c>
      <c r="D2" s="345">
        <v>6.5</v>
      </c>
      <c r="E2" s="257"/>
      <c r="F2" s="257"/>
      <c r="G2" s="370"/>
    </row>
    <row r="3" spans="1:7" ht="18">
      <c r="A3" s="258" t="s">
        <v>255</v>
      </c>
      <c r="B3" s="257"/>
      <c r="C3" s="257"/>
      <c r="D3" s="257"/>
      <c r="E3" s="370"/>
      <c r="F3" s="259" t="s">
        <v>256</v>
      </c>
      <c r="G3" s="371" t="str">
        <f>INHALT!$A$2&amp;" "&amp;INHALT!$B$2</f>
        <v>Monat JJJJ</v>
      </c>
    </row>
    <row r="4" spans="1:7">
      <c r="A4" s="369"/>
      <c r="B4" s="369"/>
      <c r="C4" s="369"/>
      <c r="D4" s="369"/>
      <c r="E4" s="369"/>
      <c r="F4" s="369"/>
      <c r="G4" s="372"/>
    </row>
    <row r="5" spans="1:7">
      <c r="A5" s="373" t="s">
        <v>257</v>
      </c>
      <c r="B5" s="373" t="s">
        <v>156</v>
      </c>
      <c r="C5" s="373" t="s">
        <v>258</v>
      </c>
      <c r="D5" s="373" t="s">
        <v>782</v>
      </c>
      <c r="E5" s="374" t="s">
        <v>1380</v>
      </c>
      <c r="F5" s="3040"/>
      <c r="G5" s="3040"/>
    </row>
    <row r="6" spans="1:7" ht="6.75" customHeight="1" thickBot="1">
      <c r="A6" s="260"/>
      <c r="B6" s="260"/>
      <c r="C6" s="260"/>
      <c r="D6" s="260"/>
      <c r="E6" s="260"/>
      <c r="F6" s="257"/>
      <c r="G6" s="257"/>
    </row>
    <row r="7" spans="1:7" ht="16.5" thickBot="1">
      <c r="A7" s="261" t="s">
        <v>259</v>
      </c>
      <c r="B7" s="262"/>
      <c r="C7" s="262"/>
      <c r="D7" s="263"/>
      <c r="E7" s="264">
        <f>SUM(E9:E18)</f>
        <v>-387.06999999999994</v>
      </c>
      <c r="F7" s="729"/>
      <c r="G7" s="730"/>
    </row>
    <row r="8" spans="1:7" ht="5.85" customHeight="1" thickBot="1">
      <c r="A8" s="266"/>
      <c r="B8" s="267"/>
      <c r="C8" s="268"/>
      <c r="D8" s="269"/>
      <c r="E8" s="270"/>
      <c r="F8" s="731"/>
      <c r="G8" s="732"/>
    </row>
    <row r="9" spans="1:7" ht="13.5" thickBot="1">
      <c r="A9" s="272" t="s">
        <v>260</v>
      </c>
      <c r="B9" s="273">
        <f>'7_Statistik Zugausfälle'!O27</f>
        <v>62.884999999999998</v>
      </c>
      <c r="C9" s="274" t="s">
        <v>261</v>
      </c>
      <c r="D9" s="275">
        <f>$D$2*-1</f>
        <v>-6.5</v>
      </c>
      <c r="E9" s="276">
        <f>ROUND(D9*B9,2)</f>
        <v>-408.75</v>
      </c>
      <c r="F9" s="731"/>
      <c r="G9" s="732"/>
    </row>
    <row r="10" spans="1:7" ht="26.25" thickBot="1">
      <c r="A10" s="272" t="s">
        <v>1707</v>
      </c>
      <c r="B10" s="273">
        <f>'7_Statistik Zugausfälle'!I27</f>
        <v>71.817999999999998</v>
      </c>
      <c r="C10" s="277" t="s">
        <v>262</v>
      </c>
      <c r="D10" s="275">
        <f>$D$2*-1</f>
        <v>-6.5</v>
      </c>
      <c r="E10" s="276">
        <f>ROUND(D10*B10,2)</f>
        <v>-466.82</v>
      </c>
      <c r="F10" s="731"/>
      <c r="G10" s="2975" t="s">
        <v>1708</v>
      </c>
    </row>
    <row r="11" spans="1:7" ht="6.75" customHeight="1" thickBot="1">
      <c r="A11" s="272"/>
      <c r="B11" s="278"/>
      <c r="C11" s="277"/>
      <c r="D11" s="275"/>
      <c r="E11" s="276"/>
      <c r="F11" s="731"/>
      <c r="G11" s="732"/>
    </row>
    <row r="12" spans="1:7" ht="7.5" customHeight="1" thickBot="1">
      <c r="A12" s="272"/>
      <c r="B12" s="278"/>
      <c r="C12" s="277"/>
      <c r="D12" s="275"/>
      <c r="E12" s="276"/>
      <c r="F12" s="731"/>
      <c r="G12" s="732"/>
    </row>
    <row r="13" spans="1:7" ht="13.5" thickBot="1">
      <c r="A13" s="279" t="s">
        <v>263</v>
      </c>
      <c r="B13" s="273">
        <f>'7_Statistik Zugausfälle'!E27+'7_Statistik Zugausfälle'!F27+'7_Statistik Zugausfälle'!G27</f>
        <v>71.817999999999998</v>
      </c>
      <c r="C13" s="274" t="s">
        <v>261</v>
      </c>
      <c r="D13" s="275">
        <v>4</v>
      </c>
      <c r="E13" s="276">
        <f>ROUND(D13*B13,2)</f>
        <v>287.27</v>
      </c>
      <c r="F13" s="731"/>
      <c r="G13" s="732"/>
    </row>
    <row r="14" spans="1:7" ht="12.75" customHeight="1" thickBot="1">
      <c r="A14" s="272" t="s">
        <v>264</v>
      </c>
      <c r="B14" s="273">
        <f>'7_Statistik Zugausfälle'!K27+'7_Statistik Zugausfälle'!L27+'7_Statistik Zugausfälle'!M27</f>
        <v>62.884999999999998</v>
      </c>
      <c r="C14" s="277" t="s">
        <v>262</v>
      </c>
      <c r="D14" s="275">
        <v>3.2</v>
      </c>
      <c r="E14" s="276">
        <f>ROUND(D14*B14,2)</f>
        <v>201.23</v>
      </c>
      <c r="F14" s="731"/>
      <c r="G14" s="732"/>
    </row>
    <row r="15" spans="1:7" ht="12.75" customHeight="1" thickBot="1">
      <c r="A15" s="1734" t="s">
        <v>1315</v>
      </c>
      <c r="B15" s="1735"/>
      <c r="C15" s="277" t="s">
        <v>262</v>
      </c>
      <c r="D15" s="275">
        <v>3.2</v>
      </c>
      <c r="E15" s="276">
        <f>ROUND(D15*B15,2)</f>
        <v>0</v>
      </c>
      <c r="F15" s="731"/>
      <c r="G15" s="732"/>
    </row>
    <row r="16" spans="1:7" ht="12.75" customHeight="1" thickBot="1">
      <c r="A16" s="272"/>
      <c r="B16" s="278"/>
      <c r="C16" s="274"/>
      <c r="D16" s="275"/>
      <c r="E16" s="276"/>
      <c r="F16" s="731"/>
      <c r="G16" s="732"/>
    </row>
    <row r="17" spans="1:7" ht="30" customHeight="1" thickBot="1">
      <c r="A17" s="1723" t="s">
        <v>1309</v>
      </c>
      <c r="B17" s="273"/>
      <c r="C17" s="274" t="s">
        <v>261</v>
      </c>
      <c r="D17" s="275">
        <v>-1</v>
      </c>
      <c r="E17" s="276">
        <f>ROUND(D17*B17,2)</f>
        <v>0</v>
      </c>
      <c r="F17" s="731"/>
      <c r="G17" s="732"/>
    </row>
    <row r="18" spans="1:7" ht="12.75" customHeight="1" thickBot="1">
      <c r="A18" s="272" t="s">
        <v>1308</v>
      </c>
      <c r="B18" s="273">
        <f>'4_Operative Zugausfälle'!B7</f>
        <v>0</v>
      </c>
      <c r="C18" s="274" t="s">
        <v>261</v>
      </c>
      <c r="D18" s="275">
        <v>-1</v>
      </c>
      <c r="E18" s="276">
        <f>ROUND(D18*B18,2)</f>
        <v>0</v>
      </c>
      <c r="F18" s="729"/>
      <c r="G18" s="733"/>
    </row>
    <row r="19" spans="1:7" ht="5.85" customHeight="1" thickBot="1">
      <c r="A19" s="280"/>
      <c r="B19" s="281"/>
      <c r="C19" s="282"/>
      <c r="D19" s="283"/>
      <c r="E19" s="284"/>
      <c r="F19" s="731"/>
      <c r="G19" s="732"/>
    </row>
    <row r="20" spans="1:7" ht="16.5" thickBot="1">
      <c r="A20" s="261" t="s">
        <v>265</v>
      </c>
      <c r="B20" s="262"/>
      <c r="C20" s="262"/>
      <c r="D20" s="263"/>
      <c r="E20" s="264">
        <f>SUM(E22:E29)</f>
        <v>0</v>
      </c>
      <c r="F20" s="729"/>
      <c r="G20" s="730"/>
    </row>
    <row r="21" spans="1:7" ht="11.25" customHeight="1" thickBot="1">
      <c r="A21" s="2639" t="s">
        <v>1327</v>
      </c>
      <c r="B21" s="267"/>
      <c r="C21" s="268"/>
      <c r="D21" s="285" t="s">
        <v>266</v>
      </c>
      <c r="E21" s="270"/>
      <c r="F21" s="731"/>
      <c r="G21" s="732"/>
    </row>
    <row r="22" spans="1:7" ht="26.25" thickBot="1">
      <c r="A22" s="2653" t="str">
        <f>'1a_Leistungsvolumen'!A6&amp;" "&amp;'1a_Leistungsvolumen'!B6</f>
        <v>RE 7 Erfurt - Suhl - Grimmenthal - Ebenhausen - Schweinfurt - Würzburg</v>
      </c>
      <c r="B22" s="689">
        <f>'2a_Linienpünktlichkeit '!$E$5</f>
        <v>95.685279187817258</v>
      </c>
      <c r="C22" s="274" t="s">
        <v>278</v>
      </c>
      <c r="D22" s="286">
        <f>('1a_Leistungsvolumen'!$C$21-'7_Statistik Zugausfälle'!$P$27)*'0_Zsfsg. Thüringen GA Los A'!$D$2</f>
        <v>340374.43050000002</v>
      </c>
      <c r="E22" s="2224">
        <f>ROUND(IF($B$22&gt;95,0,IF($B$22&gt;85,(95-$B$22)*-0.005*$D$22,10*-0.005*$D$22)),2)</f>
        <v>0</v>
      </c>
      <c r="F22" s="734"/>
      <c r="G22" s="735"/>
    </row>
    <row r="23" spans="1:7" ht="13.5" customHeight="1" thickBot="1">
      <c r="A23" s="2653" t="str">
        <f>'1a_Leistungsvolumen'!A8&amp;" "&amp;'1a_Leistungsvolumen'!B8</f>
        <v>RE 70 Erfurt - Suhl - Grimmenthal - Meiningen</v>
      </c>
      <c r="B23" s="689">
        <f>'2a_Linienpünktlichkeit '!$E$7</f>
        <v>96.103896103896105</v>
      </c>
      <c r="C23" s="274" t="s">
        <v>278</v>
      </c>
      <c r="D23" s="286">
        <f>('1a_Leistungsvolumen'!$C$23-'7_Statistik Zugausfälle'!$P$30)*'0_Zsfsg. Thüringen GA Los A'!$D$2</f>
        <v>27079</v>
      </c>
      <c r="E23" s="2224">
        <f>ROUND(IF($B$23&gt;95,0,IF($B$23&gt;85,(95-$B$23)*-0.005*$D$23,10*-0.005*$D$23)),2)</f>
        <v>0</v>
      </c>
      <c r="F23" s="734"/>
      <c r="G23" s="735"/>
    </row>
    <row r="24" spans="1:7" ht="13.5" customHeight="1" thickBot="1">
      <c r="A24" s="2878" t="str">
        <f>'1a_Leistungsvolumen'!A10&amp;" "&amp;'1a_Leistungsvolumen'!B10</f>
        <v>RB 40 Erfurt - Suhl - Grimmenthal - Ebenhausen - Schweinfurt</v>
      </c>
      <c r="B24" s="2874">
        <f>'2a_Linienpünktlichkeit '!$E$9</f>
        <v>96.15384615384616</v>
      </c>
      <c r="C24" s="2875" t="s">
        <v>278</v>
      </c>
      <c r="D24" s="2876">
        <f>('1a_Leistungsvolumen'!$C$25-'7_Statistik Zugausfälle'!$P$32)*'0_Zsfsg. Thüringen GA Los A'!$D$2</f>
        <v>0</v>
      </c>
      <c r="E24" s="2877">
        <f>ROUND(IF($B$24&gt;95,0,IF($B$24&gt;85,(95-$B$24)*-0.005*$D$24,10*-0.005*$D$24)),2)</f>
        <v>0</v>
      </c>
      <c r="F24" s="734"/>
      <c r="G24" s="2863" t="s">
        <v>1706</v>
      </c>
    </row>
    <row r="25" spans="1:7" ht="13.5" customHeight="1" thickBot="1">
      <c r="A25" s="2879" t="str">
        <f>'1a_Leistungsvolumen'!A11&amp;" "&amp;'1a_Leistungsvolumen'!B11</f>
        <v>RB 44 Erfurt - Suhl - Grimmenthal - Meiningen</v>
      </c>
      <c r="B25" s="2874">
        <f>'2a_Linienpünktlichkeit '!$E$10</f>
        <v>96.623376623376629</v>
      </c>
      <c r="C25" s="2875" t="s">
        <v>278</v>
      </c>
      <c r="D25" s="2876">
        <f>('1a_Leistungsvolumen'!$C$26-'7_Statistik Zugausfälle'!$P$34)*'0_Zsfsg. Thüringen GA Los A'!$D$2</f>
        <v>0</v>
      </c>
      <c r="E25" s="2877">
        <f>ROUND(IF($B$25&gt;95,0,IF($B$25&gt;85,(95-$B$25)*-0.005*$D$25,10*-0.005*$D$25)),2)</f>
        <v>0</v>
      </c>
      <c r="F25" s="734"/>
      <c r="G25" s="2863" t="s">
        <v>1706</v>
      </c>
    </row>
    <row r="26" spans="1:7" ht="13.5" customHeight="1" thickBot="1">
      <c r="A26" s="2837"/>
      <c r="B26" s="2838"/>
      <c r="C26" s="2830"/>
      <c r="D26" s="2832"/>
      <c r="E26" s="2225"/>
      <c r="F26" s="734"/>
      <c r="G26" s="735"/>
    </row>
    <row r="27" spans="1:7" ht="16.5" customHeight="1" thickBot="1">
      <c r="A27" s="2837"/>
      <c r="B27" s="2838"/>
      <c r="C27" s="2830"/>
      <c r="D27" s="2832"/>
      <c r="E27" s="2225"/>
      <c r="F27" s="734"/>
      <c r="G27" s="735"/>
    </row>
    <row r="28" spans="1:7" ht="15" customHeight="1" thickBot="1">
      <c r="A28" s="373" t="s">
        <v>792</v>
      </c>
      <c r="B28" s="2839"/>
      <c r="C28" s="2830"/>
      <c r="D28" s="2832"/>
      <c r="E28" s="2834"/>
      <c r="F28" s="734"/>
      <c r="G28" s="735"/>
    </row>
    <row r="29" spans="1:7" ht="4.5" customHeight="1" thickBot="1">
      <c r="A29" s="272" t="str">
        <f>'1a_Leistungsvolumen'!A17&amp;" "&amp;'1a_Leistungsvolumen'!B17</f>
        <v xml:space="preserve"> </v>
      </c>
      <c r="B29" s="689"/>
      <c r="C29" s="274"/>
      <c r="D29" s="286"/>
      <c r="E29" s="276"/>
      <c r="F29" s="734"/>
      <c r="G29" s="735"/>
    </row>
    <row r="30" spans="1:7" ht="5.85" customHeight="1" thickBot="1">
      <c r="A30" s="287"/>
      <c r="B30" s="288"/>
      <c r="C30" s="289"/>
      <c r="D30" s="290"/>
      <c r="E30" s="271"/>
      <c r="F30" s="731"/>
      <c r="G30" s="732"/>
    </row>
    <row r="31" spans="1:7" ht="16.5" thickBot="1">
      <c r="A31" s="261" t="s">
        <v>1347</v>
      </c>
      <c r="B31" s="262"/>
      <c r="C31" s="262"/>
      <c r="D31" s="263"/>
      <c r="E31" s="264">
        <f>SUM(E33:E34)</f>
        <v>553.19999999999993</v>
      </c>
      <c r="F31" s="729"/>
      <c r="G31" s="730"/>
    </row>
    <row r="32" spans="1:7" ht="5.85" customHeight="1" thickBot="1">
      <c r="A32" s="287"/>
      <c r="B32" s="288"/>
      <c r="C32" s="289"/>
      <c r="D32" s="290"/>
      <c r="E32" s="271"/>
      <c r="F32" s="731"/>
      <c r="G32" s="728"/>
    </row>
    <row r="33" spans="1:7" ht="13.5" thickBot="1">
      <c r="A33" s="272" t="s">
        <v>691</v>
      </c>
      <c r="B33" s="273">
        <f>'1b_Mehr_Zusatzleistungen'!$B$5</f>
        <v>-35.723999999999997</v>
      </c>
      <c r="C33" s="274" t="s">
        <v>261</v>
      </c>
      <c r="D33" s="275"/>
      <c r="E33" s="276">
        <f>'1b_Mehr_Zusatzleistungen'!$C$5</f>
        <v>-232.20000000000002</v>
      </c>
      <c r="F33" s="729"/>
      <c r="G33" s="736"/>
    </row>
    <row r="34" spans="1:7" ht="13.5" thickBot="1">
      <c r="A34" s="287" t="s">
        <v>1339</v>
      </c>
      <c r="B34" s="273">
        <f>'1b_Mehr_Zusatzleistungen'!$B$6</f>
        <v>112.2</v>
      </c>
      <c r="C34" s="289" t="s">
        <v>261</v>
      </c>
      <c r="D34" s="290"/>
      <c r="E34" s="271">
        <f>'1b_Mehr_Zusatzleistungen'!$C$6</f>
        <v>785.4</v>
      </c>
      <c r="F34" s="731"/>
      <c r="G34" s="728"/>
    </row>
    <row r="35" spans="1:7" ht="16.5" thickBot="1">
      <c r="A35" s="261" t="s">
        <v>267</v>
      </c>
      <c r="B35" s="262"/>
      <c r="C35" s="262"/>
      <c r="D35" s="263"/>
      <c r="E35" s="264">
        <f>E37</f>
        <v>-6572.03</v>
      </c>
      <c r="F35" s="729"/>
      <c r="G35" s="730"/>
    </row>
    <row r="36" spans="1:7" ht="5.85" customHeight="1" thickBot="1">
      <c r="A36" s="266"/>
      <c r="B36" s="292"/>
      <c r="C36" s="268"/>
      <c r="D36" s="269"/>
      <c r="E36" s="270"/>
      <c r="F36" s="731"/>
      <c r="G36" s="728"/>
    </row>
    <row r="37" spans="1:7" ht="13.5" thickBot="1">
      <c r="A37" s="272" t="s">
        <v>268</v>
      </c>
      <c r="B37" s="273">
        <f>'9_Statistik Zugbildung'!$E$5</f>
        <v>4381.3500000000004</v>
      </c>
      <c r="C37" s="274" t="s">
        <v>261</v>
      </c>
      <c r="D37" s="341">
        <v>-1.5</v>
      </c>
      <c r="E37" s="276">
        <f>ROUND($D$37*B37,2)</f>
        <v>-6572.03</v>
      </c>
      <c r="F37" s="731"/>
      <c r="G37" s="728"/>
    </row>
    <row r="38" spans="1:7" ht="5.85" customHeight="1" thickBot="1">
      <c r="A38" s="280"/>
      <c r="B38" s="281"/>
      <c r="C38" s="282"/>
      <c r="D38" s="283"/>
      <c r="E38" s="284"/>
      <c r="F38" s="731"/>
      <c r="G38" s="728"/>
    </row>
    <row r="39" spans="1:7" ht="30.75" thickBot="1">
      <c r="A39" s="261" t="s">
        <v>1262</v>
      </c>
      <c r="B39" s="262"/>
      <c r="C39" s="262"/>
      <c r="D39" s="263"/>
      <c r="E39" s="264">
        <f>SUM(E41:E44)</f>
        <v>-625.99693091581003</v>
      </c>
      <c r="F39" s="729"/>
      <c r="G39" s="730"/>
    </row>
    <row r="40" spans="1:7" ht="5.85" customHeight="1" thickBot="1">
      <c r="A40" s="294"/>
      <c r="B40" s="295"/>
      <c r="C40" s="296"/>
      <c r="D40" s="529"/>
      <c r="E40" s="297"/>
      <c r="F40" s="731"/>
      <c r="G40" s="728"/>
    </row>
    <row r="41" spans="1:7" ht="13.5" thickBot="1">
      <c r="A41" s="298" t="s">
        <v>1263</v>
      </c>
      <c r="B41" s="273">
        <f>'19a_Statistik_Kundenbetreuer '!$E$5</f>
        <v>610</v>
      </c>
      <c r="C41" s="527" t="s">
        <v>261</v>
      </c>
      <c r="D41" s="530">
        <v>-1</v>
      </c>
      <c r="E41" s="528">
        <f>ROUND($D$41*B41,2)</f>
        <v>-610</v>
      </c>
      <c r="F41" s="731"/>
      <c r="G41" s="728"/>
    </row>
    <row r="42" spans="1:7" ht="13.5" thickBot="1">
      <c r="A42" s="1650" t="s">
        <v>1264</v>
      </c>
      <c r="B42" s="1651"/>
      <c r="C42" s="1652"/>
      <c r="D42" s="530">
        <v>-1</v>
      </c>
      <c r="E42" s="2840">
        <f>-'20_Statistik SiP'!$E$7</f>
        <v>-9.1528209158100484</v>
      </c>
      <c r="F42" s="731"/>
      <c r="G42" s="728"/>
    </row>
    <row r="43" spans="1:7" ht="13.5" thickBot="1">
      <c r="A43" s="1650" t="s">
        <v>1265</v>
      </c>
      <c r="B43" s="1654"/>
      <c r="C43" s="1652"/>
      <c r="D43" s="530"/>
      <c r="E43" s="1653">
        <f>-'19b_Aufgaben Zugpersonal'!$F$11</f>
        <v>-6.8441099999999997</v>
      </c>
      <c r="F43" s="731"/>
      <c r="G43" s="728"/>
    </row>
    <row r="44" spans="1:7" ht="13.5" thickBot="1">
      <c r="A44" s="532" t="s">
        <v>495</v>
      </c>
      <c r="B44" s="690"/>
      <c r="C44" s="526"/>
      <c r="D44" s="531"/>
      <c r="E44" s="746">
        <f>'22_zusätzl. Personale'!$D$8</f>
        <v>0</v>
      </c>
      <c r="F44" s="731"/>
      <c r="G44" s="728"/>
    </row>
    <row r="45" spans="1:7" ht="5.85" customHeight="1" thickBot="1">
      <c r="A45" s="299"/>
      <c r="B45" s="300"/>
      <c r="C45" s="301"/>
      <c r="D45" s="302"/>
      <c r="E45" s="303"/>
      <c r="F45" s="731"/>
      <c r="G45" s="728"/>
    </row>
    <row r="46" spans="1:7" ht="16.5" thickBot="1">
      <c r="A46" s="261" t="s">
        <v>280</v>
      </c>
      <c r="B46" s="262"/>
      <c r="C46" s="262"/>
      <c r="D46" s="263"/>
      <c r="E46" s="264">
        <f>SUM(E48:E50)</f>
        <v>-25.909844999999997</v>
      </c>
      <c r="F46" s="737"/>
      <c r="G46" s="730"/>
    </row>
    <row r="47" spans="1:7" ht="5.85" customHeight="1" thickBot="1">
      <c r="A47" s="266"/>
      <c r="B47" s="304"/>
      <c r="C47" s="268"/>
      <c r="D47" s="305"/>
      <c r="E47" s="270"/>
      <c r="F47" s="727"/>
      <c r="G47" s="728"/>
    </row>
    <row r="48" spans="1:7" ht="13.5" thickBot="1">
      <c r="A48" s="272" t="s">
        <v>269</v>
      </c>
      <c r="B48" s="1814">
        <f>'23a_Schäden an Fahrzeugen'!$D$9</f>
        <v>1</v>
      </c>
      <c r="C48" s="293" t="s">
        <v>276</v>
      </c>
      <c r="D48" s="2847">
        <v>-100</v>
      </c>
      <c r="E48" s="2831">
        <f>-'23a_Schäden an Fahrzeugen'!$E$7</f>
        <v>-14.665949999999999</v>
      </c>
      <c r="F48" s="727"/>
      <c r="G48" s="728"/>
    </row>
    <row r="49" spans="1:7" ht="13.5" thickBot="1">
      <c r="A49" s="272" t="s">
        <v>270</v>
      </c>
      <c r="B49" s="1814">
        <f>'23a_Schäden an Fahrzeugen'!$D$6</f>
        <v>3</v>
      </c>
      <c r="C49" s="343" t="s">
        <v>276</v>
      </c>
      <c r="D49" s="2847">
        <v>-500</v>
      </c>
      <c r="E49" s="2831">
        <f>-'23a_Schäden an Fahrzeugen'!$E$10</f>
        <v>-0.97772999999999988</v>
      </c>
      <c r="F49" s="727"/>
      <c r="G49" s="728"/>
    </row>
    <row r="50" spans="1:7" ht="17.25" customHeight="1" thickBot="1">
      <c r="A50" s="747" t="s">
        <v>1684</v>
      </c>
      <c r="B50" s="534">
        <f>'23a_Schäden an Fahrzeugen'!$D$12</f>
        <v>21</v>
      </c>
      <c r="C50" s="343" t="s">
        <v>276</v>
      </c>
      <c r="D50" s="535"/>
      <c r="E50" s="2831">
        <f>-'23a_Schäden an Fahrzeugen'!$E$13</f>
        <v>-10.266164999999999</v>
      </c>
      <c r="F50" s="727"/>
      <c r="G50" s="728"/>
    </row>
    <row r="51" spans="1:7" ht="5.25" customHeight="1" thickBot="1">
      <c r="A51" s="747"/>
      <c r="B51" s="534"/>
      <c r="C51" s="2841"/>
      <c r="D51" s="535"/>
      <c r="E51" s="2843"/>
      <c r="F51" s="727"/>
      <c r="G51" s="728"/>
    </row>
    <row r="52" spans="1:7" ht="16.5" customHeight="1" thickBot="1">
      <c r="A52" s="261" t="s">
        <v>492</v>
      </c>
      <c r="B52" s="262"/>
      <c r="C52" s="262"/>
      <c r="D52" s="263"/>
      <c r="E52" s="264">
        <f>SUM(E55:E58)</f>
        <v>-14.665949999999999</v>
      </c>
      <c r="F52" s="737"/>
      <c r="G52" s="730"/>
    </row>
    <row r="53" spans="1:7" ht="5.85" customHeight="1" thickBot="1">
      <c r="A53" s="266"/>
      <c r="B53" s="304"/>
      <c r="C53" s="268"/>
      <c r="D53" s="305"/>
      <c r="E53" s="270"/>
      <c r="F53" s="731"/>
      <c r="G53" s="728"/>
    </row>
    <row r="54" spans="1:7" ht="6.75" customHeight="1" thickBot="1">
      <c r="A54" s="539"/>
      <c r="B54" s="536"/>
      <c r="C54" s="533"/>
      <c r="D54" s="537"/>
      <c r="E54" s="297"/>
      <c r="F54" s="731"/>
      <c r="G54" s="728"/>
    </row>
    <row r="55" spans="1:7" ht="13.5" customHeight="1" thickBot="1">
      <c r="A55" s="272" t="s">
        <v>749</v>
      </c>
      <c r="B55" s="1814"/>
      <c r="C55" s="293" t="s">
        <v>493</v>
      </c>
      <c r="D55" s="538">
        <v>-300</v>
      </c>
      <c r="E55" s="2846">
        <f>-'24_Außenreinigung'!J8</f>
        <v>-11.732759999999999</v>
      </c>
      <c r="F55" s="731"/>
      <c r="G55" s="728"/>
    </row>
    <row r="56" spans="1:7" ht="13.5" customHeight="1" thickBot="1">
      <c r="A56" s="272" t="s">
        <v>750</v>
      </c>
      <c r="B56" s="1814"/>
      <c r="C56" s="293" t="s">
        <v>493</v>
      </c>
      <c r="D56" s="538">
        <v>-300</v>
      </c>
      <c r="E56" s="2831">
        <f>-'25_Innenreinigung'!I8</f>
        <v>-2.9331899999999997</v>
      </c>
      <c r="F56" s="731"/>
      <c r="G56" s="728"/>
    </row>
    <row r="57" spans="1:7" ht="6" customHeight="1" thickBot="1">
      <c r="A57" s="272"/>
      <c r="B57" s="524"/>
      <c r="C57" s="293"/>
      <c r="D57" s="538"/>
      <c r="E57" s="276"/>
      <c r="F57" s="731"/>
      <c r="G57" s="728"/>
    </row>
    <row r="58" spans="1:7" ht="7.5" customHeight="1" thickBot="1">
      <c r="A58" s="272"/>
      <c r="B58" s="524"/>
      <c r="C58" s="343"/>
      <c r="D58" s="538"/>
      <c r="E58" s="276"/>
      <c r="F58" s="731"/>
      <c r="G58" s="728"/>
    </row>
    <row r="59" spans="1:7" ht="5.85" customHeight="1" thickBot="1">
      <c r="A59" s="361"/>
      <c r="B59" s="362"/>
      <c r="C59" s="363"/>
      <c r="D59" s="364"/>
      <c r="E59" s="365"/>
      <c r="F59" s="731"/>
      <c r="G59" s="728"/>
    </row>
    <row r="60" spans="1:7" ht="16.5" thickBot="1">
      <c r="A60" s="261" t="s">
        <v>490</v>
      </c>
      <c r="B60" s="262"/>
      <c r="C60" s="262"/>
      <c r="D60" s="262"/>
      <c r="E60" s="264">
        <f>SUM(E62:E67)</f>
        <v>-5456.67</v>
      </c>
      <c r="F60" s="729"/>
      <c r="G60" s="730"/>
    </row>
    <row r="61" spans="1:7" ht="5.85" customHeight="1" thickBot="1">
      <c r="A61" s="266"/>
      <c r="B61" s="267"/>
      <c r="C61" s="268"/>
      <c r="D61" s="305"/>
      <c r="E61" s="270"/>
      <c r="F61" s="731"/>
      <c r="G61" s="728"/>
    </row>
    <row r="62" spans="1:7" ht="13.5" thickBot="1">
      <c r="A62" s="307" t="s">
        <v>501</v>
      </c>
      <c r="B62" s="1814">
        <f>'14a_Abweichungen pbV,vbV'!D20</f>
        <v>4</v>
      </c>
      <c r="C62" s="293" t="s">
        <v>271</v>
      </c>
      <c r="D62" s="349">
        <v>-300</v>
      </c>
      <c r="E62" s="276">
        <f>ROUND($D$62*B62,2)</f>
        <v>-1200</v>
      </c>
      <c r="F62" s="738"/>
      <c r="G62" s="732"/>
    </row>
    <row r="63" spans="1:7" ht="13.5" thickBot="1">
      <c r="A63" s="308" t="s">
        <v>502</v>
      </c>
      <c r="B63" s="1814">
        <f>'14a_Abweichungen pbV,vbV'!E20</f>
        <v>22.75</v>
      </c>
      <c r="C63" s="309" t="s">
        <v>272</v>
      </c>
      <c r="D63" s="350">
        <v>-30</v>
      </c>
      <c r="E63" s="276">
        <f>ROUND($D$63*B63,2)</f>
        <v>-682.5</v>
      </c>
      <c r="F63" s="738"/>
      <c r="G63" s="732"/>
    </row>
    <row r="64" spans="1:7" ht="13.5" thickBot="1">
      <c r="A64" s="308" t="s">
        <v>273</v>
      </c>
      <c r="B64" s="1814">
        <f>'15_Störungen stationäre FAA'!J18</f>
        <v>29.200000000000003</v>
      </c>
      <c r="C64" s="293" t="s">
        <v>271</v>
      </c>
      <c r="D64" s="351">
        <v>-100</v>
      </c>
      <c r="E64" s="276">
        <f>ROUND($D$64*B64,2)</f>
        <v>-2920</v>
      </c>
      <c r="F64" s="738"/>
      <c r="G64" s="732"/>
    </row>
    <row r="65" spans="1:7" ht="13.5" thickBot="1">
      <c r="A65" s="308" t="s">
        <v>1243</v>
      </c>
      <c r="B65" s="1814">
        <f>'17_Störungen mobile Terminals'!E6</f>
        <v>2</v>
      </c>
      <c r="C65" s="293" t="s">
        <v>271</v>
      </c>
      <c r="D65" s="351">
        <v>-100</v>
      </c>
      <c r="E65" s="276">
        <f>ROUND($D$65*B65,2)</f>
        <v>-200</v>
      </c>
      <c r="F65" s="738"/>
      <c r="G65" s="732"/>
    </row>
    <row r="66" spans="1:7" ht="13.5" thickBot="1">
      <c r="A66" s="308" t="s">
        <v>689</v>
      </c>
      <c r="B66" s="1814">
        <f>'16_Störungen Entwerter'!J20</f>
        <v>15.138888888884685</v>
      </c>
      <c r="C66" s="293" t="s">
        <v>271</v>
      </c>
      <c r="D66" s="351">
        <v>-30</v>
      </c>
      <c r="E66" s="276">
        <f>ROUND($D$66*B66,2)</f>
        <v>-454.17</v>
      </c>
      <c r="F66" s="738"/>
      <c r="G66" s="732"/>
    </row>
    <row r="67" spans="1:7" ht="5.85" customHeight="1" thickBot="1">
      <c r="A67" s="355"/>
      <c r="B67" s="1815"/>
      <c r="C67" s="357"/>
      <c r="D67" s="358"/>
      <c r="E67" s="359"/>
      <c r="F67" s="739"/>
      <c r="G67" s="740"/>
    </row>
    <row r="68" spans="1:7" ht="16.5" thickBot="1">
      <c r="A68" s="261" t="s">
        <v>491</v>
      </c>
      <c r="B68" s="311"/>
      <c r="C68" s="311"/>
      <c r="D68" s="311"/>
      <c r="E68" s="264">
        <f>SUM(E71:E83)</f>
        <v>87.27481499999989</v>
      </c>
      <c r="F68" s="741"/>
      <c r="G68" s="730"/>
    </row>
    <row r="69" spans="1:7" ht="12.75" customHeight="1" thickBot="1">
      <c r="A69" s="2640" t="s">
        <v>1327</v>
      </c>
      <c r="B69" s="312"/>
      <c r="C69" s="313"/>
      <c r="D69" s="314"/>
      <c r="E69" s="315"/>
      <c r="F69" s="742"/>
      <c r="G69" s="728"/>
    </row>
    <row r="70" spans="1:7" ht="13.5" thickBot="1">
      <c r="A70" s="2654" t="s">
        <v>285</v>
      </c>
      <c r="B70" s="317"/>
      <c r="C70" s="289"/>
      <c r="D70" s="318"/>
      <c r="E70" s="271"/>
      <c r="F70" s="742"/>
      <c r="G70" s="728"/>
    </row>
    <row r="71" spans="1:7" ht="26.25" thickBot="1">
      <c r="A71" s="2653" t="str">
        <f>A22</f>
        <v>RE 7 Erfurt - Suhl - Grimmenthal - Ebenhausen - Schweinfurt - Würzburg</v>
      </c>
      <c r="B71" s="691">
        <f>'28a_Erfüllungssquote AFZS'!K10*100</f>
        <v>10.278833967046896</v>
      </c>
      <c r="C71" s="274" t="s">
        <v>278</v>
      </c>
      <c r="D71" s="354">
        <f>ROUND(-100,2)</f>
        <v>-100</v>
      </c>
      <c r="E71" s="276">
        <f>ROUND($D$71*B71,2)</f>
        <v>-1027.8800000000001</v>
      </c>
      <c r="F71" s="738"/>
      <c r="G71" s="732"/>
    </row>
    <row r="72" spans="1:7" ht="13.5" thickBot="1">
      <c r="A72" s="2653" t="str">
        <f>A23</f>
        <v>RE 70 Erfurt - Suhl - Grimmenthal - Meiningen</v>
      </c>
      <c r="B72" s="691"/>
      <c r="C72" s="274" t="s">
        <v>278</v>
      </c>
      <c r="D72" s="354">
        <f t="shared" ref="D72:D73" si="0">ROUND(-100,2)</f>
        <v>-100</v>
      </c>
      <c r="E72" s="276">
        <f>ROUND($D$72*B72,2)</f>
        <v>0</v>
      </c>
      <c r="F72" s="738"/>
      <c r="G72" s="732"/>
    </row>
    <row r="73" spans="1:7" ht="13.5" thickBot="1">
      <c r="A73" s="2885" t="str">
        <f>A24</f>
        <v>RB 40 Erfurt - Suhl - Grimmenthal - Ebenhausen - Schweinfurt</v>
      </c>
      <c r="B73" s="2880"/>
      <c r="C73" s="2875" t="s">
        <v>278</v>
      </c>
      <c r="D73" s="2881">
        <f t="shared" si="0"/>
        <v>-100</v>
      </c>
      <c r="E73" s="2882">
        <f>ROUND($D$73*B73,2)</f>
        <v>0</v>
      </c>
      <c r="F73" s="738"/>
      <c r="G73" s="2883" t="s">
        <v>1706</v>
      </c>
    </row>
    <row r="74" spans="1:7" ht="13.5" thickBot="1">
      <c r="A74" s="2885" t="str">
        <f>A25</f>
        <v>RB 44 Erfurt - Suhl - Grimmenthal - Meiningen</v>
      </c>
      <c r="B74" s="2880"/>
      <c r="C74" s="2875" t="s">
        <v>278</v>
      </c>
      <c r="D74" s="2881"/>
      <c r="E74" s="2882">
        <f>ROUND($D$74*B74,2)</f>
        <v>0</v>
      </c>
      <c r="F74" s="738"/>
      <c r="G74" s="2883" t="s">
        <v>1706</v>
      </c>
    </row>
    <row r="75" spans="1:7" ht="13.5" thickBot="1">
      <c r="A75" s="2829" t="s">
        <v>792</v>
      </c>
      <c r="B75" s="691"/>
      <c r="C75" s="274"/>
      <c r="D75" s="354"/>
      <c r="E75" s="276"/>
      <c r="F75" s="738"/>
      <c r="G75" s="732"/>
    </row>
    <row r="76" spans="1:7" ht="13.5" thickBot="1">
      <c r="A76" s="2705"/>
      <c r="B76" s="2828"/>
      <c r="C76" s="274"/>
      <c r="D76" s="354"/>
      <c r="E76" s="276"/>
      <c r="F76" s="738"/>
      <c r="G76" s="732"/>
    </row>
    <row r="77" spans="1:7" ht="13.5" thickBot="1">
      <c r="A77" s="2705"/>
      <c r="B77" s="2828"/>
      <c r="C77" s="274"/>
      <c r="D77" s="354"/>
      <c r="E77" s="276"/>
      <c r="F77" s="738"/>
      <c r="G77" s="732"/>
    </row>
    <row r="78" spans="1:7" ht="13.5" thickBot="1">
      <c r="A78" s="321" t="s">
        <v>274</v>
      </c>
      <c r="B78" s="691"/>
      <c r="C78" s="274"/>
      <c r="D78" s="354"/>
      <c r="E78" s="276"/>
      <c r="F78" s="738"/>
      <c r="G78" s="732"/>
    </row>
    <row r="79" spans="1:7" ht="5.85" customHeight="1" thickBot="1">
      <c r="A79" s="272"/>
      <c r="B79" s="319"/>
      <c r="C79" s="289"/>
      <c r="D79" s="320"/>
      <c r="E79" s="271"/>
      <c r="F79" s="731"/>
      <c r="G79" s="728"/>
    </row>
    <row r="80" spans="1:7" ht="13.5" thickBot="1">
      <c r="A80" s="2655" t="s">
        <v>1327</v>
      </c>
      <c r="B80" s="319"/>
      <c r="C80" s="289"/>
      <c r="D80" s="320"/>
      <c r="E80" s="271"/>
      <c r="F80" s="731"/>
      <c r="G80" s="728"/>
    </row>
    <row r="81" spans="1:7" ht="13.5" thickBot="1">
      <c r="A81" s="323" t="s">
        <v>174</v>
      </c>
      <c r="B81" s="942"/>
      <c r="C81" s="301"/>
      <c r="D81" s="322"/>
      <c r="E81" s="2822">
        <f>'26_Fahrgastinformation'!$C$25</f>
        <v>1113.68822</v>
      </c>
      <c r="F81" s="731"/>
      <c r="G81" s="728"/>
    </row>
    <row r="82" spans="1:7" ht="13.5" thickBot="1">
      <c r="A82" s="325" t="s">
        <v>161</v>
      </c>
      <c r="B82" s="306"/>
      <c r="C82" s="324"/>
      <c r="D82" s="310"/>
      <c r="E82" s="2823">
        <f>'27a_Beschwerdestatistik'!$F$8</f>
        <v>1.4665949999999999</v>
      </c>
      <c r="F82" s="743"/>
      <c r="G82" s="732"/>
    </row>
    <row r="83" spans="1:7" ht="13.5" thickBot="1">
      <c r="A83" s="1660"/>
      <c r="B83" s="1661"/>
      <c r="C83" s="324"/>
      <c r="D83" s="310"/>
      <c r="E83" s="2824"/>
      <c r="F83" s="743"/>
      <c r="G83" s="732"/>
    </row>
    <row r="84" spans="1:7" ht="13.5" thickBot="1">
      <c r="A84" s="1656"/>
      <c r="B84" s="1657"/>
      <c r="C84" s="324"/>
      <c r="D84" s="310"/>
      <c r="E84" s="2825"/>
      <c r="F84" s="743"/>
      <c r="G84" s="732"/>
    </row>
    <row r="85" spans="1:7" ht="5.85" customHeight="1" thickBot="1">
      <c r="A85" s="326"/>
      <c r="B85" s="327"/>
      <c r="C85" s="328"/>
      <c r="D85" s="329"/>
      <c r="E85" s="359"/>
      <c r="F85" s="731"/>
      <c r="G85" s="728"/>
    </row>
    <row r="86" spans="1:7" ht="15.75" customHeight="1" thickBot="1">
      <c r="A86" s="330" t="s">
        <v>275</v>
      </c>
      <c r="B86" s="331"/>
      <c r="C86" s="332"/>
      <c r="D86" s="332"/>
      <c r="E86" s="1655">
        <f>E68+E60+E52+E46+E39+E35+E31+E20+E7</f>
        <v>-12441.867910915807</v>
      </c>
      <c r="F86" s="744"/>
      <c r="G86" s="730"/>
    </row>
    <row r="87" spans="1:7" ht="13.5" thickBot="1">
      <c r="A87" s="369"/>
      <c r="B87" s="369"/>
      <c r="C87" s="369"/>
      <c r="D87" s="369"/>
      <c r="E87" s="369"/>
      <c r="F87" s="333"/>
      <c r="G87" s="369"/>
    </row>
    <row r="88" spans="1:7" ht="16.5" thickBot="1">
      <c r="A88" s="261" t="s">
        <v>474</v>
      </c>
      <c r="B88" s="262"/>
      <c r="C88" s="262"/>
      <c r="D88" s="262"/>
      <c r="E88" s="265"/>
      <c r="F88" s="729"/>
    </row>
    <row r="89" spans="1:7" ht="6" customHeight="1" thickBot="1">
      <c r="A89" s="266"/>
      <c r="B89" s="267"/>
      <c r="C89" s="268"/>
      <c r="D89" s="305"/>
      <c r="E89" s="291"/>
      <c r="F89" s="731"/>
    </row>
    <row r="90" spans="1:7" ht="13.5" thickBot="1">
      <c r="A90" s="307" t="s">
        <v>487</v>
      </c>
      <c r="B90" s="524"/>
      <c r="C90" s="293"/>
      <c r="D90" s="349"/>
      <c r="E90" s="271">
        <f>-'29_Infrastrukturkosten'!C14</f>
        <v>-466.82000000000698</v>
      </c>
      <c r="F90" s="731"/>
    </row>
    <row r="91" spans="1:7" ht="13.5" thickBot="1">
      <c r="A91" s="308" t="s">
        <v>486</v>
      </c>
      <c r="B91" s="525"/>
      <c r="C91" s="309"/>
      <c r="D91" s="350"/>
      <c r="E91" s="271">
        <f>'29_Infrastrukturkosten'!C23</f>
        <v>0</v>
      </c>
      <c r="F91" s="731"/>
    </row>
    <row r="92" spans="1:7" ht="6" customHeight="1" thickBot="1">
      <c r="A92" s="355"/>
      <c r="B92" s="356"/>
      <c r="C92" s="357"/>
      <c r="D92" s="358"/>
      <c r="E92" s="360"/>
      <c r="F92" s="745"/>
    </row>
    <row r="93" spans="1:7" ht="16.5" thickBot="1">
      <c r="A93" s="330" t="s">
        <v>488</v>
      </c>
      <c r="B93" s="331"/>
      <c r="C93" s="332"/>
      <c r="D93" s="332"/>
      <c r="E93" s="346">
        <f>SUM(E90:E92)</f>
        <v>-466.82000000000698</v>
      </c>
      <c r="F93" s="744"/>
    </row>
    <row r="94" spans="1:7" ht="18">
      <c r="A94" s="334"/>
      <c r="B94" s="369"/>
      <c r="C94" s="369"/>
      <c r="D94" s="369"/>
      <c r="E94" s="369"/>
      <c r="F94" s="744"/>
      <c r="G94" s="369"/>
    </row>
    <row r="95" spans="1:7" ht="18">
      <c r="A95" s="334" t="s">
        <v>1503</v>
      </c>
      <c r="B95" s="335"/>
      <c r="C95" s="243"/>
      <c r="F95" s="333"/>
      <c r="G95" s="333"/>
    </row>
    <row r="96" spans="1:7">
      <c r="A96" s="376"/>
      <c r="B96" s="335"/>
      <c r="C96" s="243"/>
      <c r="D96" s="375"/>
      <c r="E96" s="333"/>
      <c r="F96" s="333"/>
      <c r="G96" s="333"/>
    </row>
    <row r="97" spans="1:7" ht="15">
      <c r="A97" s="377" t="s">
        <v>284</v>
      </c>
      <c r="B97" s="378"/>
      <c r="C97" s="379">
        <f>'1a_Leistungsvolumen'!C103</f>
        <v>0</v>
      </c>
      <c r="D97" s="375"/>
      <c r="E97" s="380"/>
      <c r="F97" s="333"/>
      <c r="G97" s="333"/>
    </row>
    <row r="98" spans="1:7" ht="15">
      <c r="A98" s="377" t="s">
        <v>793</v>
      </c>
      <c r="B98" s="381"/>
      <c r="C98" s="379">
        <f>E86</f>
        <v>-12441.867910915807</v>
      </c>
      <c r="D98" s="375"/>
      <c r="E98" s="382"/>
      <c r="F98" s="333"/>
      <c r="G98" s="333"/>
    </row>
    <row r="99" spans="1:7" ht="15">
      <c r="A99" s="377" t="s">
        <v>794</v>
      </c>
      <c r="B99" s="381"/>
      <c r="C99" s="379">
        <f>E93</f>
        <v>-466.82000000000698</v>
      </c>
      <c r="D99" s="375"/>
      <c r="E99" s="382"/>
      <c r="F99" s="333"/>
      <c r="G99" s="333"/>
    </row>
    <row r="100" spans="1:7" ht="15.75" thickBot="1">
      <c r="A100" s="383" t="str">
        <f>"Rate "&amp;G3&amp;":"</f>
        <v>Rate Monat JJJJ:</v>
      </c>
      <c r="B100" s="370"/>
      <c r="C100" s="384">
        <f>SUM(C97:C99)</f>
        <v>-12908.687910915814</v>
      </c>
      <c r="D100" s="375"/>
      <c r="E100" s="333"/>
      <c r="F100" s="333"/>
      <c r="G100" s="333"/>
    </row>
    <row r="101" spans="1:7" ht="15.75" thickTop="1">
      <c r="A101" s="336"/>
      <c r="B101" s="337"/>
      <c r="C101" s="338"/>
      <c r="D101" s="338"/>
      <c r="E101" s="339"/>
      <c r="F101" s="339"/>
      <c r="G101" s="339"/>
    </row>
    <row r="102" spans="1:7">
      <c r="A102" s="369"/>
      <c r="B102" s="369"/>
      <c r="C102" s="369"/>
      <c r="D102" s="369"/>
      <c r="E102" s="369"/>
      <c r="F102" s="369"/>
      <c r="G102" s="369"/>
    </row>
    <row r="103" spans="1:7">
      <c r="A103" s="194" t="s">
        <v>219</v>
      </c>
      <c r="B103" s="2844" t="s">
        <v>224</v>
      </c>
      <c r="C103" s="2844"/>
      <c r="D103" s="2845"/>
      <c r="E103" s="2845"/>
      <c r="F103" s="369"/>
      <c r="G103" s="369"/>
    </row>
    <row r="104" spans="1:7">
      <c r="B104" s="2844" t="s">
        <v>1645</v>
      </c>
      <c r="C104" s="2844"/>
      <c r="D104" s="2845"/>
      <c r="E104" s="2845"/>
      <c r="F104" s="369"/>
      <c r="G104" s="369"/>
    </row>
    <row r="105" spans="1:7">
      <c r="D105" s="369"/>
      <c r="E105" s="369"/>
      <c r="F105" s="369"/>
      <c r="G105" s="369"/>
    </row>
    <row r="106" spans="1:7">
      <c r="A106" s="2267" t="s">
        <v>1434</v>
      </c>
      <c r="B106" s="2267" t="s">
        <v>1435</v>
      </c>
      <c r="C106"/>
      <c r="D106" s="369"/>
      <c r="E106" s="369"/>
      <c r="F106" s="369"/>
      <c r="G106" s="369"/>
    </row>
    <row r="107" spans="1:7">
      <c r="A107" s="2267" t="s">
        <v>1554</v>
      </c>
      <c r="B107" s="2267" t="s">
        <v>1550</v>
      </c>
      <c r="C107" s="2196" t="s">
        <v>1442</v>
      </c>
      <c r="D107" s="369"/>
      <c r="E107" s="369"/>
      <c r="F107" s="369"/>
      <c r="G107" s="369"/>
    </row>
    <row r="108" spans="1:7">
      <c r="A108" s="369"/>
      <c r="B108" s="369"/>
      <c r="C108" s="369"/>
      <c r="D108" s="369"/>
      <c r="E108" s="369"/>
      <c r="F108" s="369"/>
      <c r="G108" s="369"/>
    </row>
    <row r="109" spans="1:7">
      <c r="A109" s="369"/>
      <c r="B109" s="369"/>
      <c r="C109" s="369"/>
      <c r="D109" s="369"/>
      <c r="E109" s="369"/>
      <c r="F109" s="369"/>
      <c r="G109" s="369"/>
    </row>
    <row r="110" spans="1:7">
      <c r="A110" s="369"/>
      <c r="B110" s="369"/>
      <c r="C110" s="369"/>
      <c r="D110" s="369"/>
      <c r="E110" s="369"/>
      <c r="F110" s="369"/>
      <c r="G110" s="369"/>
    </row>
    <row r="111" spans="1:7">
      <c r="A111" s="369"/>
      <c r="B111" s="369"/>
      <c r="C111" s="369"/>
      <c r="D111" s="369"/>
      <c r="E111" s="369"/>
      <c r="F111" s="369"/>
      <c r="G111" s="369"/>
    </row>
    <row r="112" spans="1:7">
      <c r="A112" s="369"/>
      <c r="B112" s="369"/>
      <c r="C112" s="369"/>
      <c r="D112" s="369"/>
      <c r="E112" s="369"/>
      <c r="F112" s="369"/>
      <c r="G112" s="369"/>
    </row>
    <row r="113" spans="1:7">
      <c r="A113" s="369"/>
      <c r="B113" s="369"/>
      <c r="C113" s="369"/>
      <c r="D113" s="369"/>
      <c r="E113" s="369"/>
      <c r="F113" s="369"/>
      <c r="G113" s="369"/>
    </row>
    <row r="114" spans="1:7">
      <c r="A114" s="369"/>
      <c r="B114" s="369"/>
      <c r="C114" s="369"/>
      <c r="D114" s="369"/>
      <c r="E114" s="369"/>
      <c r="F114" s="369"/>
      <c r="G114" s="369"/>
    </row>
    <row r="115" spans="1:7">
      <c r="A115" s="369"/>
      <c r="B115" s="369"/>
      <c r="C115" s="369"/>
      <c r="D115" s="369"/>
      <c r="E115" s="369"/>
      <c r="F115" s="369"/>
      <c r="G115" s="369"/>
    </row>
  </sheetData>
  <sheetProtection algorithmName="SHA-512" hashValue="JsrfQ4H1JUt0NM87nWePV1TwBvVcoz9BXFbzpDUmzLaHM1ySLp8cAFqkaR2BmheHrzhNFj66LhK4FHzD2hAwKw==" saltValue="jwbM3oyHNpagrrOgW9JcxA==" spinCount="100000" sheet="1" objects="1" scenarios="1"/>
  <mergeCells count="1">
    <mergeCell ref="F5:G5"/>
  </mergeCells>
  <pageMargins left="0.7" right="0.7" top="0.78740157499999996" bottom="0.78740157499999996" header="0.3" footer="0.3"/>
  <pageSetup paperSize="9" scale="55" orientation="portrait" r:id="rId1"/>
  <headerFooter>
    <oddHeader>&amp;LVDV SUN Jahresschlussrechnung JJJJ&amp;R&amp;KFF0000&amp;F</oddHeader>
    <oddFooter>&amp;C&amp;P&amp;R&amp;A</oddFooter>
  </headerFooter>
  <rowBreaks count="1" manualBreakCount="1">
    <brk id="46" max="6" man="1"/>
  </row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99"/>
  <sheetViews>
    <sheetView view="pageLayout" topLeftCell="A7" zoomScaleNormal="80" zoomScaleSheetLayoutView="80" workbookViewId="0">
      <selection activeCell="J7" sqref="J7"/>
    </sheetView>
  </sheetViews>
  <sheetFormatPr baseColWidth="10" defaultColWidth="7.28515625" defaultRowHeight="18" customHeight="1"/>
  <cols>
    <col min="1" max="1" width="21.140625" style="914" customWidth="1"/>
    <col min="2" max="2" width="33.140625" style="915" customWidth="1"/>
    <col min="3" max="3" width="24.85546875" style="916" customWidth="1"/>
    <col min="4" max="4" width="21.140625" style="915" customWidth="1"/>
    <col min="5" max="6" width="21.7109375" style="916" customWidth="1"/>
    <col min="7" max="7" width="12.85546875" style="917" bestFit="1" customWidth="1"/>
    <col min="8" max="8" width="19.140625" style="918" bestFit="1" customWidth="1"/>
    <col min="9" max="9" width="5" style="918" bestFit="1" customWidth="1"/>
    <col min="10" max="10" width="6" style="918" bestFit="1" customWidth="1"/>
    <col min="11" max="14" width="7.28515625" style="918"/>
    <col min="15" max="15" width="10.28515625" style="918" customWidth="1"/>
    <col min="16" max="19" width="7.28515625" style="918"/>
    <col min="20" max="20" width="12" style="918" customWidth="1"/>
    <col min="21" max="23" width="7.28515625" style="918"/>
    <col min="24" max="24" width="10.28515625" style="918" customWidth="1"/>
    <col min="25" max="25" width="10.42578125" style="918" customWidth="1"/>
    <col min="26" max="26" width="13.42578125" style="918" customWidth="1"/>
    <col min="27" max="27" width="15.140625" style="918" bestFit="1" customWidth="1"/>
    <col min="28" max="28" width="7.28515625" style="918"/>
    <col min="29" max="29" width="22" style="918" customWidth="1"/>
    <col min="30" max="30" width="15.42578125" style="918" customWidth="1"/>
    <col min="31" max="16384" width="7.28515625" style="918"/>
  </cols>
  <sheetData>
    <row r="1" spans="1:27" ht="18" customHeight="1">
      <c r="A1" s="3233" t="s">
        <v>1482</v>
      </c>
      <c r="B1" s="3233"/>
      <c r="C1" s="3233"/>
      <c r="D1" s="3233"/>
      <c r="E1" s="3233"/>
      <c r="F1" s="3233"/>
      <c r="G1" s="3233"/>
      <c r="H1" s="3233"/>
      <c r="I1" s="3233"/>
      <c r="J1" s="3233"/>
    </row>
    <row r="2" spans="1:27" ht="18" customHeight="1">
      <c r="A2" s="3228" t="str">
        <f>'1a_Leistungsvolumen'!A2</f>
        <v>Monat JJJJ</v>
      </c>
      <c r="B2" s="3228"/>
      <c r="C2" s="3228"/>
      <c r="D2" s="3228"/>
      <c r="E2" s="3228"/>
      <c r="F2" s="3228"/>
      <c r="G2" s="3228"/>
      <c r="H2" s="3228"/>
      <c r="I2" s="3228"/>
      <c r="J2" s="3228"/>
    </row>
    <row r="3" spans="1:27" ht="18" customHeight="1" thickBot="1">
      <c r="A3" s="1310"/>
      <c r="B3" s="1310"/>
      <c r="C3" s="1310"/>
      <c r="D3" s="1310"/>
      <c r="E3" s="1310"/>
      <c r="F3" s="1310"/>
      <c r="G3" s="1310"/>
      <c r="H3" s="1310"/>
      <c r="I3" s="1310"/>
      <c r="J3" s="1310"/>
    </row>
    <row r="4" spans="1:27" ht="23.25" customHeight="1" thickBot="1">
      <c r="A4" s="3234" t="s">
        <v>1244</v>
      </c>
      <c r="B4" s="3235"/>
      <c r="C4" s="3235"/>
      <c r="D4" s="3235"/>
      <c r="E4" s="3236"/>
      <c r="F4" s="1606"/>
      <c r="G4" s="1311"/>
      <c r="H4" s="1311"/>
      <c r="I4" s="1311"/>
      <c r="J4" s="1311"/>
    </row>
    <row r="5" spans="1:27" ht="31.5" customHeight="1" thickBot="1">
      <c r="A5" s="1370" t="s">
        <v>1122</v>
      </c>
      <c r="B5" s="1613" t="s">
        <v>1211</v>
      </c>
      <c r="C5" s="1614" t="s">
        <v>1200</v>
      </c>
      <c r="D5" s="1582" t="s">
        <v>1201</v>
      </c>
      <c r="E5" s="1371" t="s">
        <v>1123</v>
      </c>
      <c r="F5" s="1607"/>
      <c r="G5" s="1311"/>
      <c r="H5" s="1311"/>
      <c r="I5" s="1311"/>
      <c r="J5" s="1311"/>
      <c r="U5" s="1312"/>
      <c r="V5" s="1312"/>
      <c r="W5" s="1312"/>
      <c r="X5" s="1312"/>
    </row>
    <row r="6" spans="1:27" ht="18" customHeight="1">
      <c r="A6" s="2361" t="s">
        <v>1586</v>
      </c>
      <c r="B6" s="1341">
        <f>'14c_Abw pbV,vbV_UA'!AB6</f>
        <v>471.42857142857144</v>
      </c>
      <c r="C6" s="1342">
        <f>'14c_Abw pbV,vbV_UA'!L12</f>
        <v>432</v>
      </c>
      <c r="D6" s="1584">
        <f>'14c_Abw pbV,vbV_UA'!X12</f>
        <v>14</v>
      </c>
      <c r="E6" s="1585">
        <f>B6-C6-D6-(SUMIF('14c_Abw pbV,vbV_UA'!M17:M88,"[d]-Min",'14c_Abw pbV,vbV_UA'!G17:G88))</f>
        <v>-24.071428571428555</v>
      </c>
      <c r="F6" s="1605"/>
      <c r="M6" s="917"/>
      <c r="N6" s="206"/>
      <c r="O6" s="206"/>
      <c r="P6" s="206"/>
      <c r="Q6" s="206"/>
      <c r="R6" s="206"/>
      <c r="S6" s="206"/>
    </row>
    <row r="7" spans="1:27" ht="18" customHeight="1">
      <c r="A7" s="2362" t="s">
        <v>1587</v>
      </c>
      <c r="B7" s="1343">
        <f>'14b_Abw pbV,vbV_USZ'!AB6</f>
        <v>471.42857142857144</v>
      </c>
      <c r="C7" s="1344">
        <f>'14b_Abw pbV,vbV_USZ'!L12</f>
        <v>407.75</v>
      </c>
      <c r="D7" s="1586">
        <f>'14b_Abw pbV,vbV_USZ'!X12</f>
        <v>29.75</v>
      </c>
      <c r="E7" s="1587">
        <f>B7-C7-D7-(SUMIF('14b_Abw pbV,vbV_USZ'!M17:M88,"[d]-Min",'14b_Abw pbV,vbV_USZ'!G17:G88))</f>
        <v>-27.071428571428555</v>
      </c>
      <c r="F7" s="1605"/>
      <c r="G7" s="914"/>
      <c r="H7" s="914"/>
      <c r="I7" s="914"/>
      <c r="J7" s="914"/>
      <c r="K7" s="914"/>
      <c r="L7" s="919"/>
      <c r="M7" s="919"/>
      <c r="N7" s="920"/>
      <c r="O7" s="920"/>
      <c r="P7" s="920"/>
      <c r="Q7" s="920"/>
      <c r="R7" s="920"/>
      <c r="S7" s="920"/>
    </row>
    <row r="8" spans="1:27" ht="18" customHeight="1">
      <c r="A8" s="2362"/>
      <c r="B8" s="1343"/>
      <c r="C8" s="1344"/>
      <c r="D8" s="1586"/>
      <c r="E8" s="1587"/>
      <c r="F8" s="1605"/>
      <c r="G8" s="914"/>
      <c r="H8" s="914"/>
      <c r="I8" s="914"/>
      <c r="J8" s="914"/>
      <c r="K8" s="914"/>
      <c r="L8" s="919"/>
      <c r="M8" s="919"/>
      <c r="N8" s="1313"/>
      <c r="O8" s="1313"/>
      <c r="P8" s="1314"/>
      <c r="Q8" s="1314"/>
      <c r="R8" s="1314"/>
      <c r="S8" s="1314"/>
    </row>
    <row r="9" spans="1:27" ht="18" customHeight="1" thickBot="1">
      <c r="A9" s="2023" t="s">
        <v>792</v>
      </c>
      <c r="B9" s="1345"/>
      <c r="C9" s="1346"/>
      <c r="D9" s="1588"/>
      <c r="E9" s="1589"/>
      <c r="F9" s="1605"/>
      <c r="G9" s="1303"/>
      <c r="H9" s="1296"/>
      <c r="I9" s="1295"/>
      <c r="J9" s="1302"/>
      <c r="K9" s="1302"/>
      <c r="L9" s="1292"/>
      <c r="M9" s="1296"/>
      <c r="N9" s="1297"/>
      <c r="O9" s="1303"/>
      <c r="P9" s="1303"/>
      <c r="Q9" s="1303"/>
      <c r="R9" s="1303"/>
      <c r="S9" s="1304"/>
      <c r="T9" s="1305"/>
      <c r="U9" s="1303"/>
      <c r="V9" s="1303"/>
      <c r="W9" s="1303"/>
      <c r="X9" s="1303"/>
      <c r="Y9" s="1296"/>
      <c r="Z9" s="1305"/>
      <c r="AA9" s="1306"/>
    </row>
    <row r="10" spans="1:27" ht="18" customHeight="1" thickBot="1">
      <c r="A10" s="1340" t="s">
        <v>1121</v>
      </c>
      <c r="B10" s="1339">
        <f>SUM(B6:B9)</f>
        <v>942.85714285714289</v>
      </c>
      <c r="C10" s="1338">
        <f>SUM(C6:C9)</f>
        <v>839.75</v>
      </c>
      <c r="D10" s="1583">
        <f>SUM(D6:D9)</f>
        <v>43.75</v>
      </c>
      <c r="E10" s="1372">
        <f>SUM(E6:E9)</f>
        <v>-51.14285714285711</v>
      </c>
      <c r="F10" s="1608"/>
      <c r="G10" s="1295"/>
      <c r="H10" s="1296"/>
      <c r="I10" s="1295"/>
      <c r="J10" s="1295"/>
      <c r="K10" s="1295"/>
      <c r="L10" s="1295"/>
      <c r="M10" s="1296"/>
      <c r="N10" s="1297"/>
      <c r="O10" s="1294"/>
      <c r="P10" s="1298"/>
      <c r="Q10" s="1298"/>
      <c r="R10" s="1298"/>
      <c r="S10" s="1298"/>
      <c r="T10" s="1299"/>
      <c r="U10" s="1300"/>
      <c r="V10" s="1300"/>
      <c r="W10" s="1300"/>
      <c r="X10" s="1300"/>
      <c r="Y10" s="1300"/>
      <c r="Z10" s="1299"/>
      <c r="AA10" s="1299"/>
    </row>
    <row r="11" spans="1:27" ht="18" customHeight="1" thickBot="1">
      <c r="A11"/>
      <c r="B11" s="1317"/>
      <c r="C11" s="1317"/>
      <c r="D11" s="1317"/>
      <c r="E11" s="1322"/>
      <c r="F11" s="1609"/>
      <c r="G11" s="1295"/>
      <c r="H11" s="1296"/>
      <c r="I11" s="1295"/>
      <c r="J11" s="1295"/>
      <c r="K11" s="1295"/>
      <c r="L11" s="1295"/>
      <c r="M11" s="1296"/>
      <c r="N11" s="1297"/>
      <c r="O11" s="1294"/>
      <c r="P11" s="1298"/>
      <c r="Q11" s="1298"/>
      <c r="R11" s="1298"/>
      <c r="S11" s="1298"/>
      <c r="T11" s="1299"/>
      <c r="U11" s="1300"/>
      <c r="V11" s="1300"/>
      <c r="W11" s="1300"/>
      <c r="X11" s="1300"/>
      <c r="Y11" s="1300"/>
      <c r="Z11" s="1299"/>
      <c r="AA11" s="1299"/>
    </row>
    <row r="12" spans="1:27" ht="18" customHeight="1" thickBot="1">
      <c r="A12" s="1293"/>
      <c r="B12" s="1294"/>
      <c r="C12" s="1295"/>
      <c r="D12" s="3237" t="str">
        <f>IF(E10&lt;0,"Abrechnung in Jahresschlussrechnung JJJJ","erfüllt JJJJ")</f>
        <v>Abrechnung in Jahresschlussrechnung JJJJ</v>
      </c>
      <c r="E12" s="3238"/>
      <c r="F12" s="1610"/>
      <c r="G12" s="1295"/>
      <c r="H12" s="1296"/>
      <c r="I12" s="1295"/>
      <c r="J12" s="1295"/>
      <c r="K12" s="1295"/>
      <c r="L12" s="1295"/>
      <c r="M12" s="1296"/>
      <c r="N12" s="1297"/>
      <c r="O12" s="1294"/>
      <c r="P12" s="1298"/>
      <c r="Q12" s="1298"/>
      <c r="R12" s="1298"/>
      <c r="S12" s="1298"/>
      <c r="T12" s="1299"/>
      <c r="U12" s="1300"/>
      <c r="V12" s="1300"/>
      <c r="W12" s="1300"/>
      <c r="X12" s="1300"/>
      <c r="Y12" s="1300"/>
      <c r="Z12" s="1299"/>
      <c r="AA12" s="1299"/>
    </row>
    <row r="13" spans="1:27" ht="18" customHeight="1" thickBot="1">
      <c r="A13" s="1293"/>
      <c r="B13" s="1294"/>
      <c r="C13" s="1295"/>
      <c r="D13" s="1295"/>
      <c r="E13" s="1295"/>
      <c r="F13" s="1295"/>
      <c r="G13" s="1295"/>
      <c r="H13" s="1296"/>
      <c r="I13" s="1295"/>
      <c r="J13" s="1295"/>
      <c r="K13" s="1295"/>
      <c r="L13" s="1295"/>
      <c r="M13" s="1296"/>
      <c r="N13" s="1297"/>
      <c r="O13" s="1294"/>
      <c r="P13" s="1298"/>
      <c r="Q13" s="1298"/>
      <c r="R13" s="1298"/>
      <c r="S13" s="1298"/>
      <c r="T13" s="1299"/>
      <c r="U13" s="1300"/>
      <c r="V13" s="1300"/>
      <c r="W13" s="1300"/>
      <c r="X13" s="1300"/>
      <c r="Y13" s="1300"/>
      <c r="Z13" s="1299"/>
      <c r="AA13" s="1299"/>
    </row>
    <row r="14" spans="1:27" ht="18" customHeight="1" thickBot="1">
      <c r="A14" s="3239" t="s">
        <v>1209</v>
      </c>
      <c r="B14" s="3240"/>
      <c r="C14" s="3240"/>
      <c r="D14" s="3240"/>
      <c r="E14" s="3240"/>
      <c r="F14" s="3240"/>
      <c r="G14" s="3240"/>
      <c r="H14" s="3241"/>
      <c r="I14" s="1295"/>
      <c r="J14" s="1295"/>
      <c r="K14" s="1295"/>
      <c r="L14" s="1295"/>
      <c r="M14" s="1296"/>
      <c r="N14" s="1297"/>
      <c r="O14" s="1294"/>
      <c r="P14" s="1298"/>
      <c r="Q14" s="1298"/>
      <c r="R14" s="1298"/>
      <c r="S14" s="1298"/>
      <c r="T14" s="1299"/>
      <c r="U14" s="1300"/>
      <c r="V14" s="1300"/>
      <c r="W14" s="1300"/>
      <c r="X14" s="1300"/>
      <c r="Y14" s="1300"/>
      <c r="Z14" s="1299"/>
      <c r="AA14" s="1299"/>
    </row>
    <row r="15" spans="1:27" ht="39" thickBot="1">
      <c r="A15" s="1591" t="s">
        <v>1122</v>
      </c>
      <c r="B15" s="1407" t="s">
        <v>36</v>
      </c>
      <c r="C15" s="1407" t="s">
        <v>38</v>
      </c>
      <c r="D15" s="1592" t="s">
        <v>1207</v>
      </c>
      <c r="E15" s="1592" t="s">
        <v>1208</v>
      </c>
      <c r="F15" s="1435" t="s">
        <v>201</v>
      </c>
      <c r="G15" s="1408" t="s">
        <v>686</v>
      </c>
      <c r="H15" s="1597" t="s">
        <v>1167</v>
      </c>
      <c r="I15" s="1295"/>
      <c r="J15" s="1295"/>
      <c r="K15" s="1295"/>
      <c r="L15" s="1295"/>
      <c r="M15" s="1296"/>
      <c r="N15" s="1297"/>
      <c r="O15" s="1294"/>
      <c r="P15" s="1298"/>
      <c r="Q15" s="1298"/>
      <c r="R15" s="1298"/>
      <c r="S15" s="1298"/>
      <c r="T15" s="1299"/>
      <c r="U15" s="1300"/>
      <c r="V15" s="1300"/>
      <c r="W15" s="1300"/>
      <c r="X15" s="1300"/>
      <c r="Y15" s="1300"/>
      <c r="Z15" s="1299"/>
      <c r="AA15" s="1299"/>
    </row>
    <row r="16" spans="1:27" ht="18" customHeight="1">
      <c r="A16" s="2359" t="s">
        <v>1586</v>
      </c>
      <c r="B16" s="1593">
        <v>45964</v>
      </c>
      <c r="C16" s="1593">
        <v>45991</v>
      </c>
      <c r="D16" s="1601">
        <v>2</v>
      </c>
      <c r="E16" s="1600">
        <v>4.5</v>
      </c>
      <c r="F16" s="1611">
        <v>735</v>
      </c>
      <c r="G16" s="1602"/>
      <c r="H16" s="2373" t="s">
        <v>1526</v>
      </c>
      <c r="I16" s="1295"/>
      <c r="J16" s="1295"/>
      <c r="K16" s="1295"/>
      <c r="L16" s="1295"/>
      <c r="M16" s="1296"/>
      <c r="N16" s="1297"/>
      <c r="O16" s="1294"/>
      <c r="P16" s="1298"/>
      <c r="Q16" s="1298"/>
      <c r="R16" s="1298"/>
      <c r="S16" s="1298"/>
      <c r="T16" s="1299"/>
      <c r="U16" s="1300"/>
      <c r="V16" s="1300"/>
      <c r="W16" s="1300"/>
      <c r="X16" s="1300"/>
      <c r="Y16" s="1300"/>
      <c r="Z16" s="1299"/>
      <c r="AA16" s="1299"/>
    </row>
    <row r="17" spans="1:27" ht="18" customHeight="1">
      <c r="A17" s="2360" t="s">
        <v>1587</v>
      </c>
      <c r="B17" s="1603">
        <v>45964</v>
      </c>
      <c r="C17" s="1593">
        <v>45991</v>
      </c>
      <c r="D17" s="1601">
        <v>2</v>
      </c>
      <c r="E17" s="1600">
        <v>18.25</v>
      </c>
      <c r="F17" s="1611">
        <v>1147.5</v>
      </c>
      <c r="G17" s="1602"/>
      <c r="H17" s="1598" t="s">
        <v>1566</v>
      </c>
      <c r="I17" s="1295"/>
      <c r="J17" s="1295"/>
      <c r="K17" s="1295"/>
      <c r="L17" s="1295"/>
      <c r="M17" s="1296"/>
      <c r="N17" s="1297"/>
      <c r="O17" s="1294"/>
      <c r="P17" s="1298"/>
      <c r="Q17" s="1298"/>
      <c r="R17" s="1298"/>
      <c r="S17" s="1298"/>
      <c r="T17" s="1299"/>
      <c r="U17" s="1300"/>
      <c r="V17" s="1300"/>
      <c r="W17" s="1300"/>
      <c r="X17" s="1300"/>
      <c r="Y17" s="1300"/>
      <c r="Z17" s="1299"/>
      <c r="AA17" s="1299"/>
    </row>
    <row r="18" spans="1:27" ht="18" customHeight="1">
      <c r="A18" s="193"/>
      <c r="B18" s="1603">
        <v>45964</v>
      </c>
      <c r="C18" s="1593">
        <v>45991</v>
      </c>
      <c r="D18" s="1601"/>
      <c r="E18" s="1600"/>
      <c r="F18" s="1611"/>
      <c r="G18" s="1602"/>
      <c r="H18" s="1598"/>
      <c r="I18" s="1295"/>
      <c r="J18" s="1295"/>
      <c r="K18" s="1295"/>
      <c r="L18" s="1295"/>
      <c r="M18" s="1296"/>
      <c r="N18" s="1297"/>
      <c r="O18" s="1294"/>
      <c r="P18" s="1298"/>
      <c r="Q18" s="1298"/>
      <c r="R18" s="1298"/>
      <c r="S18" s="1298"/>
      <c r="T18" s="1299"/>
      <c r="U18" s="1300"/>
      <c r="V18" s="1300"/>
      <c r="W18" s="1300"/>
      <c r="X18" s="1300"/>
      <c r="Y18" s="1300"/>
      <c r="Z18" s="1299"/>
      <c r="AA18" s="1299"/>
    </row>
    <row r="19" spans="1:27" ht="18" customHeight="1" thickBot="1">
      <c r="A19" s="2024" t="s">
        <v>792</v>
      </c>
      <c r="B19" s="1603">
        <v>45964</v>
      </c>
      <c r="C19" s="1593">
        <v>45991</v>
      </c>
      <c r="D19" s="1601"/>
      <c r="E19" s="1600"/>
      <c r="F19" s="1611"/>
      <c r="G19" s="1602"/>
      <c r="H19" s="1599"/>
      <c r="I19" s="1295"/>
      <c r="J19" s="1295"/>
      <c r="K19" s="1295"/>
      <c r="L19" s="1295"/>
      <c r="M19" s="1296"/>
      <c r="N19" s="1297"/>
      <c r="O19" s="1294"/>
      <c r="P19" s="1298"/>
      <c r="Q19" s="1298"/>
      <c r="R19" s="1298"/>
      <c r="S19" s="1298"/>
      <c r="T19" s="1299"/>
      <c r="U19" s="1300"/>
      <c r="V19" s="1300"/>
      <c r="W19" s="1300"/>
      <c r="X19" s="1300"/>
      <c r="Y19" s="1300"/>
      <c r="Z19" s="1299"/>
      <c r="AA19" s="1299"/>
    </row>
    <row r="20" spans="1:27" ht="18" customHeight="1" thickBot="1">
      <c r="A20" s="1591" t="s">
        <v>35</v>
      </c>
      <c r="B20" s="1407"/>
      <c r="C20" s="1407"/>
      <c r="D20" s="1604">
        <f>SUM(D16:D19)</f>
        <v>4</v>
      </c>
      <c r="E20" s="1594">
        <f>SUM(E16:E19)</f>
        <v>22.75</v>
      </c>
      <c r="F20" s="1612">
        <f>SUM(F16:F19)</f>
        <v>1882.5</v>
      </c>
      <c r="G20" s="1595"/>
      <c r="H20" s="1596"/>
      <c r="I20" s="1295"/>
      <c r="J20" s="1295"/>
      <c r="K20" s="1295"/>
      <c r="L20" s="1295"/>
      <c r="M20" s="1296"/>
      <c r="N20" s="1297"/>
      <c r="O20" s="1294"/>
      <c r="P20" s="1298"/>
      <c r="Q20" s="1298"/>
      <c r="R20" s="1298"/>
      <c r="S20" s="1298"/>
      <c r="T20" s="1299"/>
      <c r="U20" s="1300"/>
      <c r="V20" s="1300"/>
      <c r="W20" s="1300"/>
      <c r="X20" s="1300"/>
      <c r="Y20" s="1300"/>
      <c r="Z20" s="1299"/>
      <c r="AA20" s="1299"/>
    </row>
    <row r="21" spans="1:27" ht="18" customHeight="1">
      <c r="A21" s="2374"/>
      <c r="B21" s="423"/>
      <c r="C21" s="423"/>
      <c r="D21" s="2375"/>
      <c r="E21" s="2376"/>
      <c r="F21" s="2377"/>
      <c r="G21" s="2376"/>
      <c r="H21" s="1296"/>
      <c r="I21" s="1295"/>
      <c r="J21" s="1295"/>
      <c r="K21" s="1295"/>
      <c r="L21" s="1295"/>
      <c r="M21" s="1296"/>
      <c r="N21" s="1297"/>
      <c r="O21" s="1294"/>
      <c r="P21" s="1298"/>
      <c r="Q21" s="1298"/>
      <c r="R21" s="1298"/>
      <c r="S21" s="1298"/>
      <c r="T21" s="1299"/>
      <c r="U21" s="1300"/>
      <c r="V21" s="1300"/>
      <c r="W21" s="1300"/>
      <c r="X21" s="1300"/>
      <c r="Y21" s="1300"/>
      <c r="Z21" s="1299"/>
      <c r="AA21" s="1299"/>
    </row>
    <row r="22" spans="1:27" ht="18" customHeight="1">
      <c r="A22" s="1494" t="s">
        <v>219</v>
      </c>
      <c r="B22" s="3169" t="s">
        <v>224</v>
      </c>
      <c r="C22" s="3223"/>
      <c r="D22" s="3223"/>
      <c r="E22" s="2300"/>
      <c r="F22" s="2300"/>
      <c r="G22" s="2300"/>
      <c r="H22" s="2300"/>
      <c r="I22" s="2300"/>
      <c r="J22" s="2300"/>
      <c r="K22" s="1295"/>
      <c r="L22" s="1295"/>
      <c r="M22" s="1296"/>
      <c r="N22" s="1297"/>
      <c r="O22" s="1294"/>
      <c r="P22" s="1298"/>
      <c r="Q22" s="1298"/>
      <c r="R22" s="1298"/>
      <c r="S22" s="1298"/>
      <c r="T22" s="1299"/>
      <c r="U22" s="1300"/>
      <c r="V22" s="1300"/>
      <c r="W22" s="1300"/>
      <c r="X22" s="1300"/>
      <c r="Y22" s="1300"/>
      <c r="Z22" s="1299"/>
      <c r="AA22" s="1299"/>
    </row>
    <row r="23" spans="1:27" ht="18" customHeight="1">
      <c r="A23" s="1293"/>
      <c r="B23" s="195" t="s">
        <v>1645</v>
      </c>
      <c r="C23" s="1295"/>
      <c r="D23" s="1295"/>
      <c r="E23" s="1295"/>
      <c r="F23" s="1295"/>
      <c r="G23" s="1295"/>
      <c r="H23" s="1296"/>
      <c r="I23" s="1295"/>
      <c r="J23" s="1295"/>
      <c r="K23" s="1295"/>
      <c r="L23" s="1295"/>
      <c r="M23" s="1296"/>
      <c r="N23" s="1297"/>
      <c r="O23" s="1294"/>
      <c r="P23" s="1298"/>
      <c r="Q23" s="1298"/>
      <c r="R23" s="1298"/>
      <c r="S23" s="1298"/>
      <c r="T23" s="1299"/>
      <c r="U23" s="1300"/>
      <c r="V23" s="1300"/>
      <c r="W23" s="1300"/>
      <c r="X23" s="1300"/>
      <c r="Y23" s="1300"/>
      <c r="Z23" s="1299"/>
      <c r="AA23" s="1299"/>
    </row>
    <row r="24" spans="1:27" ht="18" customHeight="1">
      <c r="A24" s="1293"/>
      <c r="B24" s="195"/>
      <c r="C24" s="1295"/>
      <c r="D24" s="1295"/>
      <c r="E24" s="1295"/>
      <c r="F24" s="1295"/>
      <c r="G24" s="1295"/>
      <c r="H24" s="1296"/>
      <c r="I24" s="1295"/>
      <c r="J24" s="1295"/>
      <c r="K24" s="1295"/>
      <c r="L24" s="1295"/>
      <c r="M24" s="1296"/>
      <c r="N24" s="1297"/>
      <c r="O24" s="1294"/>
      <c r="P24" s="1298"/>
      <c r="Q24" s="1298"/>
      <c r="R24" s="1298"/>
      <c r="S24" s="1298"/>
      <c r="T24" s="1299"/>
      <c r="U24" s="1300"/>
      <c r="V24" s="1300"/>
      <c r="W24" s="1300"/>
      <c r="X24" s="1300"/>
      <c r="Y24" s="1300"/>
      <c r="Z24" s="1299"/>
      <c r="AA24" s="1299"/>
    </row>
    <row r="25" spans="1:27" ht="18" customHeight="1">
      <c r="A25" s="335" t="s">
        <v>1434</v>
      </c>
      <c r="B25" s="335" t="s">
        <v>1435</v>
      </c>
      <c r="C25"/>
      <c r="D25" s="197"/>
      <c r="E25" s="1295"/>
      <c r="F25" s="1295"/>
      <c r="G25" s="1295"/>
      <c r="H25" s="1296"/>
      <c r="I25" s="1295"/>
      <c r="J25" s="1295"/>
      <c r="K25" s="1295"/>
      <c r="L25" s="1295"/>
      <c r="M25" s="1296"/>
      <c r="N25" s="1297"/>
      <c r="O25" s="1294"/>
      <c r="P25" s="1298"/>
      <c r="Q25" s="1298"/>
      <c r="R25" s="1298"/>
      <c r="S25" s="1298"/>
      <c r="T25" s="1299"/>
      <c r="U25" s="1300"/>
      <c r="V25" s="1300"/>
      <c r="W25" s="1300"/>
      <c r="X25" s="1300"/>
      <c r="Y25" s="1300"/>
      <c r="Z25" s="1299"/>
      <c r="AA25" s="1299"/>
    </row>
    <row r="26" spans="1:27" ht="18" customHeight="1">
      <c r="A26" s="335" t="s">
        <v>1554</v>
      </c>
      <c r="B26" s="335" t="s">
        <v>1550</v>
      </c>
      <c r="C26" s="2196" t="s">
        <v>1442</v>
      </c>
      <c r="D26" s="197"/>
      <c r="E26" s="1295"/>
      <c r="F26" s="1295"/>
      <c r="G26" s="1295"/>
      <c r="H26" s="1296"/>
      <c r="I26" s="1295"/>
      <c r="J26" s="1295"/>
      <c r="K26" s="1295"/>
      <c r="L26" s="1295"/>
      <c r="M26" s="1296"/>
      <c r="N26" s="1297"/>
      <c r="O26" s="1294"/>
      <c r="P26" s="1298"/>
      <c r="Q26" s="1298"/>
      <c r="R26" s="1298"/>
      <c r="S26" s="1298"/>
      <c r="T26" s="1299"/>
      <c r="U26" s="1300"/>
      <c r="V26" s="1300"/>
      <c r="W26" s="1300"/>
      <c r="X26" s="1300"/>
      <c r="Y26" s="1300"/>
      <c r="Z26" s="1299"/>
      <c r="AA26" s="1299"/>
    </row>
    <row r="27" spans="1:27" ht="18" customHeight="1">
      <c r="A27" s="1293"/>
      <c r="B27" s="1294"/>
      <c r="C27" s="1295"/>
      <c r="D27" s="1295"/>
      <c r="E27" s="1295"/>
      <c r="F27" s="1295"/>
      <c r="G27" s="1295"/>
      <c r="H27" s="1296"/>
      <c r="I27" s="1295"/>
      <c r="J27" s="1295"/>
      <c r="K27" s="1295"/>
      <c r="L27" s="1295"/>
      <c r="M27" s="1296"/>
      <c r="N27" s="1297"/>
      <c r="O27" s="1294"/>
      <c r="P27" s="1298"/>
      <c r="Q27" s="1298"/>
      <c r="R27" s="1298"/>
      <c r="S27" s="1298"/>
      <c r="T27" s="1299"/>
      <c r="U27" s="1300"/>
      <c r="V27" s="1300"/>
      <c r="W27" s="1300"/>
      <c r="X27" s="1300"/>
      <c r="Y27" s="1300"/>
      <c r="Z27" s="1299"/>
      <c r="AA27" s="1299"/>
    </row>
    <row r="28" spans="1:27" ht="18" customHeight="1">
      <c r="A28" s="1293"/>
      <c r="B28" s="1294"/>
      <c r="C28" s="1295"/>
      <c r="D28" s="1295"/>
      <c r="E28" s="1295"/>
      <c r="F28" s="1295"/>
      <c r="G28" s="1295"/>
      <c r="H28" s="1296"/>
      <c r="I28" s="1295"/>
      <c r="J28" s="1295"/>
      <c r="K28" s="1295"/>
      <c r="L28" s="1295"/>
      <c r="M28" s="1296"/>
      <c r="N28" s="1297"/>
      <c r="O28" s="1294"/>
      <c r="P28" s="1298"/>
      <c r="Q28" s="1298"/>
      <c r="R28" s="1298"/>
      <c r="S28" s="1298"/>
      <c r="T28" s="1299"/>
      <c r="U28" s="1300"/>
      <c r="V28" s="1300"/>
      <c r="W28" s="1300"/>
      <c r="X28" s="1300"/>
      <c r="Y28" s="1300"/>
      <c r="Z28" s="1299"/>
      <c r="AA28" s="1299"/>
    </row>
    <row r="29" spans="1:27" ht="18" customHeight="1">
      <c r="A29" s="1293"/>
      <c r="B29" s="1294"/>
      <c r="C29" s="1295"/>
      <c r="D29" s="1295"/>
      <c r="E29" s="1295"/>
      <c r="F29" s="1295"/>
      <c r="G29" s="1295"/>
      <c r="H29" s="1296"/>
      <c r="I29" s="1295"/>
      <c r="J29" s="1295"/>
      <c r="K29" s="1295"/>
      <c r="L29" s="1295"/>
      <c r="M29" s="1296"/>
      <c r="N29" s="1297"/>
      <c r="O29" s="1294"/>
      <c r="P29" s="1298"/>
      <c r="Q29" s="1298"/>
      <c r="R29" s="1298"/>
      <c r="S29" s="1298"/>
      <c r="T29" s="1299"/>
      <c r="U29" s="1300"/>
      <c r="V29" s="1300"/>
      <c r="W29" s="1300"/>
      <c r="X29" s="1300"/>
      <c r="Y29" s="1300"/>
      <c r="Z29" s="1299"/>
      <c r="AA29" s="1299"/>
    </row>
    <row r="30" spans="1:27" ht="18" customHeight="1">
      <c r="A30" s="1293"/>
      <c r="B30" s="1294"/>
      <c r="C30" s="1295"/>
      <c r="D30" s="1295"/>
      <c r="E30" s="1295"/>
      <c r="F30" s="1295"/>
      <c r="G30" s="1295"/>
      <c r="H30" s="1296"/>
      <c r="I30" s="1295"/>
      <c r="J30" s="1295"/>
      <c r="K30" s="1295"/>
      <c r="L30" s="1295"/>
      <c r="M30" s="1296"/>
      <c r="N30" s="1297"/>
      <c r="O30" s="1294"/>
      <c r="P30" s="1298"/>
      <c r="Q30" s="1298"/>
      <c r="R30" s="1298"/>
      <c r="S30" s="1298"/>
      <c r="T30" s="1299"/>
      <c r="U30" s="1300"/>
      <c r="V30" s="1300"/>
      <c r="W30" s="1300"/>
      <c r="X30" s="1300"/>
      <c r="Y30" s="1300"/>
      <c r="Z30" s="1299"/>
      <c r="AA30" s="1299"/>
    </row>
    <row r="31" spans="1:27" ht="18" customHeight="1">
      <c r="A31" s="1293"/>
      <c r="B31" s="1294"/>
      <c r="C31" s="1295"/>
      <c r="D31" s="1295"/>
      <c r="E31" s="1295"/>
      <c r="F31" s="1295"/>
      <c r="G31" s="1295"/>
      <c r="H31" s="1296"/>
      <c r="I31" s="1295"/>
      <c r="J31" s="1295"/>
      <c r="K31" s="1295"/>
      <c r="L31" s="1295"/>
      <c r="M31" s="1296"/>
      <c r="N31" s="1297"/>
      <c r="O31" s="1294"/>
      <c r="P31" s="1298"/>
      <c r="Q31" s="1298"/>
      <c r="R31" s="1298"/>
      <c r="S31" s="1298"/>
      <c r="T31" s="1299"/>
      <c r="U31" s="1300"/>
      <c r="V31" s="1300"/>
      <c r="W31" s="1300"/>
      <c r="X31" s="1300"/>
      <c r="Y31" s="1300"/>
      <c r="Z31" s="1299"/>
      <c r="AA31" s="1299"/>
    </row>
    <row r="32" spans="1:27" ht="18" customHeight="1">
      <c r="A32" s="1293"/>
      <c r="B32" s="1294"/>
      <c r="C32" s="1295"/>
      <c r="D32" s="1295"/>
      <c r="E32" s="1295"/>
      <c r="F32" s="1295"/>
      <c r="G32" s="1295"/>
      <c r="H32" s="1296"/>
      <c r="I32" s="1295"/>
      <c r="J32" s="1295"/>
      <c r="K32" s="1295"/>
      <c r="L32" s="1295"/>
      <c r="M32" s="1296"/>
      <c r="N32" s="1297"/>
      <c r="O32" s="1294"/>
      <c r="P32" s="1298"/>
      <c r="Q32" s="1298"/>
      <c r="R32" s="1298"/>
      <c r="S32" s="1298"/>
      <c r="T32" s="1299"/>
      <c r="U32" s="1300"/>
      <c r="V32" s="1300"/>
      <c r="W32" s="1300"/>
      <c r="X32" s="1300"/>
      <c r="Y32" s="1300"/>
      <c r="Z32" s="1299"/>
      <c r="AA32" s="1299"/>
    </row>
    <row r="33" spans="1:30" ht="18" customHeight="1">
      <c r="A33" s="1293"/>
      <c r="B33" s="1294"/>
      <c r="C33" s="1295"/>
      <c r="D33" s="1295"/>
      <c r="E33" s="1295"/>
      <c r="F33" s="1295"/>
      <c r="G33" s="1295"/>
      <c r="H33" s="1296"/>
      <c r="I33" s="1295"/>
      <c r="J33" s="1295"/>
      <c r="K33" s="1295"/>
      <c r="L33" s="1295"/>
      <c r="M33" s="1296"/>
      <c r="N33" s="1297"/>
      <c r="O33" s="1294"/>
      <c r="P33" s="1298"/>
      <c r="Q33" s="1298"/>
      <c r="R33" s="1298"/>
      <c r="S33" s="1298"/>
      <c r="T33" s="1299"/>
      <c r="U33" s="1300"/>
      <c r="V33" s="1300"/>
      <c r="W33" s="1300"/>
      <c r="X33" s="1300"/>
      <c r="Y33" s="1300"/>
      <c r="Z33" s="1299"/>
      <c r="AA33" s="1299"/>
    </row>
    <row r="34" spans="1:30" ht="18" customHeight="1">
      <c r="A34" s="1293"/>
      <c r="B34" s="1294"/>
      <c r="C34" s="1295"/>
      <c r="D34" s="1295"/>
      <c r="E34" s="1295"/>
      <c r="F34" s="1295"/>
      <c r="G34" s="1295"/>
      <c r="H34" s="1296"/>
      <c r="I34" s="1295"/>
      <c r="J34" s="1295"/>
      <c r="K34" s="1295"/>
      <c r="L34" s="1295"/>
      <c r="M34" s="1296"/>
      <c r="N34" s="1297"/>
      <c r="O34" s="1294"/>
      <c r="P34" s="1298"/>
      <c r="Q34" s="1298"/>
      <c r="R34" s="1298"/>
      <c r="S34" s="1298"/>
      <c r="T34" s="1299"/>
      <c r="U34" s="1300"/>
      <c r="V34" s="1300"/>
      <c r="W34" s="1300"/>
      <c r="X34" s="1300"/>
      <c r="Y34" s="1300"/>
      <c r="Z34" s="1299"/>
      <c r="AA34" s="1299"/>
    </row>
    <row r="35" spans="1:30" ht="18" customHeight="1">
      <c r="A35" s="1293"/>
      <c r="B35" s="1294"/>
      <c r="C35" s="1295"/>
      <c r="D35" s="1295"/>
      <c r="E35" s="1295"/>
      <c r="F35" s="1295"/>
      <c r="G35" s="1295"/>
      <c r="H35" s="1296"/>
      <c r="I35" s="1295"/>
      <c r="J35" s="1295"/>
      <c r="K35" s="1295"/>
      <c r="L35" s="1295"/>
      <c r="M35" s="1296"/>
      <c r="N35" s="1297"/>
      <c r="O35" s="1294"/>
      <c r="P35" s="1298"/>
      <c r="Q35" s="1298"/>
      <c r="R35" s="1298"/>
      <c r="S35" s="1298"/>
      <c r="T35" s="1299"/>
      <c r="U35" s="1300"/>
      <c r="V35" s="1300"/>
      <c r="W35" s="1300"/>
      <c r="X35" s="1300"/>
      <c r="Y35" s="1300"/>
      <c r="Z35" s="1299"/>
      <c r="AA35" s="1299"/>
    </row>
    <row r="36" spans="1:30" ht="18" customHeight="1">
      <c r="A36" s="1293"/>
      <c r="B36" s="1294"/>
      <c r="C36" s="1295"/>
      <c r="D36" s="1295"/>
      <c r="E36" s="1295"/>
      <c r="F36" s="1295"/>
      <c r="G36" s="1295"/>
      <c r="H36" s="1296"/>
      <c r="I36" s="1295"/>
      <c r="J36" s="1295"/>
      <c r="K36" s="1295"/>
      <c r="L36" s="1295"/>
      <c r="M36" s="1296"/>
      <c r="N36" s="1297"/>
      <c r="O36" s="1294"/>
      <c r="P36" s="1298"/>
      <c r="Q36" s="1298"/>
      <c r="R36" s="1298"/>
      <c r="S36" s="1298"/>
      <c r="T36" s="1299"/>
      <c r="U36" s="1300"/>
      <c r="V36" s="1300"/>
      <c r="W36" s="1300"/>
      <c r="X36" s="1300"/>
      <c r="Y36" s="1300"/>
      <c r="Z36" s="1299"/>
      <c r="AA36" s="1299"/>
    </row>
    <row r="37" spans="1:30" ht="18" customHeight="1">
      <c r="A37" s="1293"/>
      <c r="B37" s="1294"/>
      <c r="C37" s="1295"/>
      <c r="D37" s="1295"/>
      <c r="E37" s="1295"/>
      <c r="F37" s="1295"/>
      <c r="G37" s="1295"/>
      <c r="H37" s="1296"/>
      <c r="I37" s="1295"/>
      <c r="J37" s="1295"/>
      <c r="K37" s="1295"/>
      <c r="L37" s="1295"/>
      <c r="M37" s="1296"/>
      <c r="N37" s="1297"/>
      <c r="O37" s="1294"/>
      <c r="P37" s="1298"/>
      <c r="Q37" s="1298"/>
      <c r="R37" s="1298"/>
      <c r="S37" s="1298"/>
      <c r="T37" s="1299"/>
      <c r="U37" s="1300"/>
      <c r="V37" s="1300"/>
      <c r="W37" s="1300"/>
      <c r="X37" s="1300"/>
      <c r="Y37" s="1300"/>
      <c r="Z37" s="1299"/>
      <c r="AA37" s="1299"/>
    </row>
    <row r="38" spans="1:30" ht="18" customHeight="1">
      <c r="A38" s="1293"/>
      <c r="B38" s="1294"/>
      <c r="C38" s="1295"/>
      <c r="D38" s="1295"/>
      <c r="E38" s="1295"/>
      <c r="F38" s="1295"/>
      <c r="G38" s="1295"/>
      <c r="H38" s="1296"/>
      <c r="I38" s="1295"/>
      <c r="J38" s="1295"/>
      <c r="K38" s="1295"/>
      <c r="L38" s="1295"/>
      <c r="M38" s="1296"/>
      <c r="N38" s="1297"/>
      <c r="O38" s="1294"/>
      <c r="P38" s="1298"/>
      <c r="Q38" s="1298"/>
      <c r="R38" s="1298"/>
      <c r="S38" s="1298"/>
      <c r="T38" s="1299"/>
      <c r="U38" s="1300"/>
      <c r="V38" s="1300"/>
      <c r="W38" s="1300"/>
      <c r="X38" s="1300"/>
      <c r="Y38" s="1300"/>
      <c r="Z38" s="1299"/>
      <c r="AA38" s="1299"/>
    </row>
    <row r="39" spans="1:30" ht="18" customHeight="1">
      <c r="A39" s="1293"/>
      <c r="B39" s="1294"/>
      <c r="C39" s="1295"/>
      <c r="D39" s="1295"/>
      <c r="E39" s="1295"/>
      <c r="F39" s="1295"/>
      <c r="G39" s="1295"/>
      <c r="H39" s="1296"/>
      <c r="I39" s="1295"/>
      <c r="J39" s="1295"/>
      <c r="K39" s="1295"/>
      <c r="L39" s="1295"/>
      <c r="M39" s="1296"/>
      <c r="N39" s="1297"/>
      <c r="O39" s="1294"/>
      <c r="P39" s="1298"/>
      <c r="Q39" s="1298"/>
      <c r="R39" s="1298"/>
      <c r="S39" s="1298"/>
      <c r="T39" s="1299"/>
      <c r="U39" s="1300"/>
      <c r="V39" s="1300"/>
      <c r="W39" s="1300"/>
      <c r="X39" s="1300"/>
      <c r="Y39" s="1300"/>
      <c r="Z39" s="1299"/>
      <c r="AA39" s="1299"/>
    </row>
    <row r="40" spans="1:30" ht="18" customHeight="1">
      <c r="A40" s="1293"/>
      <c r="B40" s="1294"/>
      <c r="C40" s="1295"/>
      <c r="D40" s="1295"/>
      <c r="E40" s="1295"/>
      <c r="F40" s="1295"/>
      <c r="G40" s="1295"/>
      <c r="H40" s="1296"/>
      <c r="I40" s="1295"/>
      <c r="J40" s="1295"/>
      <c r="K40" s="1295"/>
      <c r="L40" s="1295"/>
      <c r="M40" s="1296"/>
      <c r="N40" s="1297"/>
      <c r="O40" s="1294"/>
      <c r="P40" s="1298"/>
      <c r="Q40" s="1298"/>
      <c r="R40" s="1298"/>
      <c r="S40" s="1298"/>
      <c r="T40" s="1299"/>
      <c r="U40" s="1300"/>
      <c r="V40" s="1300"/>
      <c r="W40" s="1300"/>
      <c r="X40" s="1300"/>
      <c r="Y40" s="1300"/>
      <c r="Z40" s="1299"/>
      <c r="AA40" s="1299"/>
    </row>
    <row r="41" spans="1:30" ht="28.5" customHeight="1">
      <c r="A41" s="1293"/>
      <c r="B41" s="1294"/>
      <c r="C41" s="1295"/>
      <c r="D41" s="1295"/>
      <c r="E41" s="1295"/>
      <c r="F41" s="1295"/>
      <c r="G41" s="1295"/>
      <c r="H41" s="1296"/>
      <c r="I41" s="1295"/>
      <c r="J41" s="1295"/>
      <c r="K41" s="1295"/>
      <c r="L41" s="1295"/>
      <c r="M41" s="1296"/>
      <c r="N41" s="1297"/>
      <c r="O41" s="1294"/>
      <c r="P41" s="1298"/>
      <c r="Q41" s="1298"/>
      <c r="R41" s="1298"/>
      <c r="S41" s="1298"/>
      <c r="T41" s="1299"/>
      <c r="U41" s="1300"/>
      <c r="V41" s="1300"/>
      <c r="W41" s="1300"/>
      <c r="X41" s="1300"/>
      <c r="Y41" s="1300"/>
      <c r="Z41" s="1299"/>
      <c r="AA41" s="1299"/>
      <c r="AD41" s="1316"/>
    </row>
    <row r="43" spans="1:30" ht="18" customHeight="1">
      <c r="A43" s="1307"/>
    </row>
    <row r="44" spans="1:30" ht="18" customHeight="1">
      <c r="A44" s="1293"/>
      <c r="B44" s="1294"/>
      <c r="C44" s="1295"/>
      <c r="D44" s="1295"/>
      <c r="E44" s="1295"/>
      <c r="F44" s="1295"/>
      <c r="G44" s="1295"/>
      <c r="H44" s="1296"/>
      <c r="I44" s="1295"/>
      <c r="J44" s="1295"/>
      <c r="K44" s="1295"/>
      <c r="L44" s="1295"/>
      <c r="M44" s="1296"/>
      <c r="N44" s="1297"/>
      <c r="O44" s="1294"/>
      <c r="P44" s="1298"/>
      <c r="Q44" s="1298"/>
      <c r="R44" s="1298"/>
      <c r="S44" s="1298"/>
      <c r="T44" s="1299"/>
      <c r="U44" s="1300"/>
      <c r="V44" s="1300"/>
      <c r="W44" s="1300"/>
      <c r="X44" s="1300"/>
      <c r="Y44" s="1300"/>
      <c r="Z44" s="1299"/>
      <c r="AA44" s="1299"/>
    </row>
    <row r="45" spans="1:30" ht="18" customHeight="1">
      <c r="A45" s="1293"/>
      <c r="B45" s="1294"/>
      <c r="C45" s="1295"/>
      <c r="D45" s="1295"/>
      <c r="E45" s="1295"/>
      <c r="F45" s="1295"/>
      <c r="G45" s="1295"/>
      <c r="H45" s="1296"/>
      <c r="I45" s="1295"/>
      <c r="J45" s="1295"/>
      <c r="K45" s="1295"/>
      <c r="L45" s="1295"/>
      <c r="M45" s="1296"/>
      <c r="N45" s="1297"/>
      <c r="O45" s="1294"/>
      <c r="P45" s="1298"/>
      <c r="Q45" s="1298"/>
      <c r="R45" s="1298"/>
      <c r="S45" s="1298"/>
      <c r="T45" s="1299"/>
      <c r="U45" s="1300"/>
      <c r="V45" s="1300"/>
      <c r="W45" s="1300"/>
      <c r="X45" s="1300"/>
      <c r="Y45" s="1300"/>
      <c r="Z45" s="1299"/>
      <c r="AA45" s="1299"/>
    </row>
    <row r="46" spans="1:30" ht="18" customHeight="1">
      <c r="A46" s="1293"/>
      <c r="B46" s="1294"/>
      <c r="C46" s="1295"/>
      <c r="D46" s="1295"/>
      <c r="E46" s="1295"/>
      <c r="F46" s="1295"/>
      <c r="G46" s="1295"/>
      <c r="H46" s="1296"/>
      <c r="I46" s="1295"/>
      <c r="J46" s="1295"/>
      <c r="K46" s="1295"/>
      <c r="L46" s="1295"/>
      <c r="M46" s="1296"/>
      <c r="N46" s="1297"/>
      <c r="O46" s="1294"/>
      <c r="P46" s="1298"/>
      <c r="Q46" s="1298"/>
      <c r="R46" s="1298"/>
      <c r="S46" s="1298"/>
      <c r="T46" s="1299"/>
      <c r="U46" s="1300"/>
      <c r="V46" s="1300"/>
      <c r="W46" s="1300"/>
      <c r="X46" s="1300"/>
      <c r="Y46" s="1300"/>
      <c r="Z46" s="1299"/>
      <c r="AA46" s="1299"/>
    </row>
    <row r="47" spans="1:30" ht="18" customHeight="1">
      <c r="A47" s="1293"/>
      <c r="B47" s="1294"/>
      <c r="C47" s="1295"/>
      <c r="D47" s="1295"/>
      <c r="E47" s="1295"/>
      <c r="F47" s="1295"/>
      <c r="G47" s="1295"/>
      <c r="H47" s="1296"/>
      <c r="I47" s="1295"/>
      <c r="J47" s="1295"/>
      <c r="K47" s="1295"/>
      <c r="L47" s="1295"/>
      <c r="M47" s="1296"/>
      <c r="N47" s="1297"/>
      <c r="O47" s="1294"/>
      <c r="P47" s="1298"/>
      <c r="Q47" s="1298"/>
      <c r="R47" s="1298"/>
      <c r="S47" s="1298"/>
      <c r="T47" s="1299"/>
      <c r="U47" s="1300"/>
      <c r="V47" s="1300"/>
      <c r="W47" s="1300"/>
      <c r="X47" s="1300"/>
      <c r="Y47" s="1300"/>
      <c r="Z47" s="1299"/>
      <c r="AA47" s="1299"/>
    </row>
    <row r="48" spans="1:30" ht="18" customHeight="1">
      <c r="A48" s="1293"/>
      <c r="B48" s="1294"/>
      <c r="C48" s="1295"/>
      <c r="D48" s="1295"/>
      <c r="E48" s="1295"/>
      <c r="F48" s="1295"/>
      <c r="G48" s="1295"/>
      <c r="H48" s="1296"/>
      <c r="I48" s="1295"/>
      <c r="J48" s="1295"/>
      <c r="K48" s="1295"/>
      <c r="L48" s="1295"/>
      <c r="M48" s="1296"/>
      <c r="N48" s="1297"/>
      <c r="O48" s="1294"/>
      <c r="P48" s="1298"/>
      <c r="Q48" s="1298"/>
      <c r="R48" s="1298"/>
      <c r="S48" s="1298"/>
      <c r="T48" s="1299"/>
      <c r="U48" s="1300"/>
      <c r="V48" s="1300"/>
      <c r="W48" s="1300"/>
      <c r="X48" s="1300"/>
      <c r="Y48" s="1300"/>
      <c r="Z48" s="1299"/>
      <c r="AA48" s="1299"/>
    </row>
    <row r="49" spans="1:27" ht="18" customHeight="1">
      <c r="A49" s="1293"/>
      <c r="B49" s="1294"/>
      <c r="C49" s="1295"/>
      <c r="D49" s="1295"/>
      <c r="E49" s="1295"/>
      <c r="F49" s="1295"/>
      <c r="G49" s="1295"/>
      <c r="H49" s="1296"/>
      <c r="I49" s="1295"/>
      <c r="J49" s="1295"/>
      <c r="K49" s="1295"/>
      <c r="L49" s="1295"/>
      <c r="M49" s="1296"/>
      <c r="N49" s="1297"/>
      <c r="O49" s="1294"/>
      <c r="P49" s="1298"/>
      <c r="Q49" s="1298"/>
      <c r="R49" s="1298"/>
      <c r="S49" s="1298"/>
      <c r="T49" s="1299"/>
      <c r="U49" s="1300"/>
      <c r="V49" s="1300"/>
      <c r="W49" s="1300"/>
      <c r="X49" s="1300"/>
      <c r="Y49" s="1300"/>
      <c r="Z49" s="1299"/>
      <c r="AA49" s="1299"/>
    </row>
    <row r="50" spans="1:27" ht="18" customHeight="1">
      <c r="A50" s="1293"/>
      <c r="B50" s="1294"/>
      <c r="C50" s="1295"/>
      <c r="D50" s="1295"/>
      <c r="E50" s="1295"/>
      <c r="F50" s="1295"/>
      <c r="G50" s="1295"/>
      <c r="H50" s="1296"/>
      <c r="I50" s="1295"/>
      <c r="J50" s="1295"/>
      <c r="K50" s="1295"/>
      <c r="L50" s="1295"/>
      <c r="M50" s="1296"/>
      <c r="N50" s="1297"/>
      <c r="O50" s="1294"/>
      <c r="P50" s="1298"/>
      <c r="Q50" s="1298"/>
      <c r="R50" s="1298"/>
      <c r="S50" s="1298"/>
      <c r="T50" s="1299"/>
      <c r="U50" s="1300"/>
      <c r="V50" s="1300"/>
      <c r="W50" s="1300"/>
      <c r="X50" s="1300"/>
      <c r="Y50" s="1300"/>
      <c r="Z50" s="1299"/>
      <c r="AA50" s="1299"/>
    </row>
    <row r="52" spans="1:27" ht="18" customHeight="1">
      <c r="A52" s="211"/>
      <c r="B52" s="211"/>
    </row>
    <row r="54" spans="1:27" ht="18" customHeight="1">
      <c r="A54" s="1301"/>
      <c r="B54" s="1311"/>
      <c r="C54" s="1311"/>
      <c r="D54" s="1311"/>
      <c r="E54" s="1311"/>
      <c r="F54" s="1311"/>
      <c r="G54" s="1311"/>
      <c r="H54" s="1311"/>
      <c r="I54" s="1311"/>
      <c r="J54" s="1311"/>
      <c r="U54" s="1312"/>
      <c r="V54" s="1312"/>
      <c r="W54" s="1312"/>
      <c r="X54" s="1312"/>
    </row>
    <row r="55" spans="1:27" ht="18" customHeight="1">
      <c r="M55" s="917"/>
      <c r="N55" s="206"/>
      <c r="O55" s="206"/>
      <c r="P55" s="206"/>
      <c r="Q55" s="206"/>
      <c r="R55" s="206"/>
      <c r="S55" s="206"/>
    </row>
    <row r="56" spans="1:27" ht="18" customHeight="1">
      <c r="B56" s="914"/>
      <c r="C56" s="914"/>
      <c r="D56" s="914"/>
      <c r="E56" s="914"/>
      <c r="F56" s="914"/>
      <c r="G56" s="914"/>
      <c r="H56" s="914"/>
      <c r="I56" s="914"/>
      <c r="J56" s="914"/>
      <c r="K56" s="914"/>
      <c r="L56" s="919"/>
      <c r="M56" s="919"/>
      <c r="N56" s="920"/>
      <c r="O56" s="920"/>
      <c r="P56" s="920"/>
      <c r="Q56" s="920"/>
      <c r="R56" s="920"/>
      <c r="S56" s="920"/>
    </row>
    <row r="57" spans="1:27" ht="18" customHeight="1">
      <c r="A57" s="1292"/>
      <c r="B57" s="1303"/>
      <c r="C57" s="1303"/>
      <c r="D57" s="1303"/>
      <c r="E57" s="1303"/>
      <c r="F57" s="1303"/>
      <c r="G57" s="1303"/>
      <c r="H57" s="1296"/>
      <c r="I57" s="1295"/>
      <c r="J57" s="1302"/>
      <c r="K57" s="1302"/>
      <c r="L57" s="1292"/>
      <c r="M57" s="1296"/>
      <c r="N57" s="1297"/>
      <c r="O57" s="1303"/>
      <c r="P57" s="1303"/>
      <c r="Q57" s="1303"/>
      <c r="R57" s="1303"/>
      <c r="S57" s="1304"/>
      <c r="T57" s="1305"/>
      <c r="U57" s="1303"/>
      <c r="V57" s="1303"/>
      <c r="W57" s="1303"/>
      <c r="X57" s="1303"/>
      <c r="Y57" s="1296"/>
      <c r="Z57" s="1305"/>
      <c r="AA57" s="1306"/>
    </row>
    <row r="58" spans="1:27" ht="18" customHeight="1">
      <c r="A58" s="1315"/>
      <c r="B58" s="1315"/>
      <c r="C58" s="1315"/>
      <c r="D58" s="1315"/>
      <c r="E58" s="1315"/>
      <c r="F58" s="1315"/>
      <c r="G58" s="1315"/>
      <c r="H58" s="1308"/>
      <c r="I58" s="1315"/>
      <c r="J58" s="1315"/>
      <c r="K58" s="1315"/>
      <c r="L58" s="1315"/>
      <c r="M58" s="1308"/>
      <c r="N58" s="1315"/>
      <c r="O58" s="1315"/>
      <c r="P58" s="1315"/>
      <c r="Q58" s="1315"/>
      <c r="R58" s="1315"/>
      <c r="S58" s="1315"/>
      <c r="T58" s="1309"/>
      <c r="U58" s="1308"/>
      <c r="V58" s="1308"/>
      <c r="W58" s="1308"/>
      <c r="X58" s="1308"/>
      <c r="Y58" s="1308"/>
      <c r="Z58" s="1309"/>
      <c r="AA58" s="1309"/>
    </row>
    <row r="59" spans="1:27" ht="18" customHeight="1">
      <c r="A59" s="1315"/>
      <c r="B59" s="1315"/>
      <c r="C59" s="1315"/>
      <c r="D59" s="1315"/>
      <c r="E59" s="1315"/>
      <c r="F59" s="1315"/>
      <c r="G59" s="1315"/>
      <c r="H59" s="1308"/>
      <c r="I59" s="1315"/>
      <c r="J59" s="1315"/>
      <c r="K59" s="1315"/>
      <c r="L59" s="1315"/>
      <c r="M59" s="1308"/>
      <c r="N59" s="1315"/>
      <c r="O59" s="1315"/>
      <c r="P59" s="1315"/>
      <c r="Q59" s="1315"/>
      <c r="R59" s="1315"/>
      <c r="S59" s="1315"/>
      <c r="T59" s="1309"/>
      <c r="U59" s="1308"/>
      <c r="V59" s="1308"/>
      <c r="W59" s="1308"/>
      <c r="X59" s="1308"/>
      <c r="Y59" s="1308"/>
      <c r="Z59" s="1309"/>
      <c r="AA59" s="1309"/>
    </row>
    <row r="60" spans="1:27" ht="18" customHeight="1">
      <c r="A60" s="1293"/>
      <c r="B60" s="1294"/>
      <c r="C60" s="1295"/>
      <c r="D60" s="1295"/>
      <c r="E60" s="1295"/>
      <c r="F60" s="1295"/>
      <c r="G60" s="1295"/>
      <c r="H60" s="1296"/>
      <c r="I60" s="1295"/>
      <c r="J60" s="1295"/>
      <c r="K60" s="1295"/>
      <c r="L60" s="1295"/>
      <c r="M60" s="1296"/>
      <c r="N60" s="1297"/>
      <c r="O60" s="1294"/>
      <c r="P60" s="1298"/>
      <c r="Q60" s="1298"/>
      <c r="R60" s="1298"/>
      <c r="S60" s="1298"/>
      <c r="T60" s="1299"/>
      <c r="U60" s="1300"/>
      <c r="V60" s="1300"/>
      <c r="W60" s="1300"/>
      <c r="X60" s="1300"/>
      <c r="Y60" s="1300"/>
      <c r="Z60" s="1299"/>
      <c r="AA60" s="1299"/>
    </row>
    <row r="61" spans="1:27" ht="18" customHeight="1">
      <c r="A61" s="1293"/>
      <c r="B61" s="1294"/>
      <c r="C61" s="1295"/>
      <c r="D61" s="1295"/>
      <c r="E61" s="1295"/>
      <c r="F61" s="1295"/>
      <c r="G61" s="1295"/>
      <c r="H61" s="1296"/>
      <c r="I61" s="1295"/>
      <c r="J61" s="1295"/>
      <c r="K61" s="1295"/>
      <c r="L61" s="1295"/>
      <c r="M61" s="1296"/>
      <c r="N61" s="1297"/>
      <c r="O61" s="1294"/>
      <c r="P61" s="1298"/>
      <c r="Q61" s="1298"/>
      <c r="R61" s="1298"/>
      <c r="S61" s="1298"/>
      <c r="T61" s="1299"/>
      <c r="U61" s="1300"/>
      <c r="V61" s="1300"/>
      <c r="W61" s="1300"/>
      <c r="X61" s="1300"/>
      <c r="Y61" s="1300"/>
      <c r="Z61" s="1299"/>
      <c r="AA61" s="1299"/>
    </row>
    <row r="62" spans="1:27" ht="18" customHeight="1">
      <c r="A62" s="1293"/>
      <c r="B62" s="1294"/>
      <c r="C62" s="1295"/>
      <c r="D62" s="1295"/>
      <c r="E62" s="1295"/>
      <c r="F62" s="1295"/>
      <c r="G62" s="1295"/>
      <c r="H62" s="1296"/>
      <c r="I62" s="1295"/>
      <c r="J62" s="1295"/>
      <c r="K62" s="1295"/>
      <c r="L62" s="1295"/>
      <c r="M62" s="1296"/>
      <c r="N62" s="1297"/>
      <c r="O62" s="1294"/>
      <c r="P62" s="1298"/>
      <c r="Q62" s="1298"/>
      <c r="R62" s="1298"/>
      <c r="S62" s="1298"/>
      <c r="T62" s="1299"/>
      <c r="U62" s="1300"/>
      <c r="V62" s="1300"/>
      <c r="W62" s="1300"/>
      <c r="X62" s="1300"/>
      <c r="Y62" s="1300"/>
      <c r="Z62" s="1299"/>
      <c r="AA62" s="1299"/>
    </row>
    <row r="63" spans="1:27" ht="18" customHeight="1">
      <c r="A63" s="1293"/>
      <c r="B63" s="1294"/>
      <c r="C63" s="1295"/>
      <c r="D63" s="1295"/>
      <c r="E63" s="1295"/>
      <c r="F63" s="1295"/>
      <c r="G63" s="1295"/>
      <c r="H63" s="1296"/>
      <c r="I63" s="1295"/>
      <c r="J63" s="1295"/>
      <c r="K63" s="1295"/>
      <c r="L63" s="1295"/>
      <c r="M63" s="1296"/>
      <c r="N63" s="1297"/>
      <c r="O63" s="1294"/>
      <c r="P63" s="1298"/>
      <c r="Q63" s="1298"/>
      <c r="R63" s="1298"/>
      <c r="S63" s="1298"/>
      <c r="T63" s="1299"/>
      <c r="U63" s="1300"/>
      <c r="V63" s="1300"/>
      <c r="W63" s="1300"/>
      <c r="X63" s="1300"/>
      <c r="Y63" s="1300"/>
      <c r="Z63" s="1299"/>
      <c r="AA63" s="1299"/>
    </row>
    <row r="64" spans="1:27" ht="18" customHeight="1">
      <c r="A64" s="1293"/>
      <c r="B64" s="1294"/>
      <c r="C64" s="1295"/>
      <c r="D64" s="1295"/>
      <c r="E64" s="1295"/>
      <c r="F64" s="1295"/>
      <c r="G64" s="1295"/>
      <c r="H64" s="1296"/>
      <c r="I64" s="1295"/>
      <c r="J64" s="1295"/>
      <c r="K64" s="1295"/>
      <c r="L64" s="1295"/>
      <c r="M64" s="1296"/>
      <c r="N64" s="1297"/>
      <c r="O64" s="1294"/>
      <c r="P64" s="1298"/>
      <c r="Q64" s="1298"/>
      <c r="R64" s="1298"/>
      <c r="S64" s="1298"/>
      <c r="T64" s="1299"/>
      <c r="U64" s="1300"/>
      <c r="V64" s="1300"/>
      <c r="W64" s="1300"/>
      <c r="X64" s="1300"/>
      <c r="Y64" s="1300"/>
      <c r="Z64" s="1299"/>
      <c r="AA64" s="1299"/>
    </row>
    <row r="65" spans="1:27" ht="18" customHeight="1">
      <c r="A65" s="1293"/>
      <c r="B65" s="1294"/>
      <c r="C65" s="1295"/>
      <c r="D65" s="1295"/>
      <c r="E65" s="1295"/>
      <c r="F65" s="1295"/>
      <c r="G65" s="1295"/>
      <c r="H65" s="1296"/>
      <c r="I65" s="1295"/>
      <c r="J65" s="1295"/>
      <c r="K65" s="1295"/>
      <c r="L65" s="1295"/>
      <c r="M65" s="1296"/>
      <c r="N65" s="1297"/>
      <c r="O65" s="1294"/>
      <c r="P65" s="1298"/>
      <c r="Q65" s="1298"/>
      <c r="R65" s="1298"/>
      <c r="S65" s="1298"/>
      <c r="T65" s="1299"/>
      <c r="U65" s="1300"/>
      <c r="V65" s="1300"/>
      <c r="W65" s="1300"/>
      <c r="X65" s="1300"/>
      <c r="Y65" s="1300"/>
      <c r="Z65" s="1299"/>
      <c r="AA65" s="1299"/>
    </row>
    <row r="66" spans="1:27" ht="18" customHeight="1">
      <c r="A66" s="1293"/>
      <c r="B66" s="1294"/>
      <c r="C66" s="1295"/>
      <c r="D66" s="1295"/>
      <c r="E66" s="1295"/>
      <c r="F66" s="1295"/>
      <c r="G66" s="1295"/>
      <c r="H66" s="1296"/>
      <c r="I66" s="1295"/>
      <c r="J66" s="1295"/>
      <c r="K66" s="1295"/>
      <c r="L66" s="1295"/>
      <c r="M66" s="1296"/>
      <c r="N66" s="1297"/>
      <c r="O66" s="1294"/>
      <c r="P66" s="1298"/>
      <c r="Q66" s="1298"/>
      <c r="R66" s="1298"/>
      <c r="S66" s="1298"/>
      <c r="T66" s="1299"/>
      <c r="U66" s="1300"/>
      <c r="V66" s="1300"/>
      <c r="W66" s="1300"/>
      <c r="X66" s="1300"/>
      <c r="Y66" s="1300"/>
      <c r="Z66" s="1299"/>
      <c r="AA66" s="1299"/>
    </row>
    <row r="67" spans="1:27" ht="18" customHeight="1">
      <c r="A67" s="1293"/>
      <c r="B67" s="1294"/>
      <c r="C67" s="1295"/>
      <c r="D67" s="1295"/>
      <c r="E67" s="1295"/>
      <c r="F67" s="1295"/>
      <c r="G67" s="1295"/>
      <c r="H67" s="1296"/>
      <c r="I67" s="1295"/>
      <c r="J67" s="1295"/>
      <c r="K67" s="1295"/>
      <c r="L67" s="1295"/>
      <c r="M67" s="1296"/>
      <c r="N67" s="1297"/>
      <c r="O67" s="1294"/>
      <c r="P67" s="1298"/>
      <c r="Q67" s="1298"/>
      <c r="R67" s="1298"/>
      <c r="S67" s="1298"/>
      <c r="T67" s="1299"/>
      <c r="U67" s="1300"/>
      <c r="V67" s="1300"/>
      <c r="W67" s="1300"/>
      <c r="X67" s="1300"/>
      <c r="Y67" s="1300"/>
      <c r="Z67" s="1299"/>
      <c r="AA67" s="1299"/>
    </row>
    <row r="68" spans="1:27" ht="18" customHeight="1">
      <c r="A68" s="1293"/>
      <c r="B68" s="1294"/>
      <c r="C68" s="1295"/>
      <c r="D68" s="1295"/>
      <c r="E68" s="1295"/>
      <c r="F68" s="1295"/>
      <c r="G68" s="1295"/>
      <c r="H68" s="1296"/>
      <c r="I68" s="1295"/>
      <c r="J68" s="1295"/>
      <c r="K68" s="1295"/>
      <c r="L68" s="1295"/>
      <c r="M68" s="1296"/>
      <c r="N68" s="1297"/>
      <c r="O68" s="1294"/>
      <c r="P68" s="1298"/>
      <c r="Q68" s="1298"/>
      <c r="R68" s="1298"/>
      <c r="S68" s="1298"/>
      <c r="T68" s="1299"/>
      <c r="U68" s="1300"/>
      <c r="V68" s="1300"/>
      <c r="W68" s="1300"/>
      <c r="X68" s="1300"/>
      <c r="Y68" s="1300"/>
      <c r="Z68" s="1299"/>
      <c r="AA68" s="1299"/>
    </row>
    <row r="69" spans="1:27" ht="18" customHeight="1">
      <c r="A69" s="1293"/>
      <c r="B69" s="1294"/>
      <c r="C69" s="1295"/>
      <c r="D69" s="1295"/>
      <c r="E69" s="1295"/>
      <c r="F69" s="1295"/>
      <c r="G69" s="1295"/>
      <c r="H69" s="1296"/>
      <c r="I69" s="1295"/>
      <c r="J69" s="1295"/>
      <c r="K69" s="1295"/>
      <c r="L69" s="1295"/>
      <c r="M69" s="1296"/>
      <c r="N69" s="1297"/>
      <c r="O69" s="1294"/>
      <c r="P69" s="1298"/>
      <c r="Q69" s="1298"/>
      <c r="R69" s="1298"/>
      <c r="S69" s="1298"/>
      <c r="T69" s="1299"/>
      <c r="U69" s="1300"/>
      <c r="V69" s="1300"/>
      <c r="W69" s="1300"/>
      <c r="X69" s="1300"/>
      <c r="Y69" s="1300"/>
      <c r="Z69" s="1299"/>
      <c r="AA69" s="1299"/>
    </row>
    <row r="70" spans="1:27" ht="18" customHeight="1">
      <c r="A70" s="1293"/>
      <c r="B70" s="1294"/>
      <c r="C70" s="1295"/>
      <c r="D70" s="1295"/>
      <c r="E70" s="1295"/>
      <c r="F70" s="1295"/>
      <c r="G70" s="1295"/>
      <c r="H70" s="1296"/>
      <c r="I70" s="1295"/>
      <c r="J70" s="1295"/>
      <c r="K70" s="1295"/>
      <c r="L70" s="1295"/>
      <c r="M70" s="1296"/>
      <c r="N70" s="1297"/>
      <c r="O70" s="1294"/>
      <c r="P70" s="1298"/>
      <c r="Q70" s="1298"/>
      <c r="R70" s="1298"/>
      <c r="S70" s="1298"/>
      <c r="T70" s="1299"/>
      <c r="U70" s="1300"/>
      <c r="V70" s="1300"/>
      <c r="W70" s="1300"/>
      <c r="X70" s="1300"/>
      <c r="Y70" s="1300"/>
      <c r="Z70" s="1299"/>
      <c r="AA70" s="1299"/>
    </row>
    <row r="71" spans="1:27" ht="18" customHeight="1">
      <c r="A71" s="1293"/>
      <c r="B71" s="1294"/>
      <c r="C71" s="1295"/>
      <c r="D71" s="1295"/>
      <c r="E71" s="1295"/>
      <c r="F71" s="1295"/>
      <c r="G71" s="1295"/>
      <c r="H71" s="1296"/>
      <c r="I71" s="1295"/>
      <c r="J71" s="1295"/>
      <c r="K71" s="1295"/>
      <c r="L71" s="1295"/>
      <c r="M71" s="1296"/>
      <c r="N71" s="1297"/>
      <c r="O71" s="1294"/>
      <c r="P71" s="1298"/>
      <c r="Q71" s="1298"/>
      <c r="R71" s="1298"/>
      <c r="S71" s="1298"/>
      <c r="T71" s="1299"/>
      <c r="U71" s="1300"/>
      <c r="V71" s="1300"/>
      <c r="W71" s="1300"/>
      <c r="X71" s="1300"/>
      <c r="Y71" s="1300"/>
      <c r="Z71" s="1299"/>
      <c r="AA71" s="1299"/>
    </row>
    <row r="72" spans="1:27" ht="18" customHeight="1">
      <c r="A72" s="1293"/>
      <c r="B72" s="1294"/>
      <c r="C72" s="1295"/>
      <c r="D72" s="1295"/>
      <c r="E72" s="1295"/>
      <c r="F72" s="1295"/>
      <c r="G72" s="1295"/>
      <c r="H72" s="1296"/>
      <c r="I72" s="1295"/>
      <c r="J72" s="1295"/>
      <c r="K72" s="1295"/>
      <c r="L72" s="1295"/>
      <c r="M72" s="1296"/>
      <c r="N72" s="1297"/>
      <c r="O72" s="1294"/>
      <c r="P72" s="1298"/>
      <c r="Q72" s="1298"/>
      <c r="R72" s="1298"/>
      <c r="S72" s="1298"/>
      <c r="T72" s="1299"/>
      <c r="U72" s="1300"/>
      <c r="V72" s="1300"/>
      <c r="W72" s="1300"/>
      <c r="X72" s="1300"/>
      <c r="Y72" s="1300"/>
      <c r="Z72" s="1299"/>
      <c r="AA72" s="1299"/>
    </row>
    <row r="73" spans="1:27" ht="18" customHeight="1">
      <c r="A73" s="1293"/>
      <c r="B73" s="1294"/>
      <c r="C73" s="1295"/>
      <c r="D73" s="1295"/>
      <c r="E73" s="1295"/>
      <c r="F73" s="1295"/>
      <c r="G73" s="1295"/>
      <c r="H73" s="1296"/>
      <c r="I73" s="1295"/>
      <c r="J73" s="1295"/>
      <c r="K73" s="1295"/>
      <c r="L73" s="1295"/>
      <c r="M73" s="1296"/>
      <c r="N73" s="1297"/>
      <c r="O73" s="1294"/>
      <c r="P73" s="1298"/>
      <c r="Q73" s="1298"/>
      <c r="R73" s="1298"/>
      <c r="S73" s="1298"/>
      <c r="T73" s="1299"/>
      <c r="U73" s="1300"/>
      <c r="V73" s="1300"/>
      <c r="W73" s="1300"/>
      <c r="X73" s="1300"/>
      <c r="Y73" s="1300"/>
      <c r="Z73" s="1299"/>
      <c r="AA73" s="1299"/>
    </row>
    <row r="74" spans="1:27" ht="18" customHeight="1">
      <c r="A74" s="1293"/>
      <c r="B74" s="1294"/>
      <c r="C74" s="1295"/>
      <c r="D74" s="1295"/>
      <c r="E74" s="1295"/>
      <c r="F74" s="1295"/>
      <c r="G74" s="1295"/>
      <c r="H74" s="1296"/>
      <c r="I74" s="1295"/>
      <c r="J74" s="1295"/>
      <c r="K74" s="1295"/>
      <c r="L74" s="1295"/>
      <c r="M74" s="1296"/>
      <c r="N74" s="1297"/>
      <c r="O74" s="1294"/>
      <c r="P74" s="1298"/>
      <c r="Q74" s="1298"/>
      <c r="R74" s="1298"/>
      <c r="S74" s="1298"/>
      <c r="T74" s="1299"/>
      <c r="U74" s="1300"/>
      <c r="V74" s="1300"/>
      <c r="W74" s="1300"/>
      <c r="X74" s="1300"/>
      <c r="Y74" s="1300"/>
      <c r="Z74" s="1299"/>
      <c r="AA74" s="1299"/>
    </row>
    <row r="75" spans="1:27" ht="18" customHeight="1">
      <c r="A75" s="1293"/>
      <c r="B75" s="1294"/>
      <c r="C75" s="1295"/>
      <c r="D75" s="1295"/>
      <c r="E75" s="1295"/>
      <c r="F75" s="1295"/>
      <c r="G75" s="1295"/>
      <c r="H75" s="1296"/>
      <c r="I75" s="1295"/>
      <c r="J75" s="1295"/>
      <c r="K75" s="1295"/>
      <c r="L75" s="1295"/>
      <c r="M75" s="1296"/>
      <c r="N75" s="1297"/>
      <c r="O75" s="1294"/>
      <c r="P75" s="1298"/>
      <c r="Q75" s="1298"/>
      <c r="R75" s="1298"/>
      <c r="S75" s="1298"/>
      <c r="T75" s="1299"/>
      <c r="U75" s="1300"/>
      <c r="V75" s="1300"/>
      <c r="W75" s="1300"/>
      <c r="X75" s="1300"/>
      <c r="Y75" s="1300"/>
      <c r="Z75" s="1299"/>
      <c r="AA75" s="1299"/>
    </row>
    <row r="76" spans="1:27" ht="18" customHeight="1">
      <c r="A76" s="1293"/>
      <c r="B76" s="1294"/>
      <c r="C76" s="1295"/>
      <c r="D76" s="1295"/>
      <c r="E76" s="1295"/>
      <c r="F76" s="1295"/>
      <c r="G76" s="1295"/>
      <c r="H76" s="1296"/>
      <c r="I76" s="1295"/>
      <c r="J76" s="1295"/>
      <c r="K76" s="1295"/>
      <c r="L76" s="1295"/>
      <c r="M76" s="1296"/>
      <c r="N76" s="1297"/>
      <c r="O76" s="1294"/>
      <c r="P76" s="1298"/>
      <c r="Q76" s="1298"/>
      <c r="R76" s="1298"/>
      <c r="S76" s="1298"/>
      <c r="T76" s="1299"/>
      <c r="U76" s="1300"/>
      <c r="V76" s="1300"/>
      <c r="W76" s="1300"/>
      <c r="X76" s="1300"/>
      <c r="Y76" s="1300"/>
      <c r="Z76" s="1299"/>
      <c r="AA76" s="1299"/>
    </row>
    <row r="77" spans="1:27" ht="18" customHeight="1">
      <c r="A77" s="1293"/>
      <c r="B77" s="1294"/>
      <c r="C77" s="1295"/>
      <c r="D77" s="1295"/>
      <c r="E77" s="1295"/>
      <c r="F77" s="1295"/>
      <c r="G77" s="1295"/>
      <c r="H77" s="1296"/>
      <c r="I77" s="1295"/>
      <c r="J77" s="1295"/>
      <c r="K77" s="1295"/>
      <c r="L77" s="1295"/>
      <c r="M77" s="1296"/>
      <c r="N77" s="1297"/>
      <c r="O77" s="1294"/>
      <c r="P77" s="1298"/>
      <c r="Q77" s="1298"/>
      <c r="R77" s="1298"/>
      <c r="S77" s="1298"/>
      <c r="T77" s="1299"/>
      <c r="U77" s="1300"/>
      <c r="V77" s="1300"/>
      <c r="W77" s="1300"/>
      <c r="X77" s="1300"/>
      <c r="Y77" s="1300"/>
      <c r="Z77" s="1299"/>
      <c r="AA77" s="1299"/>
    </row>
    <row r="78" spans="1:27" ht="18" customHeight="1">
      <c r="A78" s="1293"/>
      <c r="B78" s="1294"/>
      <c r="C78" s="1295"/>
      <c r="D78" s="1295"/>
      <c r="E78" s="1295"/>
      <c r="F78" s="1295"/>
      <c r="G78" s="1295"/>
      <c r="H78" s="1296"/>
      <c r="I78" s="1295"/>
      <c r="J78" s="1295"/>
      <c r="K78" s="1295"/>
      <c r="L78" s="1295"/>
      <c r="M78" s="1296"/>
      <c r="N78" s="1297"/>
      <c r="O78" s="1294"/>
      <c r="P78" s="1298"/>
      <c r="Q78" s="1298"/>
      <c r="R78" s="1298"/>
      <c r="S78" s="1298"/>
      <c r="T78" s="1299"/>
      <c r="U78" s="1300"/>
      <c r="V78" s="1300"/>
      <c r="W78" s="1300"/>
      <c r="X78" s="1300"/>
      <c r="Y78" s="1300"/>
      <c r="Z78" s="1299"/>
      <c r="AA78" s="1299"/>
    </row>
    <row r="79" spans="1:27" ht="18" customHeight="1">
      <c r="A79" s="1293"/>
      <c r="B79" s="1294"/>
      <c r="C79" s="1295"/>
      <c r="D79" s="1295"/>
      <c r="E79" s="1295"/>
      <c r="F79" s="1295"/>
      <c r="G79" s="1295"/>
      <c r="H79" s="1296"/>
      <c r="I79" s="1295"/>
      <c r="J79" s="1295"/>
      <c r="K79" s="1295"/>
      <c r="L79" s="1295"/>
      <c r="M79" s="1296"/>
      <c r="N79" s="1297"/>
      <c r="O79" s="1294"/>
      <c r="P79" s="1298"/>
      <c r="Q79" s="1298"/>
      <c r="R79" s="1298"/>
      <c r="S79" s="1298"/>
      <c r="T79" s="1299"/>
      <c r="U79" s="1300"/>
      <c r="V79" s="1300"/>
      <c r="W79" s="1300"/>
      <c r="X79" s="1300"/>
      <c r="Y79" s="1300"/>
      <c r="Z79" s="1299"/>
      <c r="AA79" s="1299"/>
    </row>
    <row r="80" spans="1:27" ht="18" customHeight="1">
      <c r="A80" s="1293"/>
      <c r="B80" s="1294"/>
      <c r="C80" s="1295"/>
      <c r="D80" s="1295"/>
      <c r="E80" s="1295"/>
      <c r="F80" s="1295"/>
      <c r="G80" s="1295"/>
      <c r="H80" s="1296"/>
      <c r="I80" s="1295"/>
      <c r="J80" s="1295"/>
      <c r="K80" s="1295"/>
      <c r="L80" s="1295"/>
      <c r="M80" s="1296"/>
      <c r="N80" s="1297"/>
      <c r="O80" s="1294"/>
      <c r="P80" s="1298"/>
      <c r="Q80" s="1298"/>
      <c r="R80" s="1298"/>
      <c r="S80" s="1298"/>
      <c r="T80" s="1299"/>
      <c r="U80" s="1300"/>
      <c r="V80" s="1300"/>
      <c r="W80" s="1300"/>
      <c r="X80" s="1300"/>
      <c r="Y80" s="1300"/>
      <c r="Z80" s="1299"/>
      <c r="AA80" s="1299"/>
    </row>
    <row r="81" spans="1:30" ht="18" customHeight="1">
      <c r="A81" s="1293"/>
      <c r="B81" s="1294"/>
      <c r="C81" s="1295"/>
      <c r="D81" s="1295"/>
      <c r="E81" s="1295"/>
      <c r="F81" s="1295"/>
      <c r="G81" s="1295"/>
      <c r="H81" s="1296"/>
      <c r="I81" s="1295"/>
      <c r="J81" s="1295"/>
      <c r="K81" s="1295"/>
      <c r="L81" s="1295"/>
      <c r="M81" s="1296"/>
      <c r="N81" s="1297"/>
      <c r="O81" s="1294"/>
      <c r="P81" s="1298"/>
      <c r="Q81" s="1298"/>
      <c r="R81" s="1298"/>
      <c r="S81" s="1298"/>
      <c r="T81" s="1299"/>
      <c r="U81" s="1300"/>
      <c r="V81" s="1300"/>
      <c r="W81" s="1300"/>
      <c r="X81" s="1300"/>
      <c r="Y81" s="1300"/>
      <c r="Z81" s="1299"/>
      <c r="AA81" s="1299"/>
    </row>
    <row r="82" spans="1:30" ht="18" customHeight="1">
      <c r="A82" s="1293"/>
      <c r="B82" s="1294"/>
      <c r="C82" s="1295"/>
      <c r="D82" s="1295"/>
      <c r="E82" s="1295"/>
      <c r="F82" s="1295"/>
      <c r="G82" s="1295"/>
      <c r="H82" s="1296"/>
      <c r="I82" s="1295"/>
      <c r="J82" s="1295"/>
      <c r="K82" s="1295"/>
      <c r="L82" s="1295"/>
      <c r="M82" s="1296"/>
      <c r="N82" s="1297"/>
      <c r="O82" s="1294"/>
      <c r="P82" s="1298"/>
      <c r="Q82" s="1298"/>
      <c r="R82" s="1298"/>
      <c r="S82" s="1298"/>
      <c r="T82" s="1299"/>
      <c r="U82" s="1300"/>
      <c r="V82" s="1300"/>
      <c r="W82" s="1300"/>
      <c r="X82" s="1300"/>
      <c r="Y82" s="1300"/>
      <c r="Z82" s="1299"/>
      <c r="AA82" s="1299"/>
    </row>
    <row r="83" spans="1:30" ht="18" customHeight="1">
      <c r="A83" s="1293"/>
      <c r="B83" s="1294"/>
      <c r="C83" s="1295"/>
      <c r="D83" s="1295"/>
      <c r="E83" s="1295"/>
      <c r="F83" s="1295"/>
      <c r="G83" s="1295"/>
      <c r="H83" s="1296"/>
      <c r="I83" s="1295"/>
      <c r="J83" s="1295"/>
      <c r="K83" s="1295"/>
      <c r="L83" s="1295"/>
      <c r="M83" s="1296"/>
      <c r="N83" s="1297"/>
      <c r="O83" s="1294"/>
      <c r="P83" s="1298"/>
      <c r="Q83" s="1298"/>
      <c r="R83" s="1298"/>
      <c r="S83" s="1298"/>
      <c r="T83" s="1299"/>
      <c r="U83" s="1300"/>
      <c r="V83" s="1300"/>
      <c r="W83" s="1300"/>
      <c r="X83" s="1300"/>
      <c r="Y83" s="1300"/>
      <c r="Z83" s="1299"/>
      <c r="AA83" s="1299"/>
    </row>
    <row r="84" spans="1:30" ht="18" customHeight="1">
      <c r="A84" s="1293"/>
      <c r="B84" s="1294"/>
      <c r="C84" s="1295"/>
      <c r="D84" s="1295"/>
      <c r="E84" s="1295"/>
      <c r="F84" s="1295"/>
      <c r="G84" s="1295"/>
      <c r="H84" s="1296"/>
      <c r="I84" s="1295"/>
      <c r="J84" s="1295"/>
      <c r="K84" s="1295"/>
      <c r="L84" s="1295"/>
      <c r="M84" s="1296"/>
      <c r="N84" s="1297"/>
      <c r="O84" s="1294"/>
      <c r="P84" s="1298"/>
      <c r="Q84" s="1298"/>
      <c r="R84" s="1298"/>
      <c r="S84" s="1298"/>
      <c r="T84" s="1299"/>
      <c r="U84" s="1300"/>
      <c r="V84" s="1300"/>
      <c r="W84" s="1300"/>
      <c r="X84" s="1300"/>
      <c r="Y84" s="1300"/>
      <c r="Z84" s="1299"/>
      <c r="AA84" s="1299"/>
    </row>
    <row r="85" spans="1:30" ht="18" customHeight="1">
      <c r="A85" s="1293"/>
      <c r="B85" s="1294"/>
      <c r="C85" s="1295"/>
      <c r="D85" s="1295"/>
      <c r="E85" s="1295"/>
      <c r="F85" s="1295"/>
      <c r="G85" s="1295"/>
      <c r="H85" s="1296"/>
      <c r="I85" s="1295"/>
      <c r="J85" s="1295"/>
      <c r="K85" s="1295"/>
      <c r="L85" s="1295"/>
      <c r="M85" s="1296"/>
      <c r="N85" s="1297"/>
      <c r="O85" s="1294"/>
      <c r="P85" s="1298"/>
      <c r="Q85" s="1298"/>
      <c r="R85" s="1298"/>
      <c r="S85" s="1298"/>
      <c r="T85" s="1299"/>
      <c r="U85" s="1300"/>
      <c r="V85" s="1300"/>
      <c r="W85" s="1300"/>
      <c r="X85" s="1300"/>
      <c r="Y85" s="1300"/>
      <c r="Z85" s="1299"/>
      <c r="AA85" s="1299"/>
    </row>
    <row r="86" spans="1:30" ht="18" customHeight="1">
      <c r="A86" s="1293"/>
      <c r="B86" s="1294"/>
      <c r="C86" s="1295"/>
      <c r="D86" s="1295"/>
      <c r="E86" s="1295"/>
      <c r="F86" s="1295"/>
      <c r="G86" s="1295"/>
      <c r="H86" s="1296"/>
      <c r="I86" s="1295"/>
      <c r="J86" s="1295"/>
      <c r="K86" s="1295"/>
      <c r="L86" s="1295"/>
      <c r="M86" s="1296"/>
      <c r="N86" s="1297"/>
      <c r="O86" s="1294"/>
      <c r="P86" s="1298"/>
      <c r="Q86" s="1298"/>
      <c r="R86" s="1298"/>
      <c r="S86" s="1298"/>
      <c r="T86" s="1299"/>
      <c r="U86" s="1300"/>
      <c r="V86" s="1300"/>
      <c r="W86" s="1300"/>
      <c r="X86" s="1300"/>
      <c r="Y86" s="1300"/>
      <c r="Z86" s="1299"/>
      <c r="AA86" s="1299"/>
    </row>
    <row r="87" spans="1:30" ht="18" customHeight="1">
      <c r="A87" s="1293"/>
      <c r="B87" s="1294"/>
      <c r="C87" s="1295"/>
      <c r="D87" s="1295"/>
      <c r="E87" s="1295"/>
      <c r="F87" s="1295"/>
      <c r="G87" s="1295"/>
      <c r="H87" s="1296"/>
      <c r="I87" s="1295"/>
      <c r="J87" s="1295"/>
      <c r="K87" s="1295"/>
      <c r="L87" s="1295"/>
      <c r="M87" s="1296"/>
      <c r="N87" s="1297"/>
      <c r="O87" s="1294"/>
      <c r="P87" s="1298"/>
      <c r="Q87" s="1298"/>
      <c r="R87" s="1298"/>
      <c r="S87" s="1298"/>
      <c r="T87" s="1299"/>
      <c r="U87" s="1300"/>
      <c r="V87" s="1300"/>
      <c r="W87" s="1300"/>
      <c r="X87" s="1300"/>
      <c r="Y87" s="1300"/>
      <c r="Z87" s="1299"/>
      <c r="AA87" s="1299"/>
      <c r="AD87" s="1316"/>
    </row>
    <row r="89" spans="1:30" ht="18" customHeight="1">
      <c r="A89" s="1307"/>
    </row>
    <row r="90" spans="1:30" ht="18" customHeight="1">
      <c r="A90" s="1293"/>
      <c r="B90" s="1294"/>
      <c r="C90" s="1295"/>
      <c r="D90" s="1295"/>
      <c r="E90" s="1295"/>
      <c r="F90" s="1295"/>
      <c r="G90" s="1295"/>
      <c r="H90" s="1296"/>
      <c r="I90" s="1295"/>
      <c r="J90" s="1295"/>
      <c r="K90" s="1295"/>
      <c r="L90" s="1295"/>
      <c r="M90" s="1296"/>
      <c r="N90" s="1297"/>
      <c r="O90" s="1294"/>
      <c r="P90" s="1298"/>
      <c r="Q90" s="1298"/>
      <c r="R90" s="1298"/>
      <c r="S90" s="1298"/>
      <c r="T90" s="1299"/>
      <c r="U90" s="1300"/>
      <c r="V90" s="1300"/>
      <c r="W90" s="1300"/>
      <c r="X90" s="1300"/>
      <c r="Y90" s="1300"/>
      <c r="Z90" s="1299"/>
      <c r="AA90" s="1299"/>
    </row>
    <row r="91" spans="1:30" ht="18" customHeight="1">
      <c r="A91" s="1293"/>
      <c r="B91" s="1294"/>
      <c r="C91" s="1295"/>
      <c r="D91" s="1295"/>
      <c r="E91" s="1295"/>
      <c r="F91" s="1295"/>
      <c r="G91" s="1295"/>
      <c r="H91" s="1296"/>
      <c r="I91" s="1295"/>
      <c r="J91" s="1295"/>
      <c r="K91" s="1295"/>
      <c r="L91" s="1295"/>
      <c r="M91" s="1296"/>
      <c r="N91" s="1297"/>
      <c r="O91" s="1294"/>
      <c r="P91" s="1298"/>
      <c r="Q91" s="1298"/>
      <c r="R91" s="1298"/>
      <c r="S91" s="1298"/>
      <c r="T91" s="1299"/>
      <c r="U91" s="1300"/>
      <c r="V91" s="1300"/>
      <c r="W91" s="1300"/>
      <c r="X91" s="1300"/>
      <c r="Y91" s="1300"/>
      <c r="Z91" s="1299"/>
      <c r="AA91" s="1299"/>
    </row>
    <row r="92" spans="1:30" ht="18" customHeight="1">
      <c r="A92" s="1293"/>
      <c r="B92" s="1294"/>
      <c r="C92" s="1295"/>
      <c r="D92" s="1295"/>
      <c r="E92" s="1295"/>
      <c r="F92" s="1295"/>
      <c r="G92" s="1295"/>
      <c r="H92" s="1296"/>
      <c r="I92" s="1295"/>
      <c r="J92" s="1295"/>
      <c r="K92" s="1295"/>
      <c r="L92" s="1295"/>
      <c r="M92" s="1296"/>
      <c r="N92" s="1297"/>
      <c r="O92" s="1294"/>
      <c r="P92" s="1298"/>
      <c r="Q92" s="1298"/>
      <c r="R92" s="1298"/>
      <c r="S92" s="1298"/>
      <c r="T92" s="1299"/>
      <c r="U92" s="1300"/>
      <c r="V92" s="1300"/>
      <c r="W92" s="1300"/>
      <c r="X92" s="1300"/>
      <c r="Y92" s="1300"/>
      <c r="Z92" s="1299"/>
      <c r="AA92" s="1299"/>
    </row>
    <row r="93" spans="1:30" ht="18" customHeight="1">
      <c r="A93" s="1293"/>
      <c r="B93" s="1294"/>
      <c r="C93" s="1295"/>
      <c r="D93" s="1295"/>
      <c r="E93" s="1295"/>
      <c r="F93" s="1295"/>
      <c r="G93" s="1295"/>
      <c r="H93" s="1296"/>
      <c r="I93" s="1295"/>
      <c r="J93" s="1295"/>
      <c r="K93" s="1295"/>
      <c r="L93" s="1295"/>
      <c r="M93" s="1296"/>
      <c r="N93" s="1297"/>
      <c r="O93" s="1294"/>
      <c r="P93" s="1298"/>
      <c r="Q93" s="1298"/>
      <c r="R93" s="1298"/>
      <c r="S93" s="1298"/>
      <c r="T93" s="1299"/>
      <c r="U93" s="1300"/>
      <c r="V93" s="1300"/>
      <c r="W93" s="1300"/>
      <c r="X93" s="1300"/>
      <c r="Y93" s="1300"/>
      <c r="Z93" s="1299"/>
      <c r="AA93" s="1299"/>
    </row>
    <row r="94" spans="1:30" ht="18" customHeight="1">
      <c r="A94" s="1293"/>
      <c r="B94" s="1294"/>
      <c r="C94" s="1295"/>
      <c r="D94" s="1295"/>
      <c r="E94" s="1295"/>
      <c r="F94" s="1295"/>
      <c r="G94" s="1295"/>
      <c r="H94" s="1296"/>
      <c r="I94" s="1295"/>
      <c r="J94" s="1295"/>
      <c r="K94" s="1295"/>
      <c r="L94" s="1295"/>
      <c r="M94" s="1296"/>
      <c r="N94" s="1297"/>
      <c r="O94" s="1294"/>
      <c r="P94" s="1298"/>
      <c r="Q94" s="1298"/>
      <c r="R94" s="1298"/>
      <c r="S94" s="1298"/>
      <c r="T94" s="1299"/>
      <c r="U94" s="1300"/>
      <c r="V94" s="1300"/>
      <c r="W94" s="1300"/>
      <c r="X94" s="1300"/>
      <c r="Y94" s="1300"/>
      <c r="Z94" s="1299"/>
      <c r="AA94" s="1299"/>
    </row>
    <row r="95" spans="1:30" ht="18" customHeight="1">
      <c r="A95" s="1293"/>
      <c r="B95" s="1294"/>
      <c r="C95" s="1295"/>
      <c r="D95" s="1295"/>
      <c r="E95" s="1295"/>
      <c r="F95" s="1295"/>
      <c r="G95" s="1295"/>
      <c r="H95" s="1296"/>
      <c r="I95" s="1295"/>
      <c r="J95" s="1295"/>
      <c r="K95" s="1295"/>
      <c r="L95" s="1295"/>
      <c r="M95" s="1296"/>
      <c r="N95" s="1297"/>
      <c r="O95" s="1294"/>
      <c r="P95" s="1298"/>
      <c r="Q95" s="1298"/>
      <c r="R95" s="1298"/>
      <c r="S95" s="1298"/>
      <c r="T95" s="1299"/>
      <c r="U95" s="1300"/>
      <c r="V95" s="1300"/>
      <c r="W95" s="1300"/>
      <c r="X95" s="1300"/>
      <c r="Y95" s="1300"/>
      <c r="Z95" s="1299"/>
      <c r="AA95" s="1299"/>
    </row>
    <row r="96" spans="1:30" ht="18" customHeight="1">
      <c r="A96" s="1293"/>
      <c r="B96" s="1294"/>
      <c r="C96" s="1295"/>
      <c r="D96" s="1295"/>
      <c r="E96" s="1295"/>
      <c r="F96" s="1295"/>
      <c r="G96" s="1295"/>
      <c r="H96" s="1296"/>
      <c r="I96" s="1295"/>
      <c r="J96" s="1295"/>
      <c r="K96" s="1295"/>
      <c r="L96" s="1295"/>
      <c r="M96" s="1296"/>
      <c r="N96" s="1297"/>
      <c r="O96" s="1294"/>
      <c r="P96" s="1298"/>
      <c r="Q96" s="1298"/>
      <c r="R96" s="1298"/>
      <c r="S96" s="1298"/>
      <c r="T96" s="1299"/>
      <c r="U96" s="1300"/>
      <c r="V96" s="1300"/>
      <c r="W96" s="1300"/>
      <c r="X96" s="1300"/>
      <c r="Y96" s="1300"/>
      <c r="Z96" s="1299"/>
      <c r="AA96" s="1299"/>
    </row>
    <row r="98" spans="1:27" ht="18" customHeight="1">
      <c r="A98" s="211"/>
      <c r="B98" s="211"/>
    </row>
    <row r="99" spans="1:27" ht="18" customHeight="1">
      <c r="AA99" s="1316"/>
    </row>
  </sheetData>
  <sheetProtection algorithmName="SHA-512" hashValue="8bRqYq3izdG8PUVgW7f8S4MZJ8MHtE7A/6rXzJEx0zjrAhG26Flmd29c19AmUYjXP4JOK0oMviteoQllG9KsNA==" saltValue="icbheDTxa2e6UTVp9Mg7Xg==" spinCount="100000" sheet="1" objects="1" scenarios="1"/>
  <mergeCells count="6">
    <mergeCell ref="B22:D22"/>
    <mergeCell ref="A1:J1"/>
    <mergeCell ref="A2:J2"/>
    <mergeCell ref="A4:E4"/>
    <mergeCell ref="D12:E12"/>
    <mergeCell ref="A14:H14"/>
  </mergeCells>
  <phoneticPr fontId="19" type="noConversion"/>
  <conditionalFormatting sqref="N9">
    <cfRule type="containsText" dxfId="93" priority="16" operator="containsText" text="[d]-Min">
      <formula>NOT(ISERROR(SEARCH("[d]-Min",N9)))</formula>
    </cfRule>
    <cfRule type="containsText" dxfId="92" priority="17" operator="containsText" text="[h]-Max">
      <formula>NOT(ISERROR(SEARCH("[h]-Max",N9)))</formula>
    </cfRule>
    <cfRule type="containsText" dxfId="91" priority="18" operator="containsText" text="[h]-Min">
      <formula>NOT(ISERROR(SEARCH("[h]-Min",N9)))</formula>
    </cfRule>
  </conditionalFormatting>
  <conditionalFormatting sqref="Y9 A10:O11 A44:O50 A13:O13 G12:O12 A12:D12 A15:O21 A14 I14:O14 A60:O87 A90:O96 A25:O41 A22:B22 E22:O22 A23:A24 C23:O24">
    <cfRule type="expression" dxfId="90" priority="15">
      <formula>$O9="FT"</formula>
    </cfRule>
  </conditionalFormatting>
  <conditionalFormatting sqref="Y9 A44:AA50 A10:AA11 A13:AA13 G12:AA12 A12:D12 A15:AA21 A14 I14:AA14 A25:AA41 A22:B22 E22:AA22 A23:A24 C23:AA24">
    <cfRule type="expression" dxfId="89" priority="14">
      <formula>$B9="So"</formula>
    </cfRule>
  </conditionalFormatting>
  <conditionalFormatting sqref="N10:N41 N44:N50">
    <cfRule type="cellIs" dxfId="88" priority="10" operator="equal">
      <formula>"[d]-Max"</formula>
    </cfRule>
    <cfRule type="containsText" dxfId="87" priority="11" operator="containsText" text="[d]-Min">
      <formula>NOT(ISERROR(SEARCH("[d]-Min",N10)))</formula>
    </cfRule>
    <cfRule type="containsText" dxfId="86" priority="12" operator="containsText" text="[h]-Max">
      <formula>NOT(ISERROR(SEARCH("[h]-Max",N10)))</formula>
    </cfRule>
    <cfRule type="containsText" dxfId="85" priority="13" operator="containsText" text="[h]-Min">
      <formula>NOT(ISERROR(SEARCH("[h]-Min",N10)))</formula>
    </cfRule>
  </conditionalFormatting>
  <conditionalFormatting sqref="N57">
    <cfRule type="containsText" dxfId="84" priority="7" operator="containsText" text="[d]-Min">
      <formula>NOT(ISERROR(SEARCH("[d]-Min",N57)))</formula>
    </cfRule>
    <cfRule type="containsText" dxfId="83" priority="8" operator="containsText" text="[h]-Max">
      <formula>NOT(ISERROR(SEARCH("[h]-Max",N57)))</formula>
    </cfRule>
    <cfRule type="containsText" dxfId="82" priority="9" operator="containsText" text="[h]-Min">
      <formula>NOT(ISERROR(SEARCH("[h]-Min",N57)))</formula>
    </cfRule>
  </conditionalFormatting>
  <conditionalFormatting sqref="Y57">
    <cfRule type="expression" dxfId="81" priority="6">
      <formula>$O57="FT"</formula>
    </cfRule>
  </conditionalFormatting>
  <conditionalFormatting sqref="Y57 A90:AA96 A60:AA87">
    <cfRule type="expression" dxfId="80" priority="5">
      <formula>$B57="So"</formula>
    </cfRule>
  </conditionalFormatting>
  <conditionalFormatting sqref="N60:N87 N90:N96">
    <cfRule type="cellIs" dxfId="79" priority="1" operator="equal">
      <formula>"[d]-Max"</formula>
    </cfRule>
    <cfRule type="containsText" dxfId="78" priority="2" operator="containsText" text="[d]-Min">
      <formula>NOT(ISERROR(SEARCH("[d]-Min",N60)))</formula>
    </cfRule>
    <cfRule type="containsText" dxfId="77" priority="3" operator="containsText" text="[h]-Max">
      <formula>NOT(ISERROR(SEARCH("[h]-Max",N60)))</formula>
    </cfRule>
    <cfRule type="containsText" dxfId="76" priority="4" operator="containsText" text="[h]-Min">
      <formula>NOT(ISERROR(SEARCH("[h]-Min",N60)))</formula>
    </cfRule>
  </conditionalFormatting>
  <pageMargins left="0.7" right="0.7" top="0.78740157499999996" bottom="0.78740157499999996" header="0.3" footer="0.3"/>
  <pageSetup paperSize="9" scale="63" fitToHeight="0" orientation="landscape" r:id="rId1"/>
  <headerFooter>
    <oddHeader>&amp;LVDV SUN Jahresschlussrechnung JJJJ&amp;R&amp;KFF0000&amp;F</oddHeader>
    <oddFooter>&amp;C&amp;P&amp;R&amp;A</oddFooter>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4E2F3-C5E5-4D84-9DBB-BB729BF9C179}">
  <dimension ref="A1:AP99"/>
  <sheetViews>
    <sheetView view="pageLayout" zoomScale="80" zoomScaleNormal="80" zoomScalePageLayoutView="80" workbookViewId="0">
      <selection activeCell="G14" sqref="G14"/>
    </sheetView>
  </sheetViews>
  <sheetFormatPr baseColWidth="10" defaultColWidth="7.28515625" defaultRowHeight="12.75"/>
  <cols>
    <col min="1" max="1" width="13.28515625" style="76" customWidth="1"/>
    <col min="2" max="2" width="9" style="472" bestFit="1" customWidth="1"/>
    <col min="3" max="3" width="5.85546875" style="77" customWidth="1"/>
    <col min="4" max="4" width="6" style="472" bestFit="1" customWidth="1"/>
    <col min="5" max="5" width="6" style="77" bestFit="1" customWidth="1"/>
    <col min="6" max="6" width="6" style="82" bestFit="1" customWidth="1"/>
    <col min="7" max="7" width="12.7109375" style="74" bestFit="1" customWidth="1"/>
    <col min="8" max="8" width="5" style="74" bestFit="1" customWidth="1"/>
    <col min="9" max="9" width="6" style="74" bestFit="1" customWidth="1"/>
    <col min="10" max="11" width="7.28515625" style="74"/>
    <col min="12" max="12" width="10.140625" style="74" bestFit="1" customWidth="1"/>
    <col min="13" max="14" width="10.28515625" style="74" customWidth="1"/>
    <col min="15" max="15" width="15.28515625" style="74" customWidth="1"/>
    <col min="16" max="16" width="13.5703125" style="74" customWidth="1"/>
    <col min="17" max="17" width="9.42578125" style="74" customWidth="1"/>
    <col min="18" max="18" width="9" style="74" customWidth="1"/>
    <col min="19" max="19" width="9.140625" style="74" customWidth="1"/>
    <col min="20" max="20" width="10" style="74" customWidth="1"/>
    <col min="21" max="21" width="10.5703125" style="74" customWidth="1"/>
    <col min="22" max="22" width="10.140625" style="74" customWidth="1"/>
    <col min="23" max="23" width="10.28515625" style="74" customWidth="1"/>
    <col min="24" max="25" width="13.42578125" style="74" customWidth="1"/>
    <col min="26" max="26" width="14.42578125" style="74" customWidth="1"/>
    <col min="27" max="27" width="22.28515625" style="74" customWidth="1"/>
    <col min="28" max="28" width="23.5703125" style="74" customWidth="1"/>
    <col min="29" max="29" width="15.42578125" style="74" customWidth="1"/>
    <col min="30" max="33" width="7.28515625" style="74"/>
    <col min="34" max="34" width="10.28515625" style="74" customWidth="1"/>
    <col min="35" max="36" width="7.28515625" style="74"/>
    <col min="37" max="37" width="12.85546875" style="74" customWidth="1"/>
    <col min="38" max="38" width="7.28515625" style="74"/>
    <col min="39" max="39" width="14.7109375" style="74" customWidth="1"/>
    <col min="40" max="40" width="10.28515625" style="74" customWidth="1"/>
    <col min="41" max="41" width="15" style="74" customWidth="1"/>
    <col min="42" max="16384" width="7.28515625" style="74"/>
  </cols>
  <sheetData>
    <row r="1" spans="1:42" ht="18" customHeight="1">
      <c r="A1" s="3233" t="s">
        <v>1482</v>
      </c>
      <c r="B1" s="3233"/>
      <c r="C1" s="3233"/>
      <c r="D1" s="3233"/>
      <c r="E1" s="3233"/>
      <c r="F1" s="3233"/>
      <c r="G1" s="3233"/>
      <c r="H1" s="3233"/>
      <c r="I1" s="3233"/>
      <c r="J1" s="3242"/>
      <c r="K1" s="3242"/>
      <c r="L1" s="3242"/>
      <c r="M1" s="3242"/>
      <c r="N1" s="3242"/>
      <c r="O1" s="3242"/>
      <c r="P1" s="3242"/>
      <c r="Q1" s="3242"/>
      <c r="R1" s="3242"/>
    </row>
    <row r="2" spans="1:42" ht="23.25" customHeight="1" thickBot="1">
      <c r="A2" s="3228" t="str">
        <f>'1a_Leistungsvolumen'!A2</f>
        <v>Monat JJJJ</v>
      </c>
      <c r="B2" s="3228"/>
      <c r="C2" s="3228"/>
      <c r="D2" s="3228"/>
      <c r="E2" s="3228"/>
      <c r="F2" s="3228"/>
      <c r="G2" s="3228"/>
      <c r="H2" s="3228"/>
      <c r="I2" s="3228"/>
      <c r="AC2" s="1290"/>
      <c r="AD2" s="1291"/>
      <c r="AE2" s="1291"/>
      <c r="AF2" s="1291"/>
      <c r="AG2" s="1291"/>
      <c r="AH2" s="79"/>
      <c r="AI2" s="79"/>
      <c r="AJ2" s="79"/>
      <c r="AK2" s="79"/>
      <c r="AL2" s="79"/>
      <c r="AM2" s="79"/>
      <c r="AN2" s="79"/>
      <c r="AO2" s="79"/>
      <c r="AP2" s="79"/>
    </row>
    <row r="3" spans="1:42" ht="31.5" customHeight="1" thickBot="1">
      <c r="A3" s="2268" t="s">
        <v>1587</v>
      </c>
      <c r="B3" s="2269"/>
      <c r="C3" s="2269"/>
      <c r="D3" s="2269"/>
      <c r="E3" s="2269"/>
      <c r="F3" s="2269"/>
      <c r="G3" s="1256"/>
      <c r="H3" s="1256"/>
      <c r="I3" s="1256"/>
      <c r="J3" s="758"/>
      <c r="K3" s="758"/>
      <c r="L3" s="758"/>
      <c r="M3" s="758"/>
      <c r="N3" s="758"/>
      <c r="O3" s="2201" t="s">
        <v>743</v>
      </c>
      <c r="P3" s="2138" t="s">
        <v>1526</v>
      </c>
      <c r="Q3" s="2301" t="s">
        <v>1527</v>
      </c>
      <c r="R3" s="2301" t="s">
        <v>1552</v>
      </c>
      <c r="S3" s="2301" t="s">
        <v>1551</v>
      </c>
      <c r="T3" s="2301" t="s">
        <v>1528</v>
      </c>
      <c r="U3" s="2301" t="s">
        <v>1553</v>
      </c>
      <c r="X3" s="3265" t="s">
        <v>1118</v>
      </c>
      <c r="Y3" s="3266"/>
      <c r="Z3" s="3266"/>
      <c r="AA3" s="3267"/>
      <c r="AC3" s="1279"/>
      <c r="AD3" s="1280"/>
      <c r="AE3" s="1280"/>
      <c r="AF3" s="1280"/>
      <c r="AG3" s="1280"/>
      <c r="AH3" s="1279"/>
      <c r="AI3" s="1280"/>
      <c r="AJ3" s="1280"/>
      <c r="AK3" s="1280"/>
      <c r="AL3" s="1280"/>
      <c r="AM3" s="1280"/>
      <c r="AN3" s="1280"/>
      <c r="AO3" s="1281"/>
      <c r="AP3" s="79"/>
    </row>
    <row r="4" spans="1:42" ht="42" customHeight="1" thickBot="1">
      <c r="A4" s="3293" t="s">
        <v>1120</v>
      </c>
      <c r="B4" s="3294"/>
      <c r="C4" s="3294"/>
      <c r="D4" s="3294"/>
      <c r="E4" s="3295"/>
      <c r="F4" s="872"/>
      <c r="G4" s="758"/>
      <c r="H4" s="758"/>
      <c r="I4" s="758"/>
      <c r="J4" s="758"/>
      <c r="K4" s="758"/>
      <c r="L4" s="872"/>
      <c r="M4" s="3292" t="s">
        <v>1449</v>
      </c>
      <c r="N4" s="3267"/>
      <c r="O4" s="2669">
        <f>SUM($P$4:$U$4)</f>
        <v>0.97066779999999997</v>
      </c>
      <c r="P4" s="2670">
        <f>'1a_Leistungsvolumen'!$C$93</f>
        <v>9.7772999999999992E-3</v>
      </c>
      <c r="Q4" s="2670">
        <f>'1a_Leistungsvolumen'!$D$93</f>
        <v>0.1214701</v>
      </c>
      <c r="R4" s="2670">
        <f>'1a_Leistungsvolumen'!$E$93</f>
        <v>6.2115400000000001E-2</v>
      </c>
      <c r="S4" s="2670">
        <f>'1a_Leistungsvolumen'!$F$93</f>
        <v>0.54540759999999999</v>
      </c>
      <c r="T4" s="2670">
        <f>'1a_Leistungsvolumen'!$G$93</f>
        <v>0.22948180000000001</v>
      </c>
      <c r="U4" s="2670">
        <f>'1a_Leistungsvolumen'!$I$93</f>
        <v>2.4156E-3</v>
      </c>
      <c r="X4" s="2230">
        <v>6</v>
      </c>
      <c r="Y4" s="2231" t="s">
        <v>843</v>
      </c>
      <c r="Z4" s="2232">
        <v>60</v>
      </c>
      <c r="AA4" s="2233" t="s">
        <v>272</v>
      </c>
      <c r="AC4" s="1280"/>
      <c r="AD4" s="1280"/>
      <c r="AE4" s="1280"/>
      <c r="AF4" s="1280"/>
      <c r="AG4" s="1280"/>
      <c r="AH4" s="1280"/>
      <c r="AI4" s="1280"/>
      <c r="AJ4" s="1280"/>
      <c r="AK4" s="1280"/>
      <c r="AL4" s="1280"/>
      <c r="AM4" s="1280"/>
      <c r="AN4" s="1280"/>
      <c r="AO4" s="1282"/>
      <c r="AP4" s="79"/>
    </row>
    <row r="5" spans="1:42" ht="18" customHeight="1" thickBot="1">
      <c r="A5" s="3296" t="s">
        <v>844</v>
      </c>
      <c r="B5" s="3297"/>
      <c r="C5" s="3297"/>
      <c r="D5" s="3297"/>
      <c r="E5" s="3297"/>
      <c r="F5" s="3297"/>
      <c r="G5" s="3297"/>
      <c r="H5" s="3297"/>
      <c r="I5" s="3297"/>
      <c r="J5" s="3298"/>
      <c r="K5" s="3299">
        <v>500</v>
      </c>
      <c r="L5" s="3300"/>
      <c r="M5" s="3301">
        <f>R14</f>
        <v>2</v>
      </c>
      <c r="N5" s="3302"/>
      <c r="O5" s="2227">
        <f>$M$5*$K$5</f>
        <v>1000</v>
      </c>
      <c r="P5" s="1973"/>
      <c r="Q5" s="1973"/>
      <c r="R5" s="1973"/>
      <c r="S5" s="1973"/>
      <c r="T5" s="1973"/>
      <c r="U5" s="1973"/>
      <c r="V5" s="758"/>
      <c r="W5" s="758"/>
      <c r="X5" s="758"/>
      <c r="Y5" s="758"/>
      <c r="Z5" s="758"/>
      <c r="AC5" s="1280"/>
      <c r="AD5" s="1283"/>
      <c r="AE5" s="1283"/>
      <c r="AF5" s="1283"/>
      <c r="AG5" s="1283"/>
      <c r="AH5" s="1274"/>
      <c r="AI5" s="1275"/>
      <c r="AJ5" s="1284"/>
      <c r="AK5" s="1285"/>
      <c r="AL5" s="1286"/>
      <c r="AM5" s="1287"/>
      <c r="AN5" s="1287"/>
      <c r="AO5" s="1288"/>
      <c r="AP5" s="79"/>
    </row>
    <row r="6" spans="1:42" ht="18" customHeight="1" thickBot="1">
      <c r="A6" s="3308" t="s">
        <v>200</v>
      </c>
      <c r="B6" s="3309"/>
      <c r="C6" s="3309"/>
      <c r="D6" s="3309"/>
      <c r="E6" s="3309"/>
      <c r="F6" s="3309"/>
      <c r="G6" s="3309"/>
      <c r="H6" s="3309"/>
      <c r="I6" s="3309"/>
      <c r="J6" s="3310"/>
      <c r="K6" s="3311">
        <v>50</v>
      </c>
      <c r="L6" s="3312"/>
      <c r="M6" s="3313">
        <f>X14</f>
        <v>18.75</v>
      </c>
      <c r="N6" s="3314"/>
      <c r="O6" s="2228">
        <f>$M$6*$K$6</f>
        <v>937.5</v>
      </c>
      <c r="P6" s="2229"/>
      <c r="Q6" s="2229"/>
      <c r="R6" s="2229"/>
      <c r="S6" s="2229"/>
      <c r="T6" s="2229"/>
      <c r="U6" s="2229"/>
      <c r="X6" s="3268" t="s">
        <v>1117</v>
      </c>
      <c r="Y6" s="3269"/>
      <c r="Z6" s="3269"/>
      <c r="AA6" s="3270"/>
      <c r="AB6" s="1259">
        <f>$Z$4*$A$12/7</f>
        <v>471.42857142857144</v>
      </c>
      <c r="AD6" s="1283"/>
      <c r="AE6" s="1283"/>
      <c r="AF6" s="1283"/>
      <c r="AG6" s="1283"/>
      <c r="AH6" s="1274"/>
      <c r="AI6" s="1275"/>
      <c r="AJ6" s="1276"/>
      <c r="AK6" s="1280"/>
      <c r="AL6" s="1280"/>
      <c r="AM6" s="1280"/>
      <c r="AN6" s="1280"/>
      <c r="AO6" s="1289"/>
      <c r="AP6" s="79"/>
    </row>
    <row r="7" spans="1:42" ht="18" customHeight="1" thickBot="1">
      <c r="A7" s="3303" t="s">
        <v>201</v>
      </c>
      <c r="B7" s="3304"/>
      <c r="C7" s="3304"/>
      <c r="D7" s="3304"/>
      <c r="E7" s="3304"/>
      <c r="F7" s="3304"/>
      <c r="G7" s="3304"/>
      <c r="H7" s="3304"/>
      <c r="I7" s="3304"/>
      <c r="J7" s="3305"/>
      <c r="K7" s="3306">
        <f>Z14</f>
        <v>1937.5</v>
      </c>
      <c r="L7" s="3307"/>
      <c r="M7" s="3306">
        <f>($K$5*$M$5)+($K$6*$M$6)</f>
        <v>1937.5</v>
      </c>
      <c r="N7" s="3307"/>
      <c r="O7" s="2255">
        <f>SUM($O$5:$O$6)</f>
        <v>1937.5</v>
      </c>
      <c r="P7" s="2256">
        <f>$O$7*$P$4</f>
        <v>18.943518749999999</v>
      </c>
      <c r="Q7" s="2256">
        <f>$O$7*$Q$4</f>
        <v>235.34831875</v>
      </c>
      <c r="R7" s="2256">
        <f>$O$7*$R$4</f>
        <v>120.34858750000001</v>
      </c>
      <c r="S7" s="2256">
        <f>$O$7*$S$4</f>
        <v>1056.7272250000001</v>
      </c>
      <c r="T7" s="2256">
        <f>$O$7*$T$4</f>
        <v>444.62098750000001</v>
      </c>
      <c r="U7" s="2256">
        <f>$O$7*$U$4</f>
        <v>4.6802250000000001</v>
      </c>
      <c r="X7" s="3268" t="s">
        <v>1206</v>
      </c>
      <c r="Y7" s="3269"/>
      <c r="Z7" s="3269"/>
      <c r="AA7" s="3271"/>
      <c r="AB7" s="1578">
        <v>11</v>
      </c>
      <c r="AD7" s="1283"/>
      <c r="AE7" s="1283"/>
      <c r="AF7" s="1283"/>
      <c r="AG7" s="1283"/>
      <c r="AH7" s="1274"/>
      <c r="AI7" s="1280"/>
      <c r="AJ7" s="1280"/>
      <c r="AK7" s="1280"/>
      <c r="AL7" s="1280"/>
      <c r="AM7" s="1280"/>
      <c r="AN7" s="1280"/>
      <c r="AO7" s="1289"/>
      <c r="AP7" s="79"/>
    </row>
    <row r="8" spans="1:42" ht="18" customHeight="1">
      <c r="A8" s="1257"/>
      <c r="B8" s="1257"/>
      <c r="C8" s="1257"/>
      <c r="D8" s="1257"/>
      <c r="E8" s="1257"/>
      <c r="F8" s="1257"/>
      <c r="G8" s="1257"/>
      <c r="H8" s="1257"/>
      <c r="I8" s="1257"/>
      <c r="J8" s="1257"/>
      <c r="K8" s="1258"/>
      <c r="L8" s="1258"/>
      <c r="M8" s="1258"/>
      <c r="N8" s="1258"/>
      <c r="O8" s="1255"/>
      <c r="P8" s="1255"/>
      <c r="Q8" s="1255"/>
      <c r="R8" s="1255"/>
      <c r="S8" s="758"/>
      <c r="T8" s="758"/>
      <c r="U8" s="758"/>
      <c r="V8" s="758"/>
      <c r="W8" s="758"/>
      <c r="X8" s="758"/>
      <c r="Y8" s="758"/>
      <c r="Z8" s="758"/>
      <c r="AC8" s="1280"/>
      <c r="AD8" s="1283"/>
      <c r="AE8" s="1283"/>
      <c r="AF8" s="1283"/>
      <c r="AG8" s="1283"/>
      <c r="AH8" s="1274"/>
      <c r="AI8" s="1277"/>
      <c r="AJ8" s="1280"/>
      <c r="AK8" s="1280"/>
      <c r="AL8" s="1280"/>
      <c r="AM8" s="1280"/>
      <c r="AN8" s="1280"/>
      <c r="AO8" s="1289"/>
      <c r="AP8" s="79"/>
    </row>
    <row r="9" spans="1:42" ht="18" customHeight="1">
      <c r="A9" s="1257"/>
      <c r="B9" s="1257"/>
      <c r="C9" s="1257"/>
      <c r="D9" s="1257"/>
      <c r="E9" s="1257"/>
      <c r="F9" s="1257"/>
      <c r="G9" s="1257"/>
      <c r="H9" s="1257"/>
      <c r="I9" s="1257"/>
      <c r="J9" s="1257"/>
      <c r="K9" s="1258"/>
      <c r="L9" s="1258"/>
      <c r="M9" s="1258"/>
      <c r="N9" s="1258"/>
      <c r="O9" s="1255"/>
      <c r="P9" s="1255"/>
      <c r="Q9" s="1255"/>
      <c r="R9" s="1255"/>
      <c r="S9" s="758"/>
      <c r="T9" s="758"/>
      <c r="U9" s="758"/>
      <c r="V9" s="758"/>
      <c r="W9" s="758"/>
      <c r="X9" s="758"/>
      <c r="Y9" s="758"/>
      <c r="Z9" s="758"/>
      <c r="AC9" s="1280"/>
      <c r="AD9" s="1283"/>
      <c r="AE9" s="1283"/>
      <c r="AF9" s="1283"/>
      <c r="AG9" s="1283"/>
      <c r="AH9" s="1274"/>
      <c r="AI9" s="1278"/>
      <c r="AJ9" s="1280"/>
      <c r="AK9" s="1280"/>
      <c r="AL9" s="1280"/>
      <c r="AM9" s="1280"/>
      <c r="AN9" s="1280"/>
      <c r="AO9" s="1289"/>
      <c r="AP9" s="79"/>
    </row>
    <row r="10" spans="1:42" ht="18" customHeight="1">
      <c r="A10" s="1257"/>
      <c r="B10" s="1257"/>
      <c r="C10" s="1257"/>
      <c r="D10" s="1257"/>
      <c r="E10" s="1257"/>
      <c r="F10" s="1257"/>
      <c r="G10" s="1257"/>
      <c r="H10" s="1257"/>
      <c r="I10" s="1257"/>
      <c r="J10" s="1257"/>
      <c r="K10" s="1258"/>
      <c r="L10" s="1258"/>
      <c r="M10" s="1258"/>
      <c r="N10" s="1258"/>
      <c r="O10" s="1255"/>
      <c r="P10" s="1255"/>
      <c r="Q10" s="1255"/>
      <c r="R10" s="1255"/>
      <c r="S10" s="758"/>
      <c r="T10" s="758"/>
      <c r="U10" s="758"/>
      <c r="V10" s="758"/>
      <c r="W10" s="758"/>
      <c r="X10" s="758"/>
      <c r="Y10" s="758"/>
      <c r="Z10" s="758"/>
      <c r="AC10" s="1280"/>
      <c r="AD10" s="1283"/>
      <c r="AE10" s="1283"/>
      <c r="AF10" s="1283"/>
      <c r="AG10" s="1283"/>
      <c r="AH10" s="1274"/>
      <c r="AI10" s="1280"/>
      <c r="AJ10" s="1280"/>
      <c r="AK10" s="1280"/>
      <c r="AL10" s="1280"/>
      <c r="AM10" s="1280"/>
      <c r="AN10" s="1280"/>
      <c r="AO10" s="1289"/>
      <c r="AP10" s="79"/>
    </row>
    <row r="11" spans="1:42" ht="18" customHeight="1" thickBot="1">
      <c r="A11" s="1576" t="s">
        <v>792</v>
      </c>
      <c r="B11" s="1257"/>
      <c r="C11" s="1257"/>
      <c r="D11" s="1257"/>
      <c r="E11" s="1257"/>
      <c r="F11" s="1257"/>
      <c r="G11" s="1576" t="s">
        <v>792</v>
      </c>
      <c r="H11" s="1257"/>
      <c r="I11" s="1257"/>
      <c r="J11" s="1257"/>
      <c r="K11" s="1258"/>
      <c r="L11" s="1576" t="s">
        <v>792</v>
      </c>
      <c r="M11" s="1258"/>
      <c r="N11" s="1576" t="s">
        <v>792</v>
      </c>
      <c r="O11" s="1255"/>
      <c r="P11" s="1255"/>
      <c r="Q11" s="1255"/>
      <c r="R11" s="1576" t="s">
        <v>792</v>
      </c>
      <c r="S11" s="758"/>
      <c r="T11" s="758"/>
      <c r="U11" s="758"/>
      <c r="V11" s="758"/>
      <c r="W11" s="758"/>
      <c r="X11" s="1576" t="s">
        <v>792</v>
      </c>
      <c r="Y11" s="758"/>
      <c r="Z11" s="1576" t="s">
        <v>792</v>
      </c>
      <c r="AC11" s="1280"/>
      <c r="AD11" s="1283"/>
      <c r="AE11" s="1283"/>
      <c r="AF11" s="1283"/>
      <c r="AG11" s="1283"/>
      <c r="AH11" s="1274"/>
      <c r="AI11" s="1280"/>
      <c r="AJ11" s="1280"/>
      <c r="AK11" s="1280"/>
      <c r="AL11" s="1280"/>
      <c r="AM11" s="1280"/>
      <c r="AN11" s="1280"/>
      <c r="AO11" s="1289"/>
      <c r="AP11" s="79"/>
    </row>
    <row r="12" spans="1:42" s="1334" customFormat="1" ht="18" customHeight="1" thickBot="1">
      <c r="A12" s="1323">
        <f>SUM(A14,A58)</f>
        <v>55</v>
      </c>
      <c r="B12" s="3262" t="s">
        <v>1115</v>
      </c>
      <c r="C12" s="3263"/>
      <c r="D12" s="3263"/>
      <c r="E12" s="3263"/>
      <c r="F12" s="3264"/>
      <c r="G12" s="874">
        <f>SUM(G14,G58)</f>
        <v>516</v>
      </c>
      <c r="H12" s="875"/>
      <c r="I12" s="1325"/>
      <c r="J12" s="1325"/>
      <c r="K12" s="1326"/>
      <c r="L12" s="876">
        <f>SUM(L14,L58)</f>
        <v>407.75</v>
      </c>
      <c r="M12" s="877"/>
      <c r="N12" s="1580">
        <f>SUM(N14,N58)</f>
        <v>5</v>
      </c>
      <c r="O12" s="1327"/>
      <c r="P12" s="1327"/>
      <c r="Q12" s="1327"/>
      <c r="R12" s="1579">
        <f>SUM(R14,R58)</f>
        <v>5</v>
      </c>
      <c r="S12" s="1329"/>
      <c r="T12" s="1327">
        <f>SUM(T14,T58)</f>
        <v>516</v>
      </c>
      <c r="U12" s="1327">
        <f>SUM(U14,U58)</f>
        <v>480</v>
      </c>
      <c r="V12" s="1327">
        <f>SUM(V14,V58)</f>
        <v>430.5</v>
      </c>
      <c r="W12" s="1327">
        <f>SUM(W14,W58)</f>
        <v>407.75</v>
      </c>
      <c r="X12" s="1260">
        <f>SUM(X14,X58)</f>
        <v>29.75</v>
      </c>
      <c r="Y12" s="1329"/>
      <c r="Z12" s="1330">
        <f>SUM(Z14,Z58)</f>
        <v>3987.5</v>
      </c>
      <c r="AA12" s="1331"/>
      <c r="AB12" s="1332"/>
      <c r="AC12" s="1333"/>
      <c r="AD12" s="1333"/>
      <c r="AE12" s="1333"/>
      <c r="AF12" s="1333"/>
      <c r="AG12" s="1333"/>
      <c r="AH12" s="1333"/>
      <c r="AI12" s="1333"/>
      <c r="AJ12" s="1333"/>
      <c r="AK12" s="1333"/>
      <c r="AL12" s="1333"/>
      <c r="AM12" s="1333"/>
      <c r="AN12" s="1333"/>
      <c r="AO12" s="1333"/>
      <c r="AP12" s="1333"/>
    </row>
    <row r="13" spans="1:42" ht="18" customHeight="1" thickBot="1">
      <c r="A13" s="755"/>
      <c r="B13" s="868"/>
      <c r="C13" s="757"/>
      <c r="D13" s="873"/>
      <c r="E13" s="755"/>
      <c r="F13" s="755"/>
      <c r="G13" s="758"/>
      <c r="H13" s="758"/>
      <c r="I13" s="758"/>
      <c r="J13" s="758"/>
      <c r="K13" s="758"/>
      <c r="L13" s="758"/>
      <c r="M13" s="758"/>
      <c r="N13" s="758"/>
      <c r="O13" s="758"/>
      <c r="P13" s="758"/>
      <c r="Q13" s="758"/>
      <c r="R13" s="758"/>
      <c r="S13" s="758"/>
      <c r="T13" s="758"/>
      <c r="U13" s="758"/>
      <c r="V13" s="758"/>
      <c r="W13" s="758"/>
      <c r="X13" s="758"/>
      <c r="Y13" s="758"/>
      <c r="Z13" s="921" t="s">
        <v>792</v>
      </c>
    </row>
    <row r="14" spans="1:42" s="1334" customFormat="1" ht="18" customHeight="1" thickBot="1">
      <c r="A14" s="1323">
        <f>COUNT(A17:A44)</f>
        <v>28</v>
      </c>
      <c r="B14" s="3262" t="s">
        <v>1116</v>
      </c>
      <c r="C14" s="3263"/>
      <c r="D14" s="3263"/>
      <c r="E14" s="3263"/>
      <c r="F14" s="3264"/>
      <c r="G14" s="874">
        <f>SUM(G17:G44)</f>
        <v>258</v>
      </c>
      <c r="H14" s="875"/>
      <c r="I14" s="1325"/>
      <c r="J14" s="1325"/>
      <c r="K14" s="1326"/>
      <c r="L14" s="876">
        <f>SUM(L17:L44)</f>
        <v>202.25</v>
      </c>
      <c r="M14" s="877"/>
      <c r="N14" s="1580">
        <f>COUNTIF(N17:N44,"FT")</f>
        <v>2</v>
      </c>
      <c r="O14" s="1327"/>
      <c r="P14" s="1327"/>
      <c r="Q14" s="1327"/>
      <c r="R14" s="1579">
        <f>SUM(R17:R44)</f>
        <v>2</v>
      </c>
      <c r="S14" s="1329"/>
      <c r="T14" s="1327">
        <f t="shared" ref="T14:W14" si="0">SUM(T17:T44)</f>
        <v>258</v>
      </c>
      <c r="U14" s="1327">
        <f t="shared" si="0"/>
        <v>240</v>
      </c>
      <c r="V14" s="1327">
        <f t="shared" si="0"/>
        <v>221</v>
      </c>
      <c r="W14" s="1327">
        <f t="shared" si="0"/>
        <v>202.25</v>
      </c>
      <c r="X14" s="1260">
        <f>SUM(X17:X44)</f>
        <v>18.75</v>
      </c>
      <c r="Y14" s="1329"/>
      <c r="Z14" s="1330">
        <f>SUM(Z17:Z44)</f>
        <v>1937.5</v>
      </c>
      <c r="AA14" s="1335"/>
      <c r="AB14" s="1336"/>
    </row>
    <row r="15" spans="1:42" ht="45" customHeight="1">
      <c r="A15" s="3254" t="s">
        <v>843</v>
      </c>
      <c r="B15" s="3258" t="s">
        <v>845</v>
      </c>
      <c r="C15" s="3260" t="s">
        <v>846</v>
      </c>
      <c r="D15" s="3261"/>
      <c r="E15" s="3261"/>
      <c r="F15" s="3261"/>
      <c r="G15" s="3277" t="s">
        <v>847</v>
      </c>
      <c r="H15" s="3260" t="s">
        <v>848</v>
      </c>
      <c r="I15" s="3261"/>
      <c r="J15" s="3261"/>
      <c r="K15" s="3261"/>
      <c r="L15" s="3248" t="s">
        <v>849</v>
      </c>
      <c r="M15" s="3250" t="s">
        <v>850</v>
      </c>
      <c r="N15" s="3252" t="s">
        <v>851</v>
      </c>
      <c r="O15" s="3280" t="s">
        <v>852</v>
      </c>
      <c r="P15" s="3282" t="s">
        <v>853</v>
      </c>
      <c r="Q15" s="3282" t="s">
        <v>854</v>
      </c>
      <c r="R15" s="3282" t="s">
        <v>1202</v>
      </c>
      <c r="S15" s="3284" t="s">
        <v>855</v>
      </c>
      <c r="T15" s="3288" t="s">
        <v>1203</v>
      </c>
      <c r="U15" s="3288" t="s">
        <v>856</v>
      </c>
      <c r="V15" s="3243" t="s">
        <v>857</v>
      </c>
      <c r="W15" s="3288" t="s">
        <v>849</v>
      </c>
      <c r="X15" s="3288" t="s">
        <v>1204</v>
      </c>
      <c r="Y15" s="3284" t="s">
        <v>1205</v>
      </c>
      <c r="Z15" s="3275" t="s">
        <v>1112</v>
      </c>
      <c r="AA15" s="3290" t="s">
        <v>863</v>
      </c>
      <c r="AB15" s="3286" t="s">
        <v>1450</v>
      </c>
    </row>
    <row r="16" spans="1:42" ht="45" customHeight="1">
      <c r="A16" s="3255"/>
      <c r="B16" s="3259"/>
      <c r="C16" s="879" t="s">
        <v>182</v>
      </c>
      <c r="D16" s="880" t="s">
        <v>859</v>
      </c>
      <c r="E16" s="880" t="s">
        <v>182</v>
      </c>
      <c r="F16" s="880" t="s">
        <v>859</v>
      </c>
      <c r="G16" s="3278"/>
      <c r="H16" s="879" t="s">
        <v>182</v>
      </c>
      <c r="I16" s="880" t="s">
        <v>859</v>
      </c>
      <c r="J16" s="880" t="s">
        <v>182</v>
      </c>
      <c r="K16" s="880" t="s">
        <v>859</v>
      </c>
      <c r="L16" s="3249"/>
      <c r="M16" s="3251"/>
      <c r="N16" s="3253"/>
      <c r="O16" s="3281"/>
      <c r="P16" s="3283"/>
      <c r="Q16" s="3283"/>
      <c r="R16" s="3283"/>
      <c r="S16" s="3285"/>
      <c r="T16" s="3289"/>
      <c r="U16" s="3289"/>
      <c r="V16" s="3244"/>
      <c r="W16" s="3289"/>
      <c r="X16" s="3289"/>
      <c r="Y16" s="3285"/>
      <c r="Z16" s="3276"/>
      <c r="AA16" s="3291"/>
      <c r="AB16" s="3287"/>
    </row>
    <row r="17" spans="1:28" ht="18" customHeight="1">
      <c r="A17" s="881">
        <v>45964</v>
      </c>
      <c r="B17" s="882" t="s">
        <v>186</v>
      </c>
      <c r="C17" s="883">
        <v>0.25</v>
      </c>
      <c r="D17" s="884">
        <v>0.5</v>
      </c>
      <c r="E17" s="884">
        <v>0.52083333333333337</v>
      </c>
      <c r="F17" s="884">
        <v>0.75</v>
      </c>
      <c r="G17" s="885">
        <f t="shared" ref="G17:G44" si="1">IF(COUNT(C17:F17)&gt;0,(D17-C17+F17-E17)*24,"")</f>
        <v>11.5</v>
      </c>
      <c r="H17" s="883">
        <v>0.25</v>
      </c>
      <c r="I17" s="884">
        <v>0.5</v>
      </c>
      <c r="J17" s="884"/>
      <c r="K17" s="884"/>
      <c r="L17" s="886">
        <f t="shared" ref="L17:L44" si="2">IF(COUNT(H17:K17)&gt;0,(I17-H17+K17-J17)*24,"")</f>
        <v>6</v>
      </c>
      <c r="M17" s="887" t="str">
        <f>IF(AND(G17&lt;&gt;"",L17=""),"[d]-Min",IF(AND(G17="",L17&lt;&gt;""),"[d]-Max",IF(L17&lt;G17,"[h]-Min",IF(L17&gt;G17,"[h]-Max","ok"))))</f>
        <v>[h]-Min</v>
      </c>
      <c r="N17" s="888" t="s">
        <v>862</v>
      </c>
      <c r="O17" s="889"/>
      <c r="P17" s="890"/>
      <c r="Q17" s="891"/>
      <c r="R17" s="892"/>
      <c r="S17" s="893"/>
      <c r="T17" s="894"/>
      <c r="U17" s="894"/>
      <c r="V17" s="894"/>
      <c r="W17" s="894"/>
      <c r="X17" s="895"/>
      <c r="Y17" s="893"/>
      <c r="Z17" s="923"/>
      <c r="AA17" s="925">
        <v>45</v>
      </c>
      <c r="AB17" s="926" t="s">
        <v>865</v>
      </c>
    </row>
    <row r="18" spans="1:28" ht="18" customHeight="1">
      <c r="A18" s="881">
        <v>45965</v>
      </c>
      <c r="B18" s="882" t="s">
        <v>187</v>
      </c>
      <c r="C18" s="883">
        <v>0.25</v>
      </c>
      <c r="D18" s="884">
        <v>0.5</v>
      </c>
      <c r="E18" s="884">
        <v>0.52083333333333337</v>
      </c>
      <c r="F18" s="884">
        <v>0.75</v>
      </c>
      <c r="G18" s="885">
        <f t="shared" si="1"/>
        <v>11.5</v>
      </c>
      <c r="H18" s="883">
        <v>0.25</v>
      </c>
      <c r="I18" s="884">
        <v>0.5</v>
      </c>
      <c r="J18" s="884">
        <v>0.52083333333333337</v>
      </c>
      <c r="K18" s="884">
        <v>0.75</v>
      </c>
      <c r="L18" s="886">
        <f t="shared" si="2"/>
        <v>11.5</v>
      </c>
      <c r="M18" s="887" t="str">
        <f t="shared" ref="M18:M25" si="3">IF(AND(G18&lt;&gt;"",L18=""),"[d]-Min",IF(AND(G18="",L18&lt;&gt;""),"[d]-Max",IF(L18&lt;G18,"[h]-Min",IF(L18&gt;G18,"[h]-Max","ok"))))</f>
        <v>ok</v>
      </c>
      <c r="N18" s="888"/>
      <c r="O18" s="889"/>
      <c r="P18" s="890"/>
      <c r="Q18" s="891"/>
      <c r="R18" s="892"/>
      <c r="S18" s="893"/>
      <c r="T18" s="894"/>
      <c r="U18" s="894"/>
      <c r="V18" s="894"/>
      <c r="W18" s="894"/>
      <c r="X18" s="895"/>
      <c r="Y18" s="893"/>
      <c r="Z18" s="923"/>
      <c r="AA18" s="925">
        <v>45</v>
      </c>
      <c r="AB18" s="925"/>
    </row>
    <row r="19" spans="1:28" ht="18" customHeight="1">
      <c r="A19" s="881">
        <v>45966</v>
      </c>
      <c r="B19" s="882" t="s">
        <v>188</v>
      </c>
      <c r="C19" s="883">
        <v>0.25</v>
      </c>
      <c r="D19" s="884">
        <v>0.5</v>
      </c>
      <c r="E19" s="884">
        <v>0.52083333333333337</v>
      </c>
      <c r="F19" s="884">
        <v>0.75</v>
      </c>
      <c r="G19" s="885">
        <f t="shared" si="1"/>
        <v>11.5</v>
      </c>
      <c r="H19" s="883"/>
      <c r="I19" s="884"/>
      <c r="J19" s="884"/>
      <c r="K19" s="884"/>
      <c r="L19" s="886" t="str">
        <f t="shared" si="2"/>
        <v/>
      </c>
      <c r="M19" s="887" t="str">
        <f t="shared" si="3"/>
        <v>[d]-Min</v>
      </c>
      <c r="N19" s="888"/>
      <c r="O19" s="889"/>
      <c r="P19" s="890"/>
      <c r="Q19" s="891"/>
      <c r="R19" s="892"/>
      <c r="S19" s="893"/>
      <c r="T19" s="894"/>
      <c r="U19" s="894"/>
      <c r="V19" s="894"/>
      <c r="W19" s="894"/>
      <c r="X19" s="895"/>
      <c r="Y19" s="893"/>
      <c r="Z19" s="923"/>
      <c r="AA19" s="925">
        <v>45</v>
      </c>
      <c r="AB19" s="926" t="s">
        <v>806</v>
      </c>
    </row>
    <row r="20" spans="1:28" ht="18" customHeight="1">
      <c r="A20" s="881">
        <v>45967</v>
      </c>
      <c r="B20" s="882" t="s">
        <v>189</v>
      </c>
      <c r="C20" s="883">
        <v>0.25</v>
      </c>
      <c r="D20" s="884">
        <v>0.5</v>
      </c>
      <c r="E20" s="884">
        <v>0.52083333333333337</v>
      </c>
      <c r="F20" s="884">
        <v>0.75</v>
      </c>
      <c r="G20" s="885">
        <f t="shared" si="1"/>
        <v>11.5</v>
      </c>
      <c r="H20" s="883">
        <v>0.25</v>
      </c>
      <c r="I20" s="884">
        <v>0.5</v>
      </c>
      <c r="J20" s="884"/>
      <c r="K20" s="884"/>
      <c r="L20" s="886">
        <f t="shared" si="2"/>
        <v>6</v>
      </c>
      <c r="M20" s="887" t="str">
        <f t="shared" si="3"/>
        <v>[h]-Min</v>
      </c>
      <c r="N20" s="888"/>
      <c r="O20" s="889"/>
      <c r="P20" s="890"/>
      <c r="Q20" s="891"/>
      <c r="R20" s="892"/>
      <c r="S20" s="893"/>
      <c r="T20" s="894"/>
      <c r="U20" s="894"/>
      <c r="V20" s="894"/>
      <c r="W20" s="894"/>
      <c r="X20" s="895"/>
      <c r="Y20" s="893"/>
      <c r="Z20" s="923"/>
      <c r="AA20" s="925">
        <v>45</v>
      </c>
      <c r="AB20" s="926" t="s">
        <v>864</v>
      </c>
    </row>
    <row r="21" spans="1:28" ht="18" customHeight="1">
      <c r="A21" s="881">
        <v>45968</v>
      </c>
      <c r="B21" s="882" t="s">
        <v>190</v>
      </c>
      <c r="C21" s="883">
        <v>0.25</v>
      </c>
      <c r="D21" s="884">
        <v>0.5</v>
      </c>
      <c r="E21" s="884">
        <v>0.52083333333333337</v>
      </c>
      <c r="F21" s="884">
        <v>0.66666666666666663</v>
      </c>
      <c r="G21" s="885">
        <f t="shared" si="1"/>
        <v>9.4999999999999982</v>
      </c>
      <c r="H21" s="883">
        <v>0.25</v>
      </c>
      <c r="I21" s="884">
        <v>0.5</v>
      </c>
      <c r="J21" s="884">
        <v>0.52083333333333337</v>
      </c>
      <c r="K21" s="884">
        <v>0.75</v>
      </c>
      <c r="L21" s="886">
        <f t="shared" si="2"/>
        <v>11.5</v>
      </c>
      <c r="M21" s="887" t="str">
        <f t="shared" si="3"/>
        <v>[h]-Max</v>
      </c>
      <c r="N21" s="888"/>
      <c r="O21" s="889"/>
      <c r="P21" s="890"/>
      <c r="Q21" s="891"/>
      <c r="R21" s="892"/>
      <c r="S21" s="893"/>
      <c r="T21" s="894"/>
      <c r="U21" s="894"/>
      <c r="V21" s="894"/>
      <c r="W21" s="894"/>
      <c r="X21" s="895"/>
      <c r="Y21" s="893"/>
      <c r="Z21" s="923"/>
      <c r="AA21" s="925">
        <v>45</v>
      </c>
      <c r="AB21" s="925"/>
    </row>
    <row r="22" spans="1:28" ht="18" customHeight="1">
      <c r="A22" s="881">
        <v>45969</v>
      </c>
      <c r="B22" s="882" t="s">
        <v>191</v>
      </c>
      <c r="C22" s="883"/>
      <c r="D22" s="884"/>
      <c r="E22" s="884"/>
      <c r="F22" s="884"/>
      <c r="G22" s="885" t="str">
        <f t="shared" si="1"/>
        <v/>
      </c>
      <c r="H22" s="883">
        <v>0.25</v>
      </c>
      <c r="I22" s="884">
        <v>0.5</v>
      </c>
      <c r="J22" s="884"/>
      <c r="K22" s="884"/>
      <c r="L22" s="886">
        <f t="shared" si="2"/>
        <v>6</v>
      </c>
      <c r="M22" s="887" t="str">
        <f t="shared" si="3"/>
        <v>[d]-Max</v>
      </c>
      <c r="N22" s="888"/>
      <c r="O22" s="889"/>
      <c r="P22" s="890"/>
      <c r="Q22" s="891"/>
      <c r="R22" s="892"/>
      <c r="S22" s="893"/>
      <c r="T22" s="894"/>
      <c r="U22" s="894"/>
      <c r="V22" s="894"/>
      <c r="W22" s="894"/>
      <c r="X22" s="895"/>
      <c r="Y22" s="893"/>
      <c r="Z22" s="923"/>
      <c r="AA22" s="925">
        <v>45</v>
      </c>
      <c r="AB22" s="925"/>
    </row>
    <row r="23" spans="1:28" ht="18" customHeight="1">
      <c r="A23" s="881">
        <v>45970</v>
      </c>
      <c r="B23" s="882" t="s">
        <v>192</v>
      </c>
      <c r="C23" s="883">
        <v>0.25</v>
      </c>
      <c r="D23" s="884">
        <v>0.5</v>
      </c>
      <c r="E23" s="884">
        <v>0.52083333333333337</v>
      </c>
      <c r="F23" s="884">
        <v>0.66666666666666663</v>
      </c>
      <c r="G23" s="885">
        <f t="shared" si="1"/>
        <v>9.4999999999999982</v>
      </c>
      <c r="H23" s="883">
        <v>0.25</v>
      </c>
      <c r="I23" s="884">
        <v>0.5</v>
      </c>
      <c r="J23" s="884">
        <v>0.52083333333333337</v>
      </c>
      <c r="K23" s="884">
        <v>0.66666666666666663</v>
      </c>
      <c r="L23" s="886">
        <f t="shared" si="2"/>
        <v>9.4999999999999982</v>
      </c>
      <c r="M23" s="887" t="str">
        <f t="shared" si="3"/>
        <v>ok</v>
      </c>
      <c r="N23" s="888"/>
      <c r="O23" s="889">
        <f>IF(COUNT(G17:G23)&gt;=$X$4,$X$4,COUNT(G17:G23))</f>
        <v>6</v>
      </c>
      <c r="P23" s="890">
        <f>COUNT(G17:G23)</f>
        <v>6</v>
      </c>
      <c r="Q23" s="891">
        <f>COUNT(L17:L23)</f>
        <v>6</v>
      </c>
      <c r="R23" s="892">
        <f>IF(Q23&gt;O23,0,O23-Q23)</f>
        <v>0</v>
      </c>
      <c r="S23" s="893">
        <f>R23*$K$5</f>
        <v>0</v>
      </c>
      <c r="T23" s="894">
        <f>SUM(G17:G23)</f>
        <v>65</v>
      </c>
      <c r="U23" s="894">
        <f>MIN($Z$4,T23)</f>
        <v>60</v>
      </c>
      <c r="V23" s="894">
        <f>IF(R23&lt;=0,U23,U23-SUMIF(M17:M23,"[d]-Min",G17:G23))</f>
        <v>60</v>
      </c>
      <c r="W23" s="894">
        <f>SUM(L17:L23)</f>
        <v>50.5</v>
      </c>
      <c r="X23" s="895">
        <f>IF(W23&lt;MIN(U23,V23),ROUND(MIN(U23,V23)-W23,2),0)</f>
        <v>9.5</v>
      </c>
      <c r="Y23" s="893">
        <f>X23*$K$6</f>
        <v>475</v>
      </c>
      <c r="Z23" s="923">
        <f>Y23+S23</f>
        <v>475</v>
      </c>
      <c r="AA23" s="925">
        <v>45</v>
      </c>
      <c r="AB23" s="928"/>
    </row>
    <row r="24" spans="1:28" ht="18" customHeight="1">
      <c r="A24" s="881">
        <v>45971</v>
      </c>
      <c r="B24" s="882" t="s">
        <v>186</v>
      </c>
      <c r="C24" s="883">
        <v>0.25</v>
      </c>
      <c r="D24" s="884">
        <v>0.5</v>
      </c>
      <c r="E24" s="884">
        <v>0.52083333333333337</v>
      </c>
      <c r="F24" s="884">
        <v>0.75</v>
      </c>
      <c r="G24" s="885">
        <f t="shared" si="1"/>
        <v>11.5</v>
      </c>
      <c r="H24" s="883">
        <v>0.25</v>
      </c>
      <c r="I24" s="884">
        <v>0.5</v>
      </c>
      <c r="J24" s="884">
        <v>0.52083333333333337</v>
      </c>
      <c r="K24" s="884">
        <v>0.75</v>
      </c>
      <c r="L24" s="886">
        <f t="shared" si="2"/>
        <v>11.5</v>
      </c>
      <c r="M24" s="887" t="str">
        <f t="shared" si="3"/>
        <v>ok</v>
      </c>
      <c r="N24" s="888"/>
      <c r="O24" s="889"/>
      <c r="P24" s="890"/>
      <c r="Q24" s="891"/>
      <c r="R24" s="892"/>
      <c r="S24" s="893"/>
      <c r="T24" s="894"/>
      <c r="U24" s="894"/>
      <c r="V24" s="894"/>
      <c r="W24" s="894"/>
      <c r="X24" s="895"/>
      <c r="Y24" s="893"/>
      <c r="Z24" s="923"/>
      <c r="AA24" s="929">
        <v>46</v>
      </c>
      <c r="AB24" s="929"/>
    </row>
    <row r="25" spans="1:28" ht="18" customHeight="1">
      <c r="A25" s="881">
        <v>45972</v>
      </c>
      <c r="B25" s="882" t="s">
        <v>187</v>
      </c>
      <c r="C25" s="883">
        <v>0.25</v>
      </c>
      <c r="D25" s="884">
        <v>0.5</v>
      </c>
      <c r="E25" s="884">
        <v>0.52083333333333337</v>
      </c>
      <c r="F25" s="884">
        <v>0.75</v>
      </c>
      <c r="G25" s="885">
        <f t="shared" si="1"/>
        <v>11.5</v>
      </c>
      <c r="H25" s="883">
        <v>0.25</v>
      </c>
      <c r="I25" s="884">
        <v>0.5</v>
      </c>
      <c r="J25" s="884"/>
      <c r="K25" s="884"/>
      <c r="L25" s="886">
        <f t="shared" si="2"/>
        <v>6</v>
      </c>
      <c r="M25" s="887" t="str">
        <f t="shared" si="3"/>
        <v>[h]-Min</v>
      </c>
      <c r="N25" s="888"/>
      <c r="O25" s="889"/>
      <c r="P25" s="890"/>
      <c r="Q25" s="891"/>
      <c r="R25" s="892"/>
      <c r="S25" s="893"/>
      <c r="T25" s="894"/>
      <c r="U25" s="894"/>
      <c r="V25" s="894"/>
      <c r="W25" s="894"/>
      <c r="X25" s="895"/>
      <c r="Y25" s="893"/>
      <c r="Z25" s="923"/>
      <c r="AA25" s="929">
        <v>46</v>
      </c>
      <c r="AB25" s="930"/>
    </row>
    <row r="26" spans="1:28" ht="18" customHeight="1">
      <c r="A26" s="881">
        <v>45973</v>
      </c>
      <c r="B26" s="882" t="s">
        <v>188</v>
      </c>
      <c r="C26" s="883">
        <v>0.25</v>
      </c>
      <c r="D26" s="884">
        <v>0.5</v>
      </c>
      <c r="E26" s="884">
        <v>0.52083333333333337</v>
      </c>
      <c r="F26" s="884">
        <v>0.75</v>
      </c>
      <c r="G26" s="885">
        <f t="shared" si="1"/>
        <v>11.5</v>
      </c>
      <c r="H26" s="883">
        <v>0.25</v>
      </c>
      <c r="I26" s="884">
        <v>0.5</v>
      </c>
      <c r="J26" s="884">
        <v>0.52083333333333337</v>
      </c>
      <c r="K26" s="884">
        <v>0.69791666666666663</v>
      </c>
      <c r="L26" s="886">
        <f t="shared" si="2"/>
        <v>10.249999999999998</v>
      </c>
      <c r="M26" s="887" t="str">
        <f t="shared" ref="M26:M44" si="4">IF(AND(G26&lt;&gt;"",L26=""),"[d]-Min",IF(AND(G26="",L26&lt;&gt;""),"[d]-Max",IF(L26&lt;G26,"[h]-Min",IF(L26&gt;G26,"[h]-Max","ok"))))</f>
        <v>[h]-Min</v>
      </c>
      <c r="N26" s="888"/>
      <c r="O26" s="889"/>
      <c r="P26" s="890"/>
      <c r="Q26" s="891"/>
      <c r="R26" s="892"/>
      <c r="S26" s="893"/>
      <c r="T26" s="894"/>
      <c r="U26" s="894"/>
      <c r="V26" s="894"/>
      <c r="W26" s="894"/>
      <c r="X26" s="895"/>
      <c r="Y26" s="893"/>
      <c r="Z26" s="923"/>
      <c r="AA26" s="929">
        <v>46</v>
      </c>
      <c r="AB26" s="930"/>
    </row>
    <row r="27" spans="1:28" ht="18" customHeight="1">
      <c r="A27" s="881">
        <v>45974</v>
      </c>
      <c r="B27" s="882" t="s">
        <v>189</v>
      </c>
      <c r="C27" s="883">
        <v>0.25</v>
      </c>
      <c r="D27" s="884">
        <v>0.5</v>
      </c>
      <c r="E27" s="884">
        <v>0.52083333333333337</v>
      </c>
      <c r="F27" s="884">
        <v>0.75</v>
      </c>
      <c r="G27" s="885">
        <f t="shared" si="1"/>
        <v>11.5</v>
      </c>
      <c r="H27" s="883">
        <v>0.25</v>
      </c>
      <c r="I27" s="884">
        <v>0.5</v>
      </c>
      <c r="J27" s="884">
        <v>0.52083333333333337</v>
      </c>
      <c r="K27" s="884">
        <v>0.70833333333333337</v>
      </c>
      <c r="L27" s="886">
        <f t="shared" si="2"/>
        <v>10.5</v>
      </c>
      <c r="M27" s="887" t="str">
        <f t="shared" si="4"/>
        <v>[h]-Min</v>
      </c>
      <c r="N27" s="888"/>
      <c r="O27" s="889"/>
      <c r="P27" s="890"/>
      <c r="Q27" s="891"/>
      <c r="R27" s="892"/>
      <c r="S27" s="893"/>
      <c r="T27" s="894"/>
      <c r="U27" s="894"/>
      <c r="V27" s="894"/>
      <c r="W27" s="894"/>
      <c r="X27" s="895"/>
      <c r="Y27" s="893"/>
      <c r="Z27" s="923"/>
      <c r="AA27" s="929">
        <v>46</v>
      </c>
      <c r="AB27" s="930"/>
    </row>
    <row r="28" spans="1:28" ht="18" customHeight="1">
      <c r="A28" s="881">
        <v>45975</v>
      </c>
      <c r="B28" s="882" t="s">
        <v>190</v>
      </c>
      <c r="C28" s="883">
        <v>0.25</v>
      </c>
      <c r="D28" s="884">
        <v>0.5</v>
      </c>
      <c r="E28" s="884">
        <v>0.52083333333333337</v>
      </c>
      <c r="F28" s="884">
        <v>0.66666666666666663</v>
      </c>
      <c r="G28" s="885">
        <f t="shared" si="1"/>
        <v>9.4999999999999982</v>
      </c>
      <c r="H28" s="883">
        <v>0.25</v>
      </c>
      <c r="I28" s="884">
        <v>0.5</v>
      </c>
      <c r="J28" s="884">
        <v>0.52083333333333337</v>
      </c>
      <c r="K28" s="884">
        <v>0.66666666666666663</v>
      </c>
      <c r="L28" s="886">
        <f t="shared" si="2"/>
        <v>9.4999999999999982</v>
      </c>
      <c r="M28" s="887" t="str">
        <f t="shared" si="4"/>
        <v>ok</v>
      </c>
      <c r="N28" s="888"/>
      <c r="O28" s="889"/>
      <c r="P28" s="890"/>
      <c r="Q28" s="891"/>
      <c r="R28" s="892"/>
      <c r="S28" s="893"/>
      <c r="T28" s="894"/>
      <c r="U28" s="894"/>
      <c r="V28" s="894"/>
      <c r="W28" s="894"/>
      <c r="X28" s="895"/>
      <c r="Y28" s="893"/>
      <c r="Z28" s="923"/>
      <c r="AA28" s="929">
        <v>46</v>
      </c>
      <c r="AB28" s="930"/>
    </row>
    <row r="29" spans="1:28" ht="18" customHeight="1">
      <c r="A29" s="881">
        <v>45976</v>
      </c>
      <c r="B29" s="882" t="s">
        <v>191</v>
      </c>
      <c r="C29" s="883"/>
      <c r="D29" s="884"/>
      <c r="E29" s="884"/>
      <c r="F29" s="884"/>
      <c r="G29" s="885" t="str">
        <f t="shared" si="1"/>
        <v/>
      </c>
      <c r="H29" s="883"/>
      <c r="I29" s="884"/>
      <c r="J29" s="884"/>
      <c r="K29" s="884"/>
      <c r="L29" s="886" t="str">
        <f t="shared" si="2"/>
        <v/>
      </c>
      <c r="M29" s="887" t="str">
        <f t="shared" si="4"/>
        <v>ok</v>
      </c>
      <c r="N29" s="888"/>
      <c r="O29" s="889"/>
      <c r="P29" s="890"/>
      <c r="Q29" s="891"/>
      <c r="R29" s="892"/>
      <c r="S29" s="893"/>
      <c r="T29" s="894"/>
      <c r="U29" s="894"/>
      <c r="V29" s="894"/>
      <c r="W29" s="894"/>
      <c r="X29" s="895"/>
      <c r="Y29" s="893"/>
      <c r="Z29" s="923"/>
      <c r="AA29" s="929">
        <v>46</v>
      </c>
      <c r="AB29" s="931"/>
    </row>
    <row r="30" spans="1:28" ht="18" customHeight="1">
      <c r="A30" s="881">
        <v>45977</v>
      </c>
      <c r="B30" s="882" t="s">
        <v>192</v>
      </c>
      <c r="C30" s="883">
        <v>0.25</v>
      </c>
      <c r="D30" s="884">
        <v>0.5</v>
      </c>
      <c r="E30" s="884">
        <v>0.52083333333333337</v>
      </c>
      <c r="F30" s="884">
        <v>0.58333333333333337</v>
      </c>
      <c r="G30" s="885">
        <f t="shared" si="1"/>
        <v>7.5</v>
      </c>
      <c r="H30" s="883"/>
      <c r="I30" s="884"/>
      <c r="J30" s="884"/>
      <c r="K30" s="884"/>
      <c r="L30" s="886" t="str">
        <f t="shared" si="2"/>
        <v/>
      </c>
      <c r="M30" s="887" t="str">
        <f t="shared" si="4"/>
        <v>[d]-Min</v>
      </c>
      <c r="N30" s="888"/>
      <c r="O30" s="889">
        <f>IF(COUNT(G24:G30)&gt;=$X$4,$X$4,COUNT(G24:G30))</f>
        <v>6</v>
      </c>
      <c r="P30" s="890">
        <f>COUNT(G24:G30)</f>
        <v>6</v>
      </c>
      <c r="Q30" s="891">
        <f>COUNT(L24:L30)</f>
        <v>5</v>
      </c>
      <c r="R30" s="892">
        <f>IF(Q30&gt;O30,0,O30-Q30)</f>
        <v>1</v>
      </c>
      <c r="S30" s="893">
        <f>R30*$K$5</f>
        <v>500</v>
      </c>
      <c r="T30" s="894">
        <f>SUM(G24:G30)</f>
        <v>63</v>
      </c>
      <c r="U30" s="894">
        <f>MIN($Z$4,T30)</f>
        <v>60</v>
      </c>
      <c r="V30" s="894">
        <f>IF(R30&lt;=0,U30,U30-SUMIF(M24:M30,"[d]-Min",G24:G30))</f>
        <v>52.5</v>
      </c>
      <c r="W30" s="894">
        <f>SUM(L24:L30)</f>
        <v>47.75</v>
      </c>
      <c r="X30" s="895">
        <f>IF(W30&lt;MIN(U30,V30),ROUND(MIN(U30,V30)-W30,2),0)</f>
        <v>4.75</v>
      </c>
      <c r="Y30" s="893">
        <f>X30*$K$6</f>
        <v>237.5</v>
      </c>
      <c r="Z30" s="923">
        <f>Y30+S30</f>
        <v>737.5</v>
      </c>
      <c r="AA30" s="929">
        <v>46</v>
      </c>
      <c r="AB30" s="932" t="s">
        <v>806</v>
      </c>
    </row>
    <row r="31" spans="1:28" ht="18" customHeight="1">
      <c r="A31" s="881">
        <v>45978</v>
      </c>
      <c r="B31" s="882" t="s">
        <v>186</v>
      </c>
      <c r="C31" s="883">
        <v>0.25</v>
      </c>
      <c r="D31" s="884">
        <v>0.5</v>
      </c>
      <c r="E31" s="884">
        <v>0.52083333333333337</v>
      </c>
      <c r="F31" s="884">
        <v>0.75</v>
      </c>
      <c r="G31" s="885">
        <f t="shared" si="1"/>
        <v>11.5</v>
      </c>
      <c r="H31" s="883">
        <v>0.25</v>
      </c>
      <c r="I31" s="884">
        <v>0.5</v>
      </c>
      <c r="J31" s="884">
        <v>0.52083333333333337</v>
      </c>
      <c r="K31" s="884">
        <v>0.75</v>
      </c>
      <c r="L31" s="886">
        <f t="shared" si="2"/>
        <v>11.5</v>
      </c>
      <c r="M31" s="887" t="str">
        <f t="shared" ref="M31:M36" si="5">IF(AND(G31&lt;&gt;"",L31=""),"[d]-Min",IF(AND(G31="",L31&lt;&gt;""),"[d]-Max",IF(L31&lt;G31,"[h]-Min",IF(L31&gt;G31,"[h]-Max","ok"))))</f>
        <v>ok</v>
      </c>
      <c r="N31" s="888"/>
      <c r="O31" s="889"/>
      <c r="P31" s="890"/>
      <c r="Q31" s="891"/>
      <c r="R31" s="892"/>
      <c r="S31" s="893"/>
      <c r="T31" s="894"/>
      <c r="U31" s="894"/>
      <c r="V31" s="894"/>
      <c r="W31" s="894"/>
      <c r="X31" s="895"/>
      <c r="Y31" s="893"/>
      <c r="Z31" s="923"/>
      <c r="AA31" s="929">
        <v>47</v>
      </c>
      <c r="AB31" s="929"/>
    </row>
    <row r="32" spans="1:28" ht="18" customHeight="1">
      <c r="A32" s="881">
        <v>45979</v>
      </c>
      <c r="B32" s="882" t="s">
        <v>187</v>
      </c>
      <c r="C32" s="883">
        <v>0.25</v>
      </c>
      <c r="D32" s="884">
        <v>0.5</v>
      </c>
      <c r="E32" s="884">
        <v>0.52083333333333337</v>
      </c>
      <c r="F32" s="884">
        <v>0.75</v>
      </c>
      <c r="G32" s="885">
        <f t="shared" si="1"/>
        <v>11.5</v>
      </c>
      <c r="H32" s="883">
        <v>0.25</v>
      </c>
      <c r="I32" s="884">
        <v>0.5</v>
      </c>
      <c r="J32" s="884">
        <v>0.52083333333333337</v>
      </c>
      <c r="K32" s="884">
        <v>0.75</v>
      </c>
      <c r="L32" s="886">
        <f t="shared" si="2"/>
        <v>11.5</v>
      </c>
      <c r="M32" s="887" t="str">
        <f t="shared" si="5"/>
        <v>ok</v>
      </c>
      <c r="N32" s="888"/>
      <c r="O32" s="889"/>
      <c r="P32" s="890"/>
      <c r="Q32" s="891"/>
      <c r="R32" s="892"/>
      <c r="S32" s="893"/>
      <c r="T32" s="894"/>
      <c r="U32" s="894"/>
      <c r="V32" s="894"/>
      <c r="W32" s="894"/>
      <c r="X32" s="895"/>
      <c r="Y32" s="893"/>
      <c r="Z32" s="923"/>
      <c r="AA32" s="929">
        <v>47</v>
      </c>
      <c r="AB32" s="930"/>
    </row>
    <row r="33" spans="1:29" ht="18" customHeight="1">
      <c r="A33" s="881">
        <v>45980</v>
      </c>
      <c r="B33" s="882" t="s">
        <v>188</v>
      </c>
      <c r="C33" s="883">
        <v>0.25</v>
      </c>
      <c r="D33" s="884">
        <v>0.5</v>
      </c>
      <c r="E33" s="884">
        <v>0.52083333333333337</v>
      </c>
      <c r="F33" s="884">
        <v>0.75</v>
      </c>
      <c r="G33" s="885">
        <f t="shared" si="1"/>
        <v>11.5</v>
      </c>
      <c r="H33" s="883"/>
      <c r="I33" s="884"/>
      <c r="J33" s="884"/>
      <c r="K33" s="884"/>
      <c r="L33" s="886" t="str">
        <f t="shared" si="2"/>
        <v/>
      </c>
      <c r="M33" s="887" t="str">
        <f t="shared" si="5"/>
        <v>[d]-Min</v>
      </c>
      <c r="N33" s="888" t="s">
        <v>862</v>
      </c>
      <c r="O33" s="889"/>
      <c r="P33" s="890"/>
      <c r="Q33" s="891"/>
      <c r="R33" s="892"/>
      <c r="S33" s="893"/>
      <c r="T33" s="894"/>
      <c r="U33" s="894"/>
      <c r="V33" s="894"/>
      <c r="W33" s="894"/>
      <c r="X33" s="895"/>
      <c r="Y33" s="893"/>
      <c r="Z33" s="923"/>
      <c r="AA33" s="929">
        <v>47</v>
      </c>
      <c r="AB33" s="930"/>
    </row>
    <row r="34" spans="1:29" ht="18" customHeight="1">
      <c r="A34" s="881">
        <v>45981</v>
      </c>
      <c r="B34" s="882" t="s">
        <v>189</v>
      </c>
      <c r="C34" s="883">
        <v>0.25</v>
      </c>
      <c r="D34" s="884">
        <v>0.5</v>
      </c>
      <c r="E34" s="884">
        <v>0.52083333333333337</v>
      </c>
      <c r="F34" s="884">
        <v>0.75</v>
      </c>
      <c r="G34" s="885">
        <f t="shared" si="1"/>
        <v>11.5</v>
      </c>
      <c r="H34" s="883">
        <v>0.25</v>
      </c>
      <c r="I34" s="884">
        <v>0.5</v>
      </c>
      <c r="J34" s="884"/>
      <c r="K34" s="884"/>
      <c r="L34" s="886">
        <f t="shared" si="2"/>
        <v>6</v>
      </c>
      <c r="M34" s="887" t="str">
        <f t="shared" si="5"/>
        <v>[h]-Min</v>
      </c>
      <c r="N34" s="888"/>
      <c r="O34" s="889"/>
      <c r="P34" s="890"/>
      <c r="Q34" s="891"/>
      <c r="R34" s="892"/>
      <c r="S34" s="893"/>
      <c r="T34" s="894"/>
      <c r="U34" s="894"/>
      <c r="V34" s="894"/>
      <c r="W34" s="894"/>
      <c r="X34" s="895"/>
      <c r="Y34" s="893"/>
      <c r="Z34" s="923"/>
      <c r="AA34" s="929">
        <v>47</v>
      </c>
      <c r="AB34" s="930" t="s">
        <v>866</v>
      </c>
    </row>
    <row r="35" spans="1:29" ht="18" customHeight="1">
      <c r="A35" s="881">
        <v>45982</v>
      </c>
      <c r="B35" s="882" t="s">
        <v>190</v>
      </c>
      <c r="C35" s="883">
        <v>0.25</v>
      </c>
      <c r="D35" s="884">
        <v>0.5</v>
      </c>
      <c r="E35" s="884">
        <v>0.52083333333333337</v>
      </c>
      <c r="F35" s="884">
        <v>0.66666666666666663</v>
      </c>
      <c r="G35" s="885">
        <f t="shared" si="1"/>
        <v>9.4999999999999982</v>
      </c>
      <c r="H35" s="883">
        <v>0.25</v>
      </c>
      <c r="I35" s="884">
        <v>0.5</v>
      </c>
      <c r="J35" s="884">
        <v>0.52083333333333337</v>
      </c>
      <c r="K35" s="884">
        <v>0.66666666666666663</v>
      </c>
      <c r="L35" s="886">
        <f t="shared" si="2"/>
        <v>9.4999999999999982</v>
      </c>
      <c r="M35" s="887" t="str">
        <f t="shared" si="5"/>
        <v>ok</v>
      </c>
      <c r="N35" s="888"/>
      <c r="O35" s="889"/>
      <c r="P35" s="890"/>
      <c r="Q35" s="891"/>
      <c r="R35" s="892"/>
      <c r="S35" s="893"/>
      <c r="T35" s="894"/>
      <c r="U35" s="894"/>
      <c r="V35" s="894"/>
      <c r="W35" s="894"/>
      <c r="X35" s="895"/>
      <c r="Y35" s="893"/>
      <c r="Z35" s="923"/>
      <c r="AA35" s="929">
        <v>47</v>
      </c>
      <c r="AB35" s="930"/>
    </row>
    <row r="36" spans="1:29" ht="18" customHeight="1">
      <c r="A36" s="881">
        <v>45983</v>
      </c>
      <c r="B36" s="882" t="s">
        <v>191</v>
      </c>
      <c r="C36" s="883"/>
      <c r="D36" s="884"/>
      <c r="E36" s="884"/>
      <c r="F36" s="884"/>
      <c r="G36" s="885" t="str">
        <f t="shared" si="1"/>
        <v/>
      </c>
      <c r="H36" s="883"/>
      <c r="I36" s="884"/>
      <c r="J36" s="884"/>
      <c r="K36" s="884"/>
      <c r="L36" s="886" t="str">
        <f t="shared" si="2"/>
        <v/>
      </c>
      <c r="M36" s="887" t="str">
        <f t="shared" si="5"/>
        <v>ok</v>
      </c>
      <c r="N36" s="888"/>
      <c r="O36" s="889"/>
      <c r="P36" s="890"/>
      <c r="Q36" s="891"/>
      <c r="R36" s="892"/>
      <c r="S36" s="893"/>
      <c r="T36" s="894"/>
      <c r="U36" s="894"/>
      <c r="V36" s="894"/>
      <c r="W36" s="894"/>
      <c r="X36" s="895"/>
      <c r="Y36" s="893"/>
      <c r="Z36" s="923"/>
      <c r="AA36" s="929">
        <v>47</v>
      </c>
      <c r="AB36" s="931"/>
    </row>
    <row r="37" spans="1:29" ht="18" customHeight="1">
      <c r="A37" s="881">
        <v>45984</v>
      </c>
      <c r="B37" s="882" t="s">
        <v>192</v>
      </c>
      <c r="C37" s="883">
        <v>0.25</v>
      </c>
      <c r="D37" s="884">
        <v>0.5</v>
      </c>
      <c r="E37" s="884">
        <v>0.52083333333333337</v>
      </c>
      <c r="F37" s="884">
        <v>0.66666666666666663</v>
      </c>
      <c r="G37" s="885">
        <f t="shared" si="1"/>
        <v>9.4999999999999982</v>
      </c>
      <c r="H37" s="883">
        <v>0.25</v>
      </c>
      <c r="I37" s="884">
        <v>0.5</v>
      </c>
      <c r="J37" s="884">
        <v>0.52083333333333337</v>
      </c>
      <c r="K37" s="884">
        <v>0.66666666666666663</v>
      </c>
      <c r="L37" s="886">
        <f t="shared" si="2"/>
        <v>9.4999999999999982</v>
      </c>
      <c r="M37" s="887" t="str">
        <f t="shared" si="4"/>
        <v>ok</v>
      </c>
      <c r="N37" s="888"/>
      <c r="O37" s="889">
        <f>IF(COUNT(G31:G37)&gt;=$X$4,$X$4,COUNT(G31:G37))</f>
        <v>6</v>
      </c>
      <c r="P37" s="890">
        <f>COUNT(G31:G37)</f>
        <v>6</v>
      </c>
      <c r="Q37" s="891">
        <f>COUNT(L31:L37)</f>
        <v>5</v>
      </c>
      <c r="R37" s="892">
        <f>IF(Q37&gt;O37,0,O37-Q37)</f>
        <v>1</v>
      </c>
      <c r="S37" s="893">
        <f>R37*$K$5</f>
        <v>500</v>
      </c>
      <c r="T37" s="894">
        <f>SUM(G31:G37)</f>
        <v>65</v>
      </c>
      <c r="U37" s="894">
        <f>MIN($Z$4,T37)</f>
        <v>60</v>
      </c>
      <c r="V37" s="894">
        <f>IF(R37&lt;=0,U37,U37-SUMIF(M31:M37,"[d]-Min",G31:G37))</f>
        <v>48.5</v>
      </c>
      <c r="W37" s="894">
        <f>SUM(L31:L37)</f>
        <v>48</v>
      </c>
      <c r="X37" s="895">
        <f>IF(W37&lt;MIN(U37,V37),ROUND(MIN(U37,V37)-W37,2),0)</f>
        <v>0.5</v>
      </c>
      <c r="Y37" s="893">
        <f>X37*$K$6</f>
        <v>25</v>
      </c>
      <c r="Z37" s="923">
        <f>Y37+S37</f>
        <v>525</v>
      </c>
      <c r="AA37" s="929">
        <v>47</v>
      </c>
      <c r="AB37" s="928"/>
    </row>
    <row r="38" spans="1:29" ht="18" customHeight="1">
      <c r="A38" s="881">
        <v>45985</v>
      </c>
      <c r="B38" s="882" t="s">
        <v>186</v>
      </c>
      <c r="C38" s="883">
        <v>0.25</v>
      </c>
      <c r="D38" s="884">
        <v>0.5</v>
      </c>
      <c r="E38" s="884">
        <v>0.52083333333333337</v>
      </c>
      <c r="F38" s="884">
        <v>0.75</v>
      </c>
      <c r="G38" s="885">
        <f t="shared" si="1"/>
        <v>11.5</v>
      </c>
      <c r="H38" s="883">
        <v>0.25</v>
      </c>
      <c r="I38" s="884">
        <v>0.5</v>
      </c>
      <c r="J38" s="884">
        <v>0.52083333333333337</v>
      </c>
      <c r="K38" s="884">
        <v>0.66666666666666663</v>
      </c>
      <c r="L38" s="886">
        <f t="shared" si="2"/>
        <v>9.4999999999999982</v>
      </c>
      <c r="M38" s="887" t="str">
        <f t="shared" si="4"/>
        <v>[h]-Min</v>
      </c>
      <c r="N38" s="888"/>
      <c r="O38" s="889"/>
      <c r="P38" s="890"/>
      <c r="Q38" s="891"/>
      <c r="R38" s="892"/>
      <c r="S38" s="893"/>
      <c r="T38" s="894"/>
      <c r="U38" s="894"/>
      <c r="V38" s="894"/>
      <c r="W38" s="894"/>
      <c r="X38" s="895"/>
      <c r="Y38" s="893"/>
      <c r="Z38" s="923"/>
      <c r="AA38" s="929">
        <v>48</v>
      </c>
      <c r="AB38" s="929"/>
    </row>
    <row r="39" spans="1:29" ht="18" customHeight="1">
      <c r="A39" s="881">
        <v>45986</v>
      </c>
      <c r="B39" s="882" t="s">
        <v>187</v>
      </c>
      <c r="C39" s="883">
        <v>0.25</v>
      </c>
      <c r="D39" s="884">
        <v>0.5</v>
      </c>
      <c r="E39" s="884">
        <v>0.52083333333333337</v>
      </c>
      <c r="F39" s="884">
        <v>0.75</v>
      </c>
      <c r="G39" s="885">
        <f t="shared" si="1"/>
        <v>11.5</v>
      </c>
      <c r="H39" s="883">
        <v>0.25</v>
      </c>
      <c r="I39" s="884">
        <v>0.5</v>
      </c>
      <c r="J39" s="884">
        <v>0.52083333333333337</v>
      </c>
      <c r="K39" s="884">
        <v>0.66666666666666663</v>
      </c>
      <c r="L39" s="886">
        <f t="shared" si="2"/>
        <v>9.4999999999999982</v>
      </c>
      <c r="M39" s="887" t="str">
        <f t="shared" si="4"/>
        <v>[h]-Min</v>
      </c>
      <c r="N39" s="888"/>
      <c r="O39" s="889"/>
      <c r="P39" s="890"/>
      <c r="Q39" s="891"/>
      <c r="R39" s="892"/>
      <c r="S39" s="893"/>
      <c r="T39" s="894"/>
      <c r="U39" s="894"/>
      <c r="V39" s="894"/>
      <c r="W39" s="894"/>
      <c r="X39" s="895"/>
      <c r="Y39" s="893"/>
      <c r="Z39" s="923"/>
      <c r="AA39" s="929">
        <v>48</v>
      </c>
      <c r="AB39" s="930"/>
    </row>
    <row r="40" spans="1:29" ht="18" customHeight="1">
      <c r="A40" s="881">
        <v>45987</v>
      </c>
      <c r="B40" s="882" t="s">
        <v>188</v>
      </c>
      <c r="C40" s="883">
        <v>0.25</v>
      </c>
      <c r="D40" s="884">
        <v>0.5</v>
      </c>
      <c r="E40" s="884">
        <v>0.52083333333333337</v>
      </c>
      <c r="F40" s="884">
        <v>0.75</v>
      </c>
      <c r="G40" s="885">
        <f t="shared" si="1"/>
        <v>11.5</v>
      </c>
      <c r="H40" s="883">
        <v>0.25</v>
      </c>
      <c r="I40" s="884">
        <v>0.5</v>
      </c>
      <c r="J40" s="884">
        <v>0.52083333333333337</v>
      </c>
      <c r="K40" s="884">
        <v>0.60416666666666663</v>
      </c>
      <c r="L40" s="886">
        <f t="shared" si="2"/>
        <v>7.9999999999999982</v>
      </c>
      <c r="M40" s="887" t="str">
        <f t="shared" si="4"/>
        <v>[h]-Min</v>
      </c>
      <c r="N40" s="888"/>
      <c r="O40" s="889"/>
      <c r="P40" s="890"/>
      <c r="Q40" s="891"/>
      <c r="R40" s="892"/>
      <c r="S40" s="893"/>
      <c r="T40" s="894"/>
      <c r="U40" s="894"/>
      <c r="V40" s="894"/>
      <c r="W40" s="894"/>
      <c r="X40" s="895"/>
      <c r="Y40" s="893"/>
      <c r="Z40" s="923"/>
      <c r="AA40" s="929">
        <v>48</v>
      </c>
      <c r="AB40" s="930"/>
    </row>
    <row r="41" spans="1:29" ht="18" customHeight="1">
      <c r="A41" s="881">
        <v>45988</v>
      </c>
      <c r="B41" s="882" t="s">
        <v>189</v>
      </c>
      <c r="C41" s="883">
        <v>0.25</v>
      </c>
      <c r="D41" s="884">
        <v>0.5</v>
      </c>
      <c r="E41" s="884">
        <v>0.52083333333333337</v>
      </c>
      <c r="F41" s="884">
        <v>0.75</v>
      </c>
      <c r="G41" s="885">
        <f t="shared" si="1"/>
        <v>11.5</v>
      </c>
      <c r="H41" s="883">
        <v>0.25</v>
      </c>
      <c r="I41" s="884">
        <v>0.5</v>
      </c>
      <c r="J41" s="884">
        <v>0.52083333333333337</v>
      </c>
      <c r="K41" s="884">
        <v>0.66666666666666663</v>
      </c>
      <c r="L41" s="886">
        <f t="shared" si="2"/>
        <v>9.4999999999999982</v>
      </c>
      <c r="M41" s="887" t="str">
        <f t="shared" si="4"/>
        <v>[h]-Min</v>
      </c>
      <c r="N41" s="888"/>
      <c r="O41" s="889"/>
      <c r="P41" s="890"/>
      <c r="Q41" s="891"/>
      <c r="R41" s="892"/>
      <c r="S41" s="893"/>
      <c r="T41" s="894"/>
      <c r="U41" s="894"/>
      <c r="V41" s="894"/>
      <c r="W41" s="894"/>
      <c r="X41" s="895"/>
      <c r="Y41" s="893"/>
      <c r="Z41" s="923"/>
      <c r="AA41" s="929">
        <v>48</v>
      </c>
      <c r="AB41" s="930"/>
    </row>
    <row r="42" spans="1:29" ht="18" customHeight="1">
      <c r="A42" s="881">
        <v>45989</v>
      </c>
      <c r="B42" s="882" t="s">
        <v>190</v>
      </c>
      <c r="C42" s="883">
        <v>0.25</v>
      </c>
      <c r="D42" s="884">
        <v>0.5</v>
      </c>
      <c r="E42" s="884">
        <v>0.52083333333333337</v>
      </c>
      <c r="F42" s="884">
        <v>0.66666666666666663</v>
      </c>
      <c r="G42" s="885">
        <f t="shared" si="1"/>
        <v>9.4999999999999982</v>
      </c>
      <c r="H42" s="883">
        <v>0.25</v>
      </c>
      <c r="I42" s="884">
        <v>0.5</v>
      </c>
      <c r="J42" s="884">
        <v>0.52083333333333337</v>
      </c>
      <c r="K42" s="884">
        <v>0.6875</v>
      </c>
      <c r="L42" s="886">
        <f t="shared" si="2"/>
        <v>10</v>
      </c>
      <c r="M42" s="887" t="str">
        <f t="shared" si="4"/>
        <v>[h]-Max</v>
      </c>
      <c r="N42" s="888"/>
      <c r="O42" s="889"/>
      <c r="P42" s="890"/>
      <c r="Q42" s="891"/>
      <c r="R42" s="892"/>
      <c r="S42" s="893"/>
      <c r="T42" s="894"/>
      <c r="U42" s="894"/>
      <c r="V42" s="894"/>
      <c r="W42" s="894"/>
      <c r="X42" s="895"/>
      <c r="Y42" s="893"/>
      <c r="Z42" s="923"/>
      <c r="AA42" s="929">
        <v>48</v>
      </c>
      <c r="AB42" s="930"/>
    </row>
    <row r="43" spans="1:29" ht="18" customHeight="1">
      <c r="A43" s="881">
        <v>45990</v>
      </c>
      <c r="B43" s="882" t="s">
        <v>191</v>
      </c>
      <c r="C43" s="883"/>
      <c r="D43" s="884"/>
      <c r="E43" s="884"/>
      <c r="F43" s="884"/>
      <c r="G43" s="885" t="str">
        <f t="shared" si="1"/>
        <v/>
      </c>
      <c r="H43" s="883"/>
      <c r="I43" s="884"/>
      <c r="J43" s="884"/>
      <c r="K43" s="884"/>
      <c r="L43" s="886" t="str">
        <f t="shared" si="2"/>
        <v/>
      </c>
      <c r="M43" s="887" t="str">
        <f t="shared" si="4"/>
        <v>ok</v>
      </c>
      <c r="N43" s="888"/>
      <c r="O43" s="889"/>
      <c r="P43" s="890"/>
      <c r="Q43" s="891"/>
      <c r="R43" s="892"/>
      <c r="S43" s="893"/>
      <c r="T43" s="894"/>
      <c r="U43" s="894"/>
      <c r="V43" s="894"/>
      <c r="W43" s="894"/>
      <c r="X43" s="895"/>
      <c r="Y43" s="893"/>
      <c r="Z43" s="923"/>
      <c r="AA43" s="929">
        <v>48</v>
      </c>
      <c r="AB43" s="931"/>
    </row>
    <row r="44" spans="1:29" ht="24.75" customHeight="1">
      <c r="A44" s="881">
        <v>45991</v>
      </c>
      <c r="B44" s="882" t="s">
        <v>192</v>
      </c>
      <c r="C44" s="883">
        <v>0.25</v>
      </c>
      <c r="D44" s="884">
        <v>0.5</v>
      </c>
      <c r="E44" s="884">
        <v>0.52083333333333337</v>
      </c>
      <c r="F44" s="884">
        <v>0.66666666666666663</v>
      </c>
      <c r="G44" s="885">
        <f t="shared" si="1"/>
        <v>9.4999999999999982</v>
      </c>
      <c r="H44" s="883">
        <v>0.25</v>
      </c>
      <c r="I44" s="884">
        <v>0.5</v>
      </c>
      <c r="J44" s="884">
        <v>0.52083333333333337</v>
      </c>
      <c r="K44" s="884">
        <v>0.66666666666666663</v>
      </c>
      <c r="L44" s="886">
        <f t="shared" si="2"/>
        <v>9.4999999999999982</v>
      </c>
      <c r="M44" s="887" t="str">
        <f t="shared" si="4"/>
        <v>ok</v>
      </c>
      <c r="N44" s="888"/>
      <c r="O44" s="889">
        <f>IF(COUNT(G38:G44)&gt;=$X$4,$X$4,COUNT(G38:G44))</f>
        <v>6</v>
      </c>
      <c r="P44" s="890">
        <f>COUNT(G38:G44)</f>
        <v>6</v>
      </c>
      <c r="Q44" s="891">
        <f>COUNT(L38:L44)</f>
        <v>6</v>
      </c>
      <c r="R44" s="892">
        <f>IF(Q44&gt;O44,0,O44-Q44)</f>
        <v>0</v>
      </c>
      <c r="S44" s="893">
        <f>R44*$K$5</f>
        <v>0</v>
      </c>
      <c r="T44" s="894">
        <f>SUM(G38:G44)</f>
        <v>65</v>
      </c>
      <c r="U44" s="894">
        <f>MIN($Z$4,T44)</f>
        <v>60</v>
      </c>
      <c r="V44" s="894">
        <f>IF(R44&lt;=0,U44,U44-SUMIF(M38:M44,"[d]-Min",G38:G44))</f>
        <v>60</v>
      </c>
      <c r="W44" s="894">
        <f>SUM(L38:L44)</f>
        <v>55.999999999999993</v>
      </c>
      <c r="X44" s="895">
        <f>IF(W44&lt;MIN(U44,V44),ROUND(MIN(U44,V44)-W44,2),0)</f>
        <v>4</v>
      </c>
      <c r="Y44" s="893">
        <f>X44*$K$6</f>
        <v>200</v>
      </c>
      <c r="Z44" s="923">
        <f>Y44+S44</f>
        <v>200</v>
      </c>
      <c r="AA44" s="929">
        <v>48</v>
      </c>
      <c r="AB44" s="928"/>
    </row>
    <row r="45" spans="1:29" ht="34.5" customHeight="1">
      <c r="A45" s="755"/>
      <c r="B45" s="868"/>
      <c r="C45" s="757"/>
      <c r="D45" s="868"/>
      <c r="E45" s="757"/>
      <c r="F45" s="872"/>
      <c r="G45" s="758"/>
      <c r="H45" s="758"/>
      <c r="I45" s="758"/>
      <c r="J45" s="758"/>
      <c r="K45" s="758"/>
      <c r="L45" s="758"/>
      <c r="M45" s="758"/>
      <c r="N45" s="758"/>
      <c r="O45" s="758"/>
      <c r="P45" s="758"/>
      <c r="Q45" s="758"/>
      <c r="R45" s="758"/>
      <c r="S45" s="758"/>
      <c r="T45" s="758"/>
      <c r="U45" s="758"/>
      <c r="V45" s="758"/>
      <c r="W45" s="758"/>
      <c r="X45" s="758"/>
      <c r="Y45" s="758"/>
      <c r="Z45" s="921" t="s">
        <v>792</v>
      </c>
      <c r="AA45" s="933"/>
      <c r="AB45" s="933"/>
      <c r="AC45" s="921" t="s">
        <v>867</v>
      </c>
    </row>
    <row r="46" spans="1:29" ht="18" customHeight="1">
      <c r="A46" s="896" t="s">
        <v>860</v>
      </c>
      <c r="B46" s="868"/>
      <c r="C46" s="757"/>
      <c r="D46" s="868"/>
      <c r="E46" s="757"/>
      <c r="F46" s="872"/>
      <c r="G46" s="758"/>
      <c r="H46" s="758"/>
      <c r="I46" s="758"/>
      <c r="J46" s="758"/>
      <c r="K46" s="758"/>
      <c r="L46" s="758"/>
      <c r="M46" s="758"/>
      <c r="N46" s="758"/>
      <c r="O46" s="758"/>
      <c r="P46" s="758"/>
      <c r="Q46" s="758"/>
      <c r="R46" s="758"/>
      <c r="S46" s="758"/>
      <c r="T46" s="758"/>
      <c r="U46" s="758"/>
      <c r="V46" s="758"/>
      <c r="W46" s="758"/>
      <c r="X46" s="758"/>
      <c r="Y46" s="758"/>
      <c r="Z46" s="758"/>
    </row>
    <row r="47" spans="1:29" ht="18" customHeight="1">
      <c r="A47" s="897">
        <v>45992</v>
      </c>
      <c r="B47" s="898" t="s">
        <v>186</v>
      </c>
      <c r="C47" s="899">
        <v>0.25</v>
      </c>
      <c r="D47" s="900">
        <v>0.5</v>
      </c>
      <c r="E47" s="900">
        <v>0.52083333333333337</v>
      </c>
      <c r="F47" s="900">
        <v>0.75</v>
      </c>
      <c r="G47" s="901">
        <f t="shared" ref="G47:G53" si="6">IF(COUNT(C47:F47)&gt;0,(D47-C47+F47-E47)*24,"")</f>
        <v>11.5</v>
      </c>
      <c r="H47" s="899">
        <v>0.25</v>
      </c>
      <c r="I47" s="900">
        <v>0.5</v>
      </c>
      <c r="J47" s="900">
        <v>0.52083333333333337</v>
      </c>
      <c r="K47" s="900">
        <v>0.75</v>
      </c>
      <c r="L47" s="902">
        <f t="shared" ref="L47:L53" si="7">IF(COUNT(H47:K47)&gt;0,(I47-H47+K47-J47)*24,"")</f>
        <v>11.5</v>
      </c>
      <c r="M47" s="903" t="str">
        <f t="shared" ref="M47:M53" si="8">IF(AND(G47&lt;&gt;"",L47=""),"[d]-Min",IF(AND(G47="",L47&lt;&gt;""),"[d]-Max",IF(L47&lt;G47,"[h]-Min",IF(L47&gt;G47,"[h]-Max","ok"))))</f>
        <v>ok</v>
      </c>
      <c r="N47" s="904"/>
      <c r="O47" s="905"/>
      <c r="P47" s="906"/>
      <c r="Q47" s="907"/>
      <c r="R47" s="908"/>
      <c r="S47" s="909"/>
      <c r="T47" s="910"/>
      <c r="U47" s="910"/>
      <c r="V47" s="910"/>
      <c r="W47" s="910"/>
      <c r="X47" s="911"/>
      <c r="Y47" s="909"/>
      <c r="Z47" s="922"/>
      <c r="AA47" s="929">
        <v>49</v>
      </c>
      <c r="AB47" s="929"/>
    </row>
    <row r="48" spans="1:29" ht="18" customHeight="1">
      <c r="A48" s="881">
        <v>45993</v>
      </c>
      <c r="B48" s="882" t="s">
        <v>187</v>
      </c>
      <c r="C48" s="883">
        <v>0.25</v>
      </c>
      <c r="D48" s="884">
        <v>0.5</v>
      </c>
      <c r="E48" s="884">
        <v>0.52083333333333337</v>
      </c>
      <c r="F48" s="884">
        <v>0.75</v>
      </c>
      <c r="G48" s="885">
        <f t="shared" si="6"/>
        <v>11.5</v>
      </c>
      <c r="H48" s="883">
        <v>0.25</v>
      </c>
      <c r="I48" s="884">
        <v>0.5</v>
      </c>
      <c r="J48" s="884">
        <v>0.52083333333333337</v>
      </c>
      <c r="K48" s="884">
        <v>0.75</v>
      </c>
      <c r="L48" s="912">
        <f t="shared" si="7"/>
        <v>11.5</v>
      </c>
      <c r="M48" s="887" t="str">
        <f t="shared" si="8"/>
        <v>ok</v>
      </c>
      <c r="N48" s="888"/>
      <c r="O48" s="889"/>
      <c r="P48" s="890"/>
      <c r="Q48" s="891"/>
      <c r="R48" s="892"/>
      <c r="S48" s="893"/>
      <c r="T48" s="894"/>
      <c r="U48" s="894"/>
      <c r="V48" s="894"/>
      <c r="W48" s="894"/>
      <c r="X48" s="895"/>
      <c r="Y48" s="893"/>
      <c r="Z48" s="924"/>
      <c r="AA48" s="929">
        <v>49</v>
      </c>
      <c r="AB48" s="930"/>
    </row>
    <row r="49" spans="1:28" ht="18" customHeight="1">
      <c r="A49" s="881">
        <v>45994</v>
      </c>
      <c r="B49" s="882" t="s">
        <v>188</v>
      </c>
      <c r="C49" s="883"/>
      <c r="D49" s="884"/>
      <c r="E49" s="884"/>
      <c r="F49" s="884"/>
      <c r="G49" s="885" t="str">
        <f t="shared" si="6"/>
        <v/>
      </c>
      <c r="H49" s="883"/>
      <c r="I49" s="884"/>
      <c r="J49" s="884"/>
      <c r="K49" s="884"/>
      <c r="L49" s="912" t="str">
        <f t="shared" si="7"/>
        <v/>
      </c>
      <c r="M49" s="887" t="str">
        <f t="shared" si="8"/>
        <v>ok</v>
      </c>
      <c r="N49" s="888"/>
      <c r="O49" s="889"/>
      <c r="P49" s="890"/>
      <c r="Q49" s="891"/>
      <c r="R49" s="892"/>
      <c r="S49" s="893"/>
      <c r="T49" s="894"/>
      <c r="U49" s="894"/>
      <c r="V49" s="894"/>
      <c r="W49" s="894"/>
      <c r="X49" s="895"/>
      <c r="Y49" s="893"/>
      <c r="Z49" s="924"/>
      <c r="AA49" s="929">
        <v>49</v>
      </c>
      <c r="AB49" s="930"/>
    </row>
    <row r="50" spans="1:28" ht="18" customHeight="1">
      <c r="A50" s="881">
        <v>45995</v>
      </c>
      <c r="B50" s="882" t="s">
        <v>189</v>
      </c>
      <c r="C50" s="883"/>
      <c r="D50" s="884"/>
      <c r="E50" s="884"/>
      <c r="F50" s="884"/>
      <c r="G50" s="885" t="str">
        <f t="shared" si="6"/>
        <v/>
      </c>
      <c r="H50" s="883"/>
      <c r="I50" s="884"/>
      <c r="J50" s="884"/>
      <c r="K50" s="884"/>
      <c r="L50" s="912" t="str">
        <f t="shared" si="7"/>
        <v/>
      </c>
      <c r="M50" s="887" t="str">
        <f t="shared" si="8"/>
        <v>ok</v>
      </c>
      <c r="N50" s="888"/>
      <c r="O50" s="889"/>
      <c r="P50" s="890"/>
      <c r="Q50" s="891"/>
      <c r="R50" s="892"/>
      <c r="S50" s="893"/>
      <c r="T50" s="894"/>
      <c r="U50" s="894"/>
      <c r="V50" s="894"/>
      <c r="W50" s="894"/>
      <c r="X50" s="895"/>
      <c r="Y50" s="893"/>
      <c r="Z50" s="924"/>
      <c r="AA50" s="929">
        <v>49</v>
      </c>
      <c r="AB50" s="930"/>
    </row>
    <row r="51" spans="1:28" ht="18" customHeight="1">
      <c r="A51" s="881">
        <v>45996</v>
      </c>
      <c r="B51" s="882" t="s">
        <v>190</v>
      </c>
      <c r="C51" s="883"/>
      <c r="D51" s="884"/>
      <c r="E51" s="884"/>
      <c r="F51" s="884"/>
      <c r="G51" s="885" t="str">
        <f t="shared" si="6"/>
        <v/>
      </c>
      <c r="H51" s="883"/>
      <c r="I51" s="884"/>
      <c r="J51" s="884"/>
      <c r="K51" s="884"/>
      <c r="L51" s="912" t="str">
        <f t="shared" si="7"/>
        <v/>
      </c>
      <c r="M51" s="887" t="str">
        <f t="shared" si="8"/>
        <v>ok</v>
      </c>
      <c r="N51" s="888"/>
      <c r="O51" s="889"/>
      <c r="P51" s="890"/>
      <c r="Q51" s="891"/>
      <c r="R51" s="892"/>
      <c r="S51" s="893"/>
      <c r="T51" s="894"/>
      <c r="U51" s="894"/>
      <c r="V51" s="894"/>
      <c r="W51" s="894"/>
      <c r="X51" s="895"/>
      <c r="Y51" s="893"/>
      <c r="Z51" s="924"/>
      <c r="AA51" s="929">
        <v>49</v>
      </c>
      <c r="AB51" s="930"/>
    </row>
    <row r="52" spans="1:28" ht="18" customHeight="1">
      <c r="A52" s="881">
        <v>45997</v>
      </c>
      <c r="B52" s="882" t="s">
        <v>191</v>
      </c>
      <c r="C52" s="883"/>
      <c r="D52" s="884"/>
      <c r="E52" s="884"/>
      <c r="F52" s="884"/>
      <c r="G52" s="885" t="str">
        <f t="shared" si="6"/>
        <v/>
      </c>
      <c r="H52" s="883"/>
      <c r="I52" s="884"/>
      <c r="J52" s="884"/>
      <c r="K52" s="884"/>
      <c r="L52" s="912" t="str">
        <f t="shared" si="7"/>
        <v/>
      </c>
      <c r="M52" s="887" t="str">
        <f t="shared" si="8"/>
        <v>ok</v>
      </c>
      <c r="N52" s="888"/>
      <c r="O52" s="889"/>
      <c r="P52" s="890"/>
      <c r="Q52" s="891"/>
      <c r="R52" s="892"/>
      <c r="S52" s="893"/>
      <c r="T52" s="894"/>
      <c r="U52" s="894"/>
      <c r="V52" s="894"/>
      <c r="W52" s="894"/>
      <c r="X52" s="895"/>
      <c r="Y52" s="893"/>
      <c r="Z52" s="924"/>
      <c r="AA52" s="929">
        <v>49</v>
      </c>
      <c r="AB52" s="1176"/>
    </row>
    <row r="53" spans="1:28" ht="18" customHeight="1">
      <c r="A53" s="881">
        <v>45998</v>
      </c>
      <c r="B53" s="882" t="s">
        <v>192</v>
      </c>
      <c r="C53" s="883"/>
      <c r="D53" s="884"/>
      <c r="E53" s="884"/>
      <c r="F53" s="884"/>
      <c r="G53" s="885" t="str">
        <f t="shared" si="6"/>
        <v/>
      </c>
      <c r="H53" s="883"/>
      <c r="I53" s="884"/>
      <c r="J53" s="884"/>
      <c r="K53" s="884"/>
      <c r="L53" s="912" t="str">
        <f t="shared" si="7"/>
        <v/>
      </c>
      <c r="M53" s="887" t="str">
        <f t="shared" si="8"/>
        <v>ok</v>
      </c>
      <c r="N53" s="888"/>
      <c r="O53" s="889">
        <f>IF(COUNT(G47:G53)&gt;=$X$4,$X$4,COUNT(G47:G53))</f>
        <v>2</v>
      </c>
      <c r="P53" s="890">
        <f>COUNT(G47:G53)</f>
        <v>2</v>
      </c>
      <c r="Q53" s="891">
        <f>COUNT(L47:L53)</f>
        <v>2</v>
      </c>
      <c r="R53" s="892">
        <f>IF(Q53&gt;O53,0,O53-Q53)</f>
        <v>0</v>
      </c>
      <c r="S53" s="893">
        <f>R53*$K$5</f>
        <v>0</v>
      </c>
      <c r="T53" s="894">
        <f>SUM(G47:G53)</f>
        <v>23</v>
      </c>
      <c r="U53" s="894">
        <f>MIN($Z$4,T53)</f>
        <v>23</v>
      </c>
      <c r="V53" s="894">
        <f>IF(R53&lt;=0,U53,U53-SUMIF(M47:M53,"[d]-Min",G47:G53))</f>
        <v>23</v>
      </c>
      <c r="W53" s="894">
        <f>SUM(L47:L53)</f>
        <v>23</v>
      </c>
      <c r="X53" s="895">
        <f>IF(W53&lt;MIN(U53,V53),ROUND(MIN(U53,V53)-W53,2),0)</f>
        <v>0</v>
      </c>
      <c r="Y53" s="893">
        <f>X53*$M$13</f>
        <v>0</v>
      </c>
      <c r="Z53" s="924">
        <f>Y53+S53</f>
        <v>0</v>
      </c>
      <c r="AA53" s="929">
        <v>49</v>
      </c>
      <c r="AB53" s="928"/>
    </row>
    <row r="54" spans="1:28">
      <c r="Z54" s="921" t="s">
        <v>792</v>
      </c>
    </row>
    <row r="55" spans="1:28" ht="18" customHeight="1">
      <c r="A55" s="194" t="s">
        <v>219</v>
      </c>
      <c r="B55" s="195" t="s">
        <v>224</v>
      </c>
    </row>
    <row r="56" spans="1:28">
      <c r="B56" s="195" t="s">
        <v>1645</v>
      </c>
    </row>
    <row r="57" spans="1:28" ht="13.5" thickBot="1">
      <c r="A57" s="914"/>
      <c r="B57" s="914"/>
      <c r="C57" s="914"/>
      <c r="D57" s="914"/>
      <c r="E57" s="914"/>
      <c r="F57" s="914"/>
      <c r="G57" s="914"/>
      <c r="H57" s="914"/>
      <c r="I57" s="914"/>
      <c r="J57" s="914"/>
      <c r="K57" s="919"/>
      <c r="L57" s="919"/>
      <c r="M57" s="920"/>
      <c r="N57" s="920"/>
      <c r="O57" s="3279"/>
      <c r="P57" s="3279"/>
      <c r="Q57" s="3279"/>
      <c r="R57" s="3279"/>
      <c r="S57" s="758"/>
      <c r="T57" s="758"/>
      <c r="U57" s="758"/>
      <c r="V57" s="758"/>
      <c r="W57" s="758"/>
      <c r="X57" s="758"/>
      <c r="Y57" s="758"/>
      <c r="Z57" s="758"/>
    </row>
    <row r="58" spans="1:28" s="1334" customFormat="1" ht="13.5" thickBot="1">
      <c r="A58" s="1337">
        <f>COUNT(A61:A88)</f>
        <v>27</v>
      </c>
      <c r="B58" s="3262" t="s">
        <v>1116</v>
      </c>
      <c r="C58" s="3263"/>
      <c r="D58" s="3263"/>
      <c r="E58" s="3263"/>
      <c r="F58" s="3264"/>
      <c r="G58" s="874">
        <f>SUM(G61:G88)</f>
        <v>258</v>
      </c>
      <c r="H58" s="875"/>
      <c r="I58" s="1325"/>
      <c r="J58" s="1325"/>
      <c r="K58" s="1326"/>
      <c r="L58" s="876">
        <f>SUM(L61:L88)</f>
        <v>205.5</v>
      </c>
      <c r="M58" s="877"/>
      <c r="N58" s="1327">
        <f>COUNTIF(N61:N88,"FT")</f>
        <v>3</v>
      </c>
      <c r="O58" s="1327"/>
      <c r="P58" s="1327"/>
      <c r="Q58" s="1327"/>
      <c r="R58" s="1328">
        <f>SUM(R61:R88)</f>
        <v>3</v>
      </c>
      <c r="S58" s="1329"/>
      <c r="T58" s="1327">
        <f t="shared" ref="T58:W58" si="9">SUM(T61:T88)</f>
        <v>258</v>
      </c>
      <c r="U58" s="1327">
        <f t="shared" si="9"/>
        <v>240</v>
      </c>
      <c r="V58" s="1327">
        <f t="shared" si="9"/>
        <v>209.5</v>
      </c>
      <c r="W58" s="1327">
        <f t="shared" si="9"/>
        <v>205.5</v>
      </c>
      <c r="X58" s="878">
        <f>SUM(X61:X88)</f>
        <v>11</v>
      </c>
      <c r="Y58" s="1329"/>
      <c r="Z58" s="1330">
        <f>SUM(Z61:Z88)</f>
        <v>2050</v>
      </c>
      <c r="AA58" s="3272" t="s">
        <v>863</v>
      </c>
      <c r="AB58" s="3272" t="s">
        <v>1065</v>
      </c>
    </row>
    <row r="59" spans="1:28">
      <c r="A59" s="3254" t="s">
        <v>843</v>
      </c>
      <c r="B59" s="3258" t="s">
        <v>845</v>
      </c>
      <c r="C59" s="3260" t="s">
        <v>846</v>
      </c>
      <c r="D59" s="3261"/>
      <c r="E59" s="3261"/>
      <c r="F59" s="3261"/>
      <c r="G59" s="3277" t="s">
        <v>847</v>
      </c>
      <c r="H59" s="3260" t="s">
        <v>848</v>
      </c>
      <c r="I59" s="3261"/>
      <c r="J59" s="3261"/>
      <c r="K59" s="3261"/>
      <c r="L59" s="3248" t="s">
        <v>849</v>
      </c>
      <c r="M59" s="3250" t="s">
        <v>850</v>
      </c>
      <c r="N59" s="3252" t="s">
        <v>851</v>
      </c>
      <c r="O59" s="3254" t="s">
        <v>852</v>
      </c>
      <c r="P59" s="3256" t="s">
        <v>853</v>
      </c>
      <c r="Q59" s="3256" t="s">
        <v>854</v>
      </c>
      <c r="R59" s="3256" t="s">
        <v>1202</v>
      </c>
      <c r="S59" s="3246" t="s">
        <v>855</v>
      </c>
      <c r="T59" s="3243" t="s">
        <v>1203</v>
      </c>
      <c r="U59" s="3243" t="s">
        <v>856</v>
      </c>
      <c r="V59" s="3243" t="s">
        <v>857</v>
      </c>
      <c r="W59" s="3243" t="s">
        <v>849</v>
      </c>
      <c r="X59" s="3243" t="s">
        <v>1204</v>
      </c>
      <c r="Y59" s="3246" t="s">
        <v>1210</v>
      </c>
      <c r="Z59" s="3275" t="s">
        <v>858</v>
      </c>
      <c r="AA59" s="3273"/>
      <c r="AB59" s="3273"/>
    </row>
    <row r="60" spans="1:28">
      <c r="A60" s="3255"/>
      <c r="B60" s="3259"/>
      <c r="C60" s="879" t="s">
        <v>182</v>
      </c>
      <c r="D60" s="880" t="s">
        <v>859</v>
      </c>
      <c r="E60" s="880" t="s">
        <v>182</v>
      </c>
      <c r="F60" s="880" t="s">
        <v>859</v>
      </c>
      <c r="G60" s="3278"/>
      <c r="H60" s="879" t="s">
        <v>182</v>
      </c>
      <c r="I60" s="880" t="s">
        <v>859</v>
      </c>
      <c r="J60" s="880" t="s">
        <v>182</v>
      </c>
      <c r="K60" s="880" t="s">
        <v>859</v>
      </c>
      <c r="L60" s="3249"/>
      <c r="M60" s="3251"/>
      <c r="N60" s="3253"/>
      <c r="O60" s="3255"/>
      <c r="P60" s="3257"/>
      <c r="Q60" s="3257"/>
      <c r="R60" s="3257"/>
      <c r="S60" s="3247"/>
      <c r="T60" s="3245"/>
      <c r="U60" s="3245"/>
      <c r="V60" s="3244"/>
      <c r="W60" s="3245"/>
      <c r="X60" s="3245"/>
      <c r="Y60" s="3247"/>
      <c r="Z60" s="3276"/>
      <c r="AA60" s="3274"/>
      <c r="AB60" s="3274"/>
    </row>
    <row r="61" spans="1:28">
      <c r="A61" s="897">
        <v>45992</v>
      </c>
      <c r="B61" s="882" t="s">
        <v>186</v>
      </c>
      <c r="C61" s="883">
        <v>0.25</v>
      </c>
      <c r="D61" s="884">
        <v>0.5</v>
      </c>
      <c r="E61" s="884">
        <v>0.52083333333333337</v>
      </c>
      <c r="F61" s="884">
        <v>0.75</v>
      </c>
      <c r="G61" s="885">
        <f t="shared" ref="G61:G88" si="10">IF(COUNT(C61:F61)&gt;0,(D61-C61+F61-E61)*24,"")</f>
        <v>11.5</v>
      </c>
      <c r="H61" s="883">
        <v>0.25</v>
      </c>
      <c r="I61" s="884">
        <v>0.5</v>
      </c>
      <c r="J61" s="884"/>
      <c r="K61" s="884"/>
      <c r="L61" s="886">
        <f t="shared" ref="L61:L88" si="11">IF(COUNT(H61:K61)&gt;0,(I61-H61+K61-J61)*24,"")</f>
        <v>6</v>
      </c>
      <c r="M61" s="887" t="str">
        <f t="shared" ref="M61:M88" si="12">IF(AND(G61&lt;&gt;"",L61=""),"[d]-Min",IF(AND(G61="",L61&lt;&gt;""),"[d]-Max",IF(L61&lt;G61,"[h]-Min",IF(L61&gt;G61,"[h]-Max","ok"))))</f>
        <v>[h]-Min</v>
      </c>
      <c r="N61" s="888"/>
      <c r="O61" s="889"/>
      <c r="P61" s="890"/>
      <c r="Q61" s="891"/>
      <c r="R61" s="892"/>
      <c r="S61" s="893"/>
      <c r="T61" s="894"/>
      <c r="U61" s="894"/>
      <c r="V61" s="894"/>
      <c r="W61" s="894"/>
      <c r="X61" s="895"/>
      <c r="Y61" s="893"/>
      <c r="Z61" s="923"/>
      <c r="AA61" s="925">
        <v>49</v>
      </c>
      <c r="AB61" s="925"/>
    </row>
    <row r="62" spans="1:28">
      <c r="A62" s="881">
        <v>45993</v>
      </c>
      <c r="B62" s="882" t="s">
        <v>187</v>
      </c>
      <c r="C62" s="883">
        <v>0.25</v>
      </c>
      <c r="D62" s="884">
        <v>0.5</v>
      </c>
      <c r="E62" s="884">
        <v>0.52083333333333337</v>
      </c>
      <c r="F62" s="884">
        <v>0.75</v>
      </c>
      <c r="G62" s="885">
        <f t="shared" si="10"/>
        <v>11.5</v>
      </c>
      <c r="H62" s="883">
        <v>0.25</v>
      </c>
      <c r="I62" s="884">
        <v>0.5</v>
      </c>
      <c r="J62" s="884">
        <v>0.52083333333333337</v>
      </c>
      <c r="K62" s="884">
        <v>0.75</v>
      </c>
      <c r="L62" s="886">
        <f t="shared" si="11"/>
        <v>11.5</v>
      </c>
      <c r="M62" s="887" t="str">
        <f t="shared" si="12"/>
        <v>ok</v>
      </c>
      <c r="N62" s="888"/>
      <c r="O62" s="889"/>
      <c r="P62" s="890"/>
      <c r="Q62" s="891"/>
      <c r="R62" s="892"/>
      <c r="S62" s="893"/>
      <c r="T62" s="894"/>
      <c r="U62" s="894"/>
      <c r="V62" s="894"/>
      <c r="W62" s="894"/>
      <c r="X62" s="895"/>
      <c r="Y62" s="893"/>
      <c r="Z62" s="923"/>
      <c r="AA62" s="925">
        <v>49</v>
      </c>
      <c r="AB62" s="925"/>
    </row>
    <row r="63" spans="1:28">
      <c r="A63" s="881">
        <v>45994</v>
      </c>
      <c r="B63" s="882" t="s">
        <v>188</v>
      </c>
      <c r="C63" s="883">
        <v>0.25</v>
      </c>
      <c r="D63" s="884">
        <v>0.5</v>
      </c>
      <c r="E63" s="884">
        <v>0.52083333333333337</v>
      </c>
      <c r="F63" s="884">
        <v>0.75</v>
      </c>
      <c r="G63" s="885">
        <f t="shared" si="10"/>
        <v>11.5</v>
      </c>
      <c r="H63" s="883"/>
      <c r="I63" s="884"/>
      <c r="J63" s="884"/>
      <c r="K63" s="884"/>
      <c r="L63" s="886" t="str">
        <f t="shared" si="11"/>
        <v/>
      </c>
      <c r="M63" s="887" t="str">
        <f t="shared" si="12"/>
        <v>[d]-Min</v>
      </c>
      <c r="N63" s="888"/>
      <c r="O63" s="889"/>
      <c r="P63" s="890"/>
      <c r="Q63" s="891"/>
      <c r="R63" s="892"/>
      <c r="S63" s="893"/>
      <c r="T63" s="894"/>
      <c r="U63" s="894"/>
      <c r="V63" s="894"/>
      <c r="W63" s="894"/>
      <c r="X63" s="895"/>
      <c r="Y63" s="893"/>
      <c r="Z63" s="923"/>
      <c r="AA63" s="925">
        <v>49</v>
      </c>
      <c r="AB63" s="925"/>
    </row>
    <row r="64" spans="1:28">
      <c r="A64" s="881">
        <v>45995</v>
      </c>
      <c r="B64" s="882" t="s">
        <v>189</v>
      </c>
      <c r="C64" s="883">
        <v>0.25</v>
      </c>
      <c r="D64" s="884">
        <v>0.5</v>
      </c>
      <c r="E64" s="884">
        <v>0.52083333333333337</v>
      </c>
      <c r="F64" s="884">
        <v>0.75</v>
      </c>
      <c r="G64" s="885">
        <f t="shared" si="10"/>
        <v>11.5</v>
      </c>
      <c r="H64" s="883">
        <v>0.25</v>
      </c>
      <c r="I64" s="884">
        <v>0.5</v>
      </c>
      <c r="J64" s="884"/>
      <c r="K64" s="884"/>
      <c r="L64" s="886">
        <f t="shared" si="11"/>
        <v>6</v>
      </c>
      <c r="M64" s="887" t="str">
        <f t="shared" si="12"/>
        <v>[h]-Min</v>
      </c>
      <c r="N64" s="888"/>
      <c r="O64" s="889"/>
      <c r="P64" s="890"/>
      <c r="Q64" s="891"/>
      <c r="R64" s="892"/>
      <c r="S64" s="893"/>
      <c r="T64" s="894"/>
      <c r="U64" s="894"/>
      <c r="V64" s="894"/>
      <c r="W64" s="894"/>
      <c r="X64" s="895"/>
      <c r="Y64" s="893"/>
      <c r="Z64" s="923"/>
      <c r="AA64" s="925">
        <v>49</v>
      </c>
      <c r="AB64" s="925"/>
    </row>
    <row r="65" spans="1:28">
      <c r="A65" s="881">
        <v>45996</v>
      </c>
      <c r="B65" s="882" t="s">
        <v>190</v>
      </c>
      <c r="C65" s="883">
        <v>0.25</v>
      </c>
      <c r="D65" s="884">
        <v>0.5</v>
      </c>
      <c r="E65" s="884">
        <v>0.52083333333333337</v>
      </c>
      <c r="F65" s="884">
        <v>0.66666666666666663</v>
      </c>
      <c r="G65" s="885">
        <f t="shared" si="10"/>
        <v>9.4999999999999982</v>
      </c>
      <c r="H65" s="883">
        <v>0.25</v>
      </c>
      <c r="I65" s="884">
        <v>0.5</v>
      </c>
      <c r="J65" s="884">
        <v>0.52083333333333337</v>
      </c>
      <c r="K65" s="884">
        <v>0.79166666666666663</v>
      </c>
      <c r="L65" s="886">
        <f t="shared" si="11"/>
        <v>12.499999999999996</v>
      </c>
      <c r="M65" s="887" t="str">
        <f t="shared" si="12"/>
        <v>[h]-Max</v>
      </c>
      <c r="N65" s="888"/>
      <c r="O65" s="889"/>
      <c r="P65" s="890"/>
      <c r="Q65" s="891"/>
      <c r="R65" s="892"/>
      <c r="S65" s="893"/>
      <c r="T65" s="894"/>
      <c r="U65" s="894"/>
      <c r="V65" s="894"/>
      <c r="W65" s="894"/>
      <c r="X65" s="895"/>
      <c r="Y65" s="893"/>
      <c r="Z65" s="923"/>
      <c r="AA65" s="925">
        <v>49</v>
      </c>
      <c r="AB65" s="925"/>
    </row>
    <row r="66" spans="1:28">
      <c r="A66" s="881">
        <v>45997</v>
      </c>
      <c r="B66" s="882" t="s">
        <v>191</v>
      </c>
      <c r="C66" s="883"/>
      <c r="D66" s="884"/>
      <c r="E66" s="884"/>
      <c r="F66" s="884"/>
      <c r="G66" s="885" t="str">
        <f t="shared" si="10"/>
        <v/>
      </c>
      <c r="H66" s="883"/>
      <c r="I66" s="884"/>
      <c r="J66" s="884"/>
      <c r="K66" s="884"/>
      <c r="L66" s="886" t="str">
        <f t="shared" si="11"/>
        <v/>
      </c>
      <c r="M66" s="887" t="str">
        <f t="shared" si="12"/>
        <v>ok</v>
      </c>
      <c r="N66" s="888"/>
      <c r="O66" s="889"/>
      <c r="P66" s="890"/>
      <c r="Q66" s="891"/>
      <c r="R66" s="892"/>
      <c r="S66" s="893"/>
      <c r="T66" s="894"/>
      <c r="U66" s="894"/>
      <c r="V66" s="894"/>
      <c r="W66" s="894"/>
      <c r="X66" s="895"/>
      <c r="Y66" s="893"/>
      <c r="Z66" s="923"/>
      <c r="AA66" s="925">
        <v>49</v>
      </c>
      <c r="AB66" s="925"/>
    </row>
    <row r="67" spans="1:28">
      <c r="A67" s="881">
        <v>45998</v>
      </c>
      <c r="B67" s="882" t="s">
        <v>192</v>
      </c>
      <c r="C67" s="883">
        <v>0.25</v>
      </c>
      <c r="D67" s="884">
        <v>0.5</v>
      </c>
      <c r="E67" s="884">
        <v>0.52083333333333337</v>
      </c>
      <c r="F67" s="884">
        <v>0.66666666666666663</v>
      </c>
      <c r="G67" s="885">
        <f t="shared" si="10"/>
        <v>9.4999999999999982</v>
      </c>
      <c r="H67" s="883">
        <v>0.25</v>
      </c>
      <c r="I67" s="884">
        <v>0.5</v>
      </c>
      <c r="J67" s="884">
        <v>0.52083333333333337</v>
      </c>
      <c r="K67" s="884">
        <v>0.66666666666666663</v>
      </c>
      <c r="L67" s="886">
        <f t="shared" si="11"/>
        <v>9.4999999999999982</v>
      </c>
      <c r="M67" s="887" t="str">
        <f t="shared" si="12"/>
        <v>ok</v>
      </c>
      <c r="N67" s="888"/>
      <c r="O67" s="889">
        <f>IF(COUNT(G61:G67)&gt;=$X$4,$X$4,COUNT(G61:G67))</f>
        <v>6</v>
      </c>
      <c r="P67" s="890">
        <f>COUNT(G61:G67)</f>
        <v>6</v>
      </c>
      <c r="Q67" s="891">
        <f>COUNT(L61:L67)</f>
        <v>5</v>
      </c>
      <c r="R67" s="892">
        <f>IF(Q67&gt;O67,0,O67-Q67)</f>
        <v>1</v>
      </c>
      <c r="S67" s="893">
        <f>R67*$K$5</f>
        <v>500</v>
      </c>
      <c r="T67" s="894">
        <f>SUM(G61:G67)</f>
        <v>65</v>
      </c>
      <c r="U67" s="894">
        <f>MIN($Z$4,T67)</f>
        <v>60</v>
      </c>
      <c r="V67" s="894">
        <f>IF(R67&lt;=0,U67,U67-SUMIF(M61:M67,"[d]-Min",G61:G67))</f>
        <v>48.5</v>
      </c>
      <c r="W67" s="894">
        <f>SUM(L61:L67)</f>
        <v>45.5</v>
      </c>
      <c r="X67" s="895">
        <f>IF(W67&lt;MIN(U67,V67),ROUND(MIN(U67,V67)-W67,2),0)</f>
        <v>3</v>
      </c>
      <c r="Y67" s="893">
        <f>X67*$K$6</f>
        <v>150</v>
      </c>
      <c r="Z67" s="923">
        <f>Y67+S67</f>
        <v>650</v>
      </c>
      <c r="AA67" s="928">
        <v>49</v>
      </c>
      <c r="AB67" s="928"/>
    </row>
    <row r="68" spans="1:28">
      <c r="A68" s="881">
        <v>45999</v>
      </c>
      <c r="B68" s="882" t="s">
        <v>186</v>
      </c>
      <c r="C68" s="883">
        <v>0.25</v>
      </c>
      <c r="D68" s="884">
        <v>0.5</v>
      </c>
      <c r="E68" s="884">
        <v>0.52083333333333337</v>
      </c>
      <c r="F68" s="884">
        <v>0.75</v>
      </c>
      <c r="G68" s="885">
        <f t="shared" si="10"/>
        <v>11.5</v>
      </c>
      <c r="H68" s="883">
        <v>0.25</v>
      </c>
      <c r="I68" s="884">
        <v>0.5</v>
      </c>
      <c r="J68" s="884">
        <v>0.52083333333333337</v>
      </c>
      <c r="K68" s="884">
        <v>0.75</v>
      </c>
      <c r="L68" s="886">
        <f t="shared" si="11"/>
        <v>11.5</v>
      </c>
      <c r="M68" s="887" t="str">
        <f t="shared" si="12"/>
        <v>ok</v>
      </c>
      <c r="N68" s="888"/>
      <c r="O68" s="889"/>
      <c r="P68" s="890"/>
      <c r="Q68" s="891"/>
      <c r="R68" s="892"/>
      <c r="S68" s="893"/>
      <c r="T68" s="894"/>
      <c r="U68" s="894"/>
      <c r="V68" s="894"/>
      <c r="W68" s="894"/>
      <c r="X68" s="895"/>
      <c r="Y68" s="893"/>
      <c r="Z68" s="923"/>
      <c r="AA68" s="925">
        <v>50</v>
      </c>
      <c r="AB68" s="925"/>
    </row>
    <row r="69" spans="1:28">
      <c r="A69" s="881">
        <v>46000</v>
      </c>
      <c r="B69" s="882" t="s">
        <v>187</v>
      </c>
      <c r="C69" s="883">
        <v>0.25</v>
      </c>
      <c r="D69" s="884">
        <v>0.5</v>
      </c>
      <c r="E69" s="884">
        <v>0.52083333333333337</v>
      </c>
      <c r="F69" s="884">
        <v>0.75</v>
      </c>
      <c r="G69" s="885">
        <f t="shared" si="10"/>
        <v>11.5</v>
      </c>
      <c r="H69" s="883">
        <v>0.25</v>
      </c>
      <c r="I69" s="884">
        <v>0.5</v>
      </c>
      <c r="J69" s="884">
        <v>0.52083333333333337</v>
      </c>
      <c r="K69" s="884">
        <v>0.75</v>
      </c>
      <c r="L69" s="886">
        <f t="shared" si="11"/>
        <v>11.5</v>
      </c>
      <c r="M69" s="887" t="str">
        <f t="shared" si="12"/>
        <v>ok</v>
      </c>
      <c r="N69" s="888"/>
      <c r="O69" s="889"/>
      <c r="P69" s="890"/>
      <c r="Q69" s="891"/>
      <c r="R69" s="892"/>
      <c r="S69" s="893"/>
      <c r="T69" s="894"/>
      <c r="U69" s="894"/>
      <c r="V69" s="894"/>
      <c r="W69" s="894"/>
      <c r="X69" s="895"/>
      <c r="Y69" s="893"/>
      <c r="Z69" s="923"/>
      <c r="AA69" s="925">
        <v>50</v>
      </c>
      <c r="AB69" s="925"/>
    </row>
    <row r="70" spans="1:28">
      <c r="A70" s="881">
        <v>46001</v>
      </c>
      <c r="B70" s="882" t="s">
        <v>188</v>
      </c>
      <c r="C70" s="883">
        <v>0.25</v>
      </c>
      <c r="D70" s="884">
        <v>0.5</v>
      </c>
      <c r="E70" s="884">
        <v>0.52083333333333337</v>
      </c>
      <c r="F70" s="884">
        <v>0.75</v>
      </c>
      <c r="G70" s="885">
        <f t="shared" si="10"/>
        <v>11.5</v>
      </c>
      <c r="H70" s="883">
        <v>0.25</v>
      </c>
      <c r="I70" s="884">
        <v>0.5</v>
      </c>
      <c r="J70" s="884">
        <v>0.52083333333333337</v>
      </c>
      <c r="K70" s="884">
        <v>0.75</v>
      </c>
      <c r="L70" s="886">
        <f t="shared" si="11"/>
        <v>11.5</v>
      </c>
      <c r="M70" s="887" t="str">
        <f t="shared" si="12"/>
        <v>ok</v>
      </c>
      <c r="N70" s="888"/>
      <c r="O70" s="889"/>
      <c r="P70" s="890"/>
      <c r="Q70" s="891"/>
      <c r="R70" s="892"/>
      <c r="S70" s="893"/>
      <c r="T70" s="894"/>
      <c r="U70" s="894"/>
      <c r="V70" s="894"/>
      <c r="W70" s="894"/>
      <c r="X70" s="895"/>
      <c r="Y70" s="893"/>
      <c r="Z70" s="923"/>
      <c r="AA70" s="925">
        <v>50</v>
      </c>
      <c r="AB70" s="925"/>
    </row>
    <row r="71" spans="1:28">
      <c r="A71" s="881">
        <v>46002</v>
      </c>
      <c r="B71" s="882" t="s">
        <v>189</v>
      </c>
      <c r="C71" s="883">
        <v>0.25</v>
      </c>
      <c r="D71" s="884">
        <v>0.5</v>
      </c>
      <c r="E71" s="884">
        <v>0.52083333333333337</v>
      </c>
      <c r="F71" s="884">
        <v>0.75</v>
      </c>
      <c r="G71" s="885">
        <f t="shared" si="10"/>
        <v>11.5</v>
      </c>
      <c r="H71" s="883">
        <v>0.25</v>
      </c>
      <c r="I71" s="884">
        <v>0.5</v>
      </c>
      <c r="J71" s="884">
        <v>0.52083333333333337</v>
      </c>
      <c r="K71" s="884">
        <v>0.75</v>
      </c>
      <c r="L71" s="886">
        <f t="shared" si="11"/>
        <v>11.5</v>
      </c>
      <c r="M71" s="887" t="str">
        <f t="shared" si="12"/>
        <v>ok</v>
      </c>
      <c r="N71" s="888"/>
      <c r="O71" s="889"/>
      <c r="P71" s="890"/>
      <c r="Q71" s="891"/>
      <c r="R71" s="892"/>
      <c r="S71" s="893"/>
      <c r="T71" s="894"/>
      <c r="U71" s="894"/>
      <c r="V71" s="894"/>
      <c r="W71" s="894"/>
      <c r="X71" s="895"/>
      <c r="Y71" s="893"/>
      <c r="Z71" s="923"/>
      <c r="AA71" s="925">
        <v>50</v>
      </c>
      <c r="AB71" s="925"/>
    </row>
    <row r="72" spans="1:28">
      <c r="A72" s="881">
        <v>46003</v>
      </c>
      <c r="B72" s="882" t="s">
        <v>190</v>
      </c>
      <c r="C72" s="883">
        <v>0.25</v>
      </c>
      <c r="D72" s="884">
        <v>0.5</v>
      </c>
      <c r="E72" s="884">
        <v>0.52083333333333337</v>
      </c>
      <c r="F72" s="884">
        <v>0.66666666666666663</v>
      </c>
      <c r="G72" s="885">
        <f t="shared" si="10"/>
        <v>9.4999999999999982</v>
      </c>
      <c r="H72" s="883">
        <v>0.25</v>
      </c>
      <c r="I72" s="884">
        <v>0.5</v>
      </c>
      <c r="J72" s="884">
        <v>0.52083333333333337</v>
      </c>
      <c r="K72" s="884">
        <v>0.66666666666666663</v>
      </c>
      <c r="L72" s="886">
        <f t="shared" si="11"/>
        <v>9.4999999999999982</v>
      </c>
      <c r="M72" s="887" t="str">
        <f t="shared" si="12"/>
        <v>ok</v>
      </c>
      <c r="N72" s="888"/>
      <c r="O72" s="889"/>
      <c r="P72" s="890"/>
      <c r="Q72" s="891"/>
      <c r="R72" s="892"/>
      <c r="S72" s="893"/>
      <c r="T72" s="894"/>
      <c r="U72" s="894"/>
      <c r="V72" s="894"/>
      <c r="W72" s="894"/>
      <c r="X72" s="895"/>
      <c r="Y72" s="893"/>
      <c r="Z72" s="923"/>
      <c r="AA72" s="925">
        <v>50</v>
      </c>
      <c r="AB72" s="925"/>
    </row>
    <row r="73" spans="1:28">
      <c r="A73" s="881">
        <v>46004</v>
      </c>
      <c r="B73" s="882" t="s">
        <v>191</v>
      </c>
      <c r="C73" s="883"/>
      <c r="D73" s="884"/>
      <c r="E73" s="884"/>
      <c r="F73" s="884"/>
      <c r="G73" s="885" t="str">
        <f t="shared" si="10"/>
        <v/>
      </c>
      <c r="H73" s="883"/>
      <c r="I73" s="884"/>
      <c r="J73" s="884"/>
      <c r="K73" s="884"/>
      <c r="L73" s="886" t="str">
        <f t="shared" si="11"/>
        <v/>
      </c>
      <c r="M73" s="887" t="str">
        <f t="shared" si="12"/>
        <v>ok</v>
      </c>
      <c r="N73" s="888"/>
      <c r="O73" s="889"/>
      <c r="P73" s="890"/>
      <c r="Q73" s="891"/>
      <c r="R73" s="892"/>
      <c r="S73" s="893"/>
      <c r="T73" s="894"/>
      <c r="U73" s="894"/>
      <c r="V73" s="894"/>
      <c r="W73" s="894"/>
      <c r="X73" s="895"/>
      <c r="Y73" s="893"/>
      <c r="Z73" s="923"/>
      <c r="AA73" s="925">
        <v>50</v>
      </c>
      <c r="AB73" s="925"/>
    </row>
    <row r="74" spans="1:28">
      <c r="A74" s="881">
        <v>46005</v>
      </c>
      <c r="B74" s="882" t="s">
        <v>192</v>
      </c>
      <c r="C74" s="883">
        <v>0.25</v>
      </c>
      <c r="D74" s="884">
        <v>0.5</v>
      </c>
      <c r="E74" s="884">
        <v>0.52083333333333337</v>
      </c>
      <c r="F74" s="884">
        <v>0.58333333333333337</v>
      </c>
      <c r="G74" s="885">
        <f t="shared" si="10"/>
        <v>7.5</v>
      </c>
      <c r="H74" s="883"/>
      <c r="I74" s="884"/>
      <c r="J74" s="884"/>
      <c r="K74" s="884"/>
      <c r="L74" s="886" t="str">
        <f t="shared" si="11"/>
        <v/>
      </c>
      <c r="M74" s="887" t="str">
        <f t="shared" si="12"/>
        <v>[d]-Min</v>
      </c>
      <c r="N74" s="888"/>
      <c r="O74" s="889">
        <f>IF(COUNT(G68:G74)&gt;=$X$4,$X$4,COUNT(G68:G74))</f>
        <v>6</v>
      </c>
      <c r="P74" s="890">
        <f>COUNT(G68:G74)</f>
        <v>6</v>
      </c>
      <c r="Q74" s="891">
        <f>COUNT(L68:L74)</f>
        <v>5</v>
      </c>
      <c r="R74" s="892">
        <f>IF(Q74&gt;O74,0,O74-Q74)</f>
        <v>1</v>
      </c>
      <c r="S74" s="893">
        <f>R74*$K$5</f>
        <v>500</v>
      </c>
      <c r="T74" s="894">
        <f>SUM(G68:G74)</f>
        <v>63</v>
      </c>
      <c r="U74" s="894">
        <f>MIN($Z$4,T74)</f>
        <v>60</v>
      </c>
      <c r="V74" s="894">
        <f>IF(R74&lt;=0,U74,U74-SUMIF(M68:M74,"[d]-Min",G68:G74))</f>
        <v>52.5</v>
      </c>
      <c r="W74" s="894">
        <f>SUM(L68:L74)</f>
        <v>55.5</v>
      </c>
      <c r="X74" s="895">
        <f>IF(W74&lt;MIN(U74,V74),ROUND(MIN(U74,V74)-W74,2),0)</f>
        <v>0</v>
      </c>
      <c r="Y74" s="893">
        <f>X74*$K$6</f>
        <v>0</v>
      </c>
      <c r="Z74" s="923">
        <f>Y74+S74</f>
        <v>500</v>
      </c>
      <c r="AA74" s="928">
        <v>50</v>
      </c>
      <c r="AB74" s="928"/>
    </row>
    <row r="75" spans="1:28">
      <c r="A75" s="881">
        <v>46006</v>
      </c>
      <c r="B75" s="882" t="s">
        <v>186</v>
      </c>
      <c r="C75" s="883">
        <v>0.25</v>
      </c>
      <c r="D75" s="884">
        <v>0.5</v>
      </c>
      <c r="E75" s="884">
        <v>0.52083333333333337</v>
      </c>
      <c r="F75" s="884">
        <v>0.75</v>
      </c>
      <c r="G75" s="885">
        <f t="shared" si="10"/>
        <v>11.5</v>
      </c>
      <c r="H75" s="883">
        <v>0.25</v>
      </c>
      <c r="I75" s="884">
        <v>0.5</v>
      </c>
      <c r="J75" s="884">
        <v>0.52083333333333337</v>
      </c>
      <c r="K75" s="884">
        <v>0.75</v>
      </c>
      <c r="L75" s="886">
        <f t="shared" si="11"/>
        <v>11.5</v>
      </c>
      <c r="M75" s="887" t="str">
        <f t="shared" si="12"/>
        <v>ok</v>
      </c>
      <c r="N75" s="888"/>
      <c r="O75" s="889"/>
      <c r="P75" s="890"/>
      <c r="Q75" s="891"/>
      <c r="R75" s="892"/>
      <c r="S75" s="893"/>
      <c r="T75" s="894"/>
      <c r="U75" s="894"/>
      <c r="V75" s="894"/>
      <c r="W75" s="894"/>
      <c r="X75" s="895"/>
      <c r="Y75" s="893"/>
      <c r="Z75" s="923"/>
      <c r="AA75" s="925">
        <v>51</v>
      </c>
      <c r="AB75" s="925"/>
    </row>
    <row r="76" spans="1:28">
      <c r="A76" s="881">
        <v>46007</v>
      </c>
      <c r="B76" s="882" t="s">
        <v>187</v>
      </c>
      <c r="C76" s="883">
        <v>0.25</v>
      </c>
      <c r="D76" s="884">
        <v>0.5</v>
      </c>
      <c r="E76" s="884">
        <v>0.52083333333333337</v>
      </c>
      <c r="F76" s="884">
        <v>0.75</v>
      </c>
      <c r="G76" s="885">
        <f t="shared" si="10"/>
        <v>11.5</v>
      </c>
      <c r="H76" s="883">
        <v>0.25</v>
      </c>
      <c r="I76" s="884">
        <v>0.5</v>
      </c>
      <c r="J76" s="884">
        <v>0.52083333333333337</v>
      </c>
      <c r="K76" s="884">
        <v>0.75</v>
      </c>
      <c r="L76" s="886">
        <f t="shared" si="11"/>
        <v>11.5</v>
      </c>
      <c r="M76" s="887" t="str">
        <f t="shared" si="12"/>
        <v>ok</v>
      </c>
      <c r="N76" s="888"/>
      <c r="O76" s="889"/>
      <c r="P76" s="890"/>
      <c r="Q76" s="891"/>
      <c r="R76" s="892"/>
      <c r="S76" s="893"/>
      <c r="T76" s="894"/>
      <c r="U76" s="894"/>
      <c r="V76" s="894"/>
      <c r="W76" s="894"/>
      <c r="X76" s="895"/>
      <c r="Y76" s="893"/>
      <c r="Z76" s="923"/>
      <c r="AA76" s="925">
        <v>51</v>
      </c>
      <c r="AB76" s="925"/>
    </row>
    <row r="77" spans="1:28">
      <c r="A77" s="881">
        <v>46008</v>
      </c>
      <c r="B77" s="882" t="s">
        <v>188</v>
      </c>
      <c r="C77" s="883">
        <v>0.25</v>
      </c>
      <c r="D77" s="884">
        <v>0.5</v>
      </c>
      <c r="E77" s="884">
        <v>0.52083333333333337</v>
      </c>
      <c r="F77" s="884">
        <v>0.75</v>
      </c>
      <c r="G77" s="885">
        <f t="shared" si="10"/>
        <v>11.5</v>
      </c>
      <c r="H77" s="883">
        <v>0.25</v>
      </c>
      <c r="I77" s="884">
        <v>0.5</v>
      </c>
      <c r="J77" s="884"/>
      <c r="K77" s="884"/>
      <c r="L77" s="886">
        <f t="shared" si="11"/>
        <v>6</v>
      </c>
      <c r="M77" s="887" t="str">
        <f t="shared" si="12"/>
        <v>[h]-Min</v>
      </c>
      <c r="N77" s="888"/>
      <c r="O77" s="889"/>
      <c r="P77" s="890"/>
      <c r="Q77" s="891"/>
      <c r="R77" s="892"/>
      <c r="S77" s="893"/>
      <c r="T77" s="894"/>
      <c r="U77" s="894"/>
      <c r="V77" s="894"/>
      <c r="W77" s="894"/>
      <c r="X77" s="895"/>
      <c r="Y77" s="893"/>
      <c r="Z77" s="923"/>
      <c r="AA77" s="925">
        <v>51</v>
      </c>
      <c r="AB77" s="925"/>
    </row>
    <row r="78" spans="1:28">
      <c r="A78" s="881">
        <v>46009</v>
      </c>
      <c r="B78" s="882" t="s">
        <v>189</v>
      </c>
      <c r="C78" s="883">
        <v>0.25</v>
      </c>
      <c r="D78" s="884">
        <v>0.5</v>
      </c>
      <c r="E78" s="884">
        <v>0.52083333333333337</v>
      </c>
      <c r="F78" s="884">
        <v>0.75</v>
      </c>
      <c r="G78" s="885">
        <f t="shared" si="10"/>
        <v>11.5</v>
      </c>
      <c r="H78" s="883">
        <v>0.25</v>
      </c>
      <c r="I78" s="884">
        <v>0.5</v>
      </c>
      <c r="J78" s="884">
        <v>0.52083333333333337</v>
      </c>
      <c r="K78" s="884">
        <v>0.75</v>
      </c>
      <c r="L78" s="886">
        <f t="shared" si="11"/>
        <v>11.5</v>
      </c>
      <c r="M78" s="887" t="str">
        <f t="shared" si="12"/>
        <v>ok</v>
      </c>
      <c r="N78" s="888"/>
      <c r="O78" s="889"/>
      <c r="P78" s="890"/>
      <c r="Q78" s="891"/>
      <c r="R78" s="892"/>
      <c r="S78" s="893"/>
      <c r="T78" s="894"/>
      <c r="U78" s="894"/>
      <c r="V78" s="894"/>
      <c r="W78" s="894"/>
      <c r="X78" s="895"/>
      <c r="Y78" s="893"/>
      <c r="Z78" s="923"/>
      <c r="AA78" s="925">
        <v>51</v>
      </c>
      <c r="AB78" s="925"/>
    </row>
    <row r="79" spans="1:28">
      <c r="A79" s="881">
        <v>46010</v>
      </c>
      <c r="B79" s="882" t="s">
        <v>190</v>
      </c>
      <c r="C79" s="883">
        <v>0.25</v>
      </c>
      <c r="D79" s="884">
        <v>0.5</v>
      </c>
      <c r="E79" s="884">
        <v>0.52083333333333337</v>
      </c>
      <c r="F79" s="884">
        <v>0.66666666666666663</v>
      </c>
      <c r="G79" s="885">
        <f t="shared" si="10"/>
        <v>9.4999999999999982</v>
      </c>
      <c r="H79" s="883">
        <v>0.25</v>
      </c>
      <c r="I79" s="884">
        <v>0.5</v>
      </c>
      <c r="J79" s="884">
        <v>0.52083333333333337</v>
      </c>
      <c r="K79" s="884">
        <v>0.6875</v>
      </c>
      <c r="L79" s="886">
        <f t="shared" si="11"/>
        <v>10</v>
      </c>
      <c r="M79" s="887" t="str">
        <f t="shared" si="12"/>
        <v>[h]-Max</v>
      </c>
      <c r="N79" s="888"/>
      <c r="O79" s="889"/>
      <c r="P79" s="890"/>
      <c r="Q79" s="891"/>
      <c r="R79" s="892"/>
      <c r="S79" s="893"/>
      <c r="T79" s="894"/>
      <c r="U79" s="894"/>
      <c r="V79" s="894"/>
      <c r="W79" s="894"/>
      <c r="X79" s="895"/>
      <c r="Y79" s="893"/>
      <c r="Z79" s="923"/>
      <c r="AA79" s="925">
        <v>51</v>
      </c>
      <c r="AB79" s="925"/>
    </row>
    <row r="80" spans="1:28">
      <c r="A80" s="881">
        <v>46011</v>
      </c>
      <c r="B80" s="882" t="s">
        <v>191</v>
      </c>
      <c r="C80" s="883"/>
      <c r="D80" s="884"/>
      <c r="E80" s="884"/>
      <c r="F80" s="884"/>
      <c r="G80" s="885" t="str">
        <f t="shared" si="10"/>
        <v/>
      </c>
      <c r="H80" s="883"/>
      <c r="I80" s="884"/>
      <c r="J80" s="884">
        <v>0.52083333333333337</v>
      </c>
      <c r="K80" s="884">
        <v>0.6875</v>
      </c>
      <c r="L80" s="886">
        <f t="shared" si="11"/>
        <v>3.9999999999999991</v>
      </c>
      <c r="M80" s="887" t="str">
        <f t="shared" si="12"/>
        <v>[d]-Max</v>
      </c>
      <c r="N80" s="888"/>
      <c r="O80" s="889"/>
      <c r="P80" s="890"/>
      <c r="Q80" s="891"/>
      <c r="R80" s="892"/>
      <c r="S80" s="893"/>
      <c r="T80" s="894"/>
      <c r="U80" s="894"/>
      <c r="V80" s="894"/>
      <c r="W80" s="894"/>
      <c r="X80" s="895"/>
      <c r="Y80" s="893"/>
      <c r="Z80" s="923"/>
      <c r="AA80" s="925">
        <v>51</v>
      </c>
      <c r="AB80" s="925"/>
    </row>
    <row r="81" spans="1:29">
      <c r="A81" s="881">
        <v>46012</v>
      </c>
      <c r="B81" s="882" t="s">
        <v>192</v>
      </c>
      <c r="C81" s="883">
        <v>0.25</v>
      </c>
      <c r="D81" s="884">
        <v>0.5</v>
      </c>
      <c r="E81" s="884">
        <v>0.52083333333333337</v>
      </c>
      <c r="F81" s="884">
        <v>0.66666666666666663</v>
      </c>
      <c r="G81" s="885">
        <f t="shared" si="10"/>
        <v>9.4999999999999982</v>
      </c>
      <c r="H81" s="883">
        <v>0.25</v>
      </c>
      <c r="I81" s="884">
        <v>0.5</v>
      </c>
      <c r="J81" s="884">
        <v>0.52083333333333337</v>
      </c>
      <c r="K81" s="884">
        <v>0.66666666666666663</v>
      </c>
      <c r="L81" s="886">
        <f t="shared" si="11"/>
        <v>9.4999999999999982</v>
      </c>
      <c r="M81" s="887" t="str">
        <f t="shared" si="12"/>
        <v>ok</v>
      </c>
      <c r="N81" s="888"/>
      <c r="O81" s="889">
        <f>IF(COUNT(G75:G81)&gt;=$X$4,$X$4,COUNT(G75:G81))</f>
        <v>6</v>
      </c>
      <c r="P81" s="890">
        <f>COUNT(G75:G81)</f>
        <v>6</v>
      </c>
      <c r="Q81" s="891">
        <f>COUNT(L75:L81)</f>
        <v>7</v>
      </c>
      <c r="R81" s="892">
        <f>IF(Q81&gt;O81,0,O81-Q81)</f>
        <v>0</v>
      </c>
      <c r="S81" s="893">
        <f>R81*$K$5</f>
        <v>0</v>
      </c>
      <c r="T81" s="894">
        <f>SUM(G75:G81)</f>
        <v>65</v>
      </c>
      <c r="U81" s="894">
        <f>MIN($Z$4,T81)</f>
        <v>60</v>
      </c>
      <c r="V81" s="894">
        <f>IF(R81&lt;=0,U81,U81-SUMIF(M75:M81,"[d]-Min",G75:G81))</f>
        <v>60</v>
      </c>
      <c r="W81" s="894">
        <f>SUM(L75:L81)</f>
        <v>64</v>
      </c>
      <c r="X81" s="895">
        <f>IF(W81&lt;MIN(U81,V81),ROUND(MIN(U81,V81)-W81,2),0)</f>
        <v>0</v>
      </c>
      <c r="Y81" s="893">
        <f>X81*$K$6</f>
        <v>0</v>
      </c>
      <c r="Z81" s="923">
        <f>Y81+S81</f>
        <v>0</v>
      </c>
      <c r="AA81" s="928">
        <v>51</v>
      </c>
      <c r="AB81" s="928"/>
    </row>
    <row r="82" spans="1:29">
      <c r="A82" s="881">
        <v>46013</v>
      </c>
      <c r="B82" s="882" t="s">
        <v>186</v>
      </c>
      <c r="C82" s="883">
        <v>0.25</v>
      </c>
      <c r="D82" s="884">
        <v>0.5</v>
      </c>
      <c r="E82" s="884">
        <v>0.52083333333333337</v>
      </c>
      <c r="F82" s="884">
        <v>0.75</v>
      </c>
      <c r="G82" s="885">
        <f t="shared" si="10"/>
        <v>11.5</v>
      </c>
      <c r="H82" s="883">
        <v>0.25</v>
      </c>
      <c r="I82" s="884">
        <v>0.5</v>
      </c>
      <c r="J82" s="884">
        <v>0.52083333333333337</v>
      </c>
      <c r="K82" s="884">
        <v>0.66666666666666663</v>
      </c>
      <c r="L82" s="886">
        <f t="shared" si="11"/>
        <v>9.4999999999999982</v>
      </c>
      <c r="M82" s="887" t="str">
        <f t="shared" si="12"/>
        <v>[h]-Min</v>
      </c>
      <c r="N82" s="888"/>
      <c r="O82" s="889"/>
      <c r="P82" s="890"/>
      <c r="Q82" s="891"/>
      <c r="R82" s="892"/>
      <c r="S82" s="893"/>
      <c r="T82" s="894"/>
      <c r="U82" s="894"/>
      <c r="V82" s="894"/>
      <c r="W82" s="894"/>
      <c r="X82" s="895"/>
      <c r="Y82" s="893"/>
      <c r="Z82" s="923"/>
      <c r="AA82" s="925">
        <v>52</v>
      </c>
      <c r="AB82" s="925"/>
    </row>
    <row r="83" spans="1:29">
      <c r="A83" s="881">
        <v>46014</v>
      </c>
      <c r="B83" s="882" t="s">
        <v>187</v>
      </c>
      <c r="C83" s="883">
        <v>0.25</v>
      </c>
      <c r="D83" s="884">
        <v>0.5</v>
      </c>
      <c r="E83" s="884">
        <v>0.52083333333333337</v>
      </c>
      <c r="F83" s="884">
        <v>0.75</v>
      </c>
      <c r="G83" s="885">
        <f t="shared" si="10"/>
        <v>11.5</v>
      </c>
      <c r="H83" s="883">
        <v>0.25</v>
      </c>
      <c r="I83" s="884">
        <v>0.5</v>
      </c>
      <c r="J83" s="884">
        <v>0.52083333333333337</v>
      </c>
      <c r="K83" s="884">
        <v>0.66666666666666663</v>
      </c>
      <c r="L83" s="886">
        <f t="shared" si="11"/>
        <v>9.4999999999999982</v>
      </c>
      <c r="M83" s="887" t="str">
        <f t="shared" si="12"/>
        <v>[h]-Min</v>
      </c>
      <c r="N83" s="888"/>
      <c r="O83" s="889"/>
      <c r="P83" s="890"/>
      <c r="Q83" s="891"/>
      <c r="R83" s="892"/>
      <c r="S83" s="893"/>
      <c r="T83" s="894"/>
      <c r="U83" s="894"/>
      <c r="V83" s="894"/>
      <c r="W83" s="894"/>
      <c r="X83" s="895"/>
      <c r="Y83" s="893"/>
      <c r="Z83" s="923"/>
      <c r="AA83" s="925">
        <v>52</v>
      </c>
      <c r="AB83" s="925"/>
    </row>
    <row r="84" spans="1:29">
      <c r="A84" s="881">
        <v>46015</v>
      </c>
      <c r="B84" s="882" t="s">
        <v>188</v>
      </c>
      <c r="C84" s="883">
        <v>0.25</v>
      </c>
      <c r="D84" s="884">
        <v>0.5</v>
      </c>
      <c r="E84" s="884">
        <v>0.52083333333333337</v>
      </c>
      <c r="F84" s="884">
        <v>0.75</v>
      </c>
      <c r="G84" s="885">
        <f t="shared" si="10"/>
        <v>11.5</v>
      </c>
      <c r="H84" s="883">
        <v>0.25</v>
      </c>
      <c r="I84" s="884">
        <v>0.5</v>
      </c>
      <c r="J84" s="884"/>
      <c r="K84" s="884"/>
      <c r="L84" s="886">
        <f t="shared" si="11"/>
        <v>6</v>
      </c>
      <c r="M84" s="887" t="str">
        <f t="shared" si="12"/>
        <v>[h]-Min</v>
      </c>
      <c r="N84" s="888" t="s">
        <v>862</v>
      </c>
      <c r="O84" s="889"/>
      <c r="P84" s="890"/>
      <c r="Q84" s="891"/>
      <c r="R84" s="892"/>
      <c r="S84" s="893"/>
      <c r="T84" s="894"/>
      <c r="U84" s="894"/>
      <c r="V84" s="894"/>
      <c r="W84" s="894"/>
      <c r="X84" s="895"/>
      <c r="Y84" s="893"/>
      <c r="Z84" s="923"/>
      <c r="AA84" s="925">
        <v>52</v>
      </c>
      <c r="AB84" s="925"/>
    </row>
    <row r="85" spans="1:29">
      <c r="A85" s="881">
        <v>46016</v>
      </c>
      <c r="B85" s="882" t="s">
        <v>189</v>
      </c>
      <c r="C85" s="883">
        <v>0.25</v>
      </c>
      <c r="D85" s="884">
        <v>0.5</v>
      </c>
      <c r="E85" s="884">
        <v>0.52083333333333337</v>
      </c>
      <c r="F85" s="884">
        <v>0.75</v>
      </c>
      <c r="G85" s="885">
        <f t="shared" si="10"/>
        <v>11.5</v>
      </c>
      <c r="H85" s="883"/>
      <c r="I85" s="884"/>
      <c r="J85" s="884"/>
      <c r="K85" s="884"/>
      <c r="L85" s="886" t="str">
        <f t="shared" si="11"/>
        <v/>
      </c>
      <c r="M85" s="887" t="str">
        <f t="shared" si="12"/>
        <v>[d]-Min</v>
      </c>
      <c r="N85" s="888" t="s">
        <v>862</v>
      </c>
      <c r="O85" s="889"/>
      <c r="P85" s="890"/>
      <c r="Q85" s="891"/>
      <c r="R85" s="892"/>
      <c r="S85" s="893"/>
      <c r="T85" s="894"/>
      <c r="U85" s="894"/>
      <c r="V85" s="894"/>
      <c r="W85" s="894"/>
      <c r="X85" s="895"/>
      <c r="Y85" s="893"/>
      <c r="Z85" s="923"/>
      <c r="AA85" s="925">
        <v>52</v>
      </c>
      <c r="AB85" s="925"/>
    </row>
    <row r="86" spans="1:29">
      <c r="A86" s="881">
        <v>46017</v>
      </c>
      <c r="B86" s="882" t="s">
        <v>190</v>
      </c>
      <c r="C86" s="883">
        <v>0.25</v>
      </c>
      <c r="D86" s="884">
        <v>0.5</v>
      </c>
      <c r="E86" s="884">
        <v>0.52083333333333337</v>
      </c>
      <c r="F86" s="884">
        <v>0.66666666666666663</v>
      </c>
      <c r="G86" s="885">
        <f t="shared" si="10"/>
        <v>9.4999999999999982</v>
      </c>
      <c r="H86" s="883">
        <v>0.25</v>
      </c>
      <c r="I86" s="884">
        <v>0.5</v>
      </c>
      <c r="J86" s="884"/>
      <c r="K86" s="884"/>
      <c r="L86" s="886">
        <f t="shared" si="11"/>
        <v>6</v>
      </c>
      <c r="M86" s="887" t="str">
        <f t="shared" si="12"/>
        <v>[h]-Min</v>
      </c>
      <c r="N86" s="888" t="s">
        <v>862</v>
      </c>
      <c r="O86" s="889"/>
      <c r="P86" s="890"/>
      <c r="Q86" s="891"/>
      <c r="R86" s="892"/>
      <c r="S86" s="893"/>
      <c r="T86" s="894"/>
      <c r="U86" s="894"/>
      <c r="V86" s="894"/>
      <c r="W86" s="894"/>
      <c r="X86" s="895"/>
      <c r="Y86" s="893"/>
      <c r="Z86" s="923"/>
      <c r="AA86" s="925">
        <v>52</v>
      </c>
      <c r="AB86" s="925"/>
    </row>
    <row r="87" spans="1:29">
      <c r="A87" s="881">
        <v>46018</v>
      </c>
      <c r="B87" s="882" t="s">
        <v>191</v>
      </c>
      <c r="C87" s="883"/>
      <c r="D87" s="884"/>
      <c r="E87" s="884"/>
      <c r="F87" s="884"/>
      <c r="G87" s="885" t="str">
        <f t="shared" si="10"/>
        <v/>
      </c>
      <c r="H87" s="883"/>
      <c r="I87" s="884"/>
      <c r="J87" s="884"/>
      <c r="K87" s="884"/>
      <c r="L87" s="886" t="str">
        <f t="shared" si="11"/>
        <v/>
      </c>
      <c r="M87" s="887" t="str">
        <f t="shared" si="12"/>
        <v>ok</v>
      </c>
      <c r="N87" s="888"/>
      <c r="O87" s="889"/>
      <c r="P87" s="890"/>
      <c r="Q87" s="891"/>
      <c r="R87" s="892"/>
      <c r="S87" s="893"/>
      <c r="T87" s="894"/>
      <c r="U87" s="894"/>
      <c r="V87" s="894"/>
      <c r="W87" s="894"/>
      <c r="X87" s="895"/>
      <c r="Y87" s="893"/>
      <c r="Z87" s="923"/>
      <c r="AA87" s="925">
        <v>52</v>
      </c>
      <c r="AB87" s="925"/>
    </row>
    <row r="88" spans="1:29">
      <c r="A88" s="881" t="s">
        <v>1113</v>
      </c>
      <c r="B88" s="882" t="s">
        <v>192</v>
      </c>
      <c r="C88" s="883">
        <v>0.25</v>
      </c>
      <c r="D88" s="884">
        <v>0.5</v>
      </c>
      <c r="E88" s="884">
        <v>0.52083333333333337</v>
      </c>
      <c r="F88" s="884">
        <v>0.66666666666666663</v>
      </c>
      <c r="G88" s="885">
        <f t="shared" si="10"/>
        <v>9.4999999999999982</v>
      </c>
      <c r="H88" s="883">
        <v>0.25</v>
      </c>
      <c r="I88" s="884">
        <v>0.5</v>
      </c>
      <c r="J88" s="884">
        <v>0.52083333333333337</v>
      </c>
      <c r="K88" s="884">
        <v>0.66666666666666663</v>
      </c>
      <c r="L88" s="886">
        <f t="shared" si="11"/>
        <v>9.4999999999999982</v>
      </c>
      <c r="M88" s="887" t="str">
        <f t="shared" si="12"/>
        <v>ok</v>
      </c>
      <c r="N88" s="888"/>
      <c r="O88" s="889">
        <f>IF(COUNT(G82:G88)&gt;=$X$4,$X$4,COUNT(G82:G88))</f>
        <v>6</v>
      </c>
      <c r="P88" s="890">
        <f>COUNT(G82:G88)</f>
        <v>6</v>
      </c>
      <c r="Q88" s="891">
        <f>COUNT(L82:L88)</f>
        <v>5</v>
      </c>
      <c r="R88" s="892">
        <f>IF(Q88&gt;O88,0,O88-Q88)</f>
        <v>1</v>
      </c>
      <c r="S88" s="893">
        <f>R88*$K$5</f>
        <v>500</v>
      </c>
      <c r="T88" s="894">
        <f>SUM(G82:G88)</f>
        <v>65</v>
      </c>
      <c r="U88" s="894">
        <f>MIN($Z$4,T88)</f>
        <v>60</v>
      </c>
      <c r="V88" s="894">
        <f>IF(R88&lt;=0,U88,U88-SUMIF(M82:M88,"[d]-Min",G82:G88))</f>
        <v>48.5</v>
      </c>
      <c r="W88" s="894">
        <f>SUM(L82:L88)</f>
        <v>40.499999999999993</v>
      </c>
      <c r="X88" s="895">
        <f>IF(W88&lt;MIN(U88,V88),ROUND(MIN(U88,V88)-W88,2),0)</f>
        <v>8</v>
      </c>
      <c r="Y88" s="893">
        <f>X88*$K$6</f>
        <v>400</v>
      </c>
      <c r="Z88" s="923">
        <f>Y88+S88</f>
        <v>900</v>
      </c>
      <c r="AA88" s="1321">
        <v>52</v>
      </c>
      <c r="AB88" s="1321"/>
    </row>
    <row r="89" spans="1:29" ht="36">
      <c r="A89" s="755"/>
      <c r="B89" s="868"/>
      <c r="C89" s="757"/>
      <c r="D89" s="868"/>
      <c r="E89" s="757"/>
      <c r="F89" s="872"/>
      <c r="G89" s="758"/>
      <c r="H89" s="758"/>
      <c r="I89" s="758"/>
      <c r="J89" s="758"/>
      <c r="K89" s="758"/>
      <c r="L89" s="758"/>
      <c r="M89" s="758"/>
      <c r="N89" s="758"/>
      <c r="O89" s="758"/>
      <c r="P89" s="758"/>
      <c r="Q89" s="758"/>
      <c r="R89" s="758"/>
      <c r="S89" s="758"/>
      <c r="T89" s="758"/>
      <c r="U89" s="758"/>
      <c r="V89" s="758"/>
      <c r="W89" s="758"/>
      <c r="X89" s="758"/>
      <c r="Y89" s="758"/>
      <c r="Z89" s="921" t="s">
        <v>792</v>
      </c>
      <c r="AC89" s="921" t="s">
        <v>867</v>
      </c>
    </row>
    <row r="90" spans="1:29">
      <c r="A90" s="896" t="s">
        <v>860</v>
      </c>
      <c r="B90" s="868"/>
      <c r="C90" s="757"/>
      <c r="D90" s="868"/>
      <c r="E90" s="757"/>
      <c r="F90" s="872"/>
      <c r="G90" s="758"/>
      <c r="H90" s="758"/>
      <c r="I90" s="758"/>
      <c r="J90" s="758"/>
      <c r="K90" s="758"/>
      <c r="L90" s="758"/>
      <c r="M90" s="758"/>
      <c r="N90" s="758"/>
      <c r="O90" s="758"/>
      <c r="P90" s="758"/>
      <c r="Q90" s="758"/>
      <c r="R90" s="758"/>
      <c r="S90" s="758"/>
      <c r="T90" s="758"/>
      <c r="U90" s="758"/>
      <c r="V90" s="758"/>
      <c r="W90" s="758"/>
      <c r="X90" s="758"/>
      <c r="Y90" s="758"/>
      <c r="Z90" s="758"/>
    </row>
    <row r="91" spans="1:29" ht="25.5">
      <c r="A91" s="897">
        <v>46020</v>
      </c>
      <c r="B91" s="898" t="s">
        <v>186</v>
      </c>
      <c r="C91" s="899">
        <v>0.25</v>
      </c>
      <c r="D91" s="900">
        <v>0.5</v>
      </c>
      <c r="E91" s="900">
        <v>0.52083333333333337</v>
      </c>
      <c r="F91" s="900">
        <v>0.75</v>
      </c>
      <c r="G91" s="901">
        <f t="shared" ref="G91:G97" si="13">IF(COUNT(C91:F91)&gt;0,(D91-C91+F91-E91)*24,"")</f>
        <v>11.5</v>
      </c>
      <c r="H91" s="899">
        <v>0.25</v>
      </c>
      <c r="I91" s="900">
        <v>0.5</v>
      </c>
      <c r="J91" s="900">
        <v>0.52083333333333337</v>
      </c>
      <c r="K91" s="900">
        <v>0.75</v>
      </c>
      <c r="L91" s="902">
        <f t="shared" ref="L91:L97" si="14">IF(COUNT(H91:K91)&gt;0,(I91-H91+K91-J91)*24,"")</f>
        <v>11.5</v>
      </c>
      <c r="M91" s="903" t="str">
        <f t="shared" ref="M91:M97" si="15">IF(AND(G91&lt;&gt;"",L91=""),"[d]-Min",IF(AND(G91="",L91&lt;&gt;""),"[d]-Max",IF(L91&lt;G91,"[h]-Min",IF(L91&gt;G91,"[h]-Max","ok"))))</f>
        <v>ok</v>
      </c>
      <c r="N91" s="904"/>
      <c r="O91" s="1261"/>
      <c r="P91" s="1262"/>
      <c r="Q91" s="1263"/>
      <c r="R91" s="1263"/>
      <c r="S91" s="1264"/>
      <c r="T91" s="1265"/>
      <c r="U91" s="1265"/>
      <c r="V91" s="1265"/>
      <c r="W91" s="1265"/>
      <c r="X91" s="1265"/>
      <c r="Y91" s="1264"/>
      <c r="Z91" s="1590"/>
      <c r="AA91" s="1319">
        <v>52</v>
      </c>
      <c r="AB91" s="1273" t="s">
        <v>1119</v>
      </c>
    </row>
    <row r="92" spans="1:29">
      <c r="A92" s="881">
        <v>46021</v>
      </c>
      <c r="B92" s="882" t="s">
        <v>187</v>
      </c>
      <c r="C92" s="883">
        <v>0.25</v>
      </c>
      <c r="D92" s="884">
        <v>0.5</v>
      </c>
      <c r="E92" s="884">
        <v>0.52083333333333337</v>
      </c>
      <c r="F92" s="884">
        <v>0.75</v>
      </c>
      <c r="G92" s="885">
        <f t="shared" si="13"/>
        <v>11.5</v>
      </c>
      <c r="H92" s="883">
        <v>0.25</v>
      </c>
      <c r="I92" s="884">
        <v>0.5</v>
      </c>
      <c r="J92" s="884">
        <v>0.52083333333333337</v>
      </c>
      <c r="K92" s="884">
        <v>0.75</v>
      </c>
      <c r="L92" s="912">
        <f t="shared" si="14"/>
        <v>11.5</v>
      </c>
      <c r="M92" s="887" t="str">
        <f t="shared" si="15"/>
        <v>ok</v>
      </c>
      <c r="N92" s="888"/>
      <c r="O92" s="1267"/>
      <c r="P92" s="1268"/>
      <c r="Q92" s="1269"/>
      <c r="R92" s="1269"/>
      <c r="S92" s="1270"/>
      <c r="T92" s="1271"/>
      <c r="U92" s="1271"/>
      <c r="V92" s="1271"/>
      <c r="W92" s="1271"/>
      <c r="X92" s="1271"/>
      <c r="Y92" s="1270"/>
      <c r="Z92" s="913"/>
      <c r="AA92" s="1320">
        <v>52</v>
      </c>
      <c r="AB92" s="1272"/>
    </row>
    <row r="93" spans="1:29">
      <c r="A93" s="881">
        <v>46022</v>
      </c>
      <c r="B93" s="882" t="s">
        <v>188</v>
      </c>
      <c r="C93" s="883">
        <v>0.25</v>
      </c>
      <c r="D93" s="884">
        <v>0.5</v>
      </c>
      <c r="E93" s="884">
        <v>0.52083333333333337</v>
      </c>
      <c r="F93" s="884">
        <v>0.75</v>
      </c>
      <c r="G93" s="885">
        <v>11.5</v>
      </c>
      <c r="H93" s="883"/>
      <c r="I93" s="884"/>
      <c r="J93" s="884"/>
      <c r="K93" s="884"/>
      <c r="L93" s="912">
        <v>11.5</v>
      </c>
      <c r="M93" s="887" t="str">
        <f t="shared" si="15"/>
        <v>ok</v>
      </c>
      <c r="N93" s="888" t="s">
        <v>862</v>
      </c>
      <c r="O93" s="1267"/>
      <c r="P93" s="1268"/>
      <c r="Q93" s="1269"/>
      <c r="R93" s="1269"/>
      <c r="S93" s="1270"/>
      <c r="T93" s="1271"/>
      <c r="U93" s="1271"/>
      <c r="V93" s="1271"/>
      <c r="W93" s="1271"/>
      <c r="X93" s="1271"/>
      <c r="Y93" s="1270"/>
      <c r="Z93" s="913"/>
      <c r="AA93" s="1272">
        <v>52</v>
      </c>
      <c r="AB93" s="1272"/>
    </row>
    <row r="94" spans="1:29">
      <c r="A94" s="881">
        <v>46023</v>
      </c>
      <c r="B94" s="882" t="s">
        <v>189</v>
      </c>
      <c r="C94" s="883">
        <v>0.25</v>
      </c>
      <c r="D94" s="884">
        <v>0.5</v>
      </c>
      <c r="E94" s="884">
        <v>0.52083333333333337</v>
      </c>
      <c r="F94" s="884">
        <v>0.66666666666666663</v>
      </c>
      <c r="G94" s="885">
        <f t="shared" si="13"/>
        <v>9.4999999999999982</v>
      </c>
      <c r="H94" s="883"/>
      <c r="I94" s="884"/>
      <c r="J94" s="884"/>
      <c r="K94" s="884"/>
      <c r="L94" s="912" t="str">
        <f t="shared" si="14"/>
        <v/>
      </c>
      <c r="M94" s="887" t="str">
        <f t="shared" si="15"/>
        <v>[d]-Min</v>
      </c>
      <c r="N94" s="888" t="s">
        <v>862</v>
      </c>
      <c r="O94" s="889"/>
      <c r="P94" s="890"/>
      <c r="Q94" s="891"/>
      <c r="R94" s="892"/>
      <c r="S94" s="893"/>
      <c r="T94" s="894"/>
      <c r="U94" s="894"/>
      <c r="V94" s="894"/>
      <c r="W94" s="894"/>
      <c r="X94" s="895"/>
      <c r="Y94" s="893"/>
      <c r="Z94" s="913"/>
      <c r="AA94" s="1318">
        <v>1</v>
      </c>
      <c r="AB94" s="930"/>
    </row>
    <row r="95" spans="1:29">
      <c r="A95" s="881">
        <v>46024</v>
      </c>
      <c r="B95" s="882" t="s">
        <v>190</v>
      </c>
      <c r="C95" s="883"/>
      <c r="D95" s="884"/>
      <c r="E95" s="884"/>
      <c r="F95" s="884"/>
      <c r="G95" s="885" t="str">
        <f t="shared" si="13"/>
        <v/>
      </c>
      <c r="H95" s="883"/>
      <c r="I95" s="884"/>
      <c r="J95" s="884"/>
      <c r="K95" s="884"/>
      <c r="L95" s="912" t="str">
        <f t="shared" si="14"/>
        <v/>
      </c>
      <c r="M95" s="887" t="str">
        <f t="shared" si="15"/>
        <v>ok</v>
      </c>
      <c r="N95" s="888"/>
      <c r="O95" s="889"/>
      <c r="P95" s="890"/>
      <c r="Q95" s="891"/>
      <c r="R95" s="892"/>
      <c r="S95" s="893"/>
      <c r="T95" s="894"/>
      <c r="U95" s="894"/>
      <c r="V95" s="894"/>
      <c r="W95" s="894"/>
      <c r="X95" s="895"/>
      <c r="Y95" s="893"/>
      <c r="Z95" s="913"/>
      <c r="AA95" s="1318">
        <v>1</v>
      </c>
      <c r="AB95" s="930"/>
    </row>
    <row r="96" spans="1:29">
      <c r="A96" s="881">
        <v>46025</v>
      </c>
      <c r="B96" s="882" t="s">
        <v>191</v>
      </c>
      <c r="C96" s="883"/>
      <c r="D96" s="884"/>
      <c r="E96" s="884"/>
      <c r="F96" s="884"/>
      <c r="G96" s="885" t="str">
        <f t="shared" si="13"/>
        <v/>
      </c>
      <c r="H96" s="883"/>
      <c r="I96" s="884"/>
      <c r="J96" s="884"/>
      <c r="K96" s="884"/>
      <c r="L96" s="912" t="str">
        <f t="shared" si="14"/>
        <v/>
      </c>
      <c r="M96" s="887" t="str">
        <f t="shared" si="15"/>
        <v>ok</v>
      </c>
      <c r="N96" s="888"/>
      <c r="O96" s="889"/>
      <c r="P96" s="890"/>
      <c r="Q96" s="891"/>
      <c r="R96" s="892"/>
      <c r="S96" s="893"/>
      <c r="T96" s="894"/>
      <c r="U96" s="894"/>
      <c r="V96" s="894"/>
      <c r="W96" s="894"/>
      <c r="X96" s="895"/>
      <c r="Y96" s="893"/>
      <c r="Z96" s="913"/>
      <c r="AA96" s="931">
        <v>1</v>
      </c>
      <c r="AB96" s="1176"/>
    </row>
    <row r="97" spans="1:28">
      <c r="A97" s="881">
        <v>46026</v>
      </c>
      <c r="B97" s="882" t="s">
        <v>192</v>
      </c>
      <c r="C97" s="883"/>
      <c r="D97" s="884"/>
      <c r="E97" s="884"/>
      <c r="F97" s="884"/>
      <c r="G97" s="885" t="str">
        <f t="shared" si="13"/>
        <v/>
      </c>
      <c r="H97" s="883"/>
      <c r="I97" s="884"/>
      <c r="J97" s="884"/>
      <c r="K97" s="884"/>
      <c r="L97" s="912" t="str">
        <f t="shared" si="14"/>
        <v/>
      </c>
      <c r="M97" s="887" t="str">
        <f t="shared" si="15"/>
        <v>ok</v>
      </c>
      <c r="N97" s="888"/>
      <c r="O97" s="889">
        <f>IF(COUNT(G91:G97)&gt;=$X$4,$X$4,COUNT(G91:G97))</f>
        <v>4</v>
      </c>
      <c r="P97" s="890">
        <f>COUNT(G91:G97)</f>
        <v>4</v>
      </c>
      <c r="Q97" s="891">
        <f>COUNT(L91:L97)</f>
        <v>3</v>
      </c>
      <c r="R97" s="892">
        <f>IF(Q97&gt;O97,0,O97-Q97)</f>
        <v>1</v>
      </c>
      <c r="S97" s="893">
        <f>R97*$K$5</f>
        <v>500</v>
      </c>
      <c r="T97" s="894">
        <f>SUM(G91:G97)</f>
        <v>44</v>
      </c>
      <c r="U97" s="894">
        <f>MIN($Z$4,T97)</f>
        <v>44</v>
      </c>
      <c r="V97" s="894">
        <f>IF(R97&lt;=0,U97,U97-SUMIF(M91:M97,"[d]-Min",G91:G97))</f>
        <v>34.5</v>
      </c>
      <c r="W97" s="894">
        <f>SUM(L91:L97)</f>
        <v>34.5</v>
      </c>
      <c r="X97" s="895">
        <f>IF(W97&lt;MIN(U97,V97),ROUND(MIN(U97,V97)-W97,2),0)</f>
        <v>0</v>
      </c>
      <c r="Y97" s="893">
        <f>X97*$M$13</f>
        <v>0</v>
      </c>
      <c r="Z97" s="913">
        <f>Y97+S97</f>
        <v>500</v>
      </c>
      <c r="AA97" s="928">
        <v>1</v>
      </c>
      <c r="AB97" s="928"/>
    </row>
    <row r="98" spans="1:28">
      <c r="Z98" s="921" t="s">
        <v>792</v>
      </c>
    </row>
    <row r="99" spans="1:28">
      <c r="A99" s="194" t="s">
        <v>219</v>
      </c>
      <c r="B99" s="195" t="s">
        <v>224</v>
      </c>
    </row>
  </sheetData>
  <sheetProtection algorithmName="SHA-512" hashValue="0OA5RV56dU+pD8+7O9kgtmwQz4jvD5jr7JgEgEgZqMsTSHA0/aBJ2sbJRM+4aO8qaWWX4k+80au2jTJun9Yrbw==" saltValue="vU7uIP3NvMKnUXugKwG2cQ==" spinCount="100000" sheet="1" objects="1" scenarios="1"/>
  <mergeCells count="65">
    <mergeCell ref="AB58:AB60"/>
    <mergeCell ref="A2:I2"/>
    <mergeCell ref="M4:N4"/>
    <mergeCell ref="A4:E4"/>
    <mergeCell ref="A5:J5"/>
    <mergeCell ref="K5:L5"/>
    <mergeCell ref="M5:N5"/>
    <mergeCell ref="A7:J7"/>
    <mergeCell ref="K7:L7"/>
    <mergeCell ref="M7:N7"/>
    <mergeCell ref="A6:J6"/>
    <mergeCell ref="K6:L6"/>
    <mergeCell ref="M6:N6"/>
    <mergeCell ref="B12:F12"/>
    <mergeCell ref="B14:F14"/>
    <mergeCell ref="A15:A16"/>
    <mergeCell ref="B15:B16"/>
    <mergeCell ref="C15:F15"/>
    <mergeCell ref="G15:G16"/>
    <mergeCell ref="H15:K15"/>
    <mergeCell ref="L15:L16"/>
    <mergeCell ref="M15:M16"/>
    <mergeCell ref="N15:N16"/>
    <mergeCell ref="AB15:AB16"/>
    <mergeCell ref="T15:T16"/>
    <mergeCell ref="U15:U16"/>
    <mergeCell ref="V15:V16"/>
    <mergeCell ref="W15:W16"/>
    <mergeCell ref="X15:X16"/>
    <mergeCell ref="Y15:Y16"/>
    <mergeCell ref="Z15:Z16"/>
    <mergeCell ref="AA15:AA16"/>
    <mergeCell ref="T59:T60"/>
    <mergeCell ref="U59:U60"/>
    <mergeCell ref="O15:O16"/>
    <mergeCell ref="P15:P16"/>
    <mergeCell ref="Q15:Q16"/>
    <mergeCell ref="R15:R16"/>
    <mergeCell ref="S15:S16"/>
    <mergeCell ref="G59:G60"/>
    <mergeCell ref="H59:K59"/>
    <mergeCell ref="O57:P57"/>
    <mergeCell ref="Q57:R57"/>
    <mergeCell ref="S59:S60"/>
    <mergeCell ref="X3:AA3"/>
    <mergeCell ref="X6:AA6"/>
    <mergeCell ref="X7:AA7"/>
    <mergeCell ref="AA58:AA60"/>
    <mergeCell ref="Z59:Z60"/>
    <mergeCell ref="A1:R1"/>
    <mergeCell ref="V59:V60"/>
    <mergeCell ref="W59:W60"/>
    <mergeCell ref="X59:X60"/>
    <mergeCell ref="Y59:Y60"/>
    <mergeCell ref="L59:L60"/>
    <mergeCell ref="M59:M60"/>
    <mergeCell ref="N59:N60"/>
    <mergeCell ref="O59:O60"/>
    <mergeCell ref="P59:P60"/>
    <mergeCell ref="A59:A60"/>
    <mergeCell ref="B59:B60"/>
    <mergeCell ref="C59:F59"/>
    <mergeCell ref="B58:F58"/>
    <mergeCell ref="Q59:Q60"/>
    <mergeCell ref="R59:R60"/>
  </mergeCells>
  <conditionalFormatting sqref="M14">
    <cfRule type="containsText" dxfId="75" priority="29" operator="containsText" text="[d]-Min">
      <formula>NOT(ISERROR(SEARCH("[d]-Min",M14)))</formula>
    </cfRule>
    <cfRule type="containsText" dxfId="74" priority="30" operator="containsText" text="[h]-Max">
      <formula>NOT(ISERROR(SEARCH("[h]-Max",M14)))</formula>
    </cfRule>
    <cfRule type="containsText" dxfId="73" priority="31" operator="containsText" text="[h]-Min">
      <formula>NOT(ISERROR(SEARCH("[h]-Min",M14)))</formula>
    </cfRule>
  </conditionalFormatting>
  <conditionalFormatting sqref="X14 A18:N44 A47:N53 A17:L17 N17">
    <cfRule type="expression" dxfId="72" priority="28">
      <formula>$N14="FT"</formula>
    </cfRule>
  </conditionalFormatting>
  <conditionalFormatting sqref="X14 A47:Z53 A18:Z44 A17:L17 N17:Z17">
    <cfRule type="expression" dxfId="71" priority="27">
      <formula>$B14="So"</formula>
    </cfRule>
  </conditionalFormatting>
  <conditionalFormatting sqref="M18:M44 M47:M53">
    <cfRule type="cellIs" dxfId="70" priority="23" operator="equal">
      <formula>"[d]-Max"</formula>
    </cfRule>
    <cfRule type="containsText" dxfId="69" priority="24" operator="containsText" text="[d]-Min">
      <formula>NOT(ISERROR(SEARCH("[d]-Min",M18)))</formula>
    </cfRule>
    <cfRule type="containsText" dxfId="68" priority="25" operator="containsText" text="[h]-Max">
      <formula>NOT(ISERROR(SEARCH("[h]-Max",M18)))</formula>
    </cfRule>
    <cfRule type="containsText" dxfId="67" priority="26" operator="containsText" text="[h]-Min">
      <formula>NOT(ISERROR(SEARCH("[h]-Min",M18)))</formula>
    </cfRule>
  </conditionalFormatting>
  <conditionalFormatting sqref="M58">
    <cfRule type="containsText" dxfId="66" priority="20" operator="containsText" text="[d]-Min">
      <formula>NOT(ISERROR(SEARCH("[d]-Min",M58)))</formula>
    </cfRule>
    <cfRule type="containsText" dxfId="65" priority="21" operator="containsText" text="[h]-Max">
      <formula>NOT(ISERROR(SEARCH("[h]-Max",M58)))</formula>
    </cfRule>
    <cfRule type="containsText" dxfId="64" priority="22" operator="containsText" text="[h]-Min">
      <formula>NOT(ISERROR(SEARCH("[h]-Min",M58)))</formula>
    </cfRule>
  </conditionalFormatting>
  <conditionalFormatting sqref="X58 A68:N88 B61:N67 A91:N97">
    <cfRule type="expression" dxfId="63" priority="19">
      <formula>$N58="FT"</formula>
    </cfRule>
  </conditionalFormatting>
  <conditionalFormatting sqref="X58 A68:Z88 B61:Z67 A91:Z97">
    <cfRule type="expression" dxfId="62" priority="18">
      <formula>$B58="So"</formula>
    </cfRule>
  </conditionalFormatting>
  <conditionalFormatting sqref="M61:M88 M91:M97">
    <cfRule type="cellIs" dxfId="61" priority="14" operator="equal">
      <formula>"[d]-Max"</formula>
    </cfRule>
    <cfRule type="containsText" dxfId="60" priority="15" operator="containsText" text="[d]-Min">
      <formula>NOT(ISERROR(SEARCH("[d]-Min",M61)))</formula>
    </cfRule>
    <cfRule type="containsText" dxfId="59" priority="16" operator="containsText" text="[h]-Max">
      <formula>NOT(ISERROR(SEARCH("[h]-Max",M61)))</formula>
    </cfRule>
    <cfRule type="containsText" dxfId="58" priority="17" operator="containsText" text="[h]-Min">
      <formula>NOT(ISERROR(SEARCH("[h]-Min",M61)))</formula>
    </cfRule>
  </conditionalFormatting>
  <conditionalFormatting sqref="M12">
    <cfRule type="containsText" dxfId="57" priority="11" operator="containsText" text="[d]-Min">
      <formula>NOT(ISERROR(SEARCH("[d]-Min",M12)))</formula>
    </cfRule>
    <cfRule type="containsText" dxfId="56" priority="12" operator="containsText" text="[h]-Max">
      <formula>NOT(ISERROR(SEARCH("[h]-Max",M12)))</formula>
    </cfRule>
    <cfRule type="containsText" dxfId="55" priority="13" operator="containsText" text="[h]-Min">
      <formula>NOT(ISERROR(SEARCH("[h]-Min",M12)))</formula>
    </cfRule>
  </conditionalFormatting>
  <conditionalFormatting sqref="X12">
    <cfRule type="expression" dxfId="54" priority="10">
      <formula>$N12="FT"</formula>
    </cfRule>
  </conditionalFormatting>
  <conditionalFormatting sqref="X12">
    <cfRule type="expression" dxfId="53" priority="9">
      <formula>$B12="So"</formula>
    </cfRule>
  </conditionalFormatting>
  <conditionalFormatting sqref="A61:A67">
    <cfRule type="expression" dxfId="52" priority="7">
      <formula>$B61="So"</formula>
    </cfRule>
  </conditionalFormatting>
  <conditionalFormatting sqref="A61:A67">
    <cfRule type="expression" dxfId="51" priority="8">
      <formula>$N61="FT"</formula>
    </cfRule>
  </conditionalFormatting>
  <conditionalFormatting sqref="M17">
    <cfRule type="expression" dxfId="50" priority="6">
      <formula>$N17="FT"</formula>
    </cfRule>
  </conditionalFormatting>
  <conditionalFormatting sqref="M17">
    <cfRule type="expression" dxfId="49" priority="5">
      <formula>$B17="So"</formula>
    </cfRule>
  </conditionalFormatting>
  <conditionalFormatting sqref="M17">
    <cfRule type="cellIs" dxfId="48" priority="1" operator="equal">
      <formula>"[d]-Max"</formula>
    </cfRule>
    <cfRule type="containsText" dxfId="47" priority="2" operator="containsText" text="[d]-Min">
      <formula>NOT(ISERROR(SEARCH("[d]-Min",M17)))</formula>
    </cfRule>
    <cfRule type="containsText" dxfId="46" priority="3" operator="containsText" text="[h]-Max">
      <formula>NOT(ISERROR(SEARCH("[h]-Max",M17)))</formula>
    </cfRule>
    <cfRule type="containsText" dxfId="45" priority="4" operator="containsText" text="[h]-Min">
      <formula>NOT(ISERROR(SEARCH("[h]-Min",M17)))</formula>
    </cfRule>
  </conditionalFormatting>
  <pageMargins left="0.7" right="0.7" top="0.78740157499999996" bottom="0.78740157499999996" header="0.3" footer="0.3"/>
  <pageSetup paperSize="9" scale="42" orientation="landscape" r:id="rId1"/>
  <headerFooter>
    <oddHeader>&amp;LVDV SUN Jahresschlussrechnung JJJJ&amp;R&amp;KFF0000&amp;F</oddHeader>
    <oddFooter>&amp;C&amp;P&amp;R&amp;A</oddFooter>
  </headerFooter>
  <rowBreaks count="1" manualBreakCount="1">
    <brk id="57" max="16383" man="1"/>
  </rowBreaks>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120E6-902D-4E00-9127-02812DB7A65E}">
  <dimension ref="A1:AP99"/>
  <sheetViews>
    <sheetView view="pageLayout" zoomScale="80" zoomScaleNormal="80" zoomScalePageLayoutView="80" workbookViewId="0">
      <selection activeCell="N12" sqref="N12"/>
    </sheetView>
  </sheetViews>
  <sheetFormatPr baseColWidth="10" defaultColWidth="7.28515625" defaultRowHeight="12.75"/>
  <cols>
    <col min="1" max="1" width="13.28515625" style="76" customWidth="1"/>
    <col min="2" max="2" width="9" style="472" bestFit="1" customWidth="1"/>
    <col min="3" max="3" width="5.85546875" style="77" customWidth="1"/>
    <col min="4" max="4" width="6" style="472" bestFit="1" customWidth="1"/>
    <col min="5" max="5" width="6" style="77" bestFit="1" customWidth="1"/>
    <col min="6" max="6" width="11.42578125" style="82" customWidth="1"/>
    <col min="7" max="7" width="12.7109375" style="74" bestFit="1" customWidth="1"/>
    <col min="8" max="8" width="5" style="74" bestFit="1" customWidth="1"/>
    <col min="9" max="9" width="6" style="74" bestFit="1" customWidth="1"/>
    <col min="10" max="11" width="7.28515625" style="74"/>
    <col min="12" max="12" width="10.140625" style="74" bestFit="1" customWidth="1"/>
    <col min="13" max="13" width="13.28515625" style="74" customWidth="1"/>
    <col min="14" max="14" width="10.28515625" style="74" customWidth="1"/>
    <col min="15" max="15" width="10.5703125" style="74" customWidth="1"/>
    <col min="16" max="16" width="13.42578125" style="74" customWidth="1"/>
    <col min="17" max="17" width="8.7109375" style="74" customWidth="1"/>
    <col min="18" max="18" width="11.85546875" style="74" customWidth="1"/>
    <col min="19" max="19" width="12" style="74" customWidth="1"/>
    <col min="20" max="20" width="10" style="74" customWidth="1"/>
    <col min="21" max="21" width="12.85546875" style="74" customWidth="1"/>
    <col min="22" max="22" width="7.28515625" style="74"/>
    <col min="23" max="23" width="10.28515625" style="74" customWidth="1"/>
    <col min="24" max="24" width="11.5703125" style="74" customWidth="1"/>
    <col min="25" max="25" width="16" style="74" customWidth="1"/>
    <col min="26" max="26" width="13.7109375" style="74" customWidth="1"/>
    <col min="27" max="27" width="17.7109375" style="74" customWidth="1"/>
    <col min="28" max="28" width="23.140625" style="74" customWidth="1"/>
    <col min="29" max="29" width="9.5703125" style="74" customWidth="1"/>
    <col min="30" max="30" width="7.28515625" style="74" customWidth="1"/>
    <col min="31" max="33" width="7.28515625" style="74"/>
    <col min="34" max="34" width="10.28515625" style="74" customWidth="1"/>
    <col min="35" max="36" width="7.28515625" style="74"/>
    <col min="37" max="37" width="12.85546875" style="74" customWidth="1"/>
    <col min="38" max="38" width="7.28515625" style="74"/>
    <col min="39" max="39" width="14.7109375" style="74" customWidth="1"/>
    <col min="40" max="40" width="10.28515625" style="74" customWidth="1"/>
    <col min="41" max="41" width="15" style="74" customWidth="1"/>
    <col min="42" max="42" width="7.28515625" style="74" customWidth="1"/>
    <col min="43" max="16384" width="7.28515625" style="74"/>
  </cols>
  <sheetData>
    <row r="1" spans="1:42" ht="18" customHeight="1">
      <c r="A1" s="3233" t="s">
        <v>1482</v>
      </c>
      <c r="B1" s="3233"/>
      <c r="C1" s="3233"/>
      <c r="D1" s="3233"/>
      <c r="E1" s="3233"/>
      <c r="F1" s="3233"/>
      <c r="G1" s="3233"/>
      <c r="H1" s="3233"/>
      <c r="I1" s="3233"/>
      <c r="J1" s="3242"/>
      <c r="K1" s="3242"/>
      <c r="L1" s="3242"/>
      <c r="M1" s="3242"/>
      <c r="N1" s="3242"/>
      <c r="O1" s="3242"/>
      <c r="P1" s="3242"/>
      <c r="Q1" s="3242"/>
      <c r="R1" s="3242"/>
    </row>
    <row r="2" spans="1:42" ht="23.25" customHeight="1" thickBot="1">
      <c r="A2" s="3228" t="str">
        <f>'1a_Leistungsvolumen'!A2</f>
        <v>Monat JJJJ</v>
      </c>
      <c r="B2" s="3228"/>
      <c r="C2" s="3228"/>
      <c r="D2" s="3228"/>
      <c r="E2" s="3228"/>
      <c r="F2" s="3228"/>
      <c r="G2" s="3228"/>
      <c r="H2" s="3228"/>
      <c r="I2" s="3228"/>
      <c r="AC2" s="1290"/>
      <c r="AD2" s="1291"/>
      <c r="AE2" s="1291"/>
      <c r="AF2" s="1291"/>
      <c r="AG2" s="1291"/>
      <c r="AH2" s="79"/>
      <c r="AI2" s="79"/>
      <c r="AJ2" s="79"/>
      <c r="AK2" s="79"/>
      <c r="AL2" s="79"/>
      <c r="AM2" s="79"/>
      <c r="AN2" s="79"/>
      <c r="AO2" s="79"/>
      <c r="AP2" s="79"/>
    </row>
    <row r="3" spans="1:42" ht="31.5" customHeight="1" thickBot="1">
      <c r="A3" s="2268" t="s">
        <v>1586</v>
      </c>
      <c r="B3" s="2270"/>
      <c r="C3" s="2270"/>
      <c r="D3" s="1253"/>
      <c r="E3" s="1253"/>
      <c r="F3" s="1253"/>
      <c r="G3" s="1253"/>
      <c r="H3" s="1253"/>
      <c r="I3" s="1253"/>
      <c r="J3" s="758"/>
      <c r="K3" s="758"/>
      <c r="L3" s="758"/>
      <c r="M3" s="758"/>
      <c r="N3" s="758"/>
      <c r="O3" s="2271" t="s">
        <v>743</v>
      </c>
      <c r="P3" s="2138" t="s">
        <v>1526</v>
      </c>
      <c r="Q3" s="2301" t="s">
        <v>1527</v>
      </c>
      <c r="R3" s="2301" t="s">
        <v>1552</v>
      </c>
      <c r="S3" s="2301" t="s">
        <v>1551</v>
      </c>
      <c r="T3" s="2301" t="s">
        <v>1528</v>
      </c>
      <c r="U3" s="2301" t="s">
        <v>1553</v>
      </c>
      <c r="X3" s="3319" t="s">
        <v>1118</v>
      </c>
      <c r="Y3" s="3320"/>
      <c r="Z3" s="3320"/>
      <c r="AA3" s="3321"/>
      <c r="AC3" s="1279"/>
      <c r="AD3" s="1280"/>
      <c r="AE3" s="1280"/>
      <c r="AF3" s="1280"/>
      <c r="AG3" s="1280"/>
      <c r="AH3" s="1279"/>
      <c r="AI3" s="1280"/>
      <c r="AJ3" s="1280"/>
      <c r="AK3" s="1280"/>
      <c r="AL3" s="1280"/>
      <c r="AM3" s="1280"/>
      <c r="AN3" s="1280"/>
      <c r="AO3" s="1281"/>
      <c r="AP3" s="79"/>
    </row>
    <row r="4" spans="1:42" ht="42" customHeight="1" thickBot="1">
      <c r="A4" s="3293" t="s">
        <v>1114</v>
      </c>
      <c r="B4" s="3294"/>
      <c r="C4" s="3294"/>
      <c r="D4" s="3294"/>
      <c r="E4" s="3295"/>
      <c r="F4" s="872"/>
      <c r="G4" s="758"/>
      <c r="H4" s="758"/>
      <c r="I4" s="758"/>
      <c r="J4" s="758"/>
      <c r="K4" s="758"/>
      <c r="L4" s="872"/>
      <c r="M4" s="3292" t="s">
        <v>1449</v>
      </c>
      <c r="N4" s="3267"/>
      <c r="O4" s="2669">
        <f>SUM($P$4:$U$4)</f>
        <v>0.97066779999999997</v>
      </c>
      <c r="P4" s="2670">
        <f>'1a_Leistungsvolumen'!$C$93</f>
        <v>9.7772999999999992E-3</v>
      </c>
      <c r="Q4" s="2670">
        <f>'1a_Leistungsvolumen'!$D$93</f>
        <v>0.1214701</v>
      </c>
      <c r="R4" s="2670">
        <f>'1a_Leistungsvolumen'!$E$93</f>
        <v>6.2115400000000001E-2</v>
      </c>
      <c r="S4" s="2670">
        <f>'1a_Leistungsvolumen'!$F$93</f>
        <v>0.54540759999999999</v>
      </c>
      <c r="T4" s="2670">
        <f>'1a_Leistungsvolumen'!$G$93</f>
        <v>0.22948180000000001</v>
      </c>
      <c r="U4" s="2670">
        <f>'1a_Leistungsvolumen'!$I$93</f>
        <v>2.4156E-3</v>
      </c>
      <c r="X4" s="2234">
        <v>6</v>
      </c>
      <c r="Y4" s="2235" t="s">
        <v>843</v>
      </c>
      <c r="Z4" s="2236">
        <v>60</v>
      </c>
      <c r="AA4" s="2237" t="s">
        <v>272</v>
      </c>
      <c r="AC4" s="1280"/>
      <c r="AD4" s="1280"/>
      <c r="AE4" s="1280"/>
      <c r="AF4" s="1280"/>
      <c r="AG4" s="1280"/>
      <c r="AH4" s="1280"/>
      <c r="AI4" s="1280"/>
      <c r="AJ4" s="1280"/>
      <c r="AK4" s="1280"/>
      <c r="AL4" s="1280"/>
      <c r="AM4" s="1280"/>
      <c r="AN4" s="1280"/>
      <c r="AO4" s="1282"/>
      <c r="AP4" s="79"/>
    </row>
    <row r="5" spans="1:42" ht="18" customHeight="1" thickBot="1">
      <c r="A5" s="3296" t="s">
        <v>844</v>
      </c>
      <c r="B5" s="3297"/>
      <c r="C5" s="3297"/>
      <c r="D5" s="3297"/>
      <c r="E5" s="3297"/>
      <c r="F5" s="3297"/>
      <c r="G5" s="3297"/>
      <c r="H5" s="3297"/>
      <c r="I5" s="3297"/>
      <c r="J5" s="3298"/>
      <c r="K5" s="3299">
        <v>500</v>
      </c>
      <c r="L5" s="3300"/>
      <c r="M5" s="3301">
        <f>R14</f>
        <v>2</v>
      </c>
      <c r="N5" s="3302"/>
      <c r="O5" s="2227">
        <f>$M$5*$K$5</f>
        <v>1000</v>
      </c>
      <c r="P5" s="1973"/>
      <c r="Q5" s="1973"/>
      <c r="R5" s="1973"/>
      <c r="S5" s="1973"/>
      <c r="T5" s="1973"/>
      <c r="U5" s="1973"/>
      <c r="V5" s="758"/>
      <c r="W5" s="758"/>
      <c r="X5" s="758"/>
      <c r="Y5" s="758"/>
      <c r="Z5" s="758"/>
      <c r="AC5" s="1280"/>
      <c r="AD5" s="1283"/>
      <c r="AE5" s="1283"/>
      <c r="AF5" s="1283"/>
      <c r="AG5" s="1283"/>
      <c r="AH5" s="1274"/>
      <c r="AI5" s="1275"/>
      <c r="AJ5" s="1284"/>
      <c r="AK5" s="1285"/>
      <c r="AL5" s="1286"/>
      <c r="AM5" s="1287"/>
      <c r="AN5" s="1287"/>
      <c r="AO5" s="1288"/>
      <c r="AP5" s="79"/>
    </row>
    <row r="6" spans="1:42" ht="18" customHeight="1" thickBot="1">
      <c r="A6" s="3308" t="s">
        <v>200</v>
      </c>
      <c r="B6" s="3309"/>
      <c r="C6" s="3309"/>
      <c r="D6" s="3309"/>
      <c r="E6" s="3309"/>
      <c r="F6" s="3309"/>
      <c r="G6" s="3309"/>
      <c r="H6" s="3309"/>
      <c r="I6" s="3309"/>
      <c r="J6" s="3310"/>
      <c r="K6" s="3311">
        <v>50</v>
      </c>
      <c r="L6" s="3312"/>
      <c r="M6" s="3313">
        <f>X14</f>
        <v>5</v>
      </c>
      <c r="N6" s="3314"/>
      <c r="O6" s="2228">
        <f>$M$6*$K$6</f>
        <v>250</v>
      </c>
      <c r="P6" s="2229"/>
      <c r="Q6" s="2229"/>
      <c r="R6" s="2229"/>
      <c r="S6" s="2229"/>
      <c r="T6" s="2229"/>
      <c r="U6" s="2229"/>
      <c r="X6" s="3268" t="s">
        <v>1117</v>
      </c>
      <c r="Y6" s="3269"/>
      <c r="Z6" s="3269"/>
      <c r="AA6" s="3271"/>
      <c r="AB6" s="1577">
        <f>$Z$4*$A$12/7</f>
        <v>471.42857142857144</v>
      </c>
      <c r="AD6" s="1283"/>
      <c r="AE6" s="1283"/>
      <c r="AF6" s="1283"/>
      <c r="AG6" s="1283"/>
      <c r="AH6" s="1274"/>
      <c r="AI6" s="1275"/>
      <c r="AJ6" s="1276"/>
      <c r="AK6" s="1280"/>
      <c r="AL6" s="1280"/>
      <c r="AM6" s="1280"/>
      <c r="AN6" s="1280"/>
      <c r="AO6" s="1289"/>
      <c r="AP6" s="79"/>
    </row>
    <row r="7" spans="1:42" ht="18" customHeight="1" thickBot="1">
      <c r="A7" s="3303" t="s">
        <v>201</v>
      </c>
      <c r="B7" s="3304"/>
      <c r="C7" s="3304"/>
      <c r="D7" s="3304"/>
      <c r="E7" s="3304"/>
      <c r="F7" s="3304"/>
      <c r="G7" s="3304"/>
      <c r="H7" s="3304"/>
      <c r="I7" s="3304"/>
      <c r="J7" s="3305"/>
      <c r="K7" s="3306">
        <f>Z14</f>
        <v>1250</v>
      </c>
      <c r="L7" s="3307"/>
      <c r="M7" s="3306">
        <f>($K$5*$M$5)+($K$6*$M$6)</f>
        <v>1250</v>
      </c>
      <c r="N7" s="3307"/>
      <c r="O7" s="2255">
        <f>SUM($O$5:$O$6)</f>
        <v>1250</v>
      </c>
      <c r="P7" s="2256">
        <f>$O$7*$P$4</f>
        <v>12.221625</v>
      </c>
      <c r="Q7" s="2256">
        <f>$O$7*$Q$4</f>
        <v>151.837625</v>
      </c>
      <c r="R7" s="2256">
        <f>$O$7*$R$4</f>
        <v>77.64425</v>
      </c>
      <c r="S7" s="2256">
        <f>$O$7*$S$4</f>
        <v>681.7595</v>
      </c>
      <c r="T7" s="2256">
        <f>$O$7*$T$4</f>
        <v>286.85225000000003</v>
      </c>
      <c r="U7" s="2256">
        <f>$O$7*$U$4</f>
        <v>3.0194999999999999</v>
      </c>
      <c r="X7" s="3268" t="s">
        <v>1206</v>
      </c>
      <c r="Y7" s="3269"/>
      <c r="Z7" s="3269"/>
      <c r="AA7" s="3271"/>
      <c r="AB7" s="1578">
        <v>11</v>
      </c>
      <c r="AD7" s="1283"/>
      <c r="AE7" s="1283"/>
      <c r="AF7" s="1283"/>
      <c r="AG7" s="1283"/>
      <c r="AH7" s="1274"/>
      <c r="AI7" s="1280"/>
      <c r="AJ7" s="1280"/>
      <c r="AK7" s="1280"/>
      <c r="AL7" s="1280"/>
      <c r="AM7" s="1280"/>
      <c r="AN7" s="1280"/>
      <c r="AO7" s="1289"/>
      <c r="AP7" s="79"/>
    </row>
    <row r="8" spans="1:42" ht="18" customHeight="1">
      <c r="A8" s="1257"/>
      <c r="B8" s="1257"/>
      <c r="C8" s="1257"/>
      <c r="D8" s="1257"/>
      <c r="E8" s="1257"/>
      <c r="F8" s="1257"/>
      <c r="G8" s="1257"/>
      <c r="H8" s="1257"/>
      <c r="I8" s="1257"/>
      <c r="J8" s="1257"/>
      <c r="K8" s="1258"/>
      <c r="L8" s="1258"/>
      <c r="M8" s="1258"/>
      <c r="N8" s="1258"/>
      <c r="O8" s="1254"/>
      <c r="P8" s="1254"/>
      <c r="Q8" s="1254"/>
      <c r="R8" s="1254"/>
      <c r="S8" s="758"/>
      <c r="T8" s="758"/>
      <c r="U8" s="758"/>
      <c r="V8" s="758"/>
      <c r="W8" s="758"/>
      <c r="X8" s="758"/>
      <c r="Y8" s="758"/>
      <c r="Z8" s="758"/>
      <c r="AC8" s="1280"/>
      <c r="AD8" s="1283"/>
      <c r="AE8" s="1283"/>
      <c r="AF8" s="1283"/>
      <c r="AG8" s="1283"/>
      <c r="AH8" s="1274"/>
      <c r="AI8" s="1277"/>
      <c r="AJ8" s="1280"/>
      <c r="AK8" s="1280"/>
      <c r="AL8" s="1280"/>
      <c r="AM8" s="1280"/>
      <c r="AN8" s="1280"/>
      <c r="AO8" s="1289"/>
      <c r="AP8" s="79"/>
    </row>
    <row r="9" spans="1:42" ht="18" customHeight="1">
      <c r="A9" s="1257"/>
      <c r="B9" s="1257"/>
      <c r="C9" s="1257"/>
      <c r="D9" s="1257"/>
      <c r="E9" s="1257"/>
      <c r="F9" s="1257"/>
      <c r="G9" s="1257"/>
      <c r="H9" s="1257"/>
      <c r="I9" s="1257"/>
      <c r="J9" s="1257"/>
      <c r="K9" s="1258"/>
      <c r="L9" s="1258"/>
      <c r="M9" s="1258"/>
      <c r="N9" s="1258"/>
      <c r="O9" s="1254"/>
      <c r="P9" s="1254"/>
      <c r="Q9" s="1254"/>
      <c r="R9" s="1254"/>
      <c r="S9" s="758"/>
      <c r="T9" s="758"/>
      <c r="U9" s="758"/>
      <c r="V9" s="758"/>
      <c r="W9" s="758"/>
      <c r="X9" s="758"/>
      <c r="Y9" s="758"/>
      <c r="Z9" s="758"/>
      <c r="AC9" s="1280"/>
      <c r="AD9" s="1283"/>
      <c r="AE9" s="1283"/>
      <c r="AF9" s="1283"/>
      <c r="AG9" s="1283"/>
      <c r="AH9" s="1274"/>
      <c r="AI9" s="1278"/>
      <c r="AJ9" s="1280"/>
      <c r="AK9" s="1280"/>
      <c r="AL9" s="1280"/>
      <c r="AM9" s="1280"/>
      <c r="AN9" s="1280"/>
      <c r="AO9" s="1289"/>
      <c r="AP9" s="79"/>
    </row>
    <row r="10" spans="1:42" ht="18" customHeight="1">
      <c r="A10" s="1257"/>
      <c r="B10" s="1257"/>
      <c r="C10" s="1257"/>
      <c r="D10" s="1257"/>
      <c r="E10" s="1257"/>
      <c r="F10" s="1257"/>
      <c r="G10" s="1257"/>
      <c r="H10" s="1257"/>
      <c r="I10" s="1257"/>
      <c r="J10" s="1257"/>
      <c r="K10" s="1258"/>
      <c r="L10" s="1258"/>
      <c r="M10" s="1258"/>
      <c r="N10" s="1258"/>
      <c r="O10" s="1254"/>
      <c r="P10" s="1254"/>
      <c r="Q10" s="1254"/>
      <c r="R10" s="1254"/>
      <c r="S10" s="758"/>
      <c r="T10" s="758"/>
      <c r="U10" s="758"/>
      <c r="V10" s="758"/>
      <c r="W10" s="758"/>
      <c r="X10" s="758"/>
      <c r="Y10" s="758"/>
      <c r="Z10" s="758"/>
      <c r="AC10" s="1280"/>
      <c r="AD10" s="1283"/>
      <c r="AE10" s="1283"/>
      <c r="AF10" s="1283"/>
      <c r="AG10" s="1283"/>
      <c r="AH10" s="1274"/>
      <c r="AI10" s="1280"/>
      <c r="AJ10" s="1280"/>
      <c r="AK10" s="1280"/>
      <c r="AL10" s="1280"/>
      <c r="AM10" s="1280"/>
      <c r="AN10" s="1280"/>
      <c r="AO10" s="1289"/>
      <c r="AP10" s="79"/>
    </row>
    <row r="11" spans="1:42" ht="18" customHeight="1" thickBot="1">
      <c r="A11" s="1576" t="s">
        <v>792</v>
      </c>
      <c r="B11" s="1257"/>
      <c r="C11" s="1257"/>
      <c r="D11" s="1257"/>
      <c r="E11" s="1257"/>
      <c r="F11" s="1257"/>
      <c r="G11" s="1576" t="s">
        <v>792</v>
      </c>
      <c r="H11" s="1257"/>
      <c r="I11" s="1257"/>
      <c r="J11" s="1257"/>
      <c r="K11" s="1258"/>
      <c r="L11" s="1576" t="s">
        <v>792</v>
      </c>
      <c r="M11" s="1258"/>
      <c r="N11" s="1258"/>
      <c r="O11" s="1254"/>
      <c r="P11" s="1254"/>
      <c r="Q11" s="1254"/>
      <c r="R11" s="1576" t="s">
        <v>792</v>
      </c>
      <c r="S11" s="758"/>
      <c r="T11" s="758"/>
      <c r="U11" s="758"/>
      <c r="V11" s="758"/>
      <c r="W11" s="758"/>
      <c r="X11" s="1576" t="s">
        <v>792</v>
      </c>
      <c r="Y11" s="758"/>
      <c r="Z11" s="1576" t="s">
        <v>792</v>
      </c>
      <c r="AC11" s="1280"/>
      <c r="AD11" s="1283"/>
      <c r="AE11" s="1283"/>
      <c r="AF11" s="1283"/>
      <c r="AG11" s="1283"/>
      <c r="AH11" s="1274"/>
      <c r="AI11" s="1280"/>
      <c r="AJ11" s="1280"/>
      <c r="AK11" s="1280"/>
      <c r="AL11" s="1280"/>
      <c r="AM11" s="1280"/>
      <c r="AN11" s="1280"/>
      <c r="AO11" s="1289"/>
      <c r="AP11" s="79"/>
    </row>
    <row r="12" spans="1:42" s="1334" customFormat="1" ht="18" customHeight="1" thickBot="1">
      <c r="A12" s="1323">
        <f>SUM(A14,A58)</f>
        <v>55</v>
      </c>
      <c r="B12" s="3262" t="s">
        <v>1115</v>
      </c>
      <c r="C12" s="3263"/>
      <c r="D12" s="3263"/>
      <c r="E12" s="3263"/>
      <c r="F12" s="3264"/>
      <c r="G12" s="1324">
        <f>SUM(G14,G58)</f>
        <v>516</v>
      </c>
      <c r="H12" s="875"/>
      <c r="I12" s="1325"/>
      <c r="J12" s="1325"/>
      <c r="K12" s="1326"/>
      <c r="L12" s="876">
        <f>SUM(L14,L58)</f>
        <v>432</v>
      </c>
      <c r="M12" s="877"/>
      <c r="N12" s="1581">
        <f>SUM(N14,N58)</f>
        <v>5</v>
      </c>
      <c r="O12" s="1327"/>
      <c r="P12" s="1327"/>
      <c r="Q12" s="1327"/>
      <c r="R12" s="1328">
        <f>SUM(R14,R58)</f>
        <v>4</v>
      </c>
      <c r="S12" s="1329"/>
      <c r="T12" s="1327">
        <f>SUM(T14,T58)</f>
        <v>516</v>
      </c>
      <c r="U12" s="1327">
        <f>SUM(U14,U58)</f>
        <v>480</v>
      </c>
      <c r="V12" s="1327">
        <f>SUM(V14,V58)</f>
        <v>438</v>
      </c>
      <c r="W12" s="1327">
        <f>SUM(W14,W58)</f>
        <v>432</v>
      </c>
      <c r="X12" s="1260">
        <f>SUM(X14,X58)</f>
        <v>14</v>
      </c>
      <c r="Y12" s="1329"/>
      <c r="Z12" s="1330">
        <f>SUM(Z14,Z58)</f>
        <v>2700</v>
      </c>
      <c r="AA12" s="1331"/>
      <c r="AB12" s="1332"/>
      <c r="AC12" s="1333"/>
      <c r="AD12" s="1333"/>
      <c r="AE12" s="1333"/>
      <c r="AF12" s="1333"/>
      <c r="AG12" s="1333"/>
      <c r="AH12" s="1333"/>
      <c r="AI12" s="1333"/>
      <c r="AJ12" s="1333"/>
      <c r="AK12" s="1333"/>
      <c r="AL12" s="1333"/>
      <c r="AM12" s="1333"/>
      <c r="AN12" s="1333"/>
      <c r="AO12" s="1333"/>
      <c r="AP12" s="1333"/>
    </row>
    <row r="13" spans="1:42" ht="18" customHeight="1" thickBot="1">
      <c r="A13" s="755"/>
      <c r="B13" s="868"/>
      <c r="C13" s="757"/>
      <c r="D13" s="873"/>
      <c r="E13" s="755"/>
      <c r="F13" s="755"/>
      <c r="G13" s="758"/>
      <c r="H13" s="758"/>
      <c r="I13" s="758"/>
      <c r="J13" s="758"/>
      <c r="K13" s="758"/>
      <c r="L13" s="758"/>
      <c r="M13" s="758"/>
      <c r="N13" s="758"/>
      <c r="O13" s="758"/>
      <c r="P13" s="758"/>
      <c r="Q13" s="758"/>
      <c r="R13" s="758"/>
      <c r="S13" s="758"/>
      <c r="T13" s="758"/>
      <c r="U13" s="758"/>
      <c r="V13" s="758"/>
      <c r="W13" s="758"/>
      <c r="X13" s="758"/>
      <c r="Y13" s="758"/>
      <c r="Z13" s="921" t="s">
        <v>792</v>
      </c>
    </row>
    <row r="14" spans="1:42" s="1334" customFormat="1" ht="18" customHeight="1" thickBot="1">
      <c r="A14" s="1323">
        <f>COUNT(A17:A44)</f>
        <v>28</v>
      </c>
      <c r="B14" s="3262" t="s">
        <v>1116</v>
      </c>
      <c r="C14" s="3263"/>
      <c r="D14" s="3263"/>
      <c r="E14" s="3263"/>
      <c r="F14" s="3264"/>
      <c r="G14" s="1324">
        <f>SUM(G17:G44)</f>
        <v>258</v>
      </c>
      <c r="H14" s="875"/>
      <c r="I14" s="1325"/>
      <c r="J14" s="1325"/>
      <c r="K14" s="1326"/>
      <c r="L14" s="876">
        <f>SUM(L17:L44)</f>
        <v>214.5</v>
      </c>
      <c r="M14" s="877"/>
      <c r="N14" s="1581">
        <f>COUNTIF(N17:N44,"FT")</f>
        <v>2</v>
      </c>
      <c r="O14" s="1327"/>
      <c r="P14" s="1327"/>
      <c r="Q14" s="1327"/>
      <c r="R14" s="1328">
        <f>SUM(R17:R44)</f>
        <v>2</v>
      </c>
      <c r="S14" s="1329"/>
      <c r="T14" s="1327">
        <f t="shared" ref="T14:W14" si="0">SUM(T17:T44)</f>
        <v>258</v>
      </c>
      <c r="U14" s="1327">
        <f t="shared" si="0"/>
        <v>240</v>
      </c>
      <c r="V14" s="1327">
        <f t="shared" si="0"/>
        <v>217</v>
      </c>
      <c r="W14" s="1327">
        <f t="shared" si="0"/>
        <v>214.5</v>
      </c>
      <c r="X14" s="1260">
        <f>SUM(X17:X44)</f>
        <v>5</v>
      </c>
      <c r="Y14" s="1329"/>
      <c r="Z14" s="1330">
        <f>SUM(Z17:Z44)</f>
        <v>1250</v>
      </c>
      <c r="AA14" s="1335"/>
      <c r="AB14" s="1336"/>
    </row>
    <row r="15" spans="1:42" ht="45" customHeight="1">
      <c r="A15" s="3254" t="s">
        <v>843</v>
      </c>
      <c r="B15" s="3258" t="s">
        <v>845</v>
      </c>
      <c r="C15" s="3260" t="s">
        <v>846</v>
      </c>
      <c r="D15" s="3261"/>
      <c r="E15" s="3261"/>
      <c r="F15" s="3261"/>
      <c r="G15" s="3277" t="s">
        <v>847</v>
      </c>
      <c r="H15" s="3260" t="s">
        <v>848</v>
      </c>
      <c r="I15" s="3261"/>
      <c r="J15" s="3261"/>
      <c r="K15" s="3261"/>
      <c r="L15" s="3248" t="s">
        <v>849</v>
      </c>
      <c r="M15" s="3250" t="s">
        <v>850</v>
      </c>
      <c r="N15" s="3252" t="s">
        <v>851</v>
      </c>
      <c r="O15" s="3280" t="s">
        <v>852</v>
      </c>
      <c r="P15" s="3282" t="s">
        <v>853</v>
      </c>
      <c r="Q15" s="3282" t="s">
        <v>854</v>
      </c>
      <c r="R15" s="3282" t="s">
        <v>1202</v>
      </c>
      <c r="S15" s="3284" t="s">
        <v>855</v>
      </c>
      <c r="T15" s="3288" t="s">
        <v>1203</v>
      </c>
      <c r="U15" s="3288" t="s">
        <v>856</v>
      </c>
      <c r="V15" s="3243" t="s">
        <v>857</v>
      </c>
      <c r="W15" s="3288" t="s">
        <v>849</v>
      </c>
      <c r="X15" s="3288" t="s">
        <v>1204</v>
      </c>
      <c r="Y15" s="3284" t="s">
        <v>1205</v>
      </c>
      <c r="Z15" s="3275" t="s">
        <v>1112</v>
      </c>
      <c r="AA15" s="3315" t="s">
        <v>863</v>
      </c>
      <c r="AB15" s="3317" t="s">
        <v>1450</v>
      </c>
    </row>
    <row r="16" spans="1:42" ht="45" customHeight="1">
      <c r="A16" s="3255"/>
      <c r="B16" s="3259"/>
      <c r="C16" s="879" t="s">
        <v>182</v>
      </c>
      <c r="D16" s="880" t="s">
        <v>859</v>
      </c>
      <c r="E16" s="880" t="s">
        <v>182</v>
      </c>
      <c r="F16" s="880" t="s">
        <v>859</v>
      </c>
      <c r="G16" s="3278"/>
      <c r="H16" s="879" t="s">
        <v>182</v>
      </c>
      <c r="I16" s="880" t="s">
        <v>859</v>
      </c>
      <c r="J16" s="880" t="s">
        <v>182</v>
      </c>
      <c r="K16" s="880" t="s">
        <v>859</v>
      </c>
      <c r="L16" s="3249"/>
      <c r="M16" s="3251"/>
      <c r="N16" s="3253"/>
      <c r="O16" s="3281"/>
      <c r="P16" s="3283"/>
      <c r="Q16" s="3283"/>
      <c r="R16" s="3283"/>
      <c r="S16" s="3285"/>
      <c r="T16" s="3289"/>
      <c r="U16" s="3289"/>
      <c r="V16" s="3244"/>
      <c r="W16" s="3289"/>
      <c r="X16" s="3289"/>
      <c r="Y16" s="3285"/>
      <c r="Z16" s="3276"/>
      <c r="AA16" s="3316"/>
      <c r="AB16" s="3318"/>
    </row>
    <row r="17" spans="1:28" ht="18" customHeight="1">
      <c r="A17" s="881">
        <v>45964</v>
      </c>
      <c r="B17" s="882" t="s">
        <v>186</v>
      </c>
      <c r="C17" s="883">
        <v>0.25</v>
      </c>
      <c r="D17" s="884">
        <v>0.5</v>
      </c>
      <c r="E17" s="884">
        <v>0.52083333333333337</v>
      </c>
      <c r="F17" s="884">
        <v>0.75</v>
      </c>
      <c r="G17" s="885">
        <f t="shared" ref="G17:G44" si="1">IF(COUNT(C17:F17)&gt;0,(D17-C17+F17-E17)*24,"")</f>
        <v>11.5</v>
      </c>
      <c r="H17" s="883">
        <v>0.25</v>
      </c>
      <c r="I17" s="884">
        <v>0.5</v>
      </c>
      <c r="J17" s="884"/>
      <c r="K17" s="884"/>
      <c r="L17" s="886">
        <f t="shared" ref="L17:L44" si="2">IF(COUNT(H17:K17)&gt;0,(I17-H17+K17-J17)*24,"")</f>
        <v>6</v>
      </c>
      <c r="M17" s="887" t="str">
        <f>IF(AND(G17&lt;&gt;"",L17=""),"[d]-Min",IF(AND(G17="",L17&lt;&gt;""),"[d]-Max",IF(L17&lt;G17,"[h]-Min",IF(L17&gt;G17,"[h]-Max","ok"))))</f>
        <v>[h]-Min</v>
      </c>
      <c r="N17" s="888" t="s">
        <v>862</v>
      </c>
      <c r="O17" s="889"/>
      <c r="P17" s="890"/>
      <c r="Q17" s="891"/>
      <c r="R17" s="892"/>
      <c r="S17" s="893"/>
      <c r="T17" s="894"/>
      <c r="U17" s="894"/>
      <c r="V17" s="894"/>
      <c r="W17" s="894"/>
      <c r="X17" s="895"/>
      <c r="Y17" s="893"/>
      <c r="Z17" s="923"/>
      <c r="AA17" s="925">
        <v>45</v>
      </c>
      <c r="AB17" s="926" t="s">
        <v>865</v>
      </c>
    </row>
    <row r="18" spans="1:28" ht="18" customHeight="1">
      <c r="A18" s="881">
        <v>45965</v>
      </c>
      <c r="B18" s="882" t="s">
        <v>187</v>
      </c>
      <c r="C18" s="883">
        <v>0.25</v>
      </c>
      <c r="D18" s="884">
        <v>0.5</v>
      </c>
      <c r="E18" s="884">
        <v>0.52083333333333337</v>
      </c>
      <c r="F18" s="884">
        <v>0.75</v>
      </c>
      <c r="G18" s="885">
        <f t="shared" si="1"/>
        <v>11.5</v>
      </c>
      <c r="H18" s="883">
        <v>0.25</v>
      </c>
      <c r="I18" s="884">
        <v>0.5</v>
      </c>
      <c r="J18" s="884">
        <v>0.52083333333333337</v>
      </c>
      <c r="K18" s="884">
        <v>0.75</v>
      </c>
      <c r="L18" s="886">
        <f t="shared" si="2"/>
        <v>11.5</v>
      </c>
      <c r="M18" s="887" t="str">
        <f t="shared" ref="M18:M44" si="3">IF(AND(G18&lt;&gt;"",L18=""),"[d]-Min",IF(AND(G18="",L18&lt;&gt;""),"[d]-Max",IF(L18&lt;G18,"[h]-Min",IF(L18&gt;G18,"[h]-Max","ok"))))</f>
        <v>ok</v>
      </c>
      <c r="N18" s="888"/>
      <c r="O18" s="889"/>
      <c r="P18" s="890"/>
      <c r="Q18" s="891"/>
      <c r="R18" s="892"/>
      <c r="S18" s="893"/>
      <c r="T18" s="894"/>
      <c r="U18" s="894"/>
      <c r="V18" s="894"/>
      <c r="W18" s="894"/>
      <c r="X18" s="895"/>
      <c r="Y18" s="893"/>
      <c r="Z18" s="923"/>
      <c r="AA18" s="925">
        <v>45</v>
      </c>
      <c r="AB18" s="925"/>
    </row>
    <row r="19" spans="1:28" ht="18" customHeight="1">
      <c r="A19" s="881">
        <v>45966</v>
      </c>
      <c r="B19" s="882" t="s">
        <v>188</v>
      </c>
      <c r="C19" s="883">
        <v>0.25</v>
      </c>
      <c r="D19" s="884">
        <v>0.5</v>
      </c>
      <c r="E19" s="884">
        <v>0.52083333333333337</v>
      </c>
      <c r="F19" s="884">
        <v>0.75</v>
      </c>
      <c r="G19" s="885">
        <f t="shared" si="1"/>
        <v>11.5</v>
      </c>
      <c r="H19" s="883"/>
      <c r="I19" s="884"/>
      <c r="J19" s="884"/>
      <c r="K19" s="884"/>
      <c r="L19" s="886" t="str">
        <f t="shared" si="2"/>
        <v/>
      </c>
      <c r="M19" s="887" t="str">
        <f t="shared" si="3"/>
        <v>[d]-Min</v>
      </c>
      <c r="N19" s="888"/>
      <c r="O19" s="889"/>
      <c r="P19" s="890"/>
      <c r="Q19" s="891"/>
      <c r="R19" s="892"/>
      <c r="S19" s="893"/>
      <c r="T19" s="894"/>
      <c r="U19" s="894"/>
      <c r="V19" s="894"/>
      <c r="W19" s="894"/>
      <c r="X19" s="895"/>
      <c r="Y19" s="893"/>
      <c r="Z19" s="923"/>
      <c r="AA19" s="925">
        <v>45</v>
      </c>
      <c r="AB19" s="926" t="s">
        <v>806</v>
      </c>
    </row>
    <row r="20" spans="1:28" ht="18" customHeight="1">
      <c r="A20" s="881">
        <v>45967</v>
      </c>
      <c r="B20" s="882" t="s">
        <v>189</v>
      </c>
      <c r="C20" s="883">
        <v>0.25</v>
      </c>
      <c r="D20" s="884">
        <v>0.5</v>
      </c>
      <c r="E20" s="884">
        <v>0.52083333333333337</v>
      </c>
      <c r="F20" s="884">
        <v>0.75</v>
      </c>
      <c r="G20" s="885">
        <f t="shared" si="1"/>
        <v>11.5</v>
      </c>
      <c r="H20" s="883">
        <v>0.25</v>
      </c>
      <c r="I20" s="884">
        <v>0.5</v>
      </c>
      <c r="J20" s="884"/>
      <c r="K20" s="884"/>
      <c r="L20" s="886">
        <f t="shared" si="2"/>
        <v>6</v>
      </c>
      <c r="M20" s="887" t="str">
        <f t="shared" si="3"/>
        <v>[h]-Min</v>
      </c>
      <c r="N20" s="888"/>
      <c r="O20" s="889"/>
      <c r="P20" s="890"/>
      <c r="Q20" s="891"/>
      <c r="R20" s="892"/>
      <c r="S20" s="893"/>
      <c r="T20" s="894"/>
      <c r="U20" s="894"/>
      <c r="V20" s="894"/>
      <c r="W20" s="894"/>
      <c r="X20" s="895"/>
      <c r="Y20" s="893"/>
      <c r="Z20" s="923"/>
      <c r="AA20" s="925">
        <v>45</v>
      </c>
      <c r="AB20" s="925"/>
    </row>
    <row r="21" spans="1:28" ht="18" customHeight="1">
      <c r="A21" s="881">
        <v>45968</v>
      </c>
      <c r="B21" s="882" t="s">
        <v>190</v>
      </c>
      <c r="C21" s="883">
        <v>0.25</v>
      </c>
      <c r="D21" s="884">
        <v>0.5</v>
      </c>
      <c r="E21" s="884">
        <v>0.52083333333333337</v>
      </c>
      <c r="F21" s="884">
        <v>0.66666666666666663</v>
      </c>
      <c r="G21" s="885">
        <f t="shared" si="1"/>
        <v>9.4999999999999982</v>
      </c>
      <c r="H21" s="883">
        <v>0.25</v>
      </c>
      <c r="I21" s="884">
        <v>0.5</v>
      </c>
      <c r="J21" s="884">
        <v>0.52083333333333337</v>
      </c>
      <c r="K21" s="884">
        <v>0.75</v>
      </c>
      <c r="L21" s="886">
        <f t="shared" si="2"/>
        <v>11.5</v>
      </c>
      <c r="M21" s="887" t="str">
        <f>IF(AND(G21&lt;&gt;"",L21=""),"[d]-Min",IF(AND(G21="",L21&lt;&gt;""),"[d]-Max",IF(L21&lt;G21,"[h]-Min",IF(L21&gt;G21,"[h]-Max","ok"))))</f>
        <v>[h]-Max</v>
      </c>
      <c r="N21" s="888"/>
      <c r="O21" s="889"/>
      <c r="P21" s="890"/>
      <c r="Q21" s="891"/>
      <c r="R21" s="892"/>
      <c r="S21" s="893"/>
      <c r="T21" s="894"/>
      <c r="U21" s="894"/>
      <c r="V21" s="894"/>
      <c r="W21" s="894"/>
      <c r="X21" s="895"/>
      <c r="Y21" s="893"/>
      <c r="Z21" s="923"/>
      <c r="AA21" s="925">
        <v>45</v>
      </c>
      <c r="AB21" s="925"/>
    </row>
    <row r="22" spans="1:28" ht="18" customHeight="1">
      <c r="A22" s="881">
        <v>45969</v>
      </c>
      <c r="B22" s="882" t="s">
        <v>191</v>
      </c>
      <c r="C22" s="883"/>
      <c r="D22" s="884"/>
      <c r="E22" s="884"/>
      <c r="F22" s="884"/>
      <c r="G22" s="885" t="str">
        <f t="shared" si="1"/>
        <v/>
      </c>
      <c r="H22" s="883"/>
      <c r="I22" s="884"/>
      <c r="J22" s="884"/>
      <c r="K22" s="884"/>
      <c r="L22" s="886" t="str">
        <f t="shared" si="2"/>
        <v/>
      </c>
      <c r="M22" s="887" t="str">
        <f t="shared" si="3"/>
        <v>ok</v>
      </c>
      <c r="N22" s="888"/>
      <c r="O22" s="889"/>
      <c r="P22" s="890"/>
      <c r="Q22" s="891"/>
      <c r="R22" s="892"/>
      <c r="S22" s="893"/>
      <c r="T22" s="894"/>
      <c r="U22" s="894"/>
      <c r="V22" s="894"/>
      <c r="W22" s="894"/>
      <c r="X22" s="895"/>
      <c r="Y22" s="893"/>
      <c r="Z22" s="923"/>
      <c r="AA22" s="925">
        <v>45</v>
      </c>
      <c r="AB22" s="925"/>
    </row>
    <row r="23" spans="1:28" ht="18" customHeight="1">
      <c r="A23" s="881">
        <v>45970</v>
      </c>
      <c r="B23" s="882" t="s">
        <v>192</v>
      </c>
      <c r="C23" s="883">
        <v>0.25</v>
      </c>
      <c r="D23" s="884">
        <v>0.5</v>
      </c>
      <c r="E23" s="884">
        <v>0.52083333333333337</v>
      </c>
      <c r="F23" s="884">
        <v>0.66666666666666663</v>
      </c>
      <c r="G23" s="885">
        <f t="shared" si="1"/>
        <v>9.4999999999999982</v>
      </c>
      <c r="H23" s="883">
        <v>0.25</v>
      </c>
      <c r="I23" s="884">
        <v>0.5</v>
      </c>
      <c r="J23" s="884">
        <v>0.52083333333333337</v>
      </c>
      <c r="K23" s="884">
        <v>0.66666666666666663</v>
      </c>
      <c r="L23" s="886">
        <f t="shared" si="2"/>
        <v>9.4999999999999982</v>
      </c>
      <c r="M23" s="887" t="str">
        <f t="shared" si="3"/>
        <v>ok</v>
      </c>
      <c r="N23" s="888"/>
      <c r="O23" s="889">
        <f>IF(COUNT(G17:G23)&gt;=$X$4,$X$4,COUNT(G17:G23))</f>
        <v>6</v>
      </c>
      <c r="P23" s="890">
        <f>COUNT(G17:G23)</f>
        <v>6</v>
      </c>
      <c r="Q23" s="891">
        <f>COUNT(L17:L23)</f>
        <v>5</v>
      </c>
      <c r="R23" s="892">
        <f>IF(Q23&gt;O23,0,O23-Q23)</f>
        <v>1</v>
      </c>
      <c r="S23" s="893">
        <f>R23*$K$5</f>
        <v>500</v>
      </c>
      <c r="T23" s="894">
        <f>SUM(G17:G23)</f>
        <v>65</v>
      </c>
      <c r="U23" s="894">
        <f>MIN($Z$4,T23)</f>
        <v>60</v>
      </c>
      <c r="V23" s="894">
        <f>IF(R23&lt;=0,U23,U23-SUMIF(M17:M23,"[d]-Min",G17:G23))</f>
        <v>48.5</v>
      </c>
      <c r="W23" s="894">
        <f>SUM(L17:L23)</f>
        <v>44.5</v>
      </c>
      <c r="X23" s="895">
        <f>IF(W23&lt;MIN(U23,V23),ROUND(MIN(U23,V23)-W23,2),0)</f>
        <v>4</v>
      </c>
      <c r="Y23" s="893">
        <f>X23*$K$6</f>
        <v>200</v>
      </c>
      <c r="Z23" s="923">
        <f>Y23+S23</f>
        <v>700</v>
      </c>
      <c r="AA23" s="928">
        <v>45</v>
      </c>
      <c r="AB23" s="932" t="s">
        <v>1124</v>
      </c>
    </row>
    <row r="24" spans="1:28" ht="18" customHeight="1">
      <c r="A24" s="881">
        <v>45971</v>
      </c>
      <c r="B24" s="882" t="s">
        <v>186</v>
      </c>
      <c r="C24" s="883">
        <v>0.25</v>
      </c>
      <c r="D24" s="884">
        <v>0.5</v>
      </c>
      <c r="E24" s="884">
        <v>0.52083333333333337</v>
      </c>
      <c r="F24" s="884">
        <v>0.75</v>
      </c>
      <c r="G24" s="885">
        <f t="shared" si="1"/>
        <v>11.5</v>
      </c>
      <c r="H24" s="883">
        <v>0.25</v>
      </c>
      <c r="I24" s="884">
        <v>0.5</v>
      </c>
      <c r="J24" s="884">
        <v>0.52083333333333337</v>
      </c>
      <c r="K24" s="884">
        <v>0.75</v>
      </c>
      <c r="L24" s="886">
        <f t="shared" si="2"/>
        <v>11.5</v>
      </c>
      <c r="M24" s="887" t="str">
        <f t="shared" si="3"/>
        <v>ok</v>
      </c>
      <c r="N24" s="888"/>
      <c r="O24" s="889"/>
      <c r="P24" s="890"/>
      <c r="Q24" s="891"/>
      <c r="R24" s="892"/>
      <c r="S24" s="893"/>
      <c r="T24" s="894"/>
      <c r="U24" s="894"/>
      <c r="V24" s="894"/>
      <c r="W24" s="894"/>
      <c r="X24" s="895"/>
      <c r="Y24" s="893"/>
      <c r="Z24" s="923"/>
      <c r="AA24" s="925">
        <v>46</v>
      </c>
      <c r="AB24" s="929"/>
    </row>
    <row r="25" spans="1:28" ht="18" customHeight="1">
      <c r="A25" s="881">
        <v>45972</v>
      </c>
      <c r="B25" s="882" t="s">
        <v>187</v>
      </c>
      <c r="C25" s="883">
        <v>0.25</v>
      </c>
      <c r="D25" s="884">
        <v>0.5</v>
      </c>
      <c r="E25" s="884">
        <v>0.52083333333333337</v>
      </c>
      <c r="F25" s="884">
        <v>0.75</v>
      </c>
      <c r="G25" s="885">
        <f t="shared" si="1"/>
        <v>11.5</v>
      </c>
      <c r="H25" s="883">
        <v>0.25</v>
      </c>
      <c r="I25" s="884">
        <v>0.5</v>
      </c>
      <c r="J25" s="884">
        <v>0.52083333333333337</v>
      </c>
      <c r="K25" s="884">
        <v>0.75</v>
      </c>
      <c r="L25" s="886">
        <f t="shared" si="2"/>
        <v>11.5</v>
      </c>
      <c r="M25" s="887" t="str">
        <f t="shared" si="3"/>
        <v>ok</v>
      </c>
      <c r="N25" s="888"/>
      <c r="O25" s="889"/>
      <c r="P25" s="890"/>
      <c r="Q25" s="891"/>
      <c r="R25" s="892"/>
      <c r="S25" s="893"/>
      <c r="T25" s="894"/>
      <c r="U25" s="894"/>
      <c r="V25" s="894"/>
      <c r="W25" s="894"/>
      <c r="X25" s="895"/>
      <c r="Y25" s="893"/>
      <c r="Z25" s="923"/>
      <c r="AA25" s="931">
        <v>46</v>
      </c>
      <c r="AB25" s="930"/>
    </row>
    <row r="26" spans="1:28" ht="18" customHeight="1">
      <c r="A26" s="881">
        <v>45973</v>
      </c>
      <c r="B26" s="882" t="s">
        <v>188</v>
      </c>
      <c r="C26" s="883">
        <v>0.25</v>
      </c>
      <c r="D26" s="884">
        <v>0.5</v>
      </c>
      <c r="E26" s="884">
        <v>0.52083333333333337</v>
      </c>
      <c r="F26" s="884">
        <v>0.75</v>
      </c>
      <c r="G26" s="885">
        <f t="shared" si="1"/>
        <v>11.5</v>
      </c>
      <c r="H26" s="883">
        <v>0.25</v>
      </c>
      <c r="I26" s="884">
        <v>0.5</v>
      </c>
      <c r="J26" s="884">
        <v>0.52083333333333337</v>
      </c>
      <c r="K26" s="884">
        <v>0.75</v>
      </c>
      <c r="L26" s="886">
        <f t="shared" si="2"/>
        <v>11.5</v>
      </c>
      <c r="M26" s="887" t="str">
        <f t="shared" si="3"/>
        <v>ok</v>
      </c>
      <c r="N26" s="888"/>
      <c r="O26" s="889"/>
      <c r="P26" s="890"/>
      <c r="Q26" s="891"/>
      <c r="R26" s="892"/>
      <c r="S26" s="893"/>
      <c r="T26" s="894"/>
      <c r="U26" s="894"/>
      <c r="V26" s="894"/>
      <c r="W26" s="894"/>
      <c r="X26" s="895"/>
      <c r="Y26" s="893"/>
      <c r="Z26" s="923"/>
      <c r="AA26" s="931">
        <v>46</v>
      </c>
      <c r="AB26" s="930"/>
    </row>
    <row r="27" spans="1:28" ht="18" customHeight="1">
      <c r="A27" s="881">
        <v>45974</v>
      </c>
      <c r="B27" s="882" t="s">
        <v>189</v>
      </c>
      <c r="C27" s="883">
        <v>0.25</v>
      </c>
      <c r="D27" s="884">
        <v>0.5</v>
      </c>
      <c r="E27" s="884">
        <v>0.52083333333333337</v>
      </c>
      <c r="F27" s="884">
        <v>0.75</v>
      </c>
      <c r="G27" s="885">
        <f t="shared" si="1"/>
        <v>11.5</v>
      </c>
      <c r="H27" s="883">
        <v>0.25</v>
      </c>
      <c r="I27" s="884">
        <v>0.5</v>
      </c>
      <c r="J27" s="884">
        <v>0.52083333333333337</v>
      </c>
      <c r="K27" s="884">
        <v>0.75</v>
      </c>
      <c r="L27" s="886">
        <f t="shared" si="2"/>
        <v>11.5</v>
      </c>
      <c r="M27" s="887" t="str">
        <f t="shared" si="3"/>
        <v>ok</v>
      </c>
      <c r="N27" s="888"/>
      <c r="O27" s="889"/>
      <c r="P27" s="890"/>
      <c r="Q27" s="891"/>
      <c r="R27" s="892"/>
      <c r="S27" s="893"/>
      <c r="T27" s="894"/>
      <c r="U27" s="894"/>
      <c r="V27" s="894"/>
      <c r="W27" s="894"/>
      <c r="X27" s="895"/>
      <c r="Y27" s="893"/>
      <c r="Z27" s="923"/>
      <c r="AA27" s="930">
        <v>46</v>
      </c>
      <c r="AB27" s="930"/>
    </row>
    <row r="28" spans="1:28" ht="18" customHeight="1">
      <c r="A28" s="881">
        <v>45975</v>
      </c>
      <c r="B28" s="882" t="s">
        <v>190</v>
      </c>
      <c r="C28" s="883">
        <v>0.25</v>
      </c>
      <c r="D28" s="884">
        <v>0.5</v>
      </c>
      <c r="E28" s="884">
        <v>0.52083333333333337</v>
      </c>
      <c r="F28" s="884">
        <v>0.66666666666666663</v>
      </c>
      <c r="G28" s="885">
        <f t="shared" si="1"/>
        <v>9.4999999999999982</v>
      </c>
      <c r="H28" s="883">
        <v>0.25</v>
      </c>
      <c r="I28" s="884">
        <v>0.5</v>
      </c>
      <c r="J28" s="884">
        <v>0.52083333333333337</v>
      </c>
      <c r="K28" s="884">
        <v>0.70833333333333337</v>
      </c>
      <c r="L28" s="886">
        <f t="shared" si="2"/>
        <v>10.5</v>
      </c>
      <c r="M28" s="887" t="str">
        <f t="shared" si="3"/>
        <v>[h]-Max</v>
      </c>
      <c r="N28" s="888"/>
      <c r="O28" s="889"/>
      <c r="P28" s="890"/>
      <c r="Q28" s="891"/>
      <c r="R28" s="892"/>
      <c r="S28" s="893"/>
      <c r="T28" s="894"/>
      <c r="U28" s="894"/>
      <c r="V28" s="894"/>
      <c r="W28" s="894"/>
      <c r="X28" s="895"/>
      <c r="Y28" s="893"/>
      <c r="Z28" s="923"/>
      <c r="AA28" s="1347">
        <v>46</v>
      </c>
      <c r="AB28" s="930"/>
    </row>
    <row r="29" spans="1:28" ht="18" customHeight="1">
      <c r="A29" s="881">
        <v>45976</v>
      </c>
      <c r="B29" s="882" t="s">
        <v>191</v>
      </c>
      <c r="C29" s="883"/>
      <c r="D29" s="884"/>
      <c r="E29" s="884"/>
      <c r="F29" s="884"/>
      <c r="G29" s="885" t="str">
        <f t="shared" si="1"/>
        <v/>
      </c>
      <c r="H29" s="883">
        <v>0.25</v>
      </c>
      <c r="I29" s="884">
        <v>0.5</v>
      </c>
      <c r="J29" s="884"/>
      <c r="K29" s="884"/>
      <c r="L29" s="886">
        <f t="shared" si="2"/>
        <v>6</v>
      </c>
      <c r="M29" s="887" t="str">
        <f t="shared" si="3"/>
        <v>[d]-Max</v>
      </c>
      <c r="N29" s="888"/>
      <c r="O29" s="889"/>
      <c r="P29" s="890"/>
      <c r="Q29" s="891"/>
      <c r="R29" s="892"/>
      <c r="S29" s="893"/>
      <c r="T29" s="894"/>
      <c r="U29" s="894"/>
      <c r="V29" s="894"/>
      <c r="W29" s="894"/>
      <c r="X29" s="895"/>
      <c r="Y29" s="893"/>
      <c r="Z29" s="923"/>
      <c r="AA29" s="925">
        <v>46</v>
      </c>
      <c r="AB29" s="931"/>
    </row>
    <row r="30" spans="1:28" ht="18" customHeight="1">
      <c r="A30" s="881">
        <v>45977</v>
      </c>
      <c r="B30" s="882" t="s">
        <v>192</v>
      </c>
      <c r="C30" s="883">
        <v>0.25</v>
      </c>
      <c r="D30" s="884">
        <v>0.5</v>
      </c>
      <c r="E30" s="884">
        <v>0.52083333333333337</v>
      </c>
      <c r="F30" s="884">
        <v>0.58333333333333337</v>
      </c>
      <c r="G30" s="885">
        <f t="shared" si="1"/>
        <v>7.5</v>
      </c>
      <c r="H30" s="883"/>
      <c r="I30" s="884"/>
      <c r="J30" s="884"/>
      <c r="K30" s="884"/>
      <c r="L30" s="886" t="str">
        <f t="shared" si="2"/>
        <v/>
      </c>
      <c r="M30" s="887" t="str">
        <f t="shared" si="3"/>
        <v>[d]-Min</v>
      </c>
      <c r="N30" s="888"/>
      <c r="O30" s="889">
        <f>IF(COUNT(G24:G30)&gt;=$X$4,$X$4,COUNT(G24:G30))</f>
        <v>6</v>
      </c>
      <c r="P30" s="890">
        <f>COUNT(G24:G30)</f>
        <v>6</v>
      </c>
      <c r="Q30" s="891">
        <f>COUNT(L24:L30)</f>
        <v>6</v>
      </c>
      <c r="R30" s="892">
        <f>IF(Q30&gt;O30,0,O30-Q30)</f>
        <v>0</v>
      </c>
      <c r="S30" s="893">
        <f>R30*$K$5</f>
        <v>0</v>
      </c>
      <c r="T30" s="894">
        <f>SUM(G24:G30)</f>
        <v>63</v>
      </c>
      <c r="U30" s="894">
        <f>MIN($Z$4,T30)</f>
        <v>60</v>
      </c>
      <c r="V30" s="894">
        <f>IF(R30&lt;=0,U30,U30-SUMIF(M24:M30,"[d]-Min",G24:G30))</f>
        <v>60</v>
      </c>
      <c r="W30" s="894">
        <f>SUM(L24:L30)</f>
        <v>62.5</v>
      </c>
      <c r="X30" s="895">
        <f>IF(W30&lt;MIN(U30,V30),ROUND(MIN(U30,V30)-W30,2),0)</f>
        <v>0</v>
      </c>
      <c r="Y30" s="893">
        <f>X30*$K$6</f>
        <v>0</v>
      </c>
      <c r="Z30" s="923">
        <f>Y30+S30</f>
        <v>0</v>
      </c>
      <c r="AA30" s="928">
        <v>46</v>
      </c>
      <c r="AB30" s="932" t="s">
        <v>806</v>
      </c>
    </row>
    <row r="31" spans="1:28" ht="18" customHeight="1">
      <c r="A31" s="881">
        <v>45978</v>
      </c>
      <c r="B31" s="882" t="s">
        <v>186</v>
      </c>
      <c r="C31" s="883">
        <v>0.25</v>
      </c>
      <c r="D31" s="884">
        <v>0.5</v>
      </c>
      <c r="E31" s="884">
        <v>0.52083333333333337</v>
      </c>
      <c r="F31" s="884">
        <v>0.75</v>
      </c>
      <c r="G31" s="885">
        <f t="shared" si="1"/>
        <v>11.5</v>
      </c>
      <c r="H31" s="883">
        <v>0.25</v>
      </c>
      <c r="I31" s="884">
        <v>0.5</v>
      </c>
      <c r="J31" s="884">
        <v>0.52083333333333337</v>
      </c>
      <c r="K31" s="884">
        <v>0.75</v>
      </c>
      <c r="L31" s="886">
        <f t="shared" si="2"/>
        <v>11.5</v>
      </c>
      <c r="M31" s="887" t="str">
        <f t="shared" si="3"/>
        <v>ok</v>
      </c>
      <c r="N31" s="888"/>
      <c r="O31" s="889"/>
      <c r="P31" s="890"/>
      <c r="Q31" s="891"/>
      <c r="R31" s="892"/>
      <c r="S31" s="893"/>
      <c r="T31" s="894"/>
      <c r="U31" s="894"/>
      <c r="V31" s="894"/>
      <c r="W31" s="894"/>
      <c r="X31" s="895"/>
      <c r="Y31" s="893"/>
      <c r="Z31" s="923"/>
      <c r="AA31" s="925">
        <v>47</v>
      </c>
      <c r="AB31" s="929"/>
    </row>
    <row r="32" spans="1:28" ht="18" customHeight="1">
      <c r="A32" s="881">
        <v>45979</v>
      </c>
      <c r="B32" s="882" t="s">
        <v>187</v>
      </c>
      <c r="C32" s="883">
        <v>0.25</v>
      </c>
      <c r="D32" s="884">
        <v>0.5</v>
      </c>
      <c r="E32" s="884">
        <v>0.52083333333333337</v>
      </c>
      <c r="F32" s="884">
        <v>0.75</v>
      </c>
      <c r="G32" s="885">
        <f t="shared" si="1"/>
        <v>11.5</v>
      </c>
      <c r="H32" s="883">
        <v>0.25</v>
      </c>
      <c r="I32" s="884">
        <v>0.5</v>
      </c>
      <c r="J32" s="884">
        <v>0.52083333333333337</v>
      </c>
      <c r="K32" s="884">
        <v>0.75</v>
      </c>
      <c r="L32" s="886">
        <f t="shared" si="2"/>
        <v>11.5</v>
      </c>
      <c r="M32" s="887" t="str">
        <f t="shared" si="3"/>
        <v>ok</v>
      </c>
      <c r="N32" s="888"/>
      <c r="O32" s="889"/>
      <c r="P32" s="890"/>
      <c r="Q32" s="891"/>
      <c r="R32" s="892"/>
      <c r="S32" s="893"/>
      <c r="T32" s="894"/>
      <c r="U32" s="894"/>
      <c r="V32" s="894"/>
      <c r="W32" s="894"/>
      <c r="X32" s="895"/>
      <c r="Y32" s="893"/>
      <c r="Z32" s="923"/>
      <c r="AA32" s="930">
        <v>47</v>
      </c>
      <c r="AB32" s="930"/>
    </row>
    <row r="33" spans="1:29" ht="18" customHeight="1">
      <c r="A33" s="881">
        <v>45980</v>
      </c>
      <c r="B33" s="882" t="s">
        <v>188</v>
      </c>
      <c r="C33" s="883">
        <v>0.25</v>
      </c>
      <c r="D33" s="884">
        <v>0.5</v>
      </c>
      <c r="E33" s="884">
        <v>0.52083333333333337</v>
      </c>
      <c r="F33" s="884">
        <v>0.75</v>
      </c>
      <c r="G33" s="885">
        <f t="shared" si="1"/>
        <v>11.5</v>
      </c>
      <c r="H33" s="883"/>
      <c r="I33" s="884"/>
      <c r="J33" s="884"/>
      <c r="K33" s="884"/>
      <c r="L33" s="886"/>
      <c r="M33" s="887" t="str">
        <f t="shared" si="3"/>
        <v>[d]-Min</v>
      </c>
      <c r="N33" s="888" t="s">
        <v>862</v>
      </c>
      <c r="O33" s="889"/>
      <c r="P33" s="890"/>
      <c r="Q33" s="891"/>
      <c r="R33" s="892"/>
      <c r="S33" s="893"/>
      <c r="T33" s="894"/>
      <c r="U33" s="894"/>
      <c r="V33" s="894"/>
      <c r="W33" s="894"/>
      <c r="X33" s="895"/>
      <c r="Y33" s="893"/>
      <c r="Z33" s="923"/>
      <c r="AA33" s="930">
        <v>47</v>
      </c>
      <c r="AB33" s="930"/>
      <c r="AC33" s="1349"/>
    </row>
    <row r="34" spans="1:29" ht="18" customHeight="1">
      <c r="A34" s="881">
        <v>45981</v>
      </c>
      <c r="B34" s="882" t="s">
        <v>189</v>
      </c>
      <c r="C34" s="883">
        <v>0.25</v>
      </c>
      <c r="D34" s="884">
        <v>0.5</v>
      </c>
      <c r="E34" s="884">
        <v>0.52083333333333337</v>
      </c>
      <c r="F34" s="884">
        <v>0.75</v>
      </c>
      <c r="G34" s="885">
        <f t="shared" si="1"/>
        <v>11.5</v>
      </c>
      <c r="H34" s="883">
        <v>0.25</v>
      </c>
      <c r="I34" s="884">
        <v>0.5</v>
      </c>
      <c r="J34" s="884"/>
      <c r="K34" s="884"/>
      <c r="L34" s="886">
        <f t="shared" si="2"/>
        <v>6</v>
      </c>
      <c r="M34" s="887" t="str">
        <f t="shared" si="3"/>
        <v>[h]-Min</v>
      </c>
      <c r="N34" s="888"/>
      <c r="O34" s="889"/>
      <c r="P34" s="890"/>
      <c r="Q34" s="891"/>
      <c r="R34" s="892"/>
      <c r="S34" s="893"/>
      <c r="T34" s="894"/>
      <c r="U34" s="894"/>
      <c r="V34" s="894"/>
      <c r="W34" s="894"/>
      <c r="X34" s="895"/>
      <c r="Y34" s="893"/>
      <c r="Z34" s="923"/>
      <c r="AA34" s="930">
        <v>47</v>
      </c>
      <c r="AB34" s="930" t="s">
        <v>866</v>
      </c>
    </row>
    <row r="35" spans="1:29" ht="18" customHeight="1">
      <c r="A35" s="881">
        <v>45982</v>
      </c>
      <c r="B35" s="882" t="s">
        <v>190</v>
      </c>
      <c r="C35" s="883">
        <v>0.25</v>
      </c>
      <c r="D35" s="884">
        <v>0.5</v>
      </c>
      <c r="E35" s="884">
        <v>0.52083333333333337</v>
      </c>
      <c r="F35" s="884">
        <v>0.66666666666666663</v>
      </c>
      <c r="G35" s="885">
        <f t="shared" si="1"/>
        <v>9.4999999999999982</v>
      </c>
      <c r="H35" s="883">
        <v>0.25</v>
      </c>
      <c r="I35" s="884">
        <v>0.5</v>
      </c>
      <c r="J35" s="884">
        <v>0.52083333333333337</v>
      </c>
      <c r="K35" s="884">
        <v>0.6875</v>
      </c>
      <c r="L35" s="886">
        <f t="shared" si="2"/>
        <v>10</v>
      </c>
      <c r="M35" s="887" t="str">
        <f t="shared" si="3"/>
        <v>[h]-Max</v>
      </c>
      <c r="N35" s="888"/>
      <c r="O35" s="889"/>
      <c r="P35" s="890"/>
      <c r="Q35" s="891"/>
      <c r="R35" s="892"/>
      <c r="S35" s="893"/>
      <c r="T35" s="894"/>
      <c r="U35" s="894"/>
      <c r="V35" s="894"/>
      <c r="W35" s="894"/>
      <c r="X35" s="895"/>
      <c r="Y35" s="893"/>
      <c r="Z35" s="923"/>
      <c r="AA35" s="930">
        <v>47</v>
      </c>
      <c r="AB35" s="930"/>
    </row>
    <row r="36" spans="1:29" ht="18" customHeight="1">
      <c r="A36" s="881">
        <v>45983</v>
      </c>
      <c r="B36" s="882" t="s">
        <v>191</v>
      </c>
      <c r="C36" s="883"/>
      <c r="D36" s="884"/>
      <c r="E36" s="884"/>
      <c r="F36" s="884"/>
      <c r="G36" s="885" t="str">
        <f t="shared" si="1"/>
        <v/>
      </c>
      <c r="H36" s="883"/>
      <c r="I36" s="884"/>
      <c r="J36" s="884"/>
      <c r="K36" s="884"/>
      <c r="L36" s="886" t="str">
        <f t="shared" si="2"/>
        <v/>
      </c>
      <c r="M36" s="887" t="str">
        <f t="shared" si="3"/>
        <v>ok</v>
      </c>
      <c r="N36" s="888"/>
      <c r="O36" s="889"/>
      <c r="P36" s="890"/>
      <c r="Q36" s="891"/>
      <c r="R36" s="892"/>
      <c r="S36" s="893"/>
      <c r="T36" s="894"/>
      <c r="U36" s="894"/>
      <c r="V36" s="894"/>
      <c r="W36" s="894"/>
      <c r="X36" s="895"/>
      <c r="Y36" s="893"/>
      <c r="Z36" s="923"/>
      <c r="AA36" s="931">
        <v>47</v>
      </c>
      <c r="AB36" s="931"/>
    </row>
    <row r="37" spans="1:29" ht="18" customHeight="1">
      <c r="A37" s="881">
        <v>45984</v>
      </c>
      <c r="B37" s="882" t="s">
        <v>192</v>
      </c>
      <c r="C37" s="883">
        <v>0.25</v>
      </c>
      <c r="D37" s="884">
        <v>0.5</v>
      </c>
      <c r="E37" s="884">
        <v>0.52083333333333337</v>
      </c>
      <c r="F37" s="884">
        <v>0.66666666666666663</v>
      </c>
      <c r="G37" s="885">
        <f t="shared" si="1"/>
        <v>9.4999999999999982</v>
      </c>
      <c r="H37" s="883">
        <v>0.25</v>
      </c>
      <c r="I37" s="884">
        <v>0.5</v>
      </c>
      <c r="J37" s="884">
        <v>0.52083333333333337</v>
      </c>
      <c r="K37" s="884">
        <v>0.66666666666666663</v>
      </c>
      <c r="L37" s="886">
        <f t="shared" si="2"/>
        <v>9.4999999999999982</v>
      </c>
      <c r="M37" s="887" t="str">
        <f t="shared" si="3"/>
        <v>ok</v>
      </c>
      <c r="N37" s="888"/>
      <c r="O37" s="889">
        <f>IF(COUNT(G31:G37)&gt;=$X$4,$X$4,COUNT(G31:G37))</f>
        <v>6</v>
      </c>
      <c r="P37" s="890">
        <f>COUNT(G31:G37)</f>
        <v>6</v>
      </c>
      <c r="Q37" s="891">
        <f>COUNT(L31:L37)</f>
        <v>5</v>
      </c>
      <c r="R37" s="892">
        <f>IF(Q37&gt;O37,0,O37-Q37)</f>
        <v>1</v>
      </c>
      <c r="S37" s="893">
        <f>R37*$K$5</f>
        <v>500</v>
      </c>
      <c r="T37" s="894">
        <f>SUM(G31:G37)</f>
        <v>65</v>
      </c>
      <c r="U37" s="894">
        <f>MIN($Z$4,T37)</f>
        <v>60</v>
      </c>
      <c r="V37" s="894">
        <f>IF(R37&lt;=0,U37,U37-SUMIF(M31:M37,"[d]-Min",G31:G37))</f>
        <v>48.5</v>
      </c>
      <c r="W37" s="894">
        <f>SUM(L31:L37)</f>
        <v>48.5</v>
      </c>
      <c r="X37" s="895">
        <f>IF(W37&lt;MIN(U37,V37),ROUND(MIN(U37,V37)-W37,2),0)</f>
        <v>0</v>
      </c>
      <c r="Y37" s="893">
        <f>X37*$K$6</f>
        <v>0</v>
      </c>
      <c r="Z37" s="923">
        <f>Y37+S37</f>
        <v>500</v>
      </c>
      <c r="AA37" s="928">
        <v>47</v>
      </c>
      <c r="AB37" s="928"/>
    </row>
    <row r="38" spans="1:29" ht="18" customHeight="1">
      <c r="A38" s="881">
        <v>45985</v>
      </c>
      <c r="B38" s="882" t="s">
        <v>186</v>
      </c>
      <c r="C38" s="883">
        <v>0.25</v>
      </c>
      <c r="D38" s="884">
        <v>0.5</v>
      </c>
      <c r="E38" s="884">
        <v>0.52083333333333337</v>
      </c>
      <c r="F38" s="884">
        <v>0.75</v>
      </c>
      <c r="G38" s="885">
        <f t="shared" si="1"/>
        <v>11.5</v>
      </c>
      <c r="H38" s="883">
        <v>0.25</v>
      </c>
      <c r="I38" s="884">
        <v>0.5</v>
      </c>
      <c r="J38" s="884">
        <v>0.52083333333333337</v>
      </c>
      <c r="K38" s="884">
        <v>0.66666666666666663</v>
      </c>
      <c r="L38" s="886">
        <f t="shared" si="2"/>
        <v>9.4999999999999982</v>
      </c>
      <c r="M38" s="887" t="str">
        <f t="shared" si="3"/>
        <v>[h]-Min</v>
      </c>
      <c r="N38" s="888"/>
      <c r="O38" s="889"/>
      <c r="P38" s="890"/>
      <c r="Q38" s="891"/>
      <c r="R38" s="892"/>
      <c r="S38" s="893"/>
      <c r="T38" s="894"/>
      <c r="U38" s="894"/>
      <c r="V38" s="894"/>
      <c r="W38" s="894"/>
      <c r="X38" s="895"/>
      <c r="Y38" s="893"/>
      <c r="Z38" s="923"/>
      <c r="AA38" s="1348">
        <v>48</v>
      </c>
      <c r="AB38" s="929"/>
    </row>
    <row r="39" spans="1:29" ht="18" customHeight="1">
      <c r="A39" s="881">
        <v>45986</v>
      </c>
      <c r="B39" s="882" t="s">
        <v>187</v>
      </c>
      <c r="C39" s="883">
        <v>0.25</v>
      </c>
      <c r="D39" s="884">
        <v>0.5</v>
      </c>
      <c r="E39" s="884">
        <v>0.52083333333333337</v>
      </c>
      <c r="F39" s="884">
        <v>0.75</v>
      </c>
      <c r="G39" s="885">
        <f t="shared" si="1"/>
        <v>11.5</v>
      </c>
      <c r="H39" s="883">
        <v>0.25</v>
      </c>
      <c r="I39" s="884">
        <v>0.5</v>
      </c>
      <c r="J39" s="884">
        <v>0.52083333333333337</v>
      </c>
      <c r="K39" s="884">
        <v>0.66666666666666663</v>
      </c>
      <c r="L39" s="886">
        <f t="shared" si="2"/>
        <v>9.4999999999999982</v>
      </c>
      <c r="M39" s="887" t="str">
        <f t="shared" si="3"/>
        <v>[h]-Min</v>
      </c>
      <c r="N39" s="888"/>
      <c r="O39" s="889"/>
      <c r="P39" s="890"/>
      <c r="Q39" s="891"/>
      <c r="R39" s="892"/>
      <c r="S39" s="893"/>
      <c r="T39" s="894"/>
      <c r="U39" s="894"/>
      <c r="V39" s="894"/>
      <c r="W39" s="894"/>
      <c r="X39" s="895"/>
      <c r="Y39" s="893"/>
      <c r="Z39" s="923"/>
      <c r="AA39" s="930">
        <v>48</v>
      </c>
      <c r="AB39" s="930"/>
    </row>
    <row r="40" spans="1:29" ht="18" customHeight="1">
      <c r="A40" s="881">
        <v>45987</v>
      </c>
      <c r="B40" s="882" t="s">
        <v>188</v>
      </c>
      <c r="C40" s="883">
        <v>0.25</v>
      </c>
      <c r="D40" s="884">
        <v>0.5</v>
      </c>
      <c r="E40" s="884">
        <v>0.52083333333333337</v>
      </c>
      <c r="F40" s="884">
        <v>0.75</v>
      </c>
      <c r="G40" s="885">
        <f t="shared" si="1"/>
        <v>11.5</v>
      </c>
      <c r="H40" s="883">
        <v>0.25</v>
      </c>
      <c r="I40" s="884">
        <v>0.5</v>
      </c>
      <c r="J40" s="884">
        <v>0.52083333333333337</v>
      </c>
      <c r="K40" s="884">
        <v>0.66666666666666663</v>
      </c>
      <c r="L40" s="886">
        <f t="shared" si="2"/>
        <v>9.4999999999999982</v>
      </c>
      <c r="M40" s="887" t="str">
        <f t="shared" si="3"/>
        <v>[h]-Min</v>
      </c>
      <c r="N40" s="888"/>
      <c r="O40" s="889"/>
      <c r="P40" s="890"/>
      <c r="Q40" s="891"/>
      <c r="R40" s="892"/>
      <c r="S40" s="893"/>
      <c r="T40" s="894"/>
      <c r="U40" s="894"/>
      <c r="V40" s="894"/>
      <c r="W40" s="894"/>
      <c r="X40" s="895"/>
      <c r="Y40" s="893"/>
      <c r="Z40" s="923"/>
      <c r="AA40" s="930">
        <v>48</v>
      </c>
      <c r="AB40" s="930"/>
    </row>
    <row r="41" spans="1:29" ht="18" customHeight="1">
      <c r="A41" s="881">
        <v>45988</v>
      </c>
      <c r="B41" s="882" t="s">
        <v>189</v>
      </c>
      <c r="C41" s="883">
        <v>0.25</v>
      </c>
      <c r="D41" s="884">
        <v>0.5</v>
      </c>
      <c r="E41" s="884">
        <v>0.52083333333333337</v>
      </c>
      <c r="F41" s="884">
        <v>0.75</v>
      </c>
      <c r="G41" s="885">
        <f t="shared" si="1"/>
        <v>11.5</v>
      </c>
      <c r="H41" s="883">
        <v>0.25</v>
      </c>
      <c r="I41" s="884">
        <v>0.5</v>
      </c>
      <c r="J41" s="884">
        <v>0.52083333333333337</v>
      </c>
      <c r="K41" s="884">
        <v>0.66666666666666663</v>
      </c>
      <c r="L41" s="886">
        <f t="shared" si="2"/>
        <v>9.4999999999999982</v>
      </c>
      <c r="M41" s="887" t="str">
        <f t="shared" si="3"/>
        <v>[h]-Min</v>
      </c>
      <c r="N41" s="888"/>
      <c r="O41" s="889"/>
      <c r="P41" s="890"/>
      <c r="Q41" s="891"/>
      <c r="R41" s="892"/>
      <c r="S41" s="893"/>
      <c r="T41" s="894"/>
      <c r="U41" s="894"/>
      <c r="V41" s="894"/>
      <c r="W41" s="894"/>
      <c r="X41" s="895"/>
      <c r="Y41" s="893"/>
      <c r="Z41" s="923"/>
      <c r="AA41" s="930">
        <v>48</v>
      </c>
      <c r="AB41" s="930"/>
    </row>
    <row r="42" spans="1:29" ht="18" customHeight="1">
      <c r="A42" s="881">
        <v>45989</v>
      </c>
      <c r="B42" s="882" t="s">
        <v>190</v>
      </c>
      <c r="C42" s="883">
        <v>0.25</v>
      </c>
      <c r="D42" s="884">
        <v>0.5</v>
      </c>
      <c r="E42" s="884">
        <v>0.52083333333333337</v>
      </c>
      <c r="F42" s="884">
        <v>0.66666666666666663</v>
      </c>
      <c r="G42" s="885">
        <f t="shared" si="1"/>
        <v>9.4999999999999982</v>
      </c>
      <c r="H42" s="883">
        <v>0.25</v>
      </c>
      <c r="I42" s="884">
        <v>0.5</v>
      </c>
      <c r="J42" s="884">
        <v>0.52083333333333337</v>
      </c>
      <c r="K42" s="884">
        <v>0.75</v>
      </c>
      <c r="L42" s="886">
        <f t="shared" si="2"/>
        <v>11.5</v>
      </c>
      <c r="M42" s="887" t="str">
        <f t="shared" si="3"/>
        <v>[h]-Max</v>
      </c>
      <c r="N42" s="888"/>
      <c r="O42" s="889"/>
      <c r="P42" s="890"/>
      <c r="Q42" s="891"/>
      <c r="R42" s="892"/>
      <c r="S42" s="893"/>
      <c r="T42" s="894"/>
      <c r="U42" s="894"/>
      <c r="V42" s="894"/>
      <c r="W42" s="894"/>
      <c r="X42" s="895"/>
      <c r="Y42" s="893"/>
      <c r="Z42" s="923"/>
      <c r="AA42" s="930">
        <v>48</v>
      </c>
      <c r="AB42" s="930"/>
    </row>
    <row r="43" spans="1:29" ht="18" customHeight="1">
      <c r="A43" s="881">
        <v>45990</v>
      </c>
      <c r="B43" s="882" t="s">
        <v>191</v>
      </c>
      <c r="C43" s="883"/>
      <c r="D43" s="884"/>
      <c r="E43" s="884"/>
      <c r="F43" s="884"/>
      <c r="G43" s="885" t="str">
        <f t="shared" si="1"/>
        <v/>
      </c>
      <c r="H43" s="883"/>
      <c r="I43" s="884"/>
      <c r="J43" s="884"/>
      <c r="K43" s="884"/>
      <c r="L43" s="886" t="str">
        <f t="shared" si="2"/>
        <v/>
      </c>
      <c r="M43" s="887" t="str">
        <f t="shared" si="3"/>
        <v>ok</v>
      </c>
      <c r="N43" s="888"/>
      <c r="O43" s="889"/>
      <c r="P43" s="890"/>
      <c r="Q43" s="891"/>
      <c r="R43" s="892"/>
      <c r="S43" s="893"/>
      <c r="T43" s="894"/>
      <c r="U43" s="894"/>
      <c r="V43" s="894"/>
      <c r="W43" s="894"/>
      <c r="X43" s="895"/>
      <c r="Y43" s="893"/>
      <c r="Z43" s="923"/>
      <c r="AA43" s="931">
        <v>48</v>
      </c>
      <c r="AB43" s="931"/>
    </row>
    <row r="44" spans="1:29" ht="33" customHeight="1">
      <c r="A44" s="881">
        <v>45991</v>
      </c>
      <c r="B44" s="882" t="s">
        <v>192</v>
      </c>
      <c r="C44" s="883">
        <v>0.25</v>
      </c>
      <c r="D44" s="884">
        <v>0.5</v>
      </c>
      <c r="E44" s="884">
        <v>0.52083333333333337</v>
      </c>
      <c r="F44" s="884">
        <v>0.66666666666666663</v>
      </c>
      <c r="G44" s="885">
        <f t="shared" si="1"/>
        <v>9.4999999999999982</v>
      </c>
      <c r="H44" s="883">
        <v>0.25</v>
      </c>
      <c r="I44" s="884">
        <v>0.5</v>
      </c>
      <c r="J44" s="884">
        <v>0.52083333333333337</v>
      </c>
      <c r="K44" s="884">
        <v>0.66666666666666663</v>
      </c>
      <c r="L44" s="886">
        <f t="shared" si="2"/>
        <v>9.4999999999999982</v>
      </c>
      <c r="M44" s="887" t="str">
        <f t="shared" si="3"/>
        <v>ok</v>
      </c>
      <c r="N44" s="888"/>
      <c r="O44" s="889">
        <f>IF(COUNT(G38:G44)&gt;=$X$4,$X$4,COUNT(G38:G44))</f>
        <v>6</v>
      </c>
      <c r="P44" s="890">
        <f>COUNT(G38:G44)</f>
        <v>6</v>
      </c>
      <c r="Q44" s="891">
        <f>COUNT(L38:L44)</f>
        <v>6</v>
      </c>
      <c r="R44" s="892">
        <f>IF(Q44&gt;O44,0,O44-Q44)</f>
        <v>0</v>
      </c>
      <c r="S44" s="893">
        <f>R44*$K$5</f>
        <v>0</v>
      </c>
      <c r="T44" s="894">
        <f>SUM(G38:G44)</f>
        <v>65</v>
      </c>
      <c r="U44" s="894">
        <f>MIN($Z$4,T44)</f>
        <v>60</v>
      </c>
      <c r="V44" s="894">
        <f>IF(R44&lt;=0,U44,U44-SUMIF(M38:M44,"[d]-Min",G38:G44))</f>
        <v>60</v>
      </c>
      <c r="W44" s="894">
        <f>SUM(L38:L44)</f>
        <v>58.999999999999993</v>
      </c>
      <c r="X44" s="895">
        <f>IF(W44&lt;MIN(U44,V44),ROUND(MIN(U44,V44)-W44,2),0)</f>
        <v>1</v>
      </c>
      <c r="Y44" s="893">
        <f>X44*$K$6</f>
        <v>50</v>
      </c>
      <c r="Z44" s="923">
        <f>Y44+S44</f>
        <v>50</v>
      </c>
      <c r="AA44" s="928">
        <v>48</v>
      </c>
      <c r="AB44" s="928"/>
    </row>
    <row r="45" spans="1:29" ht="36">
      <c r="A45" s="755"/>
      <c r="B45" s="868"/>
      <c r="C45" s="757"/>
      <c r="D45" s="868"/>
      <c r="E45" s="757"/>
      <c r="F45" s="872"/>
      <c r="G45" s="758"/>
      <c r="H45" s="758"/>
      <c r="I45" s="758"/>
      <c r="J45" s="758"/>
      <c r="K45" s="758"/>
      <c r="L45" s="758"/>
      <c r="M45" s="758"/>
      <c r="N45" s="758"/>
      <c r="O45" s="758"/>
      <c r="P45" s="758"/>
      <c r="Q45" s="758"/>
      <c r="R45" s="758"/>
      <c r="S45" s="758"/>
      <c r="T45" s="758"/>
      <c r="U45" s="758"/>
      <c r="V45" s="758"/>
      <c r="W45" s="758"/>
      <c r="X45" s="758"/>
      <c r="Y45" s="758"/>
      <c r="Z45" s="921" t="s">
        <v>792</v>
      </c>
      <c r="AA45" s="933"/>
      <c r="AB45" s="933"/>
      <c r="AC45" s="921" t="s">
        <v>867</v>
      </c>
    </row>
    <row r="46" spans="1:29" ht="18" customHeight="1">
      <c r="A46" s="896" t="s">
        <v>860</v>
      </c>
      <c r="B46" s="868"/>
      <c r="C46" s="757"/>
      <c r="D46" s="868"/>
      <c r="E46" s="757"/>
      <c r="F46" s="872"/>
      <c r="G46" s="758"/>
      <c r="H46" s="758"/>
      <c r="I46" s="758"/>
      <c r="J46" s="758"/>
      <c r="K46" s="758"/>
      <c r="L46" s="758"/>
      <c r="M46" s="758"/>
      <c r="N46" s="758"/>
      <c r="O46" s="758"/>
      <c r="P46" s="758"/>
      <c r="Q46" s="758"/>
      <c r="R46" s="758"/>
      <c r="S46" s="758"/>
      <c r="T46" s="758"/>
      <c r="U46" s="758"/>
      <c r="V46" s="758"/>
      <c r="W46" s="758"/>
      <c r="X46" s="758"/>
      <c r="Y46" s="758"/>
      <c r="Z46" s="758"/>
    </row>
    <row r="47" spans="1:29" ht="18" customHeight="1">
      <c r="A47" s="897">
        <v>45992</v>
      </c>
      <c r="B47" s="898" t="s">
        <v>186</v>
      </c>
      <c r="C47" s="899">
        <v>0.25</v>
      </c>
      <c r="D47" s="900">
        <v>0.5</v>
      </c>
      <c r="E47" s="900">
        <v>0.52083333333333337</v>
      </c>
      <c r="F47" s="900">
        <v>0.75</v>
      </c>
      <c r="G47" s="901">
        <f t="shared" ref="G47:G53" si="4">IF(COUNT(C47:F47)&gt;0,(D47-C47+F47-E47)*24,"")</f>
        <v>11.5</v>
      </c>
      <c r="H47" s="899">
        <v>0.25</v>
      </c>
      <c r="I47" s="900">
        <v>0.5</v>
      </c>
      <c r="J47" s="900">
        <v>0.52083333333333337</v>
      </c>
      <c r="K47" s="900">
        <v>0.75</v>
      </c>
      <c r="L47" s="902">
        <f t="shared" ref="L47:L53" si="5">IF(COUNT(H47:K47)&gt;0,(I47-H47+K47-J47)*24,"")</f>
        <v>11.5</v>
      </c>
      <c r="M47" s="903" t="str">
        <f t="shared" ref="M47:M53" si="6">IF(AND(G47&lt;&gt;"",L47=""),"[d]-Min",IF(AND(G47="",L47&lt;&gt;""),"[d]-Max",IF(L47&lt;G47,"[h]-Min",IF(L47&gt;G47,"[h]-Max","ok"))))</f>
        <v>ok</v>
      </c>
      <c r="N47" s="904"/>
      <c r="O47" s="905"/>
      <c r="P47" s="906"/>
      <c r="Q47" s="907"/>
      <c r="R47" s="908"/>
      <c r="S47" s="909"/>
      <c r="T47" s="910"/>
      <c r="U47" s="910"/>
      <c r="V47" s="910"/>
      <c r="W47" s="910"/>
      <c r="X47" s="911"/>
      <c r="Y47" s="909"/>
      <c r="Z47" s="922"/>
      <c r="AA47" s="929">
        <v>49</v>
      </c>
      <c r="AB47" s="929"/>
    </row>
    <row r="48" spans="1:29" ht="18" customHeight="1">
      <c r="A48" s="881">
        <v>45993</v>
      </c>
      <c r="B48" s="882" t="s">
        <v>187</v>
      </c>
      <c r="C48" s="883">
        <v>0.25</v>
      </c>
      <c r="D48" s="884">
        <v>0.5</v>
      </c>
      <c r="E48" s="884">
        <v>0.52083333333333337</v>
      </c>
      <c r="F48" s="884">
        <v>0.75</v>
      </c>
      <c r="G48" s="885">
        <f t="shared" si="4"/>
        <v>11.5</v>
      </c>
      <c r="H48" s="883">
        <v>0.25</v>
      </c>
      <c r="I48" s="884">
        <v>0.5</v>
      </c>
      <c r="J48" s="884">
        <v>0.52083333333333337</v>
      </c>
      <c r="K48" s="884">
        <v>0.75</v>
      </c>
      <c r="L48" s="912">
        <f t="shared" si="5"/>
        <v>11.5</v>
      </c>
      <c r="M48" s="887" t="str">
        <f t="shared" si="6"/>
        <v>ok</v>
      </c>
      <c r="N48" s="888"/>
      <c r="O48" s="889"/>
      <c r="P48" s="890"/>
      <c r="Q48" s="891"/>
      <c r="R48" s="892"/>
      <c r="S48" s="893"/>
      <c r="T48" s="894"/>
      <c r="U48" s="894"/>
      <c r="V48" s="894"/>
      <c r="W48" s="894"/>
      <c r="X48" s="895"/>
      <c r="Y48" s="893"/>
      <c r="Z48" s="924"/>
      <c r="AA48" s="929">
        <v>49</v>
      </c>
      <c r="AB48" s="930"/>
    </row>
    <row r="49" spans="1:28" ht="18" customHeight="1">
      <c r="A49" s="881">
        <v>45994</v>
      </c>
      <c r="B49" s="882" t="s">
        <v>188</v>
      </c>
      <c r="C49" s="883"/>
      <c r="D49" s="884"/>
      <c r="E49" s="884"/>
      <c r="F49" s="884"/>
      <c r="G49" s="885" t="str">
        <f t="shared" si="4"/>
        <v/>
      </c>
      <c r="H49" s="883"/>
      <c r="I49" s="884"/>
      <c r="J49" s="884"/>
      <c r="K49" s="884"/>
      <c r="L49" s="912" t="str">
        <f t="shared" si="5"/>
        <v/>
      </c>
      <c r="M49" s="887" t="str">
        <f t="shared" si="6"/>
        <v>ok</v>
      </c>
      <c r="N49" s="888"/>
      <c r="O49" s="889"/>
      <c r="P49" s="890"/>
      <c r="Q49" s="891"/>
      <c r="R49" s="892"/>
      <c r="S49" s="893"/>
      <c r="T49" s="894"/>
      <c r="U49" s="894"/>
      <c r="V49" s="894"/>
      <c r="W49" s="894"/>
      <c r="X49" s="895"/>
      <c r="Y49" s="893"/>
      <c r="Z49" s="924"/>
      <c r="AA49" s="929">
        <v>49</v>
      </c>
      <c r="AB49" s="930"/>
    </row>
    <row r="50" spans="1:28" ht="18" customHeight="1">
      <c r="A50" s="881">
        <v>45995</v>
      </c>
      <c r="B50" s="882" t="s">
        <v>189</v>
      </c>
      <c r="C50" s="883"/>
      <c r="D50" s="884"/>
      <c r="E50" s="884"/>
      <c r="F50" s="884"/>
      <c r="G50" s="885" t="str">
        <f t="shared" si="4"/>
        <v/>
      </c>
      <c r="H50" s="883"/>
      <c r="I50" s="884"/>
      <c r="J50" s="884"/>
      <c r="K50" s="884"/>
      <c r="L50" s="912" t="str">
        <f t="shared" si="5"/>
        <v/>
      </c>
      <c r="M50" s="887" t="str">
        <f t="shared" si="6"/>
        <v>ok</v>
      </c>
      <c r="N50" s="888"/>
      <c r="O50" s="889"/>
      <c r="P50" s="890"/>
      <c r="Q50" s="891"/>
      <c r="R50" s="892"/>
      <c r="S50" s="893"/>
      <c r="T50" s="894"/>
      <c r="U50" s="894"/>
      <c r="V50" s="894"/>
      <c r="W50" s="894"/>
      <c r="X50" s="895"/>
      <c r="Y50" s="893"/>
      <c r="Z50" s="924"/>
      <c r="AA50" s="929">
        <v>49</v>
      </c>
      <c r="AB50" s="930"/>
    </row>
    <row r="51" spans="1:28" ht="18" customHeight="1">
      <c r="A51" s="881">
        <v>45996</v>
      </c>
      <c r="B51" s="882" t="s">
        <v>190</v>
      </c>
      <c r="C51" s="883"/>
      <c r="D51" s="884"/>
      <c r="E51" s="884"/>
      <c r="F51" s="884"/>
      <c r="G51" s="885" t="str">
        <f t="shared" si="4"/>
        <v/>
      </c>
      <c r="H51" s="883"/>
      <c r="I51" s="884"/>
      <c r="J51" s="884"/>
      <c r="K51" s="884"/>
      <c r="L51" s="912" t="str">
        <f t="shared" si="5"/>
        <v/>
      </c>
      <c r="M51" s="887" t="str">
        <f t="shared" si="6"/>
        <v>ok</v>
      </c>
      <c r="N51" s="888"/>
      <c r="O51" s="889"/>
      <c r="P51" s="890"/>
      <c r="Q51" s="891"/>
      <c r="R51" s="892"/>
      <c r="S51" s="893"/>
      <c r="T51" s="894"/>
      <c r="U51" s="894"/>
      <c r="V51" s="894"/>
      <c r="W51" s="894"/>
      <c r="X51" s="895"/>
      <c r="Y51" s="893"/>
      <c r="Z51" s="924"/>
      <c r="AA51" s="929">
        <v>49</v>
      </c>
      <c r="AB51" s="930"/>
    </row>
    <row r="52" spans="1:28" ht="18" customHeight="1">
      <c r="A52" s="881">
        <v>45997</v>
      </c>
      <c r="B52" s="882" t="s">
        <v>191</v>
      </c>
      <c r="C52" s="883"/>
      <c r="D52" s="884"/>
      <c r="E52" s="884"/>
      <c r="F52" s="884"/>
      <c r="G52" s="885" t="str">
        <f t="shared" si="4"/>
        <v/>
      </c>
      <c r="H52" s="883"/>
      <c r="I52" s="884"/>
      <c r="J52" s="884"/>
      <c r="K52" s="884"/>
      <c r="L52" s="912" t="str">
        <f t="shared" si="5"/>
        <v/>
      </c>
      <c r="M52" s="887" t="str">
        <f t="shared" si="6"/>
        <v>ok</v>
      </c>
      <c r="N52" s="888"/>
      <c r="O52" s="889"/>
      <c r="P52" s="890"/>
      <c r="Q52" s="891"/>
      <c r="R52" s="892"/>
      <c r="S52" s="893"/>
      <c r="T52" s="894"/>
      <c r="U52" s="894"/>
      <c r="V52" s="894"/>
      <c r="W52" s="894"/>
      <c r="X52" s="895"/>
      <c r="Y52" s="893"/>
      <c r="Z52" s="924"/>
      <c r="AA52" s="929">
        <v>49</v>
      </c>
      <c r="AB52" s="1176"/>
    </row>
    <row r="53" spans="1:28" ht="18" customHeight="1">
      <c r="A53" s="881">
        <v>45998</v>
      </c>
      <c r="B53" s="882" t="s">
        <v>192</v>
      </c>
      <c r="C53" s="883"/>
      <c r="D53" s="884"/>
      <c r="E53" s="884"/>
      <c r="F53" s="884"/>
      <c r="G53" s="885" t="str">
        <f t="shared" si="4"/>
        <v/>
      </c>
      <c r="H53" s="883"/>
      <c r="I53" s="884"/>
      <c r="J53" s="884"/>
      <c r="K53" s="884"/>
      <c r="L53" s="912" t="str">
        <f t="shared" si="5"/>
        <v/>
      </c>
      <c r="M53" s="887" t="str">
        <f t="shared" si="6"/>
        <v>ok</v>
      </c>
      <c r="N53" s="888"/>
      <c r="O53" s="889">
        <f>IF(COUNT(G47:G53)&gt;=$X$4,$X$4,COUNT(G47:G53))</f>
        <v>2</v>
      </c>
      <c r="P53" s="890">
        <f>COUNT(G47:G53)</f>
        <v>2</v>
      </c>
      <c r="Q53" s="891">
        <f>COUNT(L47:L53)</f>
        <v>2</v>
      </c>
      <c r="R53" s="892">
        <f>IF(Q53&gt;O53,0,O53-Q53)</f>
        <v>0</v>
      </c>
      <c r="S53" s="893">
        <f>R53*$K$5</f>
        <v>0</v>
      </c>
      <c r="T53" s="894">
        <f>SUM(G47:G53)</f>
        <v>23</v>
      </c>
      <c r="U53" s="894">
        <f>MIN($Z$4,T53)</f>
        <v>23</v>
      </c>
      <c r="V53" s="894">
        <f>IF(R53&lt;=0,U53,U53-SUMIF(M47:M53,"[d]-Min",G47:G53))</f>
        <v>23</v>
      </c>
      <c r="W53" s="894">
        <f>SUM(L47:L53)</f>
        <v>23</v>
      </c>
      <c r="X53" s="895">
        <f>IF(W53&lt;MIN(U53,V53),ROUND(MIN(U53,V53)-W53,2),0)</f>
        <v>0</v>
      </c>
      <c r="Y53" s="893">
        <f>X53*$M$13</f>
        <v>0</v>
      </c>
      <c r="Z53" s="924">
        <f>Y53+S53</f>
        <v>0</v>
      </c>
      <c r="AA53" s="929">
        <v>49</v>
      </c>
      <c r="AB53" s="928"/>
    </row>
    <row r="55" spans="1:28" ht="18" customHeight="1">
      <c r="A55" s="194" t="s">
        <v>219</v>
      </c>
      <c r="B55" s="195" t="s">
        <v>224</v>
      </c>
    </row>
    <row r="56" spans="1:28">
      <c r="B56" s="195" t="s">
        <v>1645</v>
      </c>
    </row>
    <row r="57" spans="1:28" ht="13.5" thickBot="1">
      <c r="A57" s="914"/>
      <c r="B57" s="914"/>
      <c r="C57" s="914"/>
      <c r="D57" s="914"/>
      <c r="E57" s="914"/>
      <c r="F57" s="914"/>
      <c r="G57" s="914"/>
      <c r="H57" s="914"/>
      <c r="I57" s="914"/>
      <c r="J57" s="914"/>
      <c r="K57" s="919"/>
      <c r="L57" s="919"/>
      <c r="M57" s="920"/>
      <c r="N57" s="920"/>
      <c r="O57" s="3279"/>
      <c r="P57" s="3279"/>
      <c r="Q57" s="3279"/>
      <c r="R57" s="3279"/>
      <c r="S57" s="758"/>
      <c r="T57" s="758"/>
      <c r="U57" s="758"/>
      <c r="V57" s="758"/>
      <c r="W57" s="758"/>
      <c r="X57" s="758"/>
      <c r="Y57" s="758"/>
      <c r="Z57" s="758"/>
    </row>
    <row r="58" spans="1:28" s="1334" customFormat="1" ht="13.5" thickBot="1">
      <c r="A58" s="1337">
        <f>COUNT(A61:A88)</f>
        <v>27</v>
      </c>
      <c r="B58" s="3262" t="s">
        <v>1116</v>
      </c>
      <c r="C58" s="3263"/>
      <c r="D58" s="3263"/>
      <c r="E58" s="3263"/>
      <c r="F58" s="3264"/>
      <c r="G58" s="1324">
        <f>SUM(G61:G88)</f>
        <v>258</v>
      </c>
      <c r="H58" s="875"/>
      <c r="I58" s="1325"/>
      <c r="J58" s="1325"/>
      <c r="K58" s="1326"/>
      <c r="L58" s="876">
        <f>SUM(L61:L88)</f>
        <v>217.5</v>
      </c>
      <c r="M58" s="877"/>
      <c r="N58" s="1581">
        <f>COUNTIF(N61:N88,"FT")</f>
        <v>3</v>
      </c>
      <c r="O58" s="1327"/>
      <c r="P58" s="1327"/>
      <c r="Q58" s="1327"/>
      <c r="R58" s="1328">
        <f>SUM(R61:R88)</f>
        <v>2</v>
      </c>
      <c r="S58" s="1329"/>
      <c r="T58" s="1327">
        <f t="shared" ref="T58:W58" si="7">SUM(T61:T88)</f>
        <v>258</v>
      </c>
      <c r="U58" s="1327">
        <f t="shared" si="7"/>
        <v>240</v>
      </c>
      <c r="V58" s="1327">
        <f t="shared" si="7"/>
        <v>221</v>
      </c>
      <c r="W58" s="1327">
        <f t="shared" si="7"/>
        <v>217.5</v>
      </c>
      <c r="X58" s="878">
        <f>SUM(X61:X88)</f>
        <v>9</v>
      </c>
      <c r="Y58" s="1329"/>
      <c r="Z58" s="1330">
        <f>SUM(Z61:Z88)</f>
        <v>1450</v>
      </c>
      <c r="AA58" s="1350"/>
      <c r="AB58" s="1350"/>
    </row>
    <row r="59" spans="1:28">
      <c r="A59" s="3254" t="s">
        <v>843</v>
      </c>
      <c r="B59" s="3258" t="s">
        <v>845</v>
      </c>
      <c r="C59" s="3260" t="s">
        <v>846</v>
      </c>
      <c r="D59" s="3261"/>
      <c r="E59" s="3261"/>
      <c r="F59" s="3261"/>
      <c r="G59" s="3277" t="s">
        <v>847</v>
      </c>
      <c r="H59" s="3260" t="s">
        <v>848</v>
      </c>
      <c r="I59" s="3261"/>
      <c r="J59" s="3261"/>
      <c r="K59" s="3261"/>
      <c r="L59" s="3248" t="s">
        <v>849</v>
      </c>
      <c r="M59" s="3250" t="s">
        <v>850</v>
      </c>
      <c r="N59" s="3252" t="s">
        <v>851</v>
      </c>
      <c r="O59" s="3254" t="s">
        <v>852</v>
      </c>
      <c r="P59" s="3256" t="s">
        <v>853</v>
      </c>
      <c r="Q59" s="3256" t="s">
        <v>854</v>
      </c>
      <c r="R59" s="3256" t="s">
        <v>1202</v>
      </c>
      <c r="S59" s="3246" t="s">
        <v>855</v>
      </c>
      <c r="T59" s="3243" t="s">
        <v>1203</v>
      </c>
      <c r="U59" s="3243" t="s">
        <v>856</v>
      </c>
      <c r="V59" s="3243" t="s">
        <v>857</v>
      </c>
      <c r="W59" s="3243" t="s">
        <v>849</v>
      </c>
      <c r="X59" s="3243" t="s">
        <v>1204</v>
      </c>
      <c r="Y59" s="3246" t="s">
        <v>1210</v>
      </c>
      <c r="Z59" s="3275" t="s">
        <v>858</v>
      </c>
      <c r="AA59" s="925"/>
      <c r="AB59" s="925"/>
    </row>
    <row r="60" spans="1:28">
      <c r="A60" s="3255"/>
      <c r="B60" s="3259"/>
      <c r="C60" s="879" t="s">
        <v>182</v>
      </c>
      <c r="D60" s="880" t="s">
        <v>859</v>
      </c>
      <c r="E60" s="880" t="s">
        <v>182</v>
      </c>
      <c r="F60" s="880" t="s">
        <v>859</v>
      </c>
      <c r="G60" s="3278"/>
      <c r="H60" s="879" t="s">
        <v>182</v>
      </c>
      <c r="I60" s="880" t="s">
        <v>859</v>
      </c>
      <c r="J60" s="880" t="s">
        <v>182</v>
      </c>
      <c r="K60" s="880" t="s">
        <v>859</v>
      </c>
      <c r="L60" s="3249"/>
      <c r="M60" s="3251"/>
      <c r="N60" s="3253"/>
      <c r="O60" s="3255"/>
      <c r="P60" s="3257"/>
      <c r="Q60" s="3257"/>
      <c r="R60" s="3257"/>
      <c r="S60" s="3247"/>
      <c r="T60" s="3245"/>
      <c r="U60" s="3245"/>
      <c r="V60" s="3244"/>
      <c r="W60" s="3245"/>
      <c r="X60" s="3245"/>
      <c r="Y60" s="3247"/>
      <c r="Z60" s="3276"/>
      <c r="AA60" s="927"/>
      <c r="AB60" s="927"/>
    </row>
    <row r="61" spans="1:28">
      <c r="A61" s="897">
        <v>45992</v>
      </c>
      <c r="B61" s="882" t="s">
        <v>186</v>
      </c>
      <c r="C61" s="883">
        <v>0.25</v>
      </c>
      <c r="D61" s="884">
        <v>0.5</v>
      </c>
      <c r="E61" s="884">
        <v>0.52083333333333337</v>
      </c>
      <c r="F61" s="884">
        <v>0.75</v>
      </c>
      <c r="G61" s="885">
        <f t="shared" ref="G61:G88" si="8">IF(COUNT(C61:F61)&gt;0,(D61-C61+F61-E61)*24,"")</f>
        <v>11.5</v>
      </c>
      <c r="H61" s="883">
        <v>0.25</v>
      </c>
      <c r="I61" s="884">
        <v>0.5</v>
      </c>
      <c r="J61" s="884"/>
      <c r="K61" s="884"/>
      <c r="L61" s="886">
        <f t="shared" ref="L61:L88" si="9">IF(COUNT(H61:K61)&gt;0,(I61-H61+K61-J61)*24,"")</f>
        <v>6</v>
      </c>
      <c r="M61" s="887" t="str">
        <f t="shared" ref="M61:M97" si="10">IF(AND(G61&lt;&gt;"",L61=""),"[d]-Min",IF(AND(G61="",L61&lt;&gt;""),"[d]-Max",IF(L61&lt;G61,"[h]-Min",IF(L61&gt;G61,"[h]-Max","ok"))))</f>
        <v>[h]-Min</v>
      </c>
      <c r="N61" s="888"/>
      <c r="O61" s="889"/>
      <c r="P61" s="890"/>
      <c r="Q61" s="891"/>
      <c r="R61" s="892"/>
      <c r="S61" s="893"/>
      <c r="T61" s="894"/>
      <c r="U61" s="894"/>
      <c r="V61" s="894"/>
      <c r="W61" s="894"/>
      <c r="X61" s="895"/>
      <c r="Y61" s="893"/>
      <c r="Z61" s="923"/>
      <c r="AA61" s="925">
        <v>49</v>
      </c>
      <c r="AB61" s="925"/>
    </row>
    <row r="62" spans="1:28">
      <c r="A62" s="881">
        <v>45993</v>
      </c>
      <c r="B62" s="882" t="s">
        <v>187</v>
      </c>
      <c r="C62" s="883">
        <v>0.25</v>
      </c>
      <c r="D62" s="884">
        <v>0.5</v>
      </c>
      <c r="E62" s="884">
        <v>0.52083333333333337</v>
      </c>
      <c r="F62" s="884">
        <v>0.75</v>
      </c>
      <c r="G62" s="885">
        <f t="shared" si="8"/>
        <v>11.5</v>
      </c>
      <c r="H62" s="883">
        <v>0.25</v>
      </c>
      <c r="I62" s="884">
        <v>0.5</v>
      </c>
      <c r="J62" s="884">
        <v>0.52083333333333337</v>
      </c>
      <c r="K62" s="884">
        <v>0.75</v>
      </c>
      <c r="L62" s="886">
        <f t="shared" si="9"/>
        <v>11.5</v>
      </c>
      <c r="M62" s="887" t="str">
        <f t="shared" si="10"/>
        <v>ok</v>
      </c>
      <c r="N62" s="888"/>
      <c r="O62" s="889"/>
      <c r="P62" s="890"/>
      <c r="Q62" s="891"/>
      <c r="R62" s="892"/>
      <c r="S62" s="893"/>
      <c r="T62" s="894"/>
      <c r="U62" s="894"/>
      <c r="V62" s="894"/>
      <c r="W62" s="894"/>
      <c r="X62" s="895"/>
      <c r="Y62" s="893"/>
      <c r="Z62" s="923"/>
      <c r="AA62" s="925">
        <v>49</v>
      </c>
      <c r="AB62" s="925"/>
    </row>
    <row r="63" spans="1:28">
      <c r="A63" s="881">
        <v>45994</v>
      </c>
      <c r="B63" s="882" t="s">
        <v>188</v>
      </c>
      <c r="C63" s="883">
        <v>0.25</v>
      </c>
      <c r="D63" s="884">
        <v>0.5</v>
      </c>
      <c r="E63" s="884">
        <v>0.52083333333333337</v>
      </c>
      <c r="F63" s="884">
        <v>0.75</v>
      </c>
      <c r="G63" s="885">
        <f t="shared" si="8"/>
        <v>11.5</v>
      </c>
      <c r="H63" s="883"/>
      <c r="I63" s="884"/>
      <c r="J63" s="884"/>
      <c r="K63" s="884"/>
      <c r="L63" s="886" t="str">
        <f t="shared" si="9"/>
        <v/>
      </c>
      <c r="M63" s="887" t="str">
        <f t="shared" si="10"/>
        <v>[d]-Min</v>
      </c>
      <c r="N63" s="888"/>
      <c r="O63" s="889"/>
      <c r="P63" s="890"/>
      <c r="Q63" s="891"/>
      <c r="R63" s="892"/>
      <c r="S63" s="893"/>
      <c r="T63" s="894"/>
      <c r="U63" s="894"/>
      <c r="V63" s="894"/>
      <c r="W63" s="894"/>
      <c r="X63" s="895"/>
      <c r="Y63" s="893"/>
      <c r="Z63" s="923"/>
      <c r="AA63" s="925">
        <v>49</v>
      </c>
      <c r="AB63" s="925"/>
    </row>
    <row r="64" spans="1:28">
      <c r="A64" s="881">
        <v>45995</v>
      </c>
      <c r="B64" s="882" t="s">
        <v>189</v>
      </c>
      <c r="C64" s="883">
        <v>0.25</v>
      </c>
      <c r="D64" s="884">
        <v>0.5</v>
      </c>
      <c r="E64" s="884">
        <v>0.52083333333333337</v>
      </c>
      <c r="F64" s="884">
        <v>0.75</v>
      </c>
      <c r="G64" s="885">
        <f t="shared" si="8"/>
        <v>11.5</v>
      </c>
      <c r="H64" s="883">
        <v>0.25</v>
      </c>
      <c r="I64" s="884">
        <v>0.5</v>
      </c>
      <c r="J64" s="884">
        <v>0.52083333333333337</v>
      </c>
      <c r="K64" s="884">
        <v>0.75</v>
      </c>
      <c r="L64" s="886">
        <f t="shared" si="9"/>
        <v>11.5</v>
      </c>
      <c r="M64" s="887" t="str">
        <f t="shared" si="10"/>
        <v>ok</v>
      </c>
      <c r="N64" s="888"/>
      <c r="O64" s="889"/>
      <c r="P64" s="890"/>
      <c r="Q64" s="891"/>
      <c r="R64" s="892"/>
      <c r="S64" s="893"/>
      <c r="T64" s="894"/>
      <c r="U64" s="894"/>
      <c r="V64" s="894"/>
      <c r="W64" s="894"/>
      <c r="X64" s="895"/>
      <c r="Y64" s="893"/>
      <c r="Z64" s="923"/>
      <c r="AA64" s="925">
        <v>49</v>
      </c>
      <c r="AB64" s="925"/>
    </row>
    <row r="65" spans="1:28">
      <c r="A65" s="881">
        <v>45996</v>
      </c>
      <c r="B65" s="882" t="s">
        <v>190</v>
      </c>
      <c r="C65" s="883">
        <v>0.25</v>
      </c>
      <c r="D65" s="884">
        <v>0.5</v>
      </c>
      <c r="E65" s="884">
        <v>0.52083333333333337</v>
      </c>
      <c r="F65" s="884">
        <v>0.66666666666666663</v>
      </c>
      <c r="G65" s="885">
        <f t="shared" si="8"/>
        <v>9.4999999999999982</v>
      </c>
      <c r="H65" s="883">
        <v>0.25</v>
      </c>
      <c r="I65" s="884">
        <v>0.5</v>
      </c>
      <c r="J65" s="884">
        <v>0.52083333333333337</v>
      </c>
      <c r="K65" s="884">
        <v>0.66666666666666663</v>
      </c>
      <c r="L65" s="886">
        <f t="shared" si="9"/>
        <v>9.4999999999999982</v>
      </c>
      <c r="M65" s="887" t="str">
        <f t="shared" si="10"/>
        <v>ok</v>
      </c>
      <c r="N65" s="888"/>
      <c r="O65" s="889"/>
      <c r="P65" s="890"/>
      <c r="Q65" s="891"/>
      <c r="R65" s="892"/>
      <c r="S65" s="893"/>
      <c r="T65" s="894"/>
      <c r="U65" s="894"/>
      <c r="V65" s="894"/>
      <c r="W65" s="894"/>
      <c r="X65" s="895"/>
      <c r="Y65" s="893"/>
      <c r="Z65" s="923"/>
      <c r="AA65" s="925">
        <v>49</v>
      </c>
      <c r="AB65" s="925"/>
    </row>
    <row r="66" spans="1:28">
      <c r="A66" s="881">
        <v>45997</v>
      </c>
      <c r="B66" s="882" t="s">
        <v>191</v>
      </c>
      <c r="C66" s="883"/>
      <c r="D66" s="884"/>
      <c r="E66" s="884"/>
      <c r="F66" s="884"/>
      <c r="G66" s="885" t="str">
        <f t="shared" si="8"/>
        <v/>
      </c>
      <c r="H66" s="883"/>
      <c r="I66" s="884"/>
      <c r="J66" s="884"/>
      <c r="K66" s="884"/>
      <c r="L66" s="886" t="str">
        <f t="shared" si="9"/>
        <v/>
      </c>
      <c r="M66" s="887" t="str">
        <f t="shared" si="10"/>
        <v>ok</v>
      </c>
      <c r="N66" s="888"/>
      <c r="O66" s="889"/>
      <c r="P66" s="890"/>
      <c r="Q66" s="891"/>
      <c r="R66" s="892"/>
      <c r="S66" s="893"/>
      <c r="T66" s="894"/>
      <c r="U66" s="894"/>
      <c r="V66" s="894"/>
      <c r="W66" s="894"/>
      <c r="X66" s="895"/>
      <c r="Y66" s="893"/>
      <c r="Z66" s="923"/>
      <c r="AA66" s="925">
        <v>49</v>
      </c>
      <c r="AB66" s="925"/>
    </row>
    <row r="67" spans="1:28">
      <c r="A67" s="881">
        <v>45998</v>
      </c>
      <c r="B67" s="882" t="s">
        <v>192</v>
      </c>
      <c r="C67" s="883">
        <v>0.25</v>
      </c>
      <c r="D67" s="884">
        <v>0.5</v>
      </c>
      <c r="E67" s="884">
        <v>0.52083333333333337</v>
      </c>
      <c r="F67" s="884">
        <v>0.66666666666666663</v>
      </c>
      <c r="G67" s="885">
        <f t="shared" si="8"/>
        <v>9.4999999999999982</v>
      </c>
      <c r="H67" s="883">
        <v>0.25</v>
      </c>
      <c r="I67" s="884">
        <v>0.5</v>
      </c>
      <c r="J67" s="884">
        <v>0.52083333333333337</v>
      </c>
      <c r="K67" s="884">
        <v>0.66666666666666663</v>
      </c>
      <c r="L67" s="886">
        <f t="shared" si="9"/>
        <v>9.4999999999999982</v>
      </c>
      <c r="M67" s="887" t="str">
        <f t="shared" si="10"/>
        <v>ok</v>
      </c>
      <c r="N67" s="888"/>
      <c r="O67" s="889">
        <f>IF(COUNT(G61:G67)&gt;=$X$4,$X$4,COUNT(G61:G67))</f>
        <v>6</v>
      </c>
      <c r="P67" s="890">
        <f>COUNT(G61:G67)</f>
        <v>6</v>
      </c>
      <c r="Q67" s="891">
        <f>COUNT(L61:L67)</f>
        <v>5</v>
      </c>
      <c r="R67" s="892">
        <f>IF(Q67&gt;O67,0,O67-Q67)</f>
        <v>1</v>
      </c>
      <c r="S67" s="893">
        <f>R67*$K$5</f>
        <v>500</v>
      </c>
      <c r="T67" s="894">
        <f>SUM(G61:G67)</f>
        <v>65</v>
      </c>
      <c r="U67" s="894">
        <f>MIN($Z$4,T67)</f>
        <v>60</v>
      </c>
      <c r="V67" s="894">
        <f>IF(R67&lt;=0,U67,U67-SUMIF(M61:M67,"[d]-Min",G61:G67))</f>
        <v>48.5</v>
      </c>
      <c r="W67" s="894">
        <f>SUM(L61:L67)</f>
        <v>48</v>
      </c>
      <c r="X67" s="895">
        <f>IF(W67&lt;MIN(U67,V67),ROUND(MIN(U67,V67)-W67,2),0)</f>
        <v>0.5</v>
      </c>
      <c r="Y67" s="893">
        <f>X67*$K$6</f>
        <v>25</v>
      </c>
      <c r="Z67" s="923">
        <f>Y67+S67</f>
        <v>525</v>
      </c>
      <c r="AA67" s="925">
        <v>49</v>
      </c>
      <c r="AB67" s="925"/>
    </row>
    <row r="68" spans="1:28">
      <c r="A68" s="881">
        <v>45999</v>
      </c>
      <c r="B68" s="882" t="s">
        <v>186</v>
      </c>
      <c r="C68" s="883">
        <v>0.25</v>
      </c>
      <c r="D68" s="884">
        <v>0.5</v>
      </c>
      <c r="E68" s="884">
        <v>0.52083333333333337</v>
      </c>
      <c r="F68" s="884">
        <v>0.75</v>
      </c>
      <c r="G68" s="885">
        <f t="shared" si="8"/>
        <v>11.5</v>
      </c>
      <c r="H68" s="883">
        <v>0.25</v>
      </c>
      <c r="I68" s="884">
        <v>0.5</v>
      </c>
      <c r="J68" s="884">
        <v>0.52083333333333337</v>
      </c>
      <c r="K68" s="884">
        <v>0.75</v>
      </c>
      <c r="L68" s="886">
        <f t="shared" si="9"/>
        <v>11.5</v>
      </c>
      <c r="M68" s="887" t="str">
        <f t="shared" si="10"/>
        <v>ok</v>
      </c>
      <c r="N68" s="888"/>
      <c r="O68" s="889"/>
      <c r="P68" s="890"/>
      <c r="Q68" s="891"/>
      <c r="R68" s="892"/>
      <c r="S68" s="893"/>
      <c r="T68" s="894"/>
      <c r="U68" s="894"/>
      <c r="V68" s="894"/>
      <c r="W68" s="894"/>
      <c r="X68" s="895"/>
      <c r="Y68" s="893"/>
      <c r="Z68" s="923"/>
      <c r="AA68" s="925">
        <v>50</v>
      </c>
      <c r="AB68" s="925"/>
    </row>
    <row r="69" spans="1:28">
      <c r="A69" s="881">
        <v>46000</v>
      </c>
      <c r="B69" s="882" t="s">
        <v>187</v>
      </c>
      <c r="C69" s="883">
        <v>0.25</v>
      </c>
      <c r="D69" s="884">
        <v>0.5</v>
      </c>
      <c r="E69" s="884">
        <v>0.52083333333333337</v>
      </c>
      <c r="F69" s="884">
        <v>0.75</v>
      </c>
      <c r="G69" s="885">
        <f t="shared" si="8"/>
        <v>11.5</v>
      </c>
      <c r="H69" s="883">
        <v>0.25</v>
      </c>
      <c r="I69" s="884">
        <v>0.5</v>
      </c>
      <c r="J69" s="884">
        <v>0.52083333333333337</v>
      </c>
      <c r="K69" s="884">
        <v>0.75</v>
      </c>
      <c r="L69" s="886">
        <f t="shared" si="9"/>
        <v>11.5</v>
      </c>
      <c r="M69" s="887" t="str">
        <f t="shared" si="10"/>
        <v>ok</v>
      </c>
      <c r="N69" s="888"/>
      <c r="O69" s="889"/>
      <c r="P69" s="890"/>
      <c r="Q69" s="891"/>
      <c r="R69" s="892"/>
      <c r="S69" s="893"/>
      <c r="T69" s="894"/>
      <c r="U69" s="894"/>
      <c r="V69" s="894"/>
      <c r="W69" s="894"/>
      <c r="X69" s="895"/>
      <c r="Y69" s="893"/>
      <c r="Z69" s="923"/>
      <c r="AA69" s="925">
        <v>50</v>
      </c>
      <c r="AB69" s="925"/>
    </row>
    <row r="70" spans="1:28">
      <c r="A70" s="881">
        <v>46001</v>
      </c>
      <c r="B70" s="882" t="s">
        <v>188</v>
      </c>
      <c r="C70" s="883">
        <v>0.25</v>
      </c>
      <c r="D70" s="884">
        <v>0.5</v>
      </c>
      <c r="E70" s="884">
        <v>0.52083333333333337</v>
      </c>
      <c r="F70" s="884">
        <v>0.75</v>
      </c>
      <c r="G70" s="885">
        <f t="shared" si="8"/>
        <v>11.5</v>
      </c>
      <c r="H70" s="883">
        <v>0.25</v>
      </c>
      <c r="I70" s="884">
        <v>0.5</v>
      </c>
      <c r="J70" s="884">
        <v>0.52083333333333337</v>
      </c>
      <c r="K70" s="884">
        <v>0.75</v>
      </c>
      <c r="L70" s="886">
        <f t="shared" si="9"/>
        <v>11.5</v>
      </c>
      <c r="M70" s="887" t="str">
        <f t="shared" si="10"/>
        <v>ok</v>
      </c>
      <c r="N70" s="888"/>
      <c r="O70" s="889"/>
      <c r="P70" s="890"/>
      <c r="Q70" s="891"/>
      <c r="R70" s="892"/>
      <c r="S70" s="893"/>
      <c r="T70" s="894"/>
      <c r="U70" s="894"/>
      <c r="V70" s="894"/>
      <c r="W70" s="894"/>
      <c r="X70" s="895"/>
      <c r="Y70" s="893"/>
      <c r="Z70" s="923"/>
      <c r="AA70" s="925">
        <v>50</v>
      </c>
      <c r="AB70" s="925"/>
    </row>
    <row r="71" spans="1:28">
      <c r="A71" s="881">
        <v>46002</v>
      </c>
      <c r="B71" s="882" t="s">
        <v>189</v>
      </c>
      <c r="C71" s="883">
        <v>0.25</v>
      </c>
      <c r="D71" s="884">
        <v>0.5</v>
      </c>
      <c r="E71" s="884">
        <v>0.52083333333333337</v>
      </c>
      <c r="F71" s="884">
        <v>0.75</v>
      </c>
      <c r="G71" s="885">
        <f t="shared" si="8"/>
        <v>11.5</v>
      </c>
      <c r="H71" s="883">
        <v>0.25</v>
      </c>
      <c r="I71" s="884">
        <v>0.5</v>
      </c>
      <c r="J71" s="884">
        <v>0.52083333333333337</v>
      </c>
      <c r="K71" s="884">
        <v>0.75</v>
      </c>
      <c r="L71" s="886">
        <f t="shared" si="9"/>
        <v>11.5</v>
      </c>
      <c r="M71" s="887" t="str">
        <f t="shared" si="10"/>
        <v>ok</v>
      </c>
      <c r="N71" s="888"/>
      <c r="O71" s="889"/>
      <c r="P71" s="890"/>
      <c r="Q71" s="891"/>
      <c r="R71" s="892"/>
      <c r="S71" s="893"/>
      <c r="T71" s="894"/>
      <c r="U71" s="894"/>
      <c r="V71" s="894"/>
      <c r="W71" s="894"/>
      <c r="X71" s="895"/>
      <c r="Y71" s="893"/>
      <c r="Z71" s="923"/>
      <c r="AA71" s="925">
        <v>50</v>
      </c>
      <c r="AB71" s="925"/>
    </row>
    <row r="72" spans="1:28">
      <c r="A72" s="881">
        <v>46003</v>
      </c>
      <c r="B72" s="882" t="s">
        <v>190</v>
      </c>
      <c r="C72" s="883">
        <v>0.25</v>
      </c>
      <c r="D72" s="884">
        <v>0.5</v>
      </c>
      <c r="E72" s="884">
        <v>0.52083333333333337</v>
      </c>
      <c r="F72" s="884">
        <v>0.66666666666666663</v>
      </c>
      <c r="G72" s="885">
        <f t="shared" si="8"/>
        <v>9.4999999999999982</v>
      </c>
      <c r="H72" s="883">
        <v>0.25</v>
      </c>
      <c r="I72" s="884">
        <v>0.5</v>
      </c>
      <c r="J72" s="884">
        <v>0.52083333333333337</v>
      </c>
      <c r="K72" s="884">
        <v>0.75</v>
      </c>
      <c r="L72" s="886">
        <f t="shared" si="9"/>
        <v>11.5</v>
      </c>
      <c r="M72" s="887" t="str">
        <f t="shared" si="10"/>
        <v>[h]-Max</v>
      </c>
      <c r="N72" s="888"/>
      <c r="O72" s="889"/>
      <c r="P72" s="890"/>
      <c r="Q72" s="891"/>
      <c r="R72" s="892"/>
      <c r="S72" s="893"/>
      <c r="T72" s="894"/>
      <c r="U72" s="894"/>
      <c r="V72" s="894"/>
      <c r="W72" s="894"/>
      <c r="X72" s="895"/>
      <c r="Y72" s="893"/>
      <c r="Z72" s="923"/>
      <c r="AA72" s="925">
        <v>50</v>
      </c>
      <c r="AB72" s="925"/>
    </row>
    <row r="73" spans="1:28">
      <c r="A73" s="881">
        <v>46004</v>
      </c>
      <c r="B73" s="882" t="s">
        <v>191</v>
      </c>
      <c r="C73" s="883"/>
      <c r="D73" s="884"/>
      <c r="E73" s="884"/>
      <c r="F73" s="884"/>
      <c r="G73" s="885" t="str">
        <f t="shared" si="8"/>
        <v/>
      </c>
      <c r="H73" s="883"/>
      <c r="I73" s="884"/>
      <c r="J73" s="884"/>
      <c r="K73" s="884"/>
      <c r="L73" s="886" t="str">
        <f t="shared" si="9"/>
        <v/>
      </c>
      <c r="M73" s="887" t="str">
        <f t="shared" si="10"/>
        <v>ok</v>
      </c>
      <c r="N73" s="888"/>
      <c r="O73" s="889"/>
      <c r="P73" s="890"/>
      <c r="Q73" s="891"/>
      <c r="R73" s="892"/>
      <c r="S73" s="893"/>
      <c r="T73" s="894"/>
      <c r="U73" s="894"/>
      <c r="V73" s="894"/>
      <c r="W73" s="894"/>
      <c r="X73" s="895"/>
      <c r="Y73" s="893"/>
      <c r="Z73" s="923"/>
      <c r="AA73" s="925">
        <v>50</v>
      </c>
      <c r="AB73" s="925"/>
    </row>
    <row r="74" spans="1:28">
      <c r="A74" s="881">
        <v>46005</v>
      </c>
      <c r="B74" s="882" t="s">
        <v>192</v>
      </c>
      <c r="C74" s="883">
        <v>0.25</v>
      </c>
      <c r="D74" s="884">
        <v>0.5</v>
      </c>
      <c r="E74" s="884">
        <v>0.52083333333333337</v>
      </c>
      <c r="F74" s="884">
        <v>0.58333333333333337</v>
      </c>
      <c r="G74" s="885">
        <f t="shared" si="8"/>
        <v>7.5</v>
      </c>
      <c r="H74" s="883"/>
      <c r="I74" s="884"/>
      <c r="J74" s="884"/>
      <c r="K74" s="884"/>
      <c r="L74" s="886" t="str">
        <f t="shared" si="9"/>
        <v/>
      </c>
      <c r="M74" s="887" t="str">
        <f t="shared" si="10"/>
        <v>[d]-Min</v>
      </c>
      <c r="N74" s="888"/>
      <c r="O74" s="889">
        <f>IF(COUNT(G68:G74)&gt;=$X$4,$X$4,COUNT(G68:G74))</f>
        <v>6</v>
      </c>
      <c r="P74" s="890">
        <f>COUNT(G68:G74)</f>
        <v>6</v>
      </c>
      <c r="Q74" s="891">
        <f>COUNT(L68:L74)</f>
        <v>5</v>
      </c>
      <c r="R74" s="892">
        <f>IF(Q74&gt;O74,0,O74-Q74)</f>
        <v>1</v>
      </c>
      <c r="S74" s="893">
        <f>R74*$K$5</f>
        <v>500</v>
      </c>
      <c r="T74" s="894">
        <f>SUM(G68:G74)</f>
        <v>63</v>
      </c>
      <c r="U74" s="894">
        <f>MIN($Z$4,T74)</f>
        <v>60</v>
      </c>
      <c r="V74" s="894">
        <f>IF(R74&lt;=0,U74,U74-SUMIF(M68:M74,"[d]-Min",G68:G74))</f>
        <v>52.5</v>
      </c>
      <c r="W74" s="894">
        <f>SUM(L68:L74)</f>
        <v>57.5</v>
      </c>
      <c r="X74" s="895">
        <f>IF(W74&lt;MIN(U74,V74),ROUND(MIN(U74,V74)-W74,2),0)</f>
        <v>0</v>
      </c>
      <c r="Y74" s="893">
        <f>X74*$K$6</f>
        <v>0</v>
      </c>
      <c r="Z74" s="923">
        <f>Y74+S74</f>
        <v>500</v>
      </c>
      <c r="AA74" s="925">
        <v>50</v>
      </c>
      <c r="AB74" s="925"/>
    </row>
    <row r="75" spans="1:28">
      <c r="A75" s="881">
        <v>46006</v>
      </c>
      <c r="B75" s="882" t="s">
        <v>186</v>
      </c>
      <c r="C75" s="883">
        <v>0.25</v>
      </c>
      <c r="D75" s="884">
        <v>0.5</v>
      </c>
      <c r="E75" s="884">
        <v>0.52083333333333337</v>
      </c>
      <c r="F75" s="884">
        <v>0.75</v>
      </c>
      <c r="G75" s="885">
        <f t="shared" si="8"/>
        <v>11.5</v>
      </c>
      <c r="H75" s="883">
        <v>0.25</v>
      </c>
      <c r="I75" s="884">
        <v>0.5</v>
      </c>
      <c r="J75" s="884">
        <v>0.52083333333333337</v>
      </c>
      <c r="K75" s="884">
        <v>0.75</v>
      </c>
      <c r="L75" s="886">
        <f t="shared" si="9"/>
        <v>11.5</v>
      </c>
      <c r="M75" s="887" t="str">
        <f t="shared" si="10"/>
        <v>ok</v>
      </c>
      <c r="N75" s="888"/>
      <c r="O75" s="889"/>
      <c r="P75" s="890"/>
      <c r="Q75" s="891"/>
      <c r="R75" s="892"/>
      <c r="S75" s="893"/>
      <c r="T75" s="894"/>
      <c r="U75" s="894"/>
      <c r="V75" s="894"/>
      <c r="W75" s="894"/>
      <c r="X75" s="895"/>
      <c r="Y75" s="893"/>
      <c r="Z75" s="923"/>
      <c r="AA75" s="925">
        <v>51</v>
      </c>
      <c r="AB75" s="925"/>
    </row>
    <row r="76" spans="1:28">
      <c r="A76" s="881">
        <v>46007</v>
      </c>
      <c r="B76" s="882" t="s">
        <v>187</v>
      </c>
      <c r="C76" s="883">
        <v>0.25</v>
      </c>
      <c r="D76" s="884">
        <v>0.5</v>
      </c>
      <c r="E76" s="884">
        <v>0.52083333333333337</v>
      </c>
      <c r="F76" s="884">
        <v>0.75</v>
      </c>
      <c r="G76" s="885">
        <f t="shared" si="8"/>
        <v>11.5</v>
      </c>
      <c r="H76" s="883">
        <v>0.25</v>
      </c>
      <c r="I76" s="884">
        <v>0.5</v>
      </c>
      <c r="J76" s="884">
        <v>0.52083333333333337</v>
      </c>
      <c r="K76" s="884">
        <v>0.75</v>
      </c>
      <c r="L76" s="886">
        <f t="shared" si="9"/>
        <v>11.5</v>
      </c>
      <c r="M76" s="887" t="str">
        <f t="shared" si="10"/>
        <v>ok</v>
      </c>
      <c r="N76" s="888"/>
      <c r="O76" s="889"/>
      <c r="P76" s="890"/>
      <c r="Q76" s="891"/>
      <c r="R76" s="892"/>
      <c r="S76" s="893"/>
      <c r="T76" s="894"/>
      <c r="U76" s="894"/>
      <c r="V76" s="894"/>
      <c r="W76" s="894"/>
      <c r="X76" s="895"/>
      <c r="Y76" s="893"/>
      <c r="Z76" s="923"/>
      <c r="AA76" s="925">
        <v>51</v>
      </c>
      <c r="AB76" s="925"/>
    </row>
    <row r="77" spans="1:28">
      <c r="A77" s="881">
        <v>46008</v>
      </c>
      <c r="B77" s="882" t="s">
        <v>188</v>
      </c>
      <c r="C77" s="883">
        <v>0.25</v>
      </c>
      <c r="D77" s="884">
        <v>0.5</v>
      </c>
      <c r="E77" s="884">
        <v>0.52083333333333337</v>
      </c>
      <c r="F77" s="884">
        <v>0.75</v>
      </c>
      <c r="G77" s="885">
        <f t="shared" si="8"/>
        <v>11.5</v>
      </c>
      <c r="H77" s="883">
        <v>0.25</v>
      </c>
      <c r="I77" s="884">
        <v>0.5</v>
      </c>
      <c r="J77" s="884"/>
      <c r="K77" s="884"/>
      <c r="L77" s="886">
        <f t="shared" si="9"/>
        <v>6</v>
      </c>
      <c r="M77" s="887" t="str">
        <f t="shared" si="10"/>
        <v>[h]-Min</v>
      </c>
      <c r="N77" s="888"/>
      <c r="O77" s="889"/>
      <c r="P77" s="890"/>
      <c r="Q77" s="891"/>
      <c r="R77" s="892"/>
      <c r="S77" s="893"/>
      <c r="T77" s="894"/>
      <c r="U77" s="894"/>
      <c r="V77" s="894"/>
      <c r="W77" s="894"/>
      <c r="X77" s="895"/>
      <c r="Y77" s="893"/>
      <c r="Z77" s="923"/>
      <c r="AA77" s="925">
        <v>51</v>
      </c>
      <c r="AB77" s="925"/>
    </row>
    <row r="78" spans="1:28">
      <c r="A78" s="881">
        <v>46009</v>
      </c>
      <c r="B78" s="882" t="s">
        <v>189</v>
      </c>
      <c r="C78" s="883">
        <v>0.25</v>
      </c>
      <c r="D78" s="884">
        <v>0.5</v>
      </c>
      <c r="E78" s="884">
        <v>0.52083333333333337</v>
      </c>
      <c r="F78" s="884">
        <v>0.75</v>
      </c>
      <c r="G78" s="885">
        <f t="shared" si="8"/>
        <v>11.5</v>
      </c>
      <c r="H78" s="883">
        <v>0.25</v>
      </c>
      <c r="I78" s="884">
        <v>0.5</v>
      </c>
      <c r="J78" s="884">
        <v>0.52083333333333337</v>
      </c>
      <c r="K78" s="884">
        <v>0.75</v>
      </c>
      <c r="L78" s="886">
        <f t="shared" si="9"/>
        <v>11.5</v>
      </c>
      <c r="M78" s="887" t="str">
        <f t="shared" si="10"/>
        <v>ok</v>
      </c>
      <c r="N78" s="888"/>
      <c r="O78" s="889"/>
      <c r="P78" s="890"/>
      <c r="Q78" s="891"/>
      <c r="R78" s="892"/>
      <c r="S78" s="893"/>
      <c r="T78" s="894"/>
      <c r="U78" s="894"/>
      <c r="V78" s="894"/>
      <c r="W78" s="894"/>
      <c r="X78" s="895"/>
      <c r="Y78" s="893"/>
      <c r="Z78" s="923"/>
      <c r="AA78" s="925">
        <v>51</v>
      </c>
      <c r="AB78" s="925"/>
    </row>
    <row r="79" spans="1:28">
      <c r="A79" s="881">
        <v>46010</v>
      </c>
      <c r="B79" s="882" t="s">
        <v>190</v>
      </c>
      <c r="C79" s="883">
        <v>0.25</v>
      </c>
      <c r="D79" s="884">
        <v>0.5</v>
      </c>
      <c r="E79" s="884">
        <v>0.52083333333333337</v>
      </c>
      <c r="F79" s="884">
        <v>0.66666666666666663</v>
      </c>
      <c r="G79" s="885">
        <f t="shared" si="8"/>
        <v>9.4999999999999982</v>
      </c>
      <c r="H79" s="883">
        <v>0.25</v>
      </c>
      <c r="I79" s="884">
        <v>0.5</v>
      </c>
      <c r="J79" s="884">
        <v>0.52083333333333337</v>
      </c>
      <c r="K79" s="884">
        <v>0.70833333333333337</v>
      </c>
      <c r="L79" s="886">
        <f t="shared" si="9"/>
        <v>10.5</v>
      </c>
      <c r="M79" s="887" t="str">
        <f t="shared" si="10"/>
        <v>[h]-Max</v>
      </c>
      <c r="N79" s="888"/>
      <c r="O79" s="889"/>
      <c r="P79" s="890"/>
      <c r="Q79" s="891"/>
      <c r="R79" s="892"/>
      <c r="S79" s="893"/>
      <c r="T79" s="894"/>
      <c r="U79" s="894"/>
      <c r="V79" s="894"/>
      <c r="W79" s="894"/>
      <c r="X79" s="895"/>
      <c r="Y79" s="893"/>
      <c r="Z79" s="923"/>
      <c r="AA79" s="925">
        <v>51</v>
      </c>
      <c r="AB79" s="925"/>
    </row>
    <row r="80" spans="1:28">
      <c r="A80" s="881">
        <v>46011</v>
      </c>
      <c r="B80" s="882" t="s">
        <v>191</v>
      </c>
      <c r="C80" s="883"/>
      <c r="D80" s="884"/>
      <c r="E80" s="884"/>
      <c r="F80" s="884"/>
      <c r="G80" s="885" t="str">
        <f t="shared" si="8"/>
        <v/>
      </c>
      <c r="H80" s="883"/>
      <c r="I80" s="884"/>
      <c r="J80" s="884"/>
      <c r="K80" s="884"/>
      <c r="L80" s="886" t="str">
        <f t="shared" si="9"/>
        <v/>
      </c>
      <c r="M80" s="887" t="str">
        <f t="shared" si="10"/>
        <v>ok</v>
      </c>
      <c r="N80" s="888"/>
      <c r="O80" s="889"/>
      <c r="P80" s="890"/>
      <c r="Q80" s="891"/>
      <c r="R80" s="892"/>
      <c r="S80" s="893"/>
      <c r="T80" s="894"/>
      <c r="U80" s="894"/>
      <c r="V80" s="894"/>
      <c r="W80" s="894"/>
      <c r="X80" s="895"/>
      <c r="Y80" s="893"/>
      <c r="Z80" s="923"/>
      <c r="AA80" s="925">
        <v>51</v>
      </c>
      <c r="AB80" s="925"/>
    </row>
    <row r="81" spans="1:29">
      <c r="A81" s="881">
        <v>46012</v>
      </c>
      <c r="B81" s="882" t="s">
        <v>192</v>
      </c>
      <c r="C81" s="883">
        <v>0.25</v>
      </c>
      <c r="D81" s="884">
        <v>0.5</v>
      </c>
      <c r="E81" s="884">
        <v>0.52083333333333337</v>
      </c>
      <c r="F81" s="884">
        <v>0.66666666666666663</v>
      </c>
      <c r="G81" s="885">
        <f t="shared" si="8"/>
        <v>9.4999999999999982</v>
      </c>
      <c r="H81" s="883">
        <v>0.25</v>
      </c>
      <c r="I81" s="884">
        <v>0.5</v>
      </c>
      <c r="J81" s="884">
        <v>0.52083333333333337</v>
      </c>
      <c r="K81" s="884">
        <v>0.66666666666666663</v>
      </c>
      <c r="L81" s="886">
        <f t="shared" si="9"/>
        <v>9.4999999999999982</v>
      </c>
      <c r="M81" s="887" t="str">
        <f t="shared" si="10"/>
        <v>ok</v>
      </c>
      <c r="N81" s="888"/>
      <c r="O81" s="889">
        <f>IF(COUNT(G75:G81)&gt;=$X$4,$X$4,COUNT(G75:G81))</f>
        <v>6</v>
      </c>
      <c r="P81" s="890">
        <f>COUNT(G75:G81)</f>
        <v>6</v>
      </c>
      <c r="Q81" s="891">
        <f>COUNT(L75:L81)</f>
        <v>6</v>
      </c>
      <c r="R81" s="892">
        <f>IF(Q81&gt;O81,0,O81-Q81)</f>
        <v>0</v>
      </c>
      <c r="S81" s="893">
        <f>R81*$K$5</f>
        <v>0</v>
      </c>
      <c r="T81" s="894">
        <f>SUM(G75:G81)</f>
        <v>65</v>
      </c>
      <c r="U81" s="894">
        <f>MIN($Z$4,T81)</f>
        <v>60</v>
      </c>
      <c r="V81" s="894">
        <f>IF(R81&lt;=0,U81,U81-SUMIF(M75:M81,"[d]-Min",G75:G81))</f>
        <v>60</v>
      </c>
      <c r="W81" s="894">
        <f>SUM(L75:L81)</f>
        <v>60.5</v>
      </c>
      <c r="X81" s="895">
        <f>IF(W81&lt;MIN(U81,V81),ROUND(MIN(U81,V81)-W81,2),0)</f>
        <v>0</v>
      </c>
      <c r="Y81" s="893">
        <f>X81*$K$6</f>
        <v>0</v>
      </c>
      <c r="Z81" s="923">
        <f>Y81+S81</f>
        <v>0</v>
      </c>
      <c r="AA81" s="925">
        <v>51</v>
      </c>
      <c r="AB81" s="925"/>
    </row>
    <row r="82" spans="1:29">
      <c r="A82" s="881">
        <v>46013</v>
      </c>
      <c r="B82" s="882" t="s">
        <v>186</v>
      </c>
      <c r="C82" s="883">
        <v>0.25</v>
      </c>
      <c r="D82" s="884">
        <v>0.5</v>
      </c>
      <c r="E82" s="884">
        <v>0.52083333333333337</v>
      </c>
      <c r="F82" s="884">
        <v>0.75</v>
      </c>
      <c r="G82" s="885">
        <f t="shared" si="8"/>
        <v>11.5</v>
      </c>
      <c r="H82" s="883">
        <v>0.25</v>
      </c>
      <c r="I82" s="884">
        <v>0.5</v>
      </c>
      <c r="J82" s="884">
        <v>0.52083333333333337</v>
      </c>
      <c r="K82" s="884">
        <v>0.66666666666666663</v>
      </c>
      <c r="L82" s="886">
        <f t="shared" si="9"/>
        <v>9.4999999999999982</v>
      </c>
      <c r="M82" s="887" t="str">
        <f t="shared" si="10"/>
        <v>[h]-Min</v>
      </c>
      <c r="N82" s="888"/>
      <c r="O82" s="889"/>
      <c r="P82" s="890"/>
      <c r="Q82" s="891"/>
      <c r="R82" s="892"/>
      <c r="S82" s="893"/>
      <c r="T82" s="894"/>
      <c r="U82" s="894"/>
      <c r="V82" s="894"/>
      <c r="W82" s="894"/>
      <c r="X82" s="895"/>
      <c r="Y82" s="893"/>
      <c r="Z82" s="923"/>
      <c r="AA82" s="925">
        <v>52</v>
      </c>
      <c r="AB82" s="925"/>
    </row>
    <row r="83" spans="1:29">
      <c r="A83" s="881">
        <v>46014</v>
      </c>
      <c r="B83" s="882" t="s">
        <v>187</v>
      </c>
      <c r="C83" s="883">
        <v>0.25</v>
      </c>
      <c r="D83" s="884">
        <v>0.5</v>
      </c>
      <c r="E83" s="884">
        <v>0.52083333333333337</v>
      </c>
      <c r="F83" s="884">
        <v>0.75</v>
      </c>
      <c r="G83" s="885">
        <f t="shared" si="8"/>
        <v>11.5</v>
      </c>
      <c r="H83" s="883">
        <v>0.25</v>
      </c>
      <c r="I83" s="884">
        <v>0.5</v>
      </c>
      <c r="J83" s="884">
        <v>0.52083333333333337</v>
      </c>
      <c r="K83" s="884">
        <v>0.6875</v>
      </c>
      <c r="L83" s="886">
        <f t="shared" si="9"/>
        <v>10</v>
      </c>
      <c r="M83" s="887" t="str">
        <f t="shared" si="10"/>
        <v>[h]-Min</v>
      </c>
      <c r="N83" s="888"/>
      <c r="O83" s="889"/>
      <c r="P83" s="890"/>
      <c r="Q83" s="891"/>
      <c r="R83" s="892"/>
      <c r="S83" s="893"/>
      <c r="T83" s="894"/>
      <c r="U83" s="894"/>
      <c r="V83" s="894"/>
      <c r="W83" s="894"/>
      <c r="X83" s="895"/>
      <c r="Y83" s="893"/>
      <c r="Z83" s="923"/>
      <c r="AA83" s="925">
        <v>52</v>
      </c>
      <c r="AB83" s="925"/>
    </row>
    <row r="84" spans="1:29">
      <c r="A84" s="881">
        <v>46015</v>
      </c>
      <c r="B84" s="882" t="s">
        <v>188</v>
      </c>
      <c r="C84" s="883">
        <v>0.25</v>
      </c>
      <c r="D84" s="884">
        <v>0.5</v>
      </c>
      <c r="E84" s="884">
        <v>0.52083333333333337</v>
      </c>
      <c r="F84" s="884">
        <v>0.75</v>
      </c>
      <c r="G84" s="885">
        <f t="shared" si="8"/>
        <v>11.5</v>
      </c>
      <c r="H84" s="883">
        <v>0.25</v>
      </c>
      <c r="I84" s="884">
        <v>0.5</v>
      </c>
      <c r="J84" s="884">
        <v>0.52083333333333337</v>
      </c>
      <c r="K84" s="884">
        <v>0.66666666666666663</v>
      </c>
      <c r="L84" s="886">
        <f t="shared" si="9"/>
        <v>9.4999999999999982</v>
      </c>
      <c r="M84" s="887" t="str">
        <f t="shared" si="10"/>
        <v>[h]-Min</v>
      </c>
      <c r="N84" s="888" t="s">
        <v>862</v>
      </c>
      <c r="O84" s="889"/>
      <c r="P84" s="890"/>
      <c r="Q84" s="891"/>
      <c r="R84" s="892"/>
      <c r="S84" s="893"/>
      <c r="T84" s="894"/>
      <c r="U84" s="894"/>
      <c r="V84" s="894"/>
      <c r="W84" s="894"/>
      <c r="X84" s="895"/>
      <c r="Y84" s="893"/>
      <c r="Z84" s="923"/>
      <c r="AA84" s="925">
        <v>52</v>
      </c>
      <c r="AB84" s="925"/>
    </row>
    <row r="85" spans="1:29">
      <c r="A85" s="881">
        <v>46016</v>
      </c>
      <c r="B85" s="882" t="s">
        <v>189</v>
      </c>
      <c r="C85" s="883">
        <v>0.25</v>
      </c>
      <c r="D85" s="884">
        <v>0.5</v>
      </c>
      <c r="E85" s="884">
        <v>0.52083333333333337</v>
      </c>
      <c r="F85" s="884">
        <v>0.75</v>
      </c>
      <c r="G85" s="885">
        <f t="shared" si="8"/>
        <v>11.5</v>
      </c>
      <c r="H85" s="883">
        <v>0.25</v>
      </c>
      <c r="I85" s="884">
        <v>0.5</v>
      </c>
      <c r="J85" s="884"/>
      <c r="K85" s="884"/>
      <c r="L85" s="886">
        <f t="shared" si="9"/>
        <v>6</v>
      </c>
      <c r="M85" s="887" t="str">
        <f t="shared" si="10"/>
        <v>[h]-Min</v>
      </c>
      <c r="N85" s="888" t="s">
        <v>862</v>
      </c>
      <c r="O85" s="889"/>
      <c r="P85" s="890"/>
      <c r="Q85" s="891"/>
      <c r="R85" s="892"/>
      <c r="S85" s="893"/>
      <c r="T85" s="894"/>
      <c r="U85" s="894"/>
      <c r="V85" s="894"/>
      <c r="W85" s="894"/>
      <c r="X85" s="895"/>
      <c r="Y85" s="893"/>
      <c r="Z85" s="923"/>
      <c r="AA85" s="925">
        <v>52</v>
      </c>
      <c r="AB85" s="925"/>
    </row>
    <row r="86" spans="1:29">
      <c r="A86" s="881">
        <v>46017</v>
      </c>
      <c r="B86" s="882" t="s">
        <v>190</v>
      </c>
      <c r="C86" s="883">
        <v>0.25</v>
      </c>
      <c r="D86" s="884">
        <v>0.5</v>
      </c>
      <c r="E86" s="884">
        <v>0.52083333333333337</v>
      </c>
      <c r="F86" s="884">
        <v>0.66666666666666663</v>
      </c>
      <c r="G86" s="885">
        <f t="shared" si="8"/>
        <v>9.4999999999999982</v>
      </c>
      <c r="H86" s="883">
        <v>0.25</v>
      </c>
      <c r="I86" s="884">
        <v>0.5</v>
      </c>
      <c r="J86" s="884"/>
      <c r="K86" s="884"/>
      <c r="L86" s="886">
        <f t="shared" si="9"/>
        <v>6</v>
      </c>
      <c r="M86" s="887" t="str">
        <f t="shared" si="10"/>
        <v>[h]-Min</v>
      </c>
      <c r="N86" s="888" t="s">
        <v>862</v>
      </c>
      <c r="O86" s="889"/>
      <c r="P86" s="890"/>
      <c r="Q86" s="891"/>
      <c r="R86" s="892"/>
      <c r="S86" s="893"/>
      <c r="T86" s="894"/>
      <c r="U86" s="894"/>
      <c r="V86" s="894"/>
      <c r="W86" s="894"/>
      <c r="X86" s="895"/>
      <c r="Y86" s="893"/>
      <c r="Z86" s="923"/>
      <c r="AA86" s="925">
        <v>52</v>
      </c>
      <c r="AB86" s="925"/>
    </row>
    <row r="87" spans="1:29">
      <c r="A87" s="881">
        <v>46018</v>
      </c>
      <c r="B87" s="882" t="s">
        <v>191</v>
      </c>
      <c r="C87" s="883"/>
      <c r="D87" s="884"/>
      <c r="E87" s="884"/>
      <c r="F87" s="884"/>
      <c r="G87" s="885" t="str">
        <f t="shared" si="8"/>
        <v/>
      </c>
      <c r="H87" s="883"/>
      <c r="I87" s="884"/>
      <c r="J87" s="884"/>
      <c r="K87" s="884"/>
      <c r="L87" s="886" t="str">
        <f t="shared" si="9"/>
        <v/>
      </c>
      <c r="M87" s="887" t="str">
        <f t="shared" si="10"/>
        <v>ok</v>
      </c>
      <c r="N87" s="888"/>
      <c r="O87" s="889"/>
      <c r="P87" s="890"/>
      <c r="Q87" s="891"/>
      <c r="R87" s="892"/>
      <c r="S87" s="893"/>
      <c r="T87" s="894"/>
      <c r="U87" s="894"/>
      <c r="V87" s="894"/>
      <c r="W87" s="894"/>
      <c r="X87" s="895"/>
      <c r="Y87" s="893"/>
      <c r="Z87" s="923"/>
      <c r="AA87" s="925">
        <v>52</v>
      </c>
      <c r="AB87" s="925"/>
    </row>
    <row r="88" spans="1:29">
      <c r="A88" s="881" t="s">
        <v>1113</v>
      </c>
      <c r="B88" s="882" t="s">
        <v>192</v>
      </c>
      <c r="C88" s="883">
        <v>0.25</v>
      </c>
      <c r="D88" s="884">
        <v>0.5</v>
      </c>
      <c r="E88" s="884">
        <v>0.52083333333333337</v>
      </c>
      <c r="F88" s="884">
        <v>0.66666666666666663</v>
      </c>
      <c r="G88" s="885">
        <f t="shared" si="8"/>
        <v>9.4999999999999982</v>
      </c>
      <c r="H88" s="883">
        <v>0.25</v>
      </c>
      <c r="I88" s="884">
        <v>0.5</v>
      </c>
      <c r="J88" s="884">
        <v>0.52083333333333337</v>
      </c>
      <c r="K88" s="884">
        <v>0.70833333333333337</v>
      </c>
      <c r="L88" s="886">
        <f t="shared" si="9"/>
        <v>10.5</v>
      </c>
      <c r="M88" s="887" t="str">
        <f t="shared" si="10"/>
        <v>[h]-Max</v>
      </c>
      <c r="N88" s="888"/>
      <c r="O88" s="889">
        <f>IF(COUNT(G82:G88)&gt;=$X$4,$X$4,COUNT(G82:G88))</f>
        <v>6</v>
      </c>
      <c r="P88" s="890">
        <f>COUNT(G82:G88)</f>
        <v>6</v>
      </c>
      <c r="Q88" s="891">
        <f>COUNT(L82:L88)</f>
        <v>6</v>
      </c>
      <c r="R88" s="892">
        <f>IF(Q88&gt;O88,0,O88-Q88)</f>
        <v>0</v>
      </c>
      <c r="S88" s="893">
        <f>R88*$K$5</f>
        <v>0</v>
      </c>
      <c r="T88" s="894">
        <f>SUM(G82:G88)</f>
        <v>65</v>
      </c>
      <c r="U88" s="894">
        <f>MIN($Z$4,T88)</f>
        <v>60</v>
      </c>
      <c r="V88" s="894">
        <f>IF(R88&lt;=0,U88,U88-SUMIF(M82:M88,"[d]-Min",G82:G88))</f>
        <v>60</v>
      </c>
      <c r="W88" s="894">
        <f>SUM(L82:L88)</f>
        <v>51.5</v>
      </c>
      <c r="X88" s="895">
        <f>IF(W88&lt;MIN(U88,V88),ROUND(MIN(U88,V88)-W88,2),0)</f>
        <v>8.5</v>
      </c>
      <c r="Y88" s="893">
        <f>X88*$K$6</f>
        <v>425</v>
      </c>
      <c r="Z88" s="923">
        <f>Y88+S88</f>
        <v>425</v>
      </c>
      <c r="AA88" s="925">
        <v>52</v>
      </c>
      <c r="AB88" s="927"/>
    </row>
    <row r="89" spans="1:29" ht="36">
      <c r="A89" s="755"/>
      <c r="B89" s="868"/>
      <c r="C89" s="757"/>
      <c r="D89" s="868"/>
      <c r="E89" s="757"/>
      <c r="F89" s="872"/>
      <c r="G89" s="758"/>
      <c r="H89" s="758"/>
      <c r="I89" s="758"/>
      <c r="J89" s="758"/>
      <c r="K89" s="758"/>
      <c r="L89" s="758"/>
      <c r="M89" s="758"/>
      <c r="N89" s="758"/>
      <c r="O89" s="758"/>
      <c r="P89" s="758"/>
      <c r="Q89" s="758"/>
      <c r="R89" s="758"/>
      <c r="S89" s="758"/>
      <c r="T89" s="758"/>
      <c r="U89" s="758"/>
      <c r="V89" s="758"/>
      <c r="W89" s="758"/>
      <c r="X89" s="758"/>
      <c r="Y89" s="758"/>
      <c r="Z89" s="921" t="s">
        <v>792</v>
      </c>
      <c r="AC89" s="921" t="s">
        <v>867</v>
      </c>
    </row>
    <row r="90" spans="1:29">
      <c r="A90" s="896" t="s">
        <v>860</v>
      </c>
      <c r="B90" s="868"/>
      <c r="C90" s="757"/>
      <c r="D90" s="868"/>
      <c r="E90" s="757"/>
      <c r="F90" s="872"/>
      <c r="G90" s="758"/>
      <c r="H90" s="758"/>
      <c r="I90" s="758"/>
      <c r="J90" s="758"/>
      <c r="K90" s="758"/>
      <c r="L90" s="758"/>
      <c r="M90" s="758"/>
      <c r="N90" s="758"/>
      <c r="O90" s="758"/>
      <c r="P90" s="758"/>
      <c r="Q90" s="758"/>
      <c r="R90" s="758"/>
      <c r="S90" s="758"/>
      <c r="T90" s="758"/>
      <c r="U90" s="758"/>
      <c r="V90" s="758"/>
      <c r="W90" s="758"/>
      <c r="X90" s="758"/>
      <c r="Y90" s="758"/>
      <c r="Z90" s="758"/>
    </row>
    <row r="91" spans="1:29" ht="25.5">
      <c r="A91" s="897">
        <v>46020</v>
      </c>
      <c r="B91" s="898" t="s">
        <v>186</v>
      </c>
      <c r="C91" s="899">
        <v>0.25</v>
      </c>
      <c r="D91" s="900">
        <v>0.5</v>
      </c>
      <c r="E91" s="900">
        <v>0.52083333333333337</v>
      </c>
      <c r="F91" s="900">
        <v>0.75</v>
      </c>
      <c r="G91" s="901">
        <f t="shared" ref="G91:G97" si="11">IF(COUNT(C91:F91)&gt;0,(D91-C91+F91-E91)*24,"")</f>
        <v>11.5</v>
      </c>
      <c r="H91" s="899">
        <v>0.25</v>
      </c>
      <c r="I91" s="900">
        <v>0.5</v>
      </c>
      <c r="J91" s="900">
        <v>0.52083333333333337</v>
      </c>
      <c r="K91" s="900">
        <v>0.75</v>
      </c>
      <c r="L91" s="902">
        <f t="shared" ref="L91:L97" si="12">IF(COUNT(H91:K91)&gt;0,(I91-H91+K91-J91)*24,"")</f>
        <v>11.5</v>
      </c>
      <c r="M91" s="903" t="str">
        <f t="shared" si="10"/>
        <v>ok</v>
      </c>
      <c r="N91" s="904"/>
      <c r="O91" s="1261"/>
      <c r="P91" s="1262"/>
      <c r="Q91" s="1263"/>
      <c r="R91" s="1263"/>
      <c r="S91" s="1264"/>
      <c r="T91" s="1265"/>
      <c r="U91" s="1265"/>
      <c r="V91" s="1265"/>
      <c r="W91" s="1265"/>
      <c r="X91" s="1265"/>
      <c r="Y91" s="1264"/>
      <c r="Z91" s="1590"/>
      <c r="AA91" s="1266">
        <v>52</v>
      </c>
      <c r="AB91" s="1273" t="s">
        <v>1119</v>
      </c>
    </row>
    <row r="92" spans="1:29">
      <c r="A92" s="881">
        <v>46021</v>
      </c>
      <c r="B92" s="882" t="s">
        <v>187</v>
      </c>
      <c r="C92" s="883">
        <v>0.25</v>
      </c>
      <c r="D92" s="884">
        <v>0.5</v>
      </c>
      <c r="E92" s="884">
        <v>0.52083333333333337</v>
      </c>
      <c r="F92" s="884">
        <v>0.75</v>
      </c>
      <c r="G92" s="885">
        <f t="shared" si="11"/>
        <v>11.5</v>
      </c>
      <c r="H92" s="883">
        <v>0.25</v>
      </c>
      <c r="I92" s="884">
        <v>0.5</v>
      </c>
      <c r="J92" s="884">
        <v>0.52083333333333337</v>
      </c>
      <c r="K92" s="884">
        <v>0.75</v>
      </c>
      <c r="L92" s="912">
        <f t="shared" si="12"/>
        <v>11.5</v>
      </c>
      <c r="M92" s="887" t="str">
        <f t="shared" si="10"/>
        <v>ok</v>
      </c>
      <c r="N92" s="888"/>
      <c r="O92" s="1267"/>
      <c r="P92" s="1268"/>
      <c r="Q92" s="1269"/>
      <c r="R92" s="1269"/>
      <c r="S92" s="1270"/>
      <c r="T92" s="1271"/>
      <c r="U92" s="1271"/>
      <c r="V92" s="1271"/>
      <c r="W92" s="1271"/>
      <c r="X92" s="1271"/>
      <c r="Y92" s="1270"/>
      <c r="Z92" s="913"/>
      <c r="AA92" s="1272">
        <v>52</v>
      </c>
      <c r="AB92" s="1272"/>
    </row>
    <row r="93" spans="1:29">
      <c r="A93" s="881">
        <v>46022</v>
      </c>
      <c r="B93" s="882" t="s">
        <v>188</v>
      </c>
      <c r="C93" s="883">
        <v>0.25</v>
      </c>
      <c r="D93" s="884">
        <v>0.5</v>
      </c>
      <c r="E93" s="884">
        <v>0.52083333333333337</v>
      </c>
      <c r="F93" s="884">
        <v>0.75</v>
      </c>
      <c r="G93" s="885">
        <v>11.5</v>
      </c>
      <c r="H93" s="883"/>
      <c r="I93" s="884"/>
      <c r="J93" s="884"/>
      <c r="K93" s="884"/>
      <c r="L93" s="912">
        <v>11.5</v>
      </c>
      <c r="M93" s="887" t="str">
        <f t="shared" si="10"/>
        <v>ok</v>
      </c>
      <c r="N93" s="888" t="s">
        <v>862</v>
      </c>
      <c r="O93" s="1267"/>
      <c r="P93" s="1268"/>
      <c r="Q93" s="1269"/>
      <c r="R93" s="1269"/>
      <c r="S93" s="1270"/>
      <c r="T93" s="1271"/>
      <c r="U93" s="1271"/>
      <c r="V93" s="1271"/>
      <c r="W93" s="1271"/>
      <c r="X93" s="1271"/>
      <c r="Y93" s="1270"/>
      <c r="Z93" s="913"/>
      <c r="AA93" s="1272">
        <v>52</v>
      </c>
      <c r="AB93" s="1272"/>
    </row>
    <row r="94" spans="1:29">
      <c r="A94" s="881">
        <v>46023</v>
      </c>
      <c r="B94" s="882" t="s">
        <v>189</v>
      </c>
      <c r="C94" s="883"/>
      <c r="D94" s="884"/>
      <c r="E94" s="884"/>
      <c r="F94" s="884"/>
      <c r="G94" s="885" t="str">
        <f t="shared" si="11"/>
        <v/>
      </c>
      <c r="H94" s="883"/>
      <c r="I94" s="884"/>
      <c r="J94" s="884"/>
      <c r="K94" s="884"/>
      <c r="L94" s="912" t="str">
        <f t="shared" si="12"/>
        <v/>
      </c>
      <c r="M94" s="887" t="str">
        <f t="shared" si="10"/>
        <v>ok</v>
      </c>
      <c r="N94" s="888" t="s">
        <v>862</v>
      </c>
      <c r="O94" s="889"/>
      <c r="P94" s="890"/>
      <c r="Q94" s="891"/>
      <c r="R94" s="892"/>
      <c r="S94" s="893"/>
      <c r="T94" s="894"/>
      <c r="U94" s="894"/>
      <c r="V94" s="894"/>
      <c r="W94" s="894"/>
      <c r="X94" s="895"/>
      <c r="Y94" s="893"/>
      <c r="Z94" s="913"/>
      <c r="AA94" s="930">
        <v>1</v>
      </c>
      <c r="AB94" s="930"/>
    </row>
    <row r="95" spans="1:29">
      <c r="A95" s="881">
        <v>46024</v>
      </c>
      <c r="B95" s="882" t="s">
        <v>190</v>
      </c>
      <c r="C95" s="883"/>
      <c r="D95" s="884"/>
      <c r="E95" s="884"/>
      <c r="F95" s="884"/>
      <c r="G95" s="885" t="str">
        <f t="shared" si="11"/>
        <v/>
      </c>
      <c r="H95" s="883"/>
      <c r="I95" s="884"/>
      <c r="J95" s="884"/>
      <c r="K95" s="884"/>
      <c r="L95" s="912" t="str">
        <f t="shared" si="12"/>
        <v/>
      </c>
      <c r="M95" s="887" t="str">
        <f t="shared" si="10"/>
        <v>ok</v>
      </c>
      <c r="N95" s="888"/>
      <c r="O95" s="889"/>
      <c r="P95" s="890"/>
      <c r="Q95" s="891"/>
      <c r="R95" s="892"/>
      <c r="S95" s="893"/>
      <c r="T95" s="894"/>
      <c r="U95" s="894"/>
      <c r="V95" s="894"/>
      <c r="W95" s="894"/>
      <c r="X95" s="895"/>
      <c r="Y95" s="893"/>
      <c r="Z95" s="913"/>
      <c r="AA95" s="930">
        <v>1</v>
      </c>
      <c r="AB95" s="930"/>
    </row>
    <row r="96" spans="1:29">
      <c r="A96" s="881">
        <v>46025</v>
      </c>
      <c r="B96" s="882" t="s">
        <v>191</v>
      </c>
      <c r="C96" s="883"/>
      <c r="D96" s="884"/>
      <c r="E96" s="884"/>
      <c r="F96" s="884"/>
      <c r="G96" s="885" t="str">
        <f t="shared" si="11"/>
        <v/>
      </c>
      <c r="H96" s="883"/>
      <c r="I96" s="884"/>
      <c r="J96" s="884"/>
      <c r="K96" s="884"/>
      <c r="L96" s="912" t="str">
        <f t="shared" si="12"/>
        <v/>
      </c>
      <c r="M96" s="887" t="str">
        <f t="shared" si="10"/>
        <v>ok</v>
      </c>
      <c r="N96" s="888"/>
      <c r="O96" s="889"/>
      <c r="P96" s="890"/>
      <c r="Q96" s="891"/>
      <c r="R96" s="892"/>
      <c r="S96" s="893"/>
      <c r="T96" s="894"/>
      <c r="U96" s="894"/>
      <c r="V96" s="894"/>
      <c r="W96" s="894"/>
      <c r="X96" s="895"/>
      <c r="Y96" s="893"/>
      <c r="Z96" s="913"/>
      <c r="AA96" s="1176">
        <v>1</v>
      </c>
      <c r="AB96" s="1176"/>
    </row>
    <row r="97" spans="1:28">
      <c r="A97" s="881">
        <v>46026</v>
      </c>
      <c r="B97" s="882" t="s">
        <v>192</v>
      </c>
      <c r="C97" s="883"/>
      <c r="D97" s="884"/>
      <c r="E97" s="884"/>
      <c r="F97" s="884"/>
      <c r="G97" s="885" t="str">
        <f t="shared" si="11"/>
        <v/>
      </c>
      <c r="H97" s="883"/>
      <c r="I97" s="884"/>
      <c r="J97" s="884"/>
      <c r="K97" s="884"/>
      <c r="L97" s="912" t="str">
        <f t="shared" si="12"/>
        <v/>
      </c>
      <c r="M97" s="887" t="str">
        <f t="shared" si="10"/>
        <v>ok</v>
      </c>
      <c r="N97" s="888"/>
      <c r="O97" s="889">
        <f>IF(COUNT(G91:G97)&gt;=$X$4,$X$4,COUNT(G91:G97))</f>
        <v>3</v>
      </c>
      <c r="P97" s="890">
        <f>COUNT(G91:G97)</f>
        <v>3</v>
      </c>
      <c r="Q97" s="891">
        <f>COUNT(L91:L97)</f>
        <v>3</v>
      </c>
      <c r="R97" s="892">
        <f>IF(Q97&gt;O97,0,O97-Q97)</f>
        <v>0</v>
      </c>
      <c r="S97" s="893">
        <f>R97*$K$5</f>
        <v>0</v>
      </c>
      <c r="T97" s="894">
        <f>SUM(G91:G97)</f>
        <v>34.5</v>
      </c>
      <c r="U97" s="894">
        <f>MIN($Z$4,T97)</f>
        <v>34.5</v>
      </c>
      <c r="V97" s="894">
        <f>IF(R97&lt;=0,U97,U97-SUMIF(M91:M97,"[d]-Min",G91:G97))</f>
        <v>34.5</v>
      </c>
      <c r="W97" s="894">
        <f>SUM(L91:L97)</f>
        <v>34.5</v>
      </c>
      <c r="X97" s="895">
        <f>IF(W97&lt;MIN(U97,V97),ROUND(MIN(U97,V97)-W97,2),0)</f>
        <v>0</v>
      </c>
      <c r="Y97" s="893">
        <f>X97*$M$13</f>
        <v>0</v>
      </c>
      <c r="Z97" s="913">
        <f>Y97+S97</f>
        <v>0</v>
      </c>
      <c r="AA97" s="928">
        <v>1</v>
      </c>
      <c r="AB97" s="928"/>
    </row>
    <row r="98" spans="1:28">
      <c r="Z98" s="921"/>
    </row>
    <row r="99" spans="1:28">
      <c r="A99" s="194" t="s">
        <v>219</v>
      </c>
      <c r="B99" s="195" t="s">
        <v>224</v>
      </c>
    </row>
  </sheetData>
  <sheetProtection algorithmName="SHA-512" hashValue="M5NydOFZamtGVdm9xopYOu6TqbCDHslHbcL1NxNIy/TXkxabzqaeDN24ebN0cdtgSKjxdVMtvDDWbAH5BDAXdg==" saltValue="TtttRAYO6X8eT/2cKTINKg==" spinCount="100000" sheet="1" objects="1" scenarios="1"/>
  <mergeCells count="63">
    <mergeCell ref="X7:AA7"/>
    <mergeCell ref="A4:E4"/>
    <mergeCell ref="A2:I2"/>
    <mergeCell ref="M4:N4"/>
    <mergeCell ref="X3:AA3"/>
    <mergeCell ref="X6:AA6"/>
    <mergeCell ref="B14:F14"/>
    <mergeCell ref="A5:J5"/>
    <mergeCell ref="K5:L5"/>
    <mergeCell ref="M5:N5"/>
    <mergeCell ref="A7:J7"/>
    <mergeCell ref="K7:L7"/>
    <mergeCell ref="M7:N7"/>
    <mergeCell ref="B12:F12"/>
    <mergeCell ref="A6:J6"/>
    <mergeCell ref="K6:L6"/>
    <mergeCell ref="M6:N6"/>
    <mergeCell ref="A15:A16"/>
    <mergeCell ref="B15:B16"/>
    <mergeCell ref="C15:F15"/>
    <mergeCell ref="G15:G16"/>
    <mergeCell ref="H15:K15"/>
    <mergeCell ref="AA15:AA16"/>
    <mergeCell ref="AB15:AB16"/>
    <mergeCell ref="S15:S16"/>
    <mergeCell ref="T15:T16"/>
    <mergeCell ref="U15:U16"/>
    <mergeCell ref="V15:V16"/>
    <mergeCell ref="W15:W16"/>
    <mergeCell ref="X15:X16"/>
    <mergeCell ref="Y15:Y16"/>
    <mergeCell ref="Z15:Z16"/>
    <mergeCell ref="L15:L16"/>
    <mergeCell ref="N59:N60"/>
    <mergeCell ref="O59:O60"/>
    <mergeCell ref="P59:P60"/>
    <mergeCell ref="Q59:Q60"/>
    <mergeCell ref="M15:M16"/>
    <mergeCell ref="N15:N16"/>
    <mergeCell ref="O15:O16"/>
    <mergeCell ref="P15:P16"/>
    <mergeCell ref="Q15:Q16"/>
    <mergeCell ref="G59:G60"/>
    <mergeCell ref="H59:K59"/>
    <mergeCell ref="L59:L60"/>
    <mergeCell ref="M59:M60"/>
    <mergeCell ref="R59:R60"/>
    <mergeCell ref="S59:S60"/>
    <mergeCell ref="A1:R1"/>
    <mergeCell ref="Z59:Z60"/>
    <mergeCell ref="T59:T60"/>
    <mergeCell ref="U59:U60"/>
    <mergeCell ref="V59:V60"/>
    <mergeCell ref="W59:W60"/>
    <mergeCell ref="X59:X60"/>
    <mergeCell ref="Y59:Y60"/>
    <mergeCell ref="R15:R16"/>
    <mergeCell ref="O57:P57"/>
    <mergeCell ref="Q57:R57"/>
    <mergeCell ref="B58:F58"/>
    <mergeCell ref="A59:A60"/>
    <mergeCell ref="B59:B60"/>
    <mergeCell ref="C59:F59"/>
  </mergeCells>
  <conditionalFormatting sqref="M14">
    <cfRule type="containsText" dxfId="44" priority="34" operator="containsText" text="[d]-Min">
      <formula>NOT(ISERROR(SEARCH("[d]-Min",M14)))</formula>
    </cfRule>
    <cfRule type="containsText" dxfId="43" priority="35" operator="containsText" text="[h]-Max">
      <formula>NOT(ISERROR(SEARCH("[h]-Max",M14)))</formula>
    </cfRule>
    <cfRule type="containsText" dxfId="42" priority="36" operator="containsText" text="[h]-Min">
      <formula>NOT(ISERROR(SEARCH("[h]-Min",M14)))</formula>
    </cfRule>
  </conditionalFormatting>
  <conditionalFormatting sqref="X14 A17:N44 A47:N53">
    <cfRule type="expression" dxfId="41" priority="33">
      <formula>$N14="FT"</formula>
    </cfRule>
  </conditionalFormatting>
  <conditionalFormatting sqref="X14 A47:Z53 A17:Z44">
    <cfRule type="expression" dxfId="40" priority="32">
      <formula>$B14="So"</formula>
    </cfRule>
  </conditionalFormatting>
  <conditionalFormatting sqref="M17:M44 M47:M53">
    <cfRule type="cellIs" dxfId="39" priority="28" operator="equal">
      <formula>"[d]-Max"</formula>
    </cfRule>
    <cfRule type="containsText" dxfId="38" priority="29" operator="containsText" text="[d]-Min">
      <formula>NOT(ISERROR(SEARCH("[d]-Min",M17)))</formula>
    </cfRule>
    <cfRule type="containsText" dxfId="37" priority="30" operator="containsText" text="[h]-Max">
      <formula>NOT(ISERROR(SEARCH("[h]-Max",M17)))</formula>
    </cfRule>
    <cfRule type="containsText" dxfId="36" priority="31" operator="containsText" text="[h]-Min">
      <formula>NOT(ISERROR(SEARCH("[h]-Min",M17)))</formula>
    </cfRule>
  </conditionalFormatting>
  <conditionalFormatting sqref="M58">
    <cfRule type="containsText" dxfId="35" priority="16" operator="containsText" text="[d]-Min">
      <formula>NOT(ISERROR(SEARCH("[d]-Min",M58)))</formula>
    </cfRule>
    <cfRule type="containsText" dxfId="34" priority="17" operator="containsText" text="[h]-Max">
      <formula>NOT(ISERROR(SEARCH("[h]-Max",M58)))</formula>
    </cfRule>
    <cfRule type="containsText" dxfId="33" priority="18" operator="containsText" text="[h]-Min">
      <formula>NOT(ISERROR(SEARCH("[h]-Min",M58)))</formula>
    </cfRule>
  </conditionalFormatting>
  <conditionalFormatting sqref="X58 A68:N88 A91:N97 B61:N67">
    <cfRule type="expression" dxfId="32" priority="15">
      <formula>$N58="FT"</formula>
    </cfRule>
  </conditionalFormatting>
  <conditionalFormatting sqref="X58 A91:Z97 A68:Z88 B61:Z67">
    <cfRule type="expression" dxfId="31" priority="14">
      <formula>$B58="So"</formula>
    </cfRule>
  </conditionalFormatting>
  <conditionalFormatting sqref="M61:M88 M91:M97">
    <cfRule type="cellIs" dxfId="30" priority="10" operator="equal">
      <formula>"[d]-Max"</formula>
    </cfRule>
    <cfRule type="containsText" dxfId="29" priority="11" operator="containsText" text="[d]-Min">
      <formula>NOT(ISERROR(SEARCH("[d]-Min",M61)))</formula>
    </cfRule>
    <cfRule type="containsText" dxfId="28" priority="12" operator="containsText" text="[h]-Max">
      <formula>NOT(ISERROR(SEARCH("[h]-Max",M61)))</formula>
    </cfRule>
    <cfRule type="containsText" dxfId="27" priority="13" operator="containsText" text="[h]-Min">
      <formula>NOT(ISERROR(SEARCH("[h]-Min",M61)))</formula>
    </cfRule>
  </conditionalFormatting>
  <conditionalFormatting sqref="M12">
    <cfRule type="containsText" dxfId="26" priority="7" operator="containsText" text="[d]-Min">
      <formula>NOT(ISERROR(SEARCH("[d]-Min",M12)))</formula>
    </cfRule>
    <cfRule type="containsText" dxfId="25" priority="8" operator="containsText" text="[h]-Max">
      <formula>NOT(ISERROR(SEARCH("[h]-Max",M12)))</formula>
    </cfRule>
    <cfRule type="containsText" dxfId="24" priority="9" operator="containsText" text="[h]-Min">
      <formula>NOT(ISERROR(SEARCH("[h]-Min",M12)))</formula>
    </cfRule>
  </conditionalFormatting>
  <conditionalFormatting sqref="X12">
    <cfRule type="expression" dxfId="23" priority="6">
      <formula>$N12="FT"</formula>
    </cfRule>
  </conditionalFormatting>
  <conditionalFormatting sqref="X12">
    <cfRule type="expression" dxfId="22" priority="5">
      <formula>$B12="So"</formula>
    </cfRule>
  </conditionalFormatting>
  <conditionalFormatting sqref="A61:A67">
    <cfRule type="expression" dxfId="21" priority="1">
      <formula>$B61="So"</formula>
    </cfRule>
  </conditionalFormatting>
  <conditionalFormatting sqref="A61:A67">
    <cfRule type="expression" dxfId="20" priority="2">
      <formula>$N61="FT"</formula>
    </cfRule>
  </conditionalFormatting>
  <pageMargins left="0.7" right="0.7" top="0.78740157499999996" bottom="0.78740157499999996" header="0.3" footer="0.3"/>
  <pageSetup paperSize="9" scale="42" orientation="landscape" r:id="rId1"/>
  <headerFooter>
    <oddHeader>&amp;LVDV SUN Jahresschlussrechnung JJJJ&amp;R&amp;KFF0000&amp;F</oddHeader>
    <oddFooter>&amp;C&amp;P&amp;R&amp;A</oddFooter>
  </headerFooter>
  <rowBreaks count="1" manualBreakCount="1">
    <brk id="56" max="16383" man="1"/>
  </row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70C0"/>
  </sheetPr>
  <dimension ref="A1:M31"/>
  <sheetViews>
    <sheetView view="pageLayout" zoomScaleNormal="100" zoomScaleSheetLayoutView="80" workbookViewId="0">
      <selection activeCell="M21" sqref="M21"/>
    </sheetView>
  </sheetViews>
  <sheetFormatPr baseColWidth="10" defaultColWidth="9.140625" defaultRowHeight="18" customHeight="1"/>
  <cols>
    <col min="1" max="1" width="13.7109375" style="76" customWidth="1"/>
    <col min="2" max="2" width="23.140625" style="76" customWidth="1"/>
    <col min="3" max="3" width="12.85546875" style="76" customWidth="1"/>
    <col min="4" max="4" width="14.85546875" style="76" customWidth="1"/>
    <col min="5" max="5" width="18.28515625" style="77" customWidth="1"/>
    <col min="6" max="6" width="11.7109375" style="77" customWidth="1"/>
    <col min="7" max="7" width="11.85546875" style="76" bestFit="1" customWidth="1"/>
    <col min="8" max="8" width="15.140625" style="76" customWidth="1"/>
    <col min="9" max="9" width="12.85546875" style="77" customWidth="1"/>
    <col min="10" max="10" width="11.7109375" style="78" customWidth="1"/>
    <col min="11" max="11" width="19.42578125" style="78" customWidth="1"/>
    <col min="12" max="12" width="15.5703125" style="78" customWidth="1"/>
    <col min="13" max="13" width="24.28515625" style="76" customWidth="1"/>
    <col min="14" max="16384" width="9.140625" style="74"/>
  </cols>
  <sheetData>
    <row r="1" spans="1:13" ht="18" customHeight="1">
      <c r="A1" s="3233" t="s">
        <v>1483</v>
      </c>
      <c r="B1" s="3233"/>
      <c r="C1" s="3233"/>
      <c r="D1" s="3233"/>
      <c r="E1" s="3233"/>
      <c r="F1" s="3233"/>
      <c r="G1" s="3233"/>
      <c r="H1" s="3233"/>
      <c r="I1" s="3233"/>
      <c r="J1" s="3233"/>
      <c r="K1" s="3233"/>
      <c r="L1" s="3233"/>
      <c r="M1" s="547"/>
    </row>
    <row r="2" spans="1:13" ht="23.25" customHeight="1" thickBot="1">
      <c r="A2" s="3228" t="str">
        <f>'1a_Leistungsvolumen'!A2</f>
        <v>Monat JJJJ</v>
      </c>
      <c r="B2" s="3228"/>
      <c r="C2" s="3228"/>
      <c r="D2" s="3228"/>
      <c r="E2" s="3228"/>
      <c r="F2" s="3228"/>
      <c r="G2" s="3228"/>
      <c r="H2" s="3228"/>
      <c r="I2" s="3228"/>
      <c r="J2" s="3228"/>
      <c r="K2" s="3228"/>
      <c r="L2" s="3228"/>
      <c r="M2" s="548"/>
    </row>
    <row r="3" spans="1:13" ht="23.25" customHeight="1" thickBot="1">
      <c r="A3" s="2242"/>
      <c r="B3" s="2243"/>
      <c r="C3" s="2244"/>
      <c r="D3" s="2245"/>
      <c r="E3" s="2018" t="s">
        <v>743</v>
      </c>
      <c r="F3" s="2138" t="s">
        <v>1526</v>
      </c>
      <c r="G3" s="2301" t="s">
        <v>1527</v>
      </c>
      <c r="H3" s="2301" t="s">
        <v>1552</v>
      </c>
      <c r="I3" s="2301" t="s">
        <v>1551</v>
      </c>
      <c r="J3" s="2301" t="s">
        <v>1528</v>
      </c>
      <c r="K3" s="2301" t="s">
        <v>1666</v>
      </c>
      <c r="L3" s="2301" t="s">
        <v>1553</v>
      </c>
      <c r="M3" s="470"/>
    </row>
    <row r="4" spans="1:13" ht="23.25" customHeight="1" thickBot="1">
      <c r="A4" s="2238"/>
      <c r="B4" s="2239"/>
      <c r="C4" s="2240"/>
      <c r="D4" s="2240"/>
      <c r="E4" s="2241">
        <f>SUM($F$4:$L$4)</f>
        <v>1.0000001000000001</v>
      </c>
      <c r="F4" s="3030">
        <f>'1a_Leistungsvolumen'!$C$93</f>
        <v>9.7772999999999992E-3</v>
      </c>
      <c r="G4" s="3030">
        <f>'1a_Leistungsvolumen'!$D$93</f>
        <v>0.1214701</v>
      </c>
      <c r="H4" s="3030">
        <f>'1a_Leistungsvolumen'!$E$93</f>
        <v>6.2115400000000001E-2</v>
      </c>
      <c r="I4" s="3030">
        <f>'1a_Leistungsvolumen'!$F$93</f>
        <v>0.54540759999999999</v>
      </c>
      <c r="J4" s="3030">
        <f>'1a_Leistungsvolumen'!$G$93</f>
        <v>0.22948180000000001</v>
      </c>
      <c r="K4" s="3030">
        <f>'1a_Leistungsvolumen'!$H$93</f>
        <v>2.9332299999999999E-2</v>
      </c>
      <c r="L4" s="3030">
        <f>'1a_Leistungsvolumen'!$I$93</f>
        <v>2.4156E-3</v>
      </c>
      <c r="M4" s="3029" t="s">
        <v>1706</v>
      </c>
    </row>
    <row r="5" spans="1:13" ht="23.25" customHeight="1" thickBot="1">
      <c r="A5" s="3329" t="s">
        <v>1199</v>
      </c>
      <c r="B5" s="3330"/>
      <c r="C5" s="3330"/>
      <c r="D5" s="3331"/>
      <c r="E5" s="1845">
        <v>300</v>
      </c>
      <c r="F5" s="1963"/>
      <c r="G5" s="1963"/>
      <c r="H5" s="1963"/>
      <c r="I5" s="1963"/>
      <c r="J5" s="1963"/>
      <c r="K5" s="1963"/>
      <c r="L5" s="1963"/>
      <c r="M5" s="470"/>
    </row>
    <row r="6" spans="1:13" ht="15.75" customHeight="1" thickBot="1">
      <c r="A6" s="3323" t="s">
        <v>1198</v>
      </c>
      <c r="B6" s="3324"/>
      <c r="C6" s="3324"/>
      <c r="D6" s="3325"/>
      <c r="E6" s="2246">
        <f>$J$18</f>
        <v>29.200000000000003</v>
      </c>
      <c r="F6" s="2378">
        <f>SUMIF(M10:M17,$F$3,J10:J17)</f>
        <v>7.9</v>
      </c>
      <c r="G6" s="2378">
        <f>SUMIF(M10:M17,$G$3,J10:J17)</f>
        <v>5.5</v>
      </c>
      <c r="H6" s="2378">
        <f>SUMIF(M10:M17,$H$3,J10:J17)</f>
        <v>0</v>
      </c>
      <c r="I6" s="2379">
        <f>SUMIF(M10:M17,$I$3,J10:J17)</f>
        <v>15.8</v>
      </c>
      <c r="J6" s="2378">
        <f>SUMIF(M10:M17,$J$3,J10:J17)</f>
        <v>0</v>
      </c>
      <c r="K6" s="2378">
        <f>SUMIF(M10:M17,$J$3,J10:J17)</f>
        <v>0</v>
      </c>
      <c r="L6" s="2378">
        <f>SUMIF(M10:M17,$L$3,J10:J17)</f>
        <v>0</v>
      </c>
      <c r="M6" s="470"/>
    </row>
    <row r="7" spans="1:13" ht="13.5" thickBot="1">
      <c r="A7" s="3210" t="s">
        <v>201</v>
      </c>
      <c r="B7" s="3326"/>
      <c r="C7" s="3326"/>
      <c r="D7" s="3325"/>
      <c r="E7" s="2247">
        <f>$E$5*$E$6</f>
        <v>8760</v>
      </c>
      <c r="F7" s="2248">
        <f>$E$7*$F$4</f>
        <v>85.649147999999997</v>
      </c>
      <c r="G7" s="2248">
        <f>$E$7*$G$4</f>
        <v>1064.078076</v>
      </c>
      <c r="H7" s="2248">
        <f>$E$7*$H$4</f>
        <v>544.13090399999999</v>
      </c>
      <c r="I7" s="2248">
        <f>$E$7*$I$4</f>
        <v>4777.7705759999999</v>
      </c>
      <c r="J7" s="2248">
        <f>$E$7*$J$4</f>
        <v>2010.2605680000001</v>
      </c>
      <c r="K7" s="2248">
        <f>$E$7*$J$4</f>
        <v>2010.2605680000001</v>
      </c>
      <c r="L7" s="2248">
        <f>L4*$E$7</f>
        <v>21.160655999999999</v>
      </c>
    </row>
    <row r="8" spans="1:13" ht="18" customHeight="1" thickBot="1">
      <c r="F8" s="481"/>
    </row>
    <row r="9" spans="1:13" ht="42" customHeight="1" thickBot="1">
      <c r="A9" s="83" t="s">
        <v>138</v>
      </c>
      <c r="B9" s="85" t="s">
        <v>120</v>
      </c>
      <c r="C9" s="545" t="s">
        <v>676</v>
      </c>
      <c r="D9" s="85" t="s">
        <v>110</v>
      </c>
      <c r="E9" s="89" t="s">
        <v>111</v>
      </c>
      <c r="F9" s="85" t="s">
        <v>112</v>
      </c>
      <c r="G9" s="89" t="s">
        <v>113</v>
      </c>
      <c r="H9" s="660" t="s">
        <v>807</v>
      </c>
      <c r="I9" s="86" t="s">
        <v>114</v>
      </c>
      <c r="J9" s="86" t="s">
        <v>193</v>
      </c>
      <c r="K9" s="848" t="s">
        <v>115</v>
      </c>
      <c r="L9" s="853" t="s">
        <v>686</v>
      </c>
      <c r="M9" s="1566" t="s">
        <v>1167</v>
      </c>
    </row>
    <row r="10" spans="1:13" ht="18" customHeight="1">
      <c r="A10" s="178" t="s">
        <v>808</v>
      </c>
      <c r="B10" s="179" t="s">
        <v>1603</v>
      </c>
      <c r="C10" s="179" t="s">
        <v>813</v>
      </c>
      <c r="D10" s="1789">
        <v>45758</v>
      </c>
      <c r="E10" s="1790" t="s">
        <v>116</v>
      </c>
      <c r="F10" s="1789">
        <v>45765</v>
      </c>
      <c r="G10" s="1790" t="s">
        <v>117</v>
      </c>
      <c r="H10" s="1791" t="s">
        <v>752</v>
      </c>
      <c r="I10" s="2019">
        <f>IF((F10+G10)&lt;(D10+E10),0,(F10+G10)-(D10+E10))</f>
        <v>6.9097222222262644</v>
      </c>
      <c r="J10" s="2020">
        <f>ROUND(IF((I10-1)&lt;0,0,IF(H10="nein",I10-1,I10-3)),1)</f>
        <v>5.9</v>
      </c>
      <c r="K10" s="849" t="s">
        <v>124</v>
      </c>
      <c r="L10" s="1792"/>
      <c r="M10" s="1567" t="s">
        <v>1526</v>
      </c>
    </row>
    <row r="11" spans="1:13" ht="18" customHeight="1">
      <c r="A11" s="178" t="s">
        <v>808</v>
      </c>
      <c r="B11" s="179" t="s">
        <v>1604</v>
      </c>
      <c r="C11" s="179" t="s">
        <v>813</v>
      </c>
      <c r="D11" s="1789">
        <v>45748</v>
      </c>
      <c r="E11" s="1790">
        <v>0</v>
      </c>
      <c r="F11" s="1789">
        <v>45753</v>
      </c>
      <c r="G11" s="1790" t="s">
        <v>119</v>
      </c>
      <c r="H11" s="1791" t="s">
        <v>752</v>
      </c>
      <c r="I11" s="2019">
        <f t="shared" ref="I11:I15" si="0">IF((F11+G11)&lt;(D11+E11),0,(F11+G11)-(D11+E11))</f>
        <v>5.5</v>
      </c>
      <c r="J11" s="1793">
        <f>ROUND(IF((I11-1)&lt;0,0,IF(H11="nein",I11)),1)</f>
        <v>5.5</v>
      </c>
      <c r="K11" s="849" t="s">
        <v>812</v>
      </c>
      <c r="L11" s="1184" t="s">
        <v>811</v>
      </c>
      <c r="M11" s="1794" t="s">
        <v>1527</v>
      </c>
    </row>
    <row r="12" spans="1:13" ht="18" customHeight="1">
      <c r="A12" s="1785" t="s">
        <v>808</v>
      </c>
      <c r="B12" s="180" t="s">
        <v>1606</v>
      </c>
      <c r="C12" s="180" t="s">
        <v>813</v>
      </c>
      <c r="D12" s="412">
        <v>45757</v>
      </c>
      <c r="E12" s="1790" t="s">
        <v>121</v>
      </c>
      <c r="F12" s="412">
        <v>45760</v>
      </c>
      <c r="G12" s="1795">
        <v>0.2986111111111111</v>
      </c>
      <c r="H12" s="843" t="s">
        <v>752</v>
      </c>
      <c r="I12" s="2019">
        <f t="shared" si="0"/>
        <v>3.038888888884685</v>
      </c>
      <c r="J12" s="2020">
        <f t="shared" ref="J12:J17" si="1">ROUND(IF((I12-1)&lt;0,0,IF(H12="nein",I12-1,I12-3)),1)</f>
        <v>2</v>
      </c>
      <c r="K12" s="850" t="s">
        <v>122</v>
      </c>
      <c r="L12" s="1786"/>
      <c r="M12" s="1794" t="s">
        <v>1526</v>
      </c>
    </row>
    <row r="13" spans="1:13" ht="18" customHeight="1">
      <c r="A13" s="480" t="s">
        <v>808</v>
      </c>
      <c r="B13" s="478" t="s">
        <v>1605</v>
      </c>
      <c r="C13" s="478" t="s">
        <v>813</v>
      </c>
      <c r="D13" s="203">
        <v>45759</v>
      </c>
      <c r="E13" s="1790">
        <v>0.15277777777777776</v>
      </c>
      <c r="F13" s="203">
        <v>45777</v>
      </c>
      <c r="G13" s="1796">
        <v>0.99930555555555556</v>
      </c>
      <c r="H13" s="1787" t="s">
        <v>756</v>
      </c>
      <c r="I13" s="2019">
        <f t="shared" si="0"/>
        <v>18.84652777777228</v>
      </c>
      <c r="J13" s="1793">
        <f t="shared" si="1"/>
        <v>15.8</v>
      </c>
      <c r="K13" s="851" t="s">
        <v>1334</v>
      </c>
      <c r="L13" s="1184" t="s">
        <v>1333</v>
      </c>
      <c r="M13" s="1794" t="s">
        <v>1551</v>
      </c>
    </row>
    <row r="14" spans="1:13" ht="18" customHeight="1">
      <c r="A14" s="480"/>
      <c r="B14" s="478"/>
      <c r="C14" s="478"/>
      <c r="D14" s="203"/>
      <c r="E14" s="1790"/>
      <c r="F14" s="203"/>
      <c r="G14" s="1796"/>
      <c r="H14" s="1787"/>
      <c r="I14" s="2019">
        <f t="shared" si="0"/>
        <v>0</v>
      </c>
      <c r="J14" s="2020">
        <f t="shared" si="1"/>
        <v>0</v>
      </c>
      <c r="K14" s="851"/>
      <c r="L14" s="1786"/>
      <c r="M14" s="1794"/>
    </row>
    <row r="15" spans="1:13" ht="18" customHeight="1">
      <c r="A15" s="480"/>
      <c r="B15" s="478"/>
      <c r="C15" s="478"/>
      <c r="D15" s="203"/>
      <c r="E15" s="1790"/>
      <c r="F15" s="203"/>
      <c r="G15" s="1796"/>
      <c r="H15" s="1787"/>
      <c r="I15" s="2019">
        <f t="shared" si="0"/>
        <v>0</v>
      </c>
      <c r="J15" s="2020">
        <f t="shared" si="1"/>
        <v>0</v>
      </c>
      <c r="K15" s="851"/>
      <c r="L15" s="1786"/>
      <c r="M15" s="1794"/>
    </row>
    <row r="16" spans="1:13" ht="18" customHeight="1">
      <c r="A16" s="480"/>
      <c r="B16" s="478"/>
      <c r="C16" s="478"/>
      <c r="D16" s="203"/>
      <c r="E16" s="1790"/>
      <c r="F16" s="203"/>
      <c r="G16" s="1796"/>
      <c r="H16" s="1787"/>
      <c r="I16" s="2019">
        <f t="shared" ref="I16:I17" si="2">IF((F16+G16)&lt;(D16+E16),0,(F16+G16)-(D16+E16))</f>
        <v>0</v>
      </c>
      <c r="J16" s="2020">
        <f t="shared" si="1"/>
        <v>0</v>
      </c>
      <c r="K16" s="851"/>
      <c r="L16" s="1786"/>
      <c r="M16" s="1794"/>
    </row>
    <row r="17" spans="1:13" ht="18" customHeight="1" thickBot="1">
      <c r="A17" s="1872" t="s">
        <v>792</v>
      </c>
      <c r="B17" s="476"/>
      <c r="C17" s="476"/>
      <c r="D17" s="1797"/>
      <c r="E17" s="1790"/>
      <c r="F17" s="1797"/>
      <c r="G17" s="1798"/>
      <c r="H17" s="1799"/>
      <c r="I17" s="2019">
        <f t="shared" si="2"/>
        <v>0</v>
      </c>
      <c r="J17" s="2020">
        <f t="shared" si="1"/>
        <v>0</v>
      </c>
      <c r="K17" s="852"/>
      <c r="L17" s="1800"/>
      <c r="M17" s="1801"/>
    </row>
    <row r="18" spans="1:13" ht="18" customHeight="1" thickBot="1">
      <c r="A18" s="83"/>
      <c r="B18" s="85"/>
      <c r="C18" s="85"/>
      <c r="D18" s="85"/>
      <c r="E18" s="89"/>
      <c r="F18" s="85"/>
      <c r="G18" s="89"/>
      <c r="H18" s="89"/>
      <c r="I18" s="2021">
        <f>SUM(I10:I12)</f>
        <v>15.448611111110949</v>
      </c>
      <c r="J18" s="2022">
        <f>SUM(J10:J17)</f>
        <v>29.200000000000003</v>
      </c>
      <c r="K18" s="848"/>
      <c r="L18" s="854"/>
      <c r="M18" s="1565"/>
    </row>
    <row r="20" spans="1:13" ht="18" customHeight="1">
      <c r="A20" s="194" t="s">
        <v>219</v>
      </c>
      <c r="B20" s="195" t="s">
        <v>224</v>
      </c>
      <c r="C20" s="388"/>
      <c r="D20" s="388"/>
      <c r="E20" s="388"/>
    </row>
    <row r="21" spans="1:13" ht="18" customHeight="1">
      <c r="B21" s="195" t="s">
        <v>1645</v>
      </c>
      <c r="I21" s="79"/>
      <c r="J21" s="467"/>
      <c r="K21" s="3057" t="s">
        <v>202</v>
      </c>
      <c r="M21" s="74"/>
    </row>
    <row r="22" spans="1:13" ht="18" customHeight="1">
      <c r="A22" s="3327" t="s">
        <v>1417</v>
      </c>
      <c r="B22" s="3328"/>
      <c r="C22" s="3328"/>
      <c r="D22" s="3328"/>
      <c r="E22" s="3328"/>
      <c r="F22" s="3328"/>
      <c r="G22" s="3328"/>
      <c r="H22" s="3328"/>
      <c r="I22" s="3328"/>
      <c r="J22" s="467"/>
      <c r="K22" s="3057"/>
      <c r="M22" s="74"/>
    </row>
    <row r="23" spans="1:13" ht="18" customHeight="1">
      <c r="A23" s="3328"/>
      <c r="B23" s="3328"/>
      <c r="C23" s="3328"/>
      <c r="D23" s="3328"/>
      <c r="E23" s="3328"/>
      <c r="F23" s="3328"/>
      <c r="G23" s="3328"/>
      <c r="H23" s="3328"/>
      <c r="I23" s="3328"/>
      <c r="J23" s="467"/>
      <c r="L23" s="962"/>
      <c r="M23" s="74"/>
    </row>
    <row r="24" spans="1:13" ht="18" customHeight="1">
      <c r="A24" s="3328"/>
      <c r="B24" s="3328"/>
      <c r="C24" s="3328"/>
      <c r="D24" s="3328"/>
      <c r="E24" s="3328"/>
      <c r="F24" s="3328"/>
      <c r="G24" s="3328"/>
      <c r="H24" s="3328"/>
      <c r="I24" s="3328"/>
      <c r="K24" s="3229" t="s">
        <v>901</v>
      </c>
      <c r="L24" s="962"/>
    </row>
    <row r="25" spans="1:13" ht="18" customHeight="1">
      <c r="A25" s="3328"/>
      <c r="B25" s="3328"/>
      <c r="C25" s="3328"/>
      <c r="D25" s="3328"/>
      <c r="E25" s="3328"/>
      <c r="F25" s="3328"/>
      <c r="G25" s="3328"/>
      <c r="H25" s="3328"/>
      <c r="I25" s="3328"/>
      <c r="K25" s="3322"/>
      <c r="L25" s="962"/>
    </row>
    <row r="26" spans="1:13" ht="18" customHeight="1">
      <c r="A26" s="3328"/>
      <c r="B26" s="3328"/>
      <c r="C26" s="3328"/>
      <c r="D26" s="3328"/>
      <c r="E26" s="3328"/>
      <c r="F26" s="3328"/>
      <c r="G26" s="3328"/>
      <c r="H26" s="3328"/>
      <c r="I26" s="3328"/>
      <c r="J26" s="74"/>
      <c r="K26" s="74"/>
    </row>
    <row r="27" spans="1:13" ht="18" customHeight="1">
      <c r="A27" s="3328"/>
      <c r="B27" s="3328"/>
      <c r="C27" s="3328"/>
      <c r="D27" s="3328"/>
      <c r="E27" s="3328"/>
      <c r="F27" s="3328"/>
      <c r="G27" s="3328"/>
      <c r="H27" s="3328"/>
      <c r="I27" s="3328"/>
      <c r="J27" s="74"/>
      <c r="K27" s="74"/>
    </row>
    <row r="28" spans="1:13" ht="18" customHeight="1">
      <c r="A28" s="555"/>
      <c r="B28" s="74"/>
      <c r="C28" s="74"/>
      <c r="D28" s="74"/>
      <c r="E28" s="74"/>
      <c r="F28" s="74"/>
      <c r="G28" s="74"/>
      <c r="H28" s="74"/>
      <c r="I28" s="74"/>
      <c r="J28" s="74"/>
      <c r="K28" s="74"/>
    </row>
    <row r="29" spans="1:13" ht="18" customHeight="1">
      <c r="A29" s="335" t="s">
        <v>1434</v>
      </c>
      <c r="B29" s="335" t="s">
        <v>1435</v>
      </c>
      <c r="C29"/>
      <c r="D29" s="197"/>
      <c r="E29" s="74"/>
      <c r="F29" s="74"/>
      <c r="G29" s="74"/>
      <c r="H29" s="74"/>
      <c r="I29" s="74"/>
      <c r="J29" s="74"/>
      <c r="K29" s="74"/>
    </row>
    <row r="30" spans="1:13" ht="18" customHeight="1">
      <c r="A30" s="335" t="s">
        <v>1554</v>
      </c>
      <c r="B30" s="335" t="s">
        <v>1550</v>
      </c>
      <c r="C30" s="2196" t="s">
        <v>1442</v>
      </c>
      <c r="D30" s="197"/>
      <c r="E30" s="74"/>
      <c r="F30" s="74"/>
      <c r="G30" s="74"/>
      <c r="H30" s="74"/>
      <c r="I30" s="74"/>
      <c r="J30" s="74"/>
      <c r="K30" s="74"/>
    </row>
    <row r="31" spans="1:13" ht="18" customHeight="1">
      <c r="A31" s="74"/>
      <c r="B31" s="74"/>
      <c r="C31" s="74"/>
      <c r="D31" s="74"/>
      <c r="E31" s="74"/>
      <c r="F31" s="74"/>
      <c r="G31" s="74"/>
      <c r="H31" s="74"/>
      <c r="I31" s="74"/>
      <c r="J31" s="74"/>
      <c r="K31" s="74"/>
    </row>
  </sheetData>
  <sheetProtection algorithmName="SHA-512" hashValue="Y20iJCu8HNifyKF8cYahLDLb7WoxRX0GvR+kQdTwU4xwtNpbIeJRO0ACC6zmIGIS+5st0Ml4uWyP2S+v+3Di3w==" saltValue="+8hQaNxQ6SGIfA/RueehOg==" spinCount="100000" sheet="1" objects="1" scenarios="1"/>
  <mergeCells count="8">
    <mergeCell ref="K24:K25"/>
    <mergeCell ref="K21:K22"/>
    <mergeCell ref="A1:L1"/>
    <mergeCell ref="A2:L2"/>
    <mergeCell ref="A6:D6"/>
    <mergeCell ref="A7:D7"/>
    <mergeCell ref="A22:I27"/>
    <mergeCell ref="A5:D5"/>
  </mergeCells>
  <phoneticPr fontId="19" type="noConversion"/>
  <pageMargins left="0.7" right="0.7" top="0.78740157499999996" bottom="0.78740157499999996" header="0.3" footer="0.3"/>
  <pageSetup paperSize="9" scale="63" fitToHeight="0" orientation="landscape" r:id="rId1"/>
  <headerFooter>
    <oddHeader>&amp;LVDV SUN Jahresschlussrechnung JJJJ&amp;R&amp;KFF0000&amp;F</oddHeader>
    <oddFooter>&amp;C&amp;P&amp;R&amp;A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70C0"/>
  </sheetPr>
  <dimension ref="A1:M33"/>
  <sheetViews>
    <sheetView view="pageLayout" zoomScaleNormal="100" zoomScaleSheetLayoutView="80" workbookViewId="0">
      <selection activeCell="M21" sqref="M21"/>
    </sheetView>
  </sheetViews>
  <sheetFormatPr baseColWidth="10" defaultColWidth="9.140625" defaultRowHeight="18" customHeight="1"/>
  <cols>
    <col min="1" max="1" width="10.7109375" style="76" customWidth="1"/>
    <col min="2" max="2" width="23.140625" style="76" customWidth="1"/>
    <col min="3" max="3" width="19.5703125" style="76" customWidth="1"/>
    <col min="4" max="4" width="14.85546875" style="76" customWidth="1"/>
    <col min="5" max="5" width="20.5703125" style="77" customWidth="1"/>
    <col min="6" max="6" width="11.7109375" style="77" customWidth="1"/>
    <col min="7" max="7" width="11.7109375" style="76" customWidth="1"/>
    <col min="8" max="8" width="11.7109375" style="77" customWidth="1"/>
    <col min="9" max="10" width="11.7109375" style="472" customWidth="1"/>
    <col min="11" max="11" width="28.85546875" style="472" customWidth="1"/>
    <col min="12" max="12" width="19.5703125" style="74" customWidth="1"/>
    <col min="13" max="16384" width="9.140625" style="74"/>
  </cols>
  <sheetData>
    <row r="1" spans="1:13" ht="18" customHeight="1">
      <c r="A1" s="3233" t="s">
        <v>1484</v>
      </c>
      <c r="B1" s="3233"/>
      <c r="C1" s="3233"/>
      <c r="D1" s="3233"/>
      <c r="E1" s="3233"/>
      <c r="F1" s="3233"/>
      <c r="G1" s="3233"/>
      <c r="H1" s="3233"/>
      <c r="I1" s="3233"/>
      <c r="J1" s="3233"/>
      <c r="K1" s="3233"/>
    </row>
    <row r="2" spans="1:13" ht="23.25" customHeight="1">
      <c r="A2" s="3228" t="str">
        <f>'1a_Leistungsvolumen'!A2</f>
        <v>Monat JJJJ</v>
      </c>
      <c r="B2" s="3228"/>
      <c r="C2" s="3228"/>
      <c r="D2" s="3228"/>
      <c r="E2" s="3228"/>
      <c r="F2" s="3228"/>
      <c r="G2" s="3228"/>
      <c r="H2" s="3228"/>
      <c r="I2" s="3228"/>
      <c r="J2" s="3228"/>
      <c r="K2" s="3228"/>
    </row>
    <row r="3" spans="1:13" ht="23.25" customHeight="1" thickBot="1">
      <c r="A3" s="653"/>
      <c r="B3" s="1163"/>
      <c r="C3" s="653"/>
      <c r="D3" s="653"/>
      <c r="E3" s="653"/>
      <c r="F3" s="653"/>
      <c r="G3" s="653"/>
      <c r="H3" s="653"/>
      <c r="I3" s="653"/>
      <c r="J3" s="653"/>
      <c r="K3" s="653"/>
    </row>
    <row r="4" spans="1:13" ht="23.25" customHeight="1" thickBot="1">
      <c r="A4" s="2242"/>
      <c r="B4" s="2243"/>
      <c r="C4" s="2244"/>
      <c r="D4" s="2245"/>
      <c r="E4" s="2018" t="s">
        <v>743</v>
      </c>
      <c r="F4" s="2380" t="s">
        <v>1526</v>
      </c>
      <c r="G4" s="2380" t="s">
        <v>1527</v>
      </c>
      <c r="H4" s="2380" t="s">
        <v>1552</v>
      </c>
      <c r="I4" s="2380" t="s">
        <v>1551</v>
      </c>
      <c r="J4" s="2380" t="s">
        <v>1528</v>
      </c>
      <c r="K4" s="2380" t="s">
        <v>1666</v>
      </c>
      <c r="L4" s="2380" t="s">
        <v>1553</v>
      </c>
    </row>
    <row r="5" spans="1:13" ht="23.25" customHeight="1" thickBot="1">
      <c r="A5" s="2238"/>
      <c r="B5" s="2239"/>
      <c r="C5" s="2240"/>
      <c r="D5" s="2240"/>
      <c r="E5" s="2241">
        <f>SUM($F$5:$L$5)</f>
        <v>1.0000001000000001</v>
      </c>
      <c r="F5" s="3032">
        <f>'1a_Leistungsvolumen'!$C$93</f>
        <v>9.7772999999999992E-3</v>
      </c>
      <c r="G5" s="3032">
        <f>'1a_Leistungsvolumen'!$D$93</f>
        <v>0.1214701</v>
      </c>
      <c r="H5" s="3032">
        <f>'1a_Leistungsvolumen'!$E$93</f>
        <v>6.2115400000000001E-2</v>
      </c>
      <c r="I5" s="3032">
        <f>'1a_Leistungsvolumen'!$F$93</f>
        <v>0.54540759999999999</v>
      </c>
      <c r="J5" s="3032">
        <f>'1a_Leistungsvolumen'!$G$93</f>
        <v>0.22948180000000001</v>
      </c>
      <c r="K5" s="3032">
        <f>'1a_Leistungsvolumen'!$H$93</f>
        <v>2.9332299999999999E-2</v>
      </c>
      <c r="L5" s="3032">
        <f>'1a_Leistungsvolumen'!$I$93</f>
        <v>2.4156E-3</v>
      </c>
      <c r="M5" s="3026" t="s">
        <v>1706</v>
      </c>
    </row>
    <row r="6" spans="1:13" ht="36" customHeight="1" thickBot="1">
      <c r="A6" s="3329" t="s">
        <v>452</v>
      </c>
      <c r="B6" s="3330"/>
      <c r="C6" s="3330"/>
      <c r="D6" s="3331"/>
      <c r="E6" s="1845">
        <v>30</v>
      </c>
      <c r="F6" s="1963"/>
      <c r="G6" s="1963"/>
      <c r="H6" s="1963"/>
      <c r="I6" s="1963"/>
      <c r="J6" s="1963"/>
      <c r="K6" s="1963"/>
      <c r="L6" s="1563"/>
    </row>
    <row r="7" spans="1:13" ht="36" customHeight="1" thickBot="1">
      <c r="A7" s="3323" t="s">
        <v>1198</v>
      </c>
      <c r="B7" s="3324"/>
      <c r="C7" s="3324"/>
      <c r="D7" s="3325"/>
      <c r="E7" s="2246">
        <f>J20</f>
        <v>15.138888888884685</v>
      </c>
      <c r="F7" s="2378">
        <f>SUMIF(B11:B19,F4,J11:J19)</f>
        <v>11.038888888884685</v>
      </c>
      <c r="G7" s="2378">
        <f>SUMIF(B11:B19,G4,J11:J19)</f>
        <v>0</v>
      </c>
      <c r="H7" s="2378">
        <f>SUMIF(B11:B19,H4,J11:J19)</f>
        <v>0</v>
      </c>
      <c r="I7" s="2378">
        <f>SUMIF(B11:B19,I4,J11:J19)</f>
        <v>1.9</v>
      </c>
      <c r="J7" s="2378">
        <f>SUMIF(B11:B19,J4,J11:J19)</f>
        <v>2.2000000000000002</v>
      </c>
      <c r="K7" s="2378">
        <f>SUMIF(B11:B19,K4,J11:J19)</f>
        <v>0</v>
      </c>
      <c r="L7" s="2378">
        <f>SUMIF(B11:B19,$L$4,J11:J19)</f>
        <v>0</v>
      </c>
    </row>
    <row r="8" spans="1:13" ht="18" customHeight="1" thickBot="1">
      <c r="A8" s="3210" t="s">
        <v>201</v>
      </c>
      <c r="B8" s="3326"/>
      <c r="C8" s="3326"/>
      <c r="D8" s="3325"/>
      <c r="E8" s="2247">
        <f>$E$6*$E$7</f>
        <v>454.16666666654055</v>
      </c>
      <c r="F8" s="2248">
        <f>$E$8*$F$5</f>
        <v>4.4405237499987669</v>
      </c>
      <c r="G8" s="2248">
        <f>$E$8*$G$5</f>
        <v>55.167670416651347</v>
      </c>
      <c r="H8" s="2248">
        <f>$E$8*$H$5</f>
        <v>28.210744166658834</v>
      </c>
      <c r="I8" s="2248">
        <f>$E$8*$I$5</f>
        <v>247.70595166659788</v>
      </c>
      <c r="J8" s="2248">
        <f>$E$8*$J$5</f>
        <v>104.22298416663773</v>
      </c>
      <c r="K8" s="2248">
        <f>$E$8*$K$5</f>
        <v>13.321752916662966</v>
      </c>
      <c r="L8" s="2248">
        <f>L5*$E$8</f>
        <v>1.0970849999996952</v>
      </c>
    </row>
    <row r="9" spans="1:13" ht="18" customHeight="1" thickBot="1">
      <c r="F9" s="481"/>
    </row>
    <row r="10" spans="1:13" ht="34.5" customHeight="1" thickBot="1">
      <c r="A10" s="466" t="s">
        <v>157</v>
      </c>
      <c r="B10" s="1177" t="s">
        <v>254</v>
      </c>
      <c r="C10" s="85" t="s">
        <v>120</v>
      </c>
      <c r="D10" s="545" t="s">
        <v>676</v>
      </c>
      <c r="E10" s="85" t="s">
        <v>110</v>
      </c>
      <c r="F10" s="89" t="s">
        <v>111</v>
      </c>
      <c r="G10" s="85" t="s">
        <v>112</v>
      </c>
      <c r="H10" s="89" t="s">
        <v>113</v>
      </c>
      <c r="I10" s="86" t="s">
        <v>114</v>
      </c>
      <c r="J10" s="86" t="s">
        <v>193</v>
      </c>
      <c r="K10" s="848" t="s">
        <v>115</v>
      </c>
      <c r="L10" s="1182" t="s">
        <v>686</v>
      </c>
    </row>
    <row r="11" spans="1:13" ht="18" customHeight="1">
      <c r="A11" s="178" t="s">
        <v>139</v>
      </c>
      <c r="B11" s="1178" t="s">
        <v>1551</v>
      </c>
      <c r="C11" s="179" t="s">
        <v>1397</v>
      </c>
      <c r="D11" s="179" t="s">
        <v>1066</v>
      </c>
      <c r="E11" s="1789">
        <v>45762</v>
      </c>
      <c r="F11" s="1790" t="s">
        <v>116</v>
      </c>
      <c r="G11" s="1789">
        <v>45765</v>
      </c>
      <c r="H11" s="1790" t="s">
        <v>117</v>
      </c>
      <c r="I11" s="2001">
        <f>IF((G11+H11)&lt;(E11+F11),0,(G11+H11)-(E11+F11))</f>
        <v>2.9097222222262644</v>
      </c>
      <c r="J11" s="2012">
        <f>ROUND(IF((I11-1)&lt;0,0,I11-1),1)</f>
        <v>1.9</v>
      </c>
      <c r="K11" s="849" t="s">
        <v>679</v>
      </c>
      <c r="L11" s="1803"/>
    </row>
    <row r="12" spans="1:13" ht="18" customHeight="1">
      <c r="A12" s="178" t="s">
        <v>139</v>
      </c>
      <c r="B12" s="1178" t="s">
        <v>1528</v>
      </c>
      <c r="C12" s="179" t="s">
        <v>1607</v>
      </c>
      <c r="D12" s="179" t="s">
        <v>1066</v>
      </c>
      <c r="E12" s="1789">
        <v>45759</v>
      </c>
      <c r="F12" s="1790" t="s">
        <v>118</v>
      </c>
      <c r="G12" s="1789">
        <v>45762</v>
      </c>
      <c r="H12" s="1790" t="s">
        <v>119</v>
      </c>
      <c r="I12" s="2003">
        <f t="shared" ref="I12:I19" si="0">IF((G12+H12)&lt;(E12+F12),0,(G12+H12)-(E12+F12))</f>
        <v>3.1520833333343035</v>
      </c>
      <c r="J12" s="2012">
        <f>ROUND(IF((I12-1)&lt;0,0,I12-1),1)</f>
        <v>2.2000000000000002</v>
      </c>
      <c r="K12" s="849" t="s">
        <v>681</v>
      </c>
      <c r="L12" s="1804"/>
    </row>
    <row r="13" spans="1:13" ht="18" customHeight="1">
      <c r="A13" s="1785" t="s">
        <v>139</v>
      </c>
      <c r="B13" s="1179" t="s">
        <v>1526</v>
      </c>
      <c r="C13" s="180" t="s">
        <v>1586</v>
      </c>
      <c r="D13" s="180" t="s">
        <v>1066</v>
      </c>
      <c r="E13" s="412">
        <v>45748</v>
      </c>
      <c r="F13" s="1805" t="s">
        <v>121</v>
      </c>
      <c r="G13" s="412">
        <v>45759</v>
      </c>
      <c r="H13" s="1806">
        <v>0.2986111111111111</v>
      </c>
      <c r="I13" s="2006">
        <f t="shared" si="0"/>
        <v>11.038888888884685</v>
      </c>
      <c r="J13" s="1812">
        <f>I13</f>
        <v>11.038888888884685</v>
      </c>
      <c r="K13" s="849" t="s">
        <v>680</v>
      </c>
      <c r="L13" s="1183" t="s">
        <v>811</v>
      </c>
    </row>
    <row r="14" spans="1:13" ht="18" customHeight="1">
      <c r="A14" s="480"/>
      <c r="B14" s="1180"/>
      <c r="C14" s="478"/>
      <c r="D14" s="478"/>
      <c r="E14" s="203"/>
      <c r="F14" s="1807"/>
      <c r="G14" s="203"/>
      <c r="H14" s="1796"/>
      <c r="I14" s="2003">
        <f t="shared" si="0"/>
        <v>0</v>
      </c>
      <c r="J14" s="2013">
        <f>ROUND(IF((I14-1)&lt;0,0,I14-1),1)</f>
        <v>0</v>
      </c>
      <c r="K14" s="851"/>
      <c r="L14" s="1804"/>
    </row>
    <row r="15" spans="1:13" ht="18" customHeight="1">
      <c r="A15" s="480"/>
      <c r="B15" s="1180"/>
      <c r="C15" s="478"/>
      <c r="D15" s="478"/>
      <c r="E15" s="203"/>
      <c r="F15" s="1807"/>
      <c r="G15" s="203"/>
      <c r="H15" s="1796"/>
      <c r="I15" s="2003">
        <f t="shared" si="0"/>
        <v>0</v>
      </c>
      <c r="J15" s="2013">
        <f>ROUND(IF((I15-1)&lt;0,0,I15-1),1)</f>
        <v>0</v>
      </c>
      <c r="K15" s="851"/>
      <c r="L15" s="1804"/>
    </row>
    <row r="16" spans="1:13" ht="18" customHeight="1">
      <c r="A16" s="480"/>
      <c r="B16" s="1180"/>
      <c r="C16" s="478"/>
      <c r="D16" s="478"/>
      <c r="E16" s="203"/>
      <c r="F16" s="1807"/>
      <c r="G16" s="203"/>
      <c r="H16" s="1796"/>
      <c r="I16" s="2003">
        <f t="shared" si="0"/>
        <v>0</v>
      </c>
      <c r="J16" s="2013">
        <f t="shared" ref="J16:J19" si="1">ROUND(IF((I16-1)&lt;0,0,I16-1),1)</f>
        <v>0</v>
      </c>
      <c r="K16" s="851"/>
      <c r="L16" s="1804"/>
    </row>
    <row r="17" spans="1:12" ht="18" customHeight="1">
      <c r="A17" s="480"/>
      <c r="B17" s="1180"/>
      <c r="C17" s="478"/>
      <c r="D17" s="478"/>
      <c r="E17" s="203"/>
      <c r="F17" s="1807"/>
      <c r="G17" s="203"/>
      <c r="H17" s="1796"/>
      <c r="I17" s="2003">
        <f t="shared" si="0"/>
        <v>0</v>
      </c>
      <c r="J17" s="2013">
        <f t="shared" si="1"/>
        <v>0</v>
      </c>
      <c r="K17" s="851"/>
      <c r="L17" s="1804"/>
    </row>
    <row r="18" spans="1:12" ht="18" customHeight="1">
      <c r="A18" s="480"/>
      <c r="B18" s="1180"/>
      <c r="C18" s="478"/>
      <c r="D18" s="478"/>
      <c r="E18" s="203"/>
      <c r="F18" s="1807"/>
      <c r="G18" s="203"/>
      <c r="H18" s="1796"/>
      <c r="I18" s="2003">
        <f t="shared" si="0"/>
        <v>0</v>
      </c>
      <c r="J18" s="2013">
        <f t="shared" si="1"/>
        <v>0</v>
      </c>
      <c r="K18" s="851"/>
      <c r="L18" s="1804"/>
    </row>
    <row r="19" spans="1:12" ht="18" customHeight="1" thickBot="1">
      <c r="A19" s="1872" t="s">
        <v>792</v>
      </c>
      <c r="B19" s="1181"/>
      <c r="C19" s="476"/>
      <c r="D19" s="476"/>
      <c r="E19" s="1797"/>
      <c r="F19" s="1808"/>
      <c r="G19" s="1797"/>
      <c r="H19" s="1798"/>
      <c r="I19" s="2014">
        <f t="shared" si="0"/>
        <v>0</v>
      </c>
      <c r="J19" s="2015">
        <f t="shared" si="1"/>
        <v>0</v>
      </c>
      <c r="K19" s="852"/>
      <c r="L19" s="1809"/>
    </row>
    <row r="20" spans="1:12" ht="18" customHeight="1" thickBot="1">
      <c r="A20" s="466"/>
      <c r="B20" s="1177"/>
      <c r="C20" s="545"/>
      <c r="D20" s="545"/>
      <c r="E20" s="545"/>
      <c r="F20" s="660"/>
      <c r="G20" s="545"/>
      <c r="H20" s="660"/>
      <c r="I20" s="2016">
        <f>SUM(I11:I13)</f>
        <v>17.100694444445253</v>
      </c>
      <c r="J20" s="2017">
        <f>SUM(J11:J13)</f>
        <v>15.138888888884685</v>
      </c>
      <c r="K20" s="1810"/>
      <c r="L20" s="1182"/>
    </row>
    <row r="22" spans="1:12" ht="18" customHeight="1">
      <c r="A22" s="194" t="s">
        <v>219</v>
      </c>
      <c r="B22" s="194"/>
      <c r="C22" s="195" t="s">
        <v>224</v>
      </c>
      <c r="D22" s="388"/>
      <c r="E22" s="388"/>
      <c r="F22" s="388"/>
    </row>
    <row r="23" spans="1:12" ht="18" customHeight="1">
      <c r="C23" s="195" t="s">
        <v>1645</v>
      </c>
      <c r="H23" s="79"/>
      <c r="I23" s="467"/>
      <c r="J23" s="467"/>
      <c r="K23" s="3057" t="s">
        <v>202</v>
      </c>
    </row>
    <row r="24" spans="1:12" ht="18" customHeight="1">
      <c r="A24" s="3332" t="s">
        <v>1420</v>
      </c>
      <c r="B24" s="3333"/>
      <c r="C24" s="3333"/>
      <c r="D24" s="3333"/>
      <c r="E24" s="3333"/>
      <c r="F24" s="3333"/>
      <c r="G24" s="3333"/>
      <c r="H24" s="3333"/>
      <c r="I24" s="3333"/>
      <c r="J24" s="467"/>
      <c r="K24" s="3057"/>
    </row>
    <row r="25" spans="1:12" ht="18" customHeight="1">
      <c r="A25" s="3333"/>
      <c r="B25" s="3333"/>
      <c r="C25" s="3333"/>
      <c r="D25" s="3333"/>
      <c r="E25" s="3333"/>
      <c r="F25" s="3333"/>
      <c r="G25" s="3333"/>
      <c r="H25" s="3333"/>
      <c r="I25" s="3333"/>
      <c r="J25" s="467"/>
      <c r="K25" s="74"/>
    </row>
    <row r="26" spans="1:12" ht="18" customHeight="1">
      <c r="A26" s="3333"/>
      <c r="B26" s="3333"/>
      <c r="C26" s="3333"/>
      <c r="D26" s="3333"/>
      <c r="E26" s="3333"/>
      <c r="F26" s="3333"/>
      <c r="G26" s="3333"/>
      <c r="H26" s="3333"/>
      <c r="I26" s="3333"/>
      <c r="K26" s="3229" t="s">
        <v>901</v>
      </c>
    </row>
    <row r="27" spans="1:12" ht="18" customHeight="1">
      <c r="K27" s="3322"/>
    </row>
    <row r="28" spans="1:12" ht="18" customHeight="1">
      <c r="A28" s="335" t="s">
        <v>1434</v>
      </c>
      <c r="B28" s="335" t="s">
        <v>1435</v>
      </c>
      <c r="C28"/>
      <c r="D28" s="197"/>
      <c r="J28" s="74"/>
      <c r="K28" s="3322"/>
    </row>
    <row r="29" spans="1:12" ht="18" customHeight="1">
      <c r="A29" s="335" t="s">
        <v>1554</v>
      </c>
      <c r="B29" s="335" t="s">
        <v>1550</v>
      </c>
      <c r="C29" s="2196" t="s">
        <v>1442</v>
      </c>
      <c r="D29" s="197"/>
      <c r="J29" s="74"/>
    </row>
    <row r="30" spans="1:12" ht="18" customHeight="1">
      <c r="A30" s="555"/>
      <c r="B30" s="555"/>
      <c r="C30" s="74"/>
      <c r="D30" s="74"/>
      <c r="E30" s="74"/>
      <c r="F30" s="74"/>
      <c r="G30" s="74"/>
      <c r="H30" s="74"/>
      <c r="I30" s="74"/>
      <c r="J30" s="74"/>
    </row>
    <row r="31" spans="1:12" ht="18" customHeight="1">
      <c r="A31" s="74"/>
      <c r="B31" s="74"/>
      <c r="C31" s="74"/>
      <c r="D31" s="74"/>
      <c r="E31" s="74"/>
      <c r="F31" s="74"/>
      <c r="G31" s="74"/>
      <c r="H31" s="74"/>
      <c r="I31" s="74"/>
      <c r="J31" s="74"/>
    </row>
    <row r="32" spans="1:12" s="472" customFormat="1" ht="18" customHeight="1">
      <c r="A32" s="74"/>
      <c r="B32" s="74"/>
      <c r="C32" s="74"/>
      <c r="D32" s="74"/>
      <c r="E32" s="74"/>
      <c r="F32" s="74"/>
      <c r="G32" s="74"/>
      <c r="H32" s="74"/>
      <c r="I32" s="74"/>
      <c r="J32" s="74"/>
    </row>
    <row r="33" spans="1:10" s="472" customFormat="1" ht="18" customHeight="1">
      <c r="A33" s="74"/>
      <c r="B33" s="74"/>
      <c r="C33" s="74"/>
      <c r="D33" s="74"/>
      <c r="E33" s="74"/>
      <c r="F33" s="74"/>
      <c r="G33" s="74"/>
      <c r="H33" s="74"/>
      <c r="I33" s="74"/>
      <c r="J33" s="74"/>
    </row>
  </sheetData>
  <sheetProtection algorithmName="SHA-512" hashValue="IrqV0VlRI+fSo92y3I5krreKsj1TzGeyaby6HzK0q2MKM27Q5K4vY7iMSWI76UCY8G12fTaoFrajWDY7FHDN2g==" saltValue="wrcLcSgeCJNaeaYoN4bm3g==" spinCount="100000" sheet="1" objects="1" scenarios="1"/>
  <mergeCells count="8">
    <mergeCell ref="K26:K28"/>
    <mergeCell ref="A1:K1"/>
    <mergeCell ref="A2:K2"/>
    <mergeCell ref="K23:K24"/>
    <mergeCell ref="A24:I26"/>
    <mergeCell ref="A7:D7"/>
    <mergeCell ref="A8:D8"/>
    <mergeCell ref="A6:D6"/>
  </mergeCells>
  <pageMargins left="0.7" right="0.7" top="0.78740157499999996" bottom="0.78740157499999996" header="0.3" footer="0.3"/>
  <pageSetup paperSize="9" scale="63" fitToHeight="0" orientation="landscape" r:id="rId1"/>
  <headerFooter>
    <oddHeader>&amp;LVDV SUN Jahresschlussrechnung JJJJ&amp;R&amp;KFF0000&amp;F</oddHeader>
    <oddFooter>&amp;C&amp;P&amp;R&amp;A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sheetPr>
  <dimension ref="A1:M28"/>
  <sheetViews>
    <sheetView view="pageLayout" zoomScaleNormal="100" zoomScaleSheetLayoutView="80" workbookViewId="0">
      <selection activeCell="J21" sqref="J21"/>
    </sheetView>
  </sheetViews>
  <sheetFormatPr baseColWidth="10" defaultColWidth="9.140625" defaultRowHeight="18" customHeight="1"/>
  <cols>
    <col min="1" max="1" width="15.5703125" style="76" customWidth="1"/>
    <col min="2" max="2" width="15.5703125" style="77" customWidth="1"/>
    <col min="3" max="3" width="15.5703125" style="76" customWidth="1"/>
    <col min="4" max="4" width="15.5703125" style="77" customWidth="1"/>
    <col min="5" max="5" width="15.5703125" style="241" customWidth="1"/>
    <col min="6" max="6" width="18.5703125" style="241" customWidth="1"/>
    <col min="7" max="7" width="19.140625" style="472" customWidth="1"/>
    <col min="8" max="8" width="15.42578125" style="76" customWidth="1"/>
    <col min="9" max="9" width="21.28515625" style="74" bestFit="1" customWidth="1"/>
    <col min="10" max="10" width="20" style="74" customWidth="1"/>
    <col min="11" max="11" width="13.42578125" style="74" customWidth="1"/>
    <col min="12" max="16384" width="9.140625" style="74"/>
  </cols>
  <sheetData>
    <row r="1" spans="1:13" ht="18" customHeight="1">
      <c r="A1" s="3334" t="s">
        <v>1485</v>
      </c>
      <c r="B1" s="3334"/>
      <c r="C1" s="3334"/>
      <c r="D1" s="3334"/>
      <c r="E1" s="3334"/>
      <c r="F1" s="3334"/>
      <c r="G1" s="3334"/>
      <c r="H1" s="3334"/>
    </row>
    <row r="2" spans="1:13" ht="23.25" customHeight="1" thickBot="1">
      <c r="A2" s="3228" t="str">
        <f>'1a_Leistungsvolumen'!A2</f>
        <v>Monat JJJJ</v>
      </c>
      <c r="B2" s="3228"/>
      <c r="C2" s="3228"/>
      <c r="D2" s="3228"/>
      <c r="E2" s="3228"/>
      <c r="F2" s="3228"/>
      <c r="G2" s="3228"/>
      <c r="H2" s="3228"/>
    </row>
    <row r="3" spans="1:13" s="75" customFormat="1" ht="26.25" thickBot="1">
      <c r="D3" s="2195" t="s">
        <v>743</v>
      </c>
      <c r="E3" s="2381" t="s">
        <v>1526</v>
      </c>
      <c r="F3" s="2381" t="s">
        <v>1527</v>
      </c>
      <c r="G3" s="2381" t="s">
        <v>1552</v>
      </c>
      <c r="H3" s="2381" t="s">
        <v>1551</v>
      </c>
      <c r="I3" s="2381" t="s">
        <v>1528</v>
      </c>
      <c r="J3" s="2381" t="s">
        <v>1666</v>
      </c>
      <c r="K3" s="2380" t="s">
        <v>1553</v>
      </c>
    </row>
    <row r="4" spans="1:13" s="75" customFormat="1" ht="18.75" thickBot="1">
      <c r="D4" s="2241">
        <f>SUM($E$4:$K$4)</f>
        <v>1.0000001000000001</v>
      </c>
      <c r="E4" s="3030">
        <f>'1a_Leistungsvolumen'!$C$93</f>
        <v>9.7772999999999992E-3</v>
      </c>
      <c r="F4" s="3030">
        <f>'1a_Leistungsvolumen'!$D$93</f>
        <v>0.1214701</v>
      </c>
      <c r="G4" s="3030">
        <f>'1a_Leistungsvolumen'!$E$93</f>
        <v>6.2115400000000001E-2</v>
      </c>
      <c r="H4" s="3030">
        <f>'1a_Leistungsvolumen'!$F$93</f>
        <v>0.54540759999999999</v>
      </c>
      <c r="I4" s="3030">
        <f>'1a_Leistungsvolumen'!$G$93</f>
        <v>0.22948180000000001</v>
      </c>
      <c r="J4" s="3030">
        <f>'1a_Leistungsvolumen'!$H$93</f>
        <v>2.9332299999999999E-2</v>
      </c>
      <c r="K4" s="3030">
        <f>'1a_Leistungsvolumen'!$I$93</f>
        <v>2.4156E-3</v>
      </c>
      <c r="M4" s="3026" t="s">
        <v>1706</v>
      </c>
    </row>
    <row r="5" spans="1:13" s="75" customFormat="1" ht="23.25" customHeight="1" thickBot="1">
      <c r="B5" s="3208" t="s">
        <v>1197</v>
      </c>
      <c r="C5" s="3338"/>
      <c r="D5" s="2708">
        <v>50</v>
      </c>
      <c r="E5" s="1999"/>
      <c r="F5" s="1999"/>
      <c r="G5" s="1999"/>
      <c r="H5" s="1999"/>
      <c r="I5" s="1999"/>
      <c r="J5" s="1999"/>
      <c r="K5" s="1999"/>
    </row>
    <row r="6" spans="1:13" s="75" customFormat="1" ht="23.25" customHeight="1" thickBot="1">
      <c r="B6" s="3206" t="s">
        <v>1403</v>
      </c>
      <c r="C6" s="3339"/>
      <c r="D6" s="1618">
        <f>H17</f>
        <v>6</v>
      </c>
      <c r="E6" s="2382">
        <f>SUMIF(J10:J16,E3,H10:H16)</f>
        <v>2</v>
      </c>
      <c r="F6" s="2382">
        <f>SUMIF(J10:J16,F3,H10:H16)</f>
        <v>1</v>
      </c>
      <c r="G6" s="2382">
        <f>SUMIF(J10:J16,G3,H10:H16)</f>
        <v>0</v>
      </c>
      <c r="H6" s="2382">
        <f>SUMIF(J10:J16,H3,H10:H16)</f>
        <v>1</v>
      </c>
      <c r="I6" s="2382">
        <f>SUMIF(J10:J16,I3,H10:H16)</f>
        <v>2</v>
      </c>
      <c r="J6" s="2382">
        <f>SUMIF(J10:J16,J3,H10:H16)</f>
        <v>0</v>
      </c>
      <c r="K6" s="2382">
        <f>SUMIF(J10:J16,K3,H10:H16)</f>
        <v>0</v>
      </c>
    </row>
    <row r="7" spans="1:13" ht="23.25" customHeight="1" thickBot="1">
      <c r="A7" s="240"/>
      <c r="B7" s="3210" t="s">
        <v>201</v>
      </c>
      <c r="C7" s="3339"/>
      <c r="D7" s="1185">
        <f>$D$6*$D$5</f>
        <v>300</v>
      </c>
      <c r="E7" s="2039">
        <f>$D$7*$E$4</f>
        <v>2.9331899999999997</v>
      </c>
      <c r="F7" s="2039">
        <f>$D$7*$F$4</f>
        <v>36.441029999999998</v>
      </c>
      <c r="G7" s="2039">
        <f>$D$7*$G$4</f>
        <v>18.634620000000002</v>
      </c>
      <c r="H7" s="2039">
        <f>$D$7*$H$4</f>
        <v>163.62227999999999</v>
      </c>
      <c r="I7" s="2039">
        <f>$D$7*$I$4</f>
        <v>68.844540000000009</v>
      </c>
      <c r="J7" s="2039">
        <f>$D$7*$J$4</f>
        <v>8.79969</v>
      </c>
      <c r="K7" s="2039">
        <f>K4*$D$7</f>
        <v>0.72467999999999999</v>
      </c>
    </row>
    <row r="8" spans="1:13" ht="18" customHeight="1" thickBot="1"/>
    <row r="9" spans="1:13" ht="39" thickBot="1">
      <c r="A9" s="466" t="s">
        <v>504</v>
      </c>
      <c r="B9" s="85" t="s">
        <v>110</v>
      </c>
      <c r="C9" s="89" t="s">
        <v>111</v>
      </c>
      <c r="D9" s="85" t="s">
        <v>112</v>
      </c>
      <c r="E9" s="89" t="s">
        <v>113</v>
      </c>
      <c r="F9" s="86" t="s">
        <v>114</v>
      </c>
      <c r="G9" s="845" t="s">
        <v>832</v>
      </c>
      <c r="H9" s="1435" t="s">
        <v>1403</v>
      </c>
      <c r="I9" s="84" t="s">
        <v>115</v>
      </c>
      <c r="J9" s="1874" t="s">
        <v>1154</v>
      </c>
    </row>
    <row r="10" spans="1:13" ht="18" customHeight="1">
      <c r="A10" s="178" t="s">
        <v>139</v>
      </c>
      <c r="B10" s="165">
        <v>45764</v>
      </c>
      <c r="C10" s="1788">
        <v>0.61111111111111105</v>
      </c>
      <c r="D10" s="165">
        <v>45765</v>
      </c>
      <c r="E10" s="1788" t="s">
        <v>117</v>
      </c>
      <c r="F10" s="2001">
        <f t="shared" ref="F10:F15" si="0">IF((D10+E10)&lt;(B10+C10),0,(D10+E10)-(B10+C10))</f>
        <v>0.90972222222626442</v>
      </c>
      <c r="G10" s="2002">
        <v>99999</v>
      </c>
      <c r="H10" s="2026">
        <f t="shared" ref="H10:H15" si="1">COUNTIF(G10,"&lt;=99999")</f>
        <v>1</v>
      </c>
      <c r="I10" s="164" t="s">
        <v>124</v>
      </c>
      <c r="J10" s="1803" t="s">
        <v>1527</v>
      </c>
    </row>
    <row r="11" spans="1:13" ht="18" customHeight="1">
      <c r="A11" s="3335" t="s">
        <v>139</v>
      </c>
      <c r="B11" s="165">
        <v>45759</v>
      </c>
      <c r="C11" s="1788" t="s">
        <v>118</v>
      </c>
      <c r="D11" s="165">
        <v>45760</v>
      </c>
      <c r="E11" s="1788" t="s">
        <v>119</v>
      </c>
      <c r="F11" s="2003">
        <f t="shared" si="0"/>
        <v>1.1520833333343035</v>
      </c>
      <c r="G11" s="2002">
        <v>99993</v>
      </c>
      <c r="H11" s="1500">
        <f t="shared" si="1"/>
        <v>1</v>
      </c>
      <c r="I11" s="164" t="s">
        <v>123</v>
      </c>
      <c r="J11" s="1804" t="s">
        <v>1526</v>
      </c>
    </row>
    <row r="12" spans="1:13" ht="18" customHeight="1">
      <c r="A12" s="3337"/>
      <c r="B12" s="165">
        <v>45760</v>
      </c>
      <c r="C12" s="1788" t="s">
        <v>839</v>
      </c>
      <c r="D12" s="165">
        <v>45761</v>
      </c>
      <c r="E12" s="1788" t="s">
        <v>840</v>
      </c>
      <c r="F12" s="2003">
        <f t="shared" si="0"/>
        <v>1.1520833333343035</v>
      </c>
      <c r="G12" s="2004">
        <v>99997</v>
      </c>
      <c r="H12" s="1500">
        <f t="shared" si="1"/>
        <v>1</v>
      </c>
      <c r="I12" s="865" t="s">
        <v>123</v>
      </c>
      <c r="J12" s="1804" t="s">
        <v>1526</v>
      </c>
    </row>
    <row r="13" spans="1:13" ht="18" customHeight="1">
      <c r="A13" s="3335" t="s">
        <v>139</v>
      </c>
      <c r="B13" s="479">
        <v>45757</v>
      </c>
      <c r="C13" s="1802" t="s">
        <v>121</v>
      </c>
      <c r="D13" s="479">
        <v>45759</v>
      </c>
      <c r="E13" s="1811">
        <v>0.2986111111111111</v>
      </c>
      <c r="F13" s="2003">
        <f t="shared" si="0"/>
        <v>2.038888888884685</v>
      </c>
      <c r="G13" s="2005">
        <v>99991</v>
      </c>
      <c r="H13" s="1500">
        <f t="shared" si="1"/>
        <v>1</v>
      </c>
      <c r="I13" s="866" t="s">
        <v>833</v>
      </c>
      <c r="J13" s="1804" t="s">
        <v>1528</v>
      </c>
    </row>
    <row r="14" spans="1:13" ht="18" customHeight="1">
      <c r="A14" s="3336"/>
      <c r="B14" s="479">
        <v>45758</v>
      </c>
      <c r="C14" s="1802" t="s">
        <v>841</v>
      </c>
      <c r="D14" s="479">
        <v>45760</v>
      </c>
      <c r="E14" s="1811">
        <v>0.34027777777777801</v>
      </c>
      <c r="F14" s="2003">
        <f t="shared" si="0"/>
        <v>2.0805439814866986</v>
      </c>
      <c r="G14" s="2005">
        <v>99992</v>
      </c>
      <c r="H14" s="1500">
        <f t="shared" si="1"/>
        <v>1</v>
      </c>
      <c r="I14" s="866" t="s">
        <v>833</v>
      </c>
      <c r="J14" s="1804" t="s">
        <v>1528</v>
      </c>
    </row>
    <row r="15" spans="1:13" ht="18" customHeight="1">
      <c r="A15" s="3336"/>
      <c r="B15" s="177">
        <v>45759</v>
      </c>
      <c r="C15" s="1876" t="s">
        <v>842</v>
      </c>
      <c r="D15" s="177">
        <v>45761</v>
      </c>
      <c r="E15" s="1877">
        <v>0.38194444444444497</v>
      </c>
      <c r="F15" s="2006">
        <f t="shared" si="0"/>
        <v>2.1221990740741603</v>
      </c>
      <c r="G15" s="2007">
        <v>99994</v>
      </c>
      <c r="H15" s="1500">
        <f t="shared" si="1"/>
        <v>1</v>
      </c>
      <c r="I15" s="1878" t="s">
        <v>833</v>
      </c>
      <c r="J15" s="1809" t="s">
        <v>1551</v>
      </c>
    </row>
    <row r="16" spans="1:13" ht="18" customHeight="1" thickBot="1">
      <c r="A16" s="1883" t="s">
        <v>792</v>
      </c>
      <c r="B16" s="1879"/>
      <c r="C16" s="1880"/>
      <c r="D16" s="1879"/>
      <c r="E16" s="1881"/>
      <c r="F16" s="2008"/>
      <c r="G16" s="2009"/>
      <c r="H16" s="1501"/>
      <c r="I16" s="867"/>
      <c r="J16" s="1882"/>
    </row>
    <row r="17" spans="1:10" ht="18" customHeight="1" thickBot="1">
      <c r="A17" s="83"/>
      <c r="B17" s="85"/>
      <c r="C17" s="89"/>
      <c r="D17" s="85"/>
      <c r="E17" s="89"/>
      <c r="F17" s="2010">
        <f>SUM(F10:F15)</f>
        <v>9.4555208333404153</v>
      </c>
      <c r="G17" s="2011"/>
      <c r="H17" s="2038">
        <f>SUM(H10:H16)</f>
        <v>6</v>
      </c>
      <c r="I17" s="84"/>
      <c r="J17" s="1873"/>
    </row>
    <row r="19" spans="1:10" ht="18" customHeight="1">
      <c r="A19" s="194" t="s">
        <v>219</v>
      </c>
      <c r="B19" s="195" t="s">
        <v>224</v>
      </c>
      <c r="C19" s="388"/>
      <c r="D19" s="388"/>
      <c r="E19" s="388"/>
    </row>
    <row r="20" spans="1:10" ht="18" customHeight="1">
      <c r="B20" s="195" t="s">
        <v>1645</v>
      </c>
      <c r="F20" s="3057" t="s">
        <v>202</v>
      </c>
      <c r="G20" s="3057"/>
      <c r="H20" s="3057"/>
    </row>
    <row r="21" spans="1:10" ht="18" customHeight="1">
      <c r="D21" s="197"/>
      <c r="F21" s="3057"/>
      <c r="G21" s="3057"/>
      <c r="H21" s="3057"/>
    </row>
    <row r="22" spans="1:10" ht="18" customHeight="1">
      <c r="A22" s="335" t="s">
        <v>1434</v>
      </c>
      <c r="B22" s="335" t="s">
        <v>1435</v>
      </c>
      <c r="C22"/>
      <c r="D22" s="197"/>
      <c r="F22" s="3057"/>
      <c r="G22" s="3057"/>
      <c r="H22" s="3057"/>
    </row>
    <row r="23" spans="1:10" ht="18" customHeight="1">
      <c r="A23" s="335" t="s">
        <v>1554</v>
      </c>
      <c r="B23" s="335" t="s">
        <v>1550</v>
      </c>
      <c r="C23" s="2196" t="s">
        <v>1442</v>
      </c>
    </row>
    <row r="24" spans="1:10" ht="18" customHeight="1">
      <c r="F24" s="3229" t="s">
        <v>901</v>
      </c>
      <c r="G24" s="3322"/>
    </row>
    <row r="25" spans="1:10" ht="18" customHeight="1">
      <c r="F25" s="3322"/>
      <c r="G25" s="3322"/>
    </row>
    <row r="28" spans="1:10" ht="18" customHeight="1">
      <c r="D28" s="554"/>
    </row>
  </sheetData>
  <sheetProtection algorithmName="SHA-512" hashValue="pVVgEYU/f1yP0SUZxZ5LOAQj7QoJeblIRdHJ5CMS2q4t7Sbua+jPItuelPpnE//8IEYx1GcHzJXZ3hgCgSagcA==" saltValue="3oZ8OggEfgtPDO8RQVdNHQ==" spinCount="100000" sheet="1" objects="1" scenarios="1"/>
  <mergeCells count="9">
    <mergeCell ref="F24:G25"/>
    <mergeCell ref="F20:H22"/>
    <mergeCell ref="A1:H1"/>
    <mergeCell ref="A2:H2"/>
    <mergeCell ref="A13:A15"/>
    <mergeCell ref="A11:A12"/>
    <mergeCell ref="B5:C5"/>
    <mergeCell ref="B6:C6"/>
    <mergeCell ref="B7:C7"/>
  </mergeCells>
  <phoneticPr fontId="16" type="noConversion"/>
  <pageMargins left="0.7" right="0.7" top="0.78740157499999996" bottom="0.78740157499999996" header="0.3" footer="0.3"/>
  <pageSetup paperSize="9" scale="63" fitToHeight="0" orientation="landscape" r:id="rId1"/>
  <headerFooter>
    <oddHeader>&amp;LVDV SUN Jahresschlussrechnung JJJJ&amp;R&amp;KFF0000&amp;F</oddHeader>
    <oddFooter>&amp;C&amp;P&amp;R&amp;A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N44"/>
  <sheetViews>
    <sheetView view="pageLayout" zoomScale="80" zoomScaleNormal="80" zoomScaleSheetLayoutView="80" zoomScalePageLayoutView="80" workbookViewId="0">
      <selection activeCell="S10" sqref="S10"/>
    </sheetView>
  </sheetViews>
  <sheetFormatPr baseColWidth="10" defaultRowHeight="12.75"/>
  <cols>
    <col min="1" max="1" width="24.7109375" bestFit="1" customWidth="1"/>
    <col min="2" max="2" width="13.7109375" customWidth="1"/>
    <col min="3" max="3" width="11.7109375" customWidth="1"/>
    <col min="4" max="4" width="17" customWidth="1"/>
    <col min="5" max="5" width="12.28515625" customWidth="1"/>
    <col min="6" max="6" width="11.7109375" customWidth="1"/>
    <col min="7" max="8" width="10.7109375" bestFit="1" customWidth="1"/>
    <col min="9" max="9" width="10.42578125" customWidth="1"/>
    <col min="10" max="10" width="10.140625" bestFit="1" customWidth="1"/>
    <col min="11" max="11" width="10.5703125" bestFit="1" customWidth="1"/>
    <col min="12" max="12" width="9.5703125" customWidth="1"/>
    <col min="13" max="13" width="15.5703125" customWidth="1"/>
    <col min="14" max="14" width="30.85546875" bestFit="1" customWidth="1"/>
  </cols>
  <sheetData>
    <row r="1" spans="1:14" ht="18">
      <c r="A1" s="3091" t="s">
        <v>1486</v>
      </c>
      <c r="B1" s="3091"/>
      <c r="C1" s="3091"/>
      <c r="D1" s="3091"/>
      <c r="E1" s="3091"/>
      <c r="F1" s="3091"/>
      <c r="G1" s="3091"/>
      <c r="H1" s="3091"/>
      <c r="I1" s="3091"/>
      <c r="J1" s="3091"/>
      <c r="K1" s="3091"/>
      <c r="L1" s="3091"/>
      <c r="M1" s="857"/>
    </row>
    <row r="2" spans="1:14" ht="18">
      <c r="A2" s="3163" t="str">
        <f>'1a_Leistungsvolumen'!A2</f>
        <v>Monat JJJJ</v>
      </c>
      <c r="B2" s="3163"/>
      <c r="C2" s="3163"/>
      <c r="D2" s="3163"/>
      <c r="E2" s="3163"/>
      <c r="F2" s="3163"/>
      <c r="G2" s="3163"/>
      <c r="H2" s="3163"/>
      <c r="I2" s="3163"/>
      <c r="J2" s="3163"/>
      <c r="K2" s="3163"/>
      <c r="L2" s="3163"/>
      <c r="M2" s="3163"/>
      <c r="N2" s="3163"/>
    </row>
    <row r="3" spans="1:14" ht="16.5" customHeight="1"/>
    <row r="4" spans="1:14" ht="16.5" customHeight="1"/>
    <row r="5" spans="1:14" s="62" customFormat="1" ht="16.149999999999999" customHeight="1" thickBot="1">
      <c r="A5" s="212" t="s">
        <v>204</v>
      </c>
      <c r="B5" s="212"/>
      <c r="C5"/>
      <c r="D5"/>
      <c r="E5"/>
      <c r="F5"/>
      <c r="G5"/>
      <c r="H5" s="213"/>
      <c r="I5" s="213"/>
      <c r="J5" s="213"/>
      <c r="K5" s="213"/>
      <c r="L5" s="956" t="s">
        <v>204</v>
      </c>
      <c r="M5" s="366" t="s">
        <v>204</v>
      </c>
      <c r="N5" s="366" t="s">
        <v>204</v>
      </c>
    </row>
    <row r="6" spans="1:14" s="7" customFormat="1" ht="70.5" customHeight="1" thickBot="1">
      <c r="A6" s="2000" t="s">
        <v>0</v>
      </c>
      <c r="B6" s="52" t="s">
        <v>22</v>
      </c>
      <c r="C6" s="4" t="s">
        <v>126</v>
      </c>
      <c r="D6" s="4" t="s">
        <v>27</v>
      </c>
      <c r="E6" s="4" t="s">
        <v>28</v>
      </c>
      <c r="F6" s="4" t="s">
        <v>127</v>
      </c>
      <c r="G6" s="4" t="s">
        <v>30</v>
      </c>
      <c r="H6" s="4" t="s">
        <v>226</v>
      </c>
      <c r="I6" s="4" t="s">
        <v>227</v>
      </c>
      <c r="J6" s="4" t="s">
        <v>228</v>
      </c>
      <c r="K6" s="4" t="s">
        <v>229</v>
      </c>
      <c r="L6" s="1623" t="s">
        <v>1185</v>
      </c>
      <c r="M6" s="1624" t="s">
        <v>1186</v>
      </c>
      <c r="N6" s="1154" t="s">
        <v>1167</v>
      </c>
    </row>
    <row r="7" spans="1:14" s="7" customFormat="1" ht="17.25" customHeight="1">
      <c r="A7" s="414" t="s">
        <v>1529</v>
      </c>
      <c r="B7" s="18"/>
      <c r="C7" s="410" t="s">
        <v>139</v>
      </c>
      <c r="D7" s="223">
        <v>45768</v>
      </c>
      <c r="E7" s="223">
        <v>45768</v>
      </c>
      <c r="F7" s="189" t="s">
        <v>1555</v>
      </c>
      <c r="G7" s="189" t="s">
        <v>1581</v>
      </c>
      <c r="H7" s="410" t="s">
        <v>1187</v>
      </c>
      <c r="I7" s="18">
        <v>1</v>
      </c>
      <c r="J7" s="18">
        <v>4711</v>
      </c>
      <c r="K7" s="232" t="s">
        <v>742</v>
      </c>
      <c r="L7" s="869">
        <v>649.28</v>
      </c>
      <c r="M7" s="92">
        <v>49.28</v>
      </c>
      <c r="N7" s="419" t="s">
        <v>1526</v>
      </c>
    </row>
    <row r="8" spans="1:14" s="7" customFormat="1" ht="17.25" customHeight="1">
      <c r="A8" s="415" t="s">
        <v>1535</v>
      </c>
      <c r="B8" s="18"/>
      <c r="C8" s="410" t="s">
        <v>139</v>
      </c>
      <c r="D8" s="223">
        <v>45768</v>
      </c>
      <c r="E8" s="223">
        <v>45768</v>
      </c>
      <c r="F8" s="189" t="s">
        <v>1388</v>
      </c>
      <c r="G8" s="189" t="s">
        <v>1612</v>
      </c>
      <c r="H8" s="410" t="s">
        <v>1187</v>
      </c>
      <c r="I8" s="18">
        <v>1</v>
      </c>
      <c r="J8" s="18">
        <v>4711</v>
      </c>
      <c r="K8" s="232" t="s">
        <v>740</v>
      </c>
      <c r="L8" s="869">
        <v>328.87400000000002</v>
      </c>
      <c r="M8" s="92">
        <v>28.873999999999999</v>
      </c>
      <c r="N8" s="419" t="s">
        <v>1566</v>
      </c>
    </row>
    <row r="9" spans="1:14" s="7" customFormat="1" ht="17.25" customHeight="1">
      <c r="A9" s="415" t="s">
        <v>1535</v>
      </c>
      <c r="B9" s="18"/>
      <c r="C9" s="410" t="s">
        <v>139</v>
      </c>
      <c r="D9" s="223">
        <v>45768</v>
      </c>
      <c r="E9" s="223">
        <v>45768</v>
      </c>
      <c r="F9" s="189" t="s">
        <v>1611</v>
      </c>
      <c r="G9" s="189" t="s">
        <v>1602</v>
      </c>
      <c r="H9" s="410" t="s">
        <v>1188</v>
      </c>
      <c r="I9" s="18">
        <v>2</v>
      </c>
      <c r="J9" s="18">
        <v>4711</v>
      </c>
      <c r="K9" s="232" t="s">
        <v>742</v>
      </c>
      <c r="L9" s="869">
        <v>74.957999999999998</v>
      </c>
      <c r="M9" s="92">
        <v>4.9580000000000002</v>
      </c>
      <c r="N9" s="419" t="s">
        <v>1553</v>
      </c>
    </row>
    <row r="10" spans="1:14" s="7" customFormat="1" ht="17.25" customHeight="1">
      <c r="A10" s="415" t="s">
        <v>1530</v>
      </c>
      <c r="B10" s="18"/>
      <c r="C10" s="410" t="s">
        <v>139</v>
      </c>
      <c r="D10" s="223">
        <v>45768</v>
      </c>
      <c r="E10" s="223">
        <v>45768</v>
      </c>
      <c r="F10" s="189" t="s">
        <v>1575</v>
      </c>
      <c r="G10" s="189" t="s">
        <v>1608</v>
      </c>
      <c r="H10" s="410" t="s">
        <v>1188</v>
      </c>
      <c r="I10" s="18">
        <v>2</v>
      </c>
      <c r="J10" s="18">
        <v>4711</v>
      </c>
      <c r="K10" s="232" t="s">
        <v>742</v>
      </c>
      <c r="L10" s="869">
        <v>115.974</v>
      </c>
      <c r="M10" s="92">
        <v>15.974</v>
      </c>
      <c r="N10" s="419" t="s">
        <v>1527</v>
      </c>
    </row>
    <row r="11" spans="1:14" s="7" customFormat="1" ht="17.25" customHeight="1">
      <c r="A11" s="415" t="s">
        <v>1539</v>
      </c>
      <c r="B11" s="18"/>
      <c r="C11" s="18" t="s">
        <v>139</v>
      </c>
      <c r="D11" s="19">
        <v>45770</v>
      </c>
      <c r="E11" s="19">
        <v>45770</v>
      </c>
      <c r="F11" s="189" t="s">
        <v>1610</v>
      </c>
      <c r="G11" s="189" t="s">
        <v>1609</v>
      </c>
      <c r="H11" s="18" t="s">
        <v>1188</v>
      </c>
      <c r="I11" s="18">
        <v>2</v>
      </c>
      <c r="J11" s="18">
        <v>4711</v>
      </c>
      <c r="K11" s="232" t="s">
        <v>742</v>
      </c>
      <c r="L11" s="869">
        <v>774.26800000000003</v>
      </c>
      <c r="M11" s="234">
        <v>4.2679999999999998</v>
      </c>
      <c r="N11" s="2040" t="s">
        <v>1528</v>
      </c>
    </row>
    <row r="12" spans="1:14" s="7" customFormat="1">
      <c r="A12" s="483"/>
      <c r="B12" s="18"/>
      <c r="C12" s="18"/>
      <c r="D12" s="19"/>
      <c r="E12" s="19"/>
      <c r="F12" s="44"/>
      <c r="G12" s="44"/>
      <c r="H12" s="18"/>
      <c r="I12" s="18"/>
      <c r="J12" s="18"/>
      <c r="K12" s="232"/>
      <c r="L12" s="869"/>
      <c r="M12" s="234"/>
      <c r="N12" s="482"/>
    </row>
    <row r="13" spans="1:14" s="7" customFormat="1">
      <c r="A13" s="483"/>
      <c r="B13" s="18"/>
      <c r="C13" s="18"/>
      <c r="D13" s="19"/>
      <c r="E13" s="19"/>
      <c r="F13" s="44"/>
      <c r="G13" s="44"/>
      <c r="H13" s="18"/>
      <c r="I13" s="18"/>
      <c r="J13" s="18"/>
      <c r="K13" s="232"/>
      <c r="L13" s="869"/>
      <c r="M13" s="234"/>
      <c r="N13" s="482"/>
    </row>
    <row r="14" spans="1:14" s="55" customFormat="1" ht="13.5" thickBot="1">
      <c r="A14" s="1875" t="s">
        <v>792</v>
      </c>
      <c r="B14" s="18"/>
      <c r="C14" s="18"/>
      <c r="D14" s="19"/>
      <c r="E14" s="19"/>
      <c r="F14" s="44"/>
      <c r="G14" s="44"/>
      <c r="H14" s="18"/>
      <c r="I14" s="18"/>
      <c r="J14" s="18"/>
      <c r="K14" s="232"/>
      <c r="L14" s="869"/>
      <c r="M14" s="54"/>
      <c r="N14" s="482"/>
    </row>
    <row r="15" spans="1:14" ht="13.5" thickBot="1">
      <c r="A15" s="2383" t="s">
        <v>1487</v>
      </c>
      <c r="B15" s="2095"/>
      <c r="C15" s="3"/>
      <c r="D15" s="3"/>
      <c r="E15" s="3"/>
      <c r="F15" s="3"/>
      <c r="G15" s="3"/>
      <c r="H15" s="572" t="s">
        <v>1187</v>
      </c>
      <c r="I15" s="3"/>
      <c r="J15" s="3"/>
      <c r="K15" s="233"/>
      <c r="L15" s="1625"/>
      <c r="M15" s="1626">
        <f>SUMIFS(M7:M14,H7:H14,$H$15,N7:N14,$N$15)</f>
        <v>49.28</v>
      </c>
      <c r="N15" s="2384" t="s">
        <v>1526</v>
      </c>
    </row>
    <row r="16" spans="1:14" ht="13.5" thickBot="1">
      <c r="A16" s="2383" t="s">
        <v>1488</v>
      </c>
      <c r="B16" s="2095"/>
      <c r="C16" s="3"/>
      <c r="D16" s="3"/>
      <c r="E16" s="3"/>
      <c r="F16" s="3"/>
      <c r="G16" s="3"/>
      <c r="H16" s="572" t="s">
        <v>1188</v>
      </c>
      <c r="I16" s="3"/>
      <c r="J16" s="3"/>
      <c r="K16" s="233"/>
      <c r="L16" s="1627"/>
      <c r="M16" s="1626">
        <f>SUMIFS(M7:M14,H7:H14,$H$16,N7:N14,$N$16)</f>
        <v>0</v>
      </c>
      <c r="N16" s="2384" t="s">
        <v>1526</v>
      </c>
    </row>
    <row r="17" spans="1:14" ht="13.5" thickBot="1">
      <c r="A17" s="2383" t="s">
        <v>1487</v>
      </c>
      <c r="B17" s="2095"/>
      <c r="C17" s="3"/>
      <c r="D17" s="3"/>
      <c r="E17" s="3"/>
      <c r="F17" s="3"/>
      <c r="G17" s="3"/>
      <c r="H17" s="3" t="s">
        <v>1187</v>
      </c>
      <c r="I17" s="3"/>
      <c r="J17" s="3"/>
      <c r="K17" s="233"/>
      <c r="L17" s="1625"/>
      <c r="M17" s="1626">
        <f>SUMIFS(M7:M14,H7:H14,$H$17,N7:N14,$N$17)</f>
        <v>28.873999999999999</v>
      </c>
      <c r="N17" s="2384" t="s">
        <v>1566</v>
      </c>
    </row>
    <row r="18" spans="1:14" ht="13.5" thickBot="1">
      <c r="A18" s="2383" t="s">
        <v>1488</v>
      </c>
      <c r="B18" s="2095"/>
      <c r="C18" s="3"/>
      <c r="D18" s="3"/>
      <c r="E18" s="3"/>
      <c r="F18" s="3"/>
      <c r="G18" s="3"/>
      <c r="H18" s="3" t="s">
        <v>1188</v>
      </c>
      <c r="I18" s="3"/>
      <c r="J18" s="3"/>
      <c r="K18" s="233"/>
      <c r="L18" s="1627"/>
      <c r="M18" s="1626">
        <f>SUMIFS(M7:M14,H7:H14,$H$18,N7:N14,$N$18)</f>
        <v>0</v>
      </c>
      <c r="N18" s="2384" t="s">
        <v>1566</v>
      </c>
    </row>
    <row r="19" spans="1:14" ht="13.5" thickBot="1">
      <c r="A19" s="2383" t="s">
        <v>1489</v>
      </c>
      <c r="B19" s="2095"/>
      <c r="C19" s="3"/>
      <c r="D19" s="3"/>
      <c r="E19" s="3"/>
      <c r="F19" s="3"/>
      <c r="G19" s="3"/>
      <c r="H19" s="3" t="s">
        <v>1187</v>
      </c>
      <c r="I19" s="3"/>
      <c r="J19" s="3"/>
      <c r="K19" s="233"/>
      <c r="L19" s="1625"/>
      <c r="M19" s="1626">
        <f>SUMIFS(M7:M14,H7:H14,$H$19,N7:N14,$N$19)</f>
        <v>0</v>
      </c>
      <c r="N19" s="2384" t="s">
        <v>1553</v>
      </c>
    </row>
    <row r="20" spans="1:14" ht="13.5" thickBot="1">
      <c r="A20" s="2383" t="s">
        <v>1488</v>
      </c>
      <c r="B20" s="2095"/>
      <c r="C20" s="3"/>
      <c r="D20" s="3"/>
      <c r="E20" s="3"/>
      <c r="F20" s="3"/>
      <c r="G20" s="3"/>
      <c r="H20" s="3" t="s">
        <v>1188</v>
      </c>
      <c r="I20" s="3"/>
      <c r="J20" s="3"/>
      <c r="K20" s="233"/>
      <c r="L20" s="1627"/>
      <c r="M20" s="1626">
        <f>SUMIFS(M7:M14,H7:H14,$H$20,N7:N14,$N$20)</f>
        <v>4.9580000000000002</v>
      </c>
      <c r="N20" s="2384" t="s">
        <v>1553</v>
      </c>
    </row>
    <row r="21" spans="1:14" ht="13.5" thickBot="1">
      <c r="A21" s="2383" t="s">
        <v>1487</v>
      </c>
      <c r="B21" s="2095"/>
      <c r="C21" s="3"/>
      <c r="D21" s="3"/>
      <c r="E21" s="3"/>
      <c r="F21" s="3"/>
      <c r="G21" s="3"/>
      <c r="H21" s="3" t="s">
        <v>1187</v>
      </c>
      <c r="I21" s="3"/>
      <c r="J21" s="3"/>
      <c r="K21" s="233"/>
      <c r="L21" s="1625"/>
      <c r="M21" s="1626">
        <f>SUMIFS(M7:M14,H7:H14,$H$21,N7:N14,$N$21)</f>
        <v>0</v>
      </c>
      <c r="N21" s="2384" t="s">
        <v>1527</v>
      </c>
    </row>
    <row r="22" spans="1:14" ht="13.5" thickBot="1">
      <c r="A22" s="2383" t="s">
        <v>1488</v>
      </c>
      <c r="B22" s="2095"/>
      <c r="C22" s="3"/>
      <c r="D22" s="3"/>
      <c r="E22" s="3"/>
      <c r="F22" s="3"/>
      <c r="G22" s="3"/>
      <c r="H22" s="3" t="s">
        <v>1188</v>
      </c>
      <c r="I22" s="3"/>
      <c r="J22" s="3"/>
      <c r="K22" s="233"/>
      <c r="L22" s="1627"/>
      <c r="M22" s="1626">
        <f>SUMIFS(M7:M14,H7:H14,$H$22,N7:N14,$N$22)</f>
        <v>15.974</v>
      </c>
      <c r="N22" s="2384" t="s">
        <v>1527</v>
      </c>
    </row>
    <row r="23" spans="1:14" ht="13.5" thickBot="1">
      <c r="A23" s="2383" t="s">
        <v>1487</v>
      </c>
      <c r="B23" s="2095"/>
      <c r="C23" s="3"/>
      <c r="D23" s="3"/>
      <c r="E23" s="3"/>
      <c r="F23" s="3"/>
      <c r="G23" s="3"/>
      <c r="H23" s="3" t="s">
        <v>1187</v>
      </c>
      <c r="I23" s="3"/>
      <c r="J23" s="3"/>
      <c r="K23" s="233"/>
      <c r="L23" s="1625"/>
      <c r="M23" s="1626">
        <f>SUMIFS(M7:M14,H7:H14,$H$23,N7:N14,$N$23)</f>
        <v>0</v>
      </c>
      <c r="N23" s="2384" t="s">
        <v>1528</v>
      </c>
    </row>
    <row r="24" spans="1:14" ht="13.5" thickBot="1">
      <c r="A24" s="2383" t="s">
        <v>1488</v>
      </c>
      <c r="B24" s="2095"/>
      <c r="C24" s="3"/>
      <c r="D24" s="3"/>
      <c r="E24" s="3"/>
      <c r="F24" s="3"/>
      <c r="G24" s="3"/>
      <c r="H24" s="3" t="s">
        <v>1188</v>
      </c>
      <c r="I24" s="3"/>
      <c r="J24" s="3"/>
      <c r="K24" s="233"/>
      <c r="L24" s="1627"/>
      <c r="M24" s="1626">
        <f>SUMIFS(M7:M14,H7:H14,$H$24,N7:N14,$N$24)</f>
        <v>4.2679999999999998</v>
      </c>
      <c r="N24" s="2384" t="s">
        <v>1528</v>
      </c>
    </row>
    <row r="25" spans="1:14" ht="13.5" thickBot="1">
      <c r="A25" s="2383" t="s">
        <v>1487</v>
      </c>
      <c r="B25" s="2219"/>
      <c r="C25" s="2220"/>
      <c r="D25" s="2220"/>
      <c r="E25" s="2220"/>
      <c r="F25" s="2220"/>
      <c r="G25" s="2220"/>
      <c r="H25" s="2220" t="s">
        <v>1187</v>
      </c>
      <c r="I25" s="2220"/>
      <c r="J25" s="2220"/>
      <c r="K25" s="2221"/>
      <c r="L25" s="2222"/>
      <c r="M25" s="2223">
        <f>SUMIFS(M7:M14,H7:H14,$H$25,N7:N14,$N$25)</f>
        <v>0</v>
      </c>
      <c r="N25" s="2385"/>
    </row>
    <row r="26" spans="1:14" s="7" customFormat="1">
      <c r="A26" s="2096" t="s">
        <v>792</v>
      </c>
      <c r="B26" s="425"/>
      <c r="C26" s="425"/>
      <c r="D26" s="425"/>
      <c r="E26" s="425"/>
      <c r="F26" s="425"/>
      <c r="G26" s="425"/>
      <c r="H26" s="425"/>
      <c r="I26" s="425"/>
      <c r="J26" s="425"/>
      <c r="K26" s="2097"/>
      <c r="L26" s="2097"/>
      <c r="M26" s="2098"/>
      <c r="N26" s="1606"/>
    </row>
    <row r="27" spans="1:14" s="7" customFormat="1">
      <c r="A27" s="2096"/>
      <c r="B27" s="425"/>
      <c r="C27" s="425"/>
      <c r="D27" s="425"/>
      <c r="E27" s="425"/>
      <c r="F27" s="425"/>
      <c r="G27" s="425"/>
      <c r="H27" s="425"/>
      <c r="I27" s="425"/>
      <c r="J27" s="425"/>
      <c r="K27" s="2097"/>
      <c r="L27" s="2097"/>
      <c r="M27" s="2098"/>
      <c r="N27" s="1606"/>
    </row>
    <row r="28" spans="1:14" s="7" customFormat="1">
      <c r="A28"/>
      <c r="B28"/>
      <c r="C28"/>
      <c r="D28"/>
      <c r="E28"/>
      <c r="F28"/>
      <c r="G28"/>
      <c r="H28"/>
      <c r="I28"/>
      <c r="J28"/>
      <c r="K28"/>
      <c r="L28"/>
      <c r="M28"/>
    </row>
    <row r="29" spans="1:14" s="7" customFormat="1" ht="18" customHeight="1">
      <c r="A29" s="81" t="s">
        <v>21</v>
      </c>
      <c r="C29" s="194" t="s">
        <v>219</v>
      </c>
      <c r="D29" s="195" t="s">
        <v>224</v>
      </c>
      <c r="E29" s="388"/>
      <c r="F29" s="388"/>
      <c r="G29" s="388"/>
    </row>
    <row r="30" spans="1:14" s="7" customFormat="1">
      <c r="D30" s="195" t="s">
        <v>1645</v>
      </c>
    </row>
    <row r="31" spans="1:14" s="7" customFormat="1" ht="18" customHeight="1">
      <c r="A31" s="7" t="s">
        <v>128</v>
      </c>
      <c r="D31" s="7" t="s">
        <v>135</v>
      </c>
      <c r="G31" s="186"/>
      <c r="H31" s="186"/>
      <c r="K31" s="3057" t="s">
        <v>238</v>
      </c>
      <c r="L31" s="3057"/>
      <c r="M31" s="3057"/>
      <c r="N31" s="3057"/>
    </row>
    <row r="32" spans="1:14" s="7" customFormat="1" ht="18" customHeight="1">
      <c r="A32" s="7" t="s">
        <v>26</v>
      </c>
      <c r="D32" s="7" t="s">
        <v>212</v>
      </c>
      <c r="G32" s="186"/>
      <c r="H32" s="186"/>
      <c r="K32" s="3057"/>
      <c r="L32" s="3057"/>
      <c r="M32" s="3057"/>
      <c r="N32" s="3057"/>
    </row>
    <row r="33" spans="1:14" s="7" customFormat="1" ht="18" customHeight="1">
      <c r="A33" s="7" t="s">
        <v>36</v>
      </c>
      <c r="D33" s="7" t="s">
        <v>129</v>
      </c>
      <c r="G33" s="186"/>
      <c r="H33" s="186"/>
      <c r="K33" s="3057"/>
      <c r="L33" s="3057"/>
      <c r="M33" s="3057"/>
      <c r="N33" s="3057"/>
    </row>
    <row r="34" spans="1:14" s="7" customFormat="1" ht="18" customHeight="1">
      <c r="A34" s="7" t="s">
        <v>38</v>
      </c>
      <c r="D34" s="7" t="s">
        <v>129</v>
      </c>
      <c r="G34" s="186"/>
      <c r="H34" s="186"/>
      <c r="K34" s="3057"/>
      <c r="L34" s="3057"/>
      <c r="M34" s="3057"/>
      <c r="N34" s="3057"/>
    </row>
    <row r="35" spans="1:14" s="7" customFormat="1" ht="18" customHeight="1">
      <c r="A35" s="7" t="s">
        <v>40</v>
      </c>
      <c r="D35" s="7" t="s">
        <v>23</v>
      </c>
      <c r="K35" s="3057"/>
      <c r="L35" s="3057"/>
      <c r="M35" s="3057"/>
      <c r="N35" s="3057"/>
    </row>
    <row r="36" spans="1:14" s="7" customFormat="1" ht="18" customHeight="1">
      <c r="A36" s="7" t="s">
        <v>41</v>
      </c>
      <c r="D36" s="7" t="s">
        <v>23</v>
      </c>
      <c r="K36" s="3057"/>
      <c r="L36" s="3057"/>
      <c r="M36" s="3057"/>
      <c r="N36" s="3057"/>
    </row>
    <row r="37" spans="1:14" s="7" customFormat="1" ht="18" customHeight="1">
      <c r="A37" s="197" t="s">
        <v>230</v>
      </c>
      <c r="D37" s="197" t="s">
        <v>1212</v>
      </c>
      <c r="K37" s="3057"/>
      <c r="L37" s="3057"/>
      <c r="M37" s="3057"/>
      <c r="N37" s="3057"/>
    </row>
    <row r="38" spans="1:14" s="7" customFormat="1" ht="18" customHeight="1">
      <c r="A38" s="197" t="s">
        <v>231</v>
      </c>
      <c r="D38" s="197" t="s">
        <v>232</v>
      </c>
      <c r="K38" s="3057"/>
      <c r="L38" s="3057"/>
      <c r="M38" s="3057"/>
      <c r="N38" s="3057"/>
    </row>
    <row r="39" spans="1:14" s="7" customFormat="1" ht="18" customHeight="1">
      <c r="A39" s="197" t="s">
        <v>233</v>
      </c>
      <c r="D39" s="197" t="s">
        <v>234</v>
      </c>
    </row>
    <row r="40" spans="1:14">
      <c r="A40" s="197" t="s">
        <v>235</v>
      </c>
      <c r="B40" s="7"/>
      <c r="C40" s="7"/>
      <c r="D40" s="197" t="s">
        <v>1067</v>
      </c>
      <c r="E40" s="7"/>
      <c r="F40" s="7"/>
      <c r="G40" s="7"/>
      <c r="H40" s="7"/>
      <c r="I40" s="7"/>
      <c r="J40" s="7"/>
      <c r="K40" s="7"/>
      <c r="L40" s="7"/>
      <c r="M40" s="7"/>
      <c r="N40" s="7"/>
    </row>
    <row r="41" spans="1:14">
      <c r="A41" s="197" t="s">
        <v>236</v>
      </c>
      <c r="B41" s="7"/>
      <c r="C41" s="7"/>
      <c r="D41" s="197" t="s">
        <v>237</v>
      </c>
      <c r="E41" s="7"/>
      <c r="F41" s="7"/>
      <c r="G41" s="7"/>
      <c r="H41" s="7"/>
      <c r="I41" s="7"/>
      <c r="J41" s="7"/>
      <c r="K41" s="7"/>
      <c r="L41" s="7"/>
      <c r="M41" s="7"/>
      <c r="N41" s="7"/>
    </row>
    <row r="43" spans="1:14">
      <c r="A43" s="335" t="s">
        <v>1434</v>
      </c>
      <c r="B43" s="335" t="s">
        <v>1435</v>
      </c>
      <c r="D43" s="197"/>
    </row>
    <row r="44" spans="1:14">
      <c r="A44" s="335" t="s">
        <v>1554</v>
      </c>
      <c r="B44" s="335" t="s">
        <v>1550</v>
      </c>
      <c r="C44" s="2196" t="s">
        <v>1442</v>
      </c>
      <c r="D44" s="197"/>
    </row>
  </sheetData>
  <sheetProtection algorithmName="SHA-512" hashValue="gIwqYBlTmfKPlNllCB5g6Zw+lwQZOFBOHm+gmEcLpTsccOTRcHC5M9YlU5/tsDHFrAhxvBSHXfNrIOAdTheWZA==" saltValue="mUFbigl7Fx+FwxogbUbc6g==" spinCount="100000" sheet="1" objects="1" scenarios="1"/>
  <mergeCells count="3">
    <mergeCell ref="K31:N38"/>
    <mergeCell ref="A1:L1"/>
    <mergeCell ref="A2:N2"/>
  </mergeCells>
  <phoneticPr fontId="0" type="noConversion"/>
  <pageMargins left="0.7" right="0.7" top="0.78740157499999996" bottom="0.78740157499999996" header="0.3" footer="0.3"/>
  <pageSetup paperSize="9" scale="63" fitToHeight="0" orientation="landscape" r:id="rId1"/>
  <headerFooter>
    <oddHeader>&amp;LVDV SUN Jahresschlussrechnung JJJJ&amp;R&amp;KFF0000&amp;F</oddHeader>
    <oddFooter>&amp;C&amp;P&amp;R&amp;A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70C0"/>
  </sheetPr>
  <dimension ref="A1:M33"/>
  <sheetViews>
    <sheetView zoomScale="80" zoomScaleNormal="80" zoomScaleSheetLayoutView="80" zoomScalePageLayoutView="80" workbookViewId="0">
      <selection activeCell="G20" sqref="G20"/>
    </sheetView>
  </sheetViews>
  <sheetFormatPr baseColWidth="10" defaultRowHeight="12.75"/>
  <cols>
    <col min="1" max="1" width="8.5703125" customWidth="1"/>
    <col min="2" max="2" width="61.85546875" customWidth="1"/>
    <col min="3" max="3" width="13.42578125" customWidth="1"/>
    <col min="4" max="4" width="17.85546875" bestFit="1" customWidth="1"/>
    <col min="5" max="5" width="17.140625" customWidth="1"/>
    <col min="6" max="6" width="21.28515625" customWidth="1"/>
    <col min="7" max="7" width="16" customWidth="1"/>
    <col min="8" max="8" width="13.7109375" bestFit="1" customWidth="1"/>
    <col min="9" max="9" width="12.85546875" customWidth="1"/>
    <col min="10" max="10" width="17.85546875" bestFit="1" customWidth="1"/>
    <col min="11" max="11" width="11.85546875" customWidth="1"/>
    <col min="12" max="12" width="43.7109375" customWidth="1"/>
  </cols>
  <sheetData>
    <row r="1" spans="1:13" s="74" customFormat="1" ht="18" customHeight="1">
      <c r="B1" s="3227" t="s">
        <v>1490</v>
      </c>
      <c r="C1" s="3227"/>
      <c r="D1" s="3227"/>
      <c r="E1" s="3227"/>
      <c r="F1" s="3227"/>
      <c r="G1" s="3227"/>
      <c r="H1" s="3227"/>
      <c r="I1" s="3227"/>
      <c r="J1" s="3227"/>
      <c r="K1" s="3227"/>
    </row>
    <row r="2" spans="1:13" s="75" customFormat="1" ht="23.25" customHeight="1" thickBot="1">
      <c r="A2" s="3233" t="str">
        <f>'1a_Leistungsvolumen'!A2</f>
        <v>Monat JJJJ</v>
      </c>
      <c r="B2" s="3233"/>
      <c r="C2" s="3233"/>
      <c r="D2" s="3233"/>
      <c r="E2" s="3233"/>
      <c r="F2" s="3233"/>
      <c r="G2" s="3233"/>
      <c r="H2" s="3233"/>
      <c r="I2" s="3233"/>
      <c r="J2" s="3233"/>
      <c r="K2" s="3233"/>
    </row>
    <row r="3" spans="1:13" s="75" customFormat="1" ht="35.25" customHeight="1" thickBot="1">
      <c r="B3" s="2345"/>
      <c r="C3" s="2346"/>
      <c r="D3" s="2127" t="s">
        <v>743</v>
      </c>
      <c r="E3" s="719" t="s">
        <v>1526</v>
      </c>
      <c r="F3" s="719" t="s">
        <v>1527</v>
      </c>
      <c r="G3" s="719" t="s">
        <v>1552</v>
      </c>
      <c r="H3" s="719" t="s">
        <v>1551</v>
      </c>
      <c r="I3" s="719" t="s">
        <v>1528</v>
      </c>
      <c r="J3" s="719" t="s">
        <v>1666</v>
      </c>
      <c r="K3" s="719" t="s">
        <v>1553</v>
      </c>
    </row>
    <row r="4" spans="1:13" s="75" customFormat="1" ht="23.25" customHeight="1" thickBot="1">
      <c r="B4" s="3206" t="s">
        <v>1213</v>
      </c>
      <c r="C4" s="3207"/>
      <c r="D4" s="2396">
        <v>1</v>
      </c>
      <c r="E4" s="1999"/>
      <c r="F4" s="1999"/>
      <c r="G4" s="1999"/>
      <c r="H4" s="1999"/>
      <c r="I4" s="1999"/>
      <c r="J4" s="1999"/>
      <c r="K4" s="1999"/>
    </row>
    <row r="5" spans="1:13" s="75" customFormat="1" ht="23.25" customHeight="1" thickBot="1">
      <c r="B5" s="3208" t="s">
        <v>453</v>
      </c>
      <c r="C5" s="3209"/>
      <c r="D5" s="1616">
        <f>SUM($E$5:$K$5)</f>
        <v>7608</v>
      </c>
      <c r="E5" s="2386">
        <f t="shared" ref="E5:K5" si="0">SUMIFS($K$9:$K$24,$L$9:$L$24,E3)</f>
        <v>610</v>
      </c>
      <c r="F5" s="2386">
        <f t="shared" si="0"/>
        <v>128</v>
      </c>
      <c r="G5" s="2386">
        <f t="shared" si="0"/>
        <v>6870</v>
      </c>
      <c r="H5" s="2386">
        <f t="shared" si="0"/>
        <v>0</v>
      </c>
      <c r="I5" s="2386">
        <f t="shared" si="0"/>
        <v>0</v>
      </c>
      <c r="J5" s="2386">
        <f t="shared" si="0"/>
        <v>0</v>
      </c>
      <c r="K5" s="2386">
        <f t="shared" si="0"/>
        <v>0</v>
      </c>
    </row>
    <row r="6" spans="1:13" s="75" customFormat="1" ht="23.25" customHeight="1" thickBot="1">
      <c r="B6" s="3210" t="s">
        <v>201</v>
      </c>
      <c r="C6" s="3211"/>
      <c r="D6" s="1564">
        <f>SUM($E$6:$K$6)</f>
        <v>-7608</v>
      </c>
      <c r="E6" s="1617">
        <f t="shared" ref="E6:H6" si="1">E5*$D$4*-1</f>
        <v>-610</v>
      </c>
      <c r="F6" s="1617">
        <f t="shared" si="1"/>
        <v>-128</v>
      </c>
      <c r="G6" s="1617">
        <f t="shared" si="1"/>
        <v>-6870</v>
      </c>
      <c r="H6" s="1617">
        <f t="shared" si="1"/>
        <v>0</v>
      </c>
      <c r="I6" s="1617">
        <f>I5*$D$4*-1</f>
        <v>0</v>
      </c>
      <c r="J6" s="1617">
        <f>J5*$D$4*-1</f>
        <v>0</v>
      </c>
      <c r="K6" s="1617">
        <f>K5*$D$4*-1</f>
        <v>0</v>
      </c>
    </row>
    <row r="7" spans="1:13" s="75" customFormat="1" ht="23.25" customHeight="1" thickBot="1">
      <c r="B7" s="584"/>
      <c r="C7" s="584"/>
      <c r="D7" s="584"/>
      <c r="E7" s="584"/>
      <c r="F7" s="584"/>
    </row>
    <row r="8" spans="1:13" s="6" customFormat="1" ht="64.5" thickBot="1">
      <c r="A8" s="3340" t="s">
        <v>0</v>
      </c>
      <c r="B8" s="3341"/>
      <c r="C8" s="52" t="s">
        <v>520</v>
      </c>
      <c r="D8" s="52" t="s">
        <v>521</v>
      </c>
      <c r="E8" s="61" t="s">
        <v>522</v>
      </c>
      <c r="F8" s="61" t="s">
        <v>523</v>
      </c>
      <c r="G8" s="1499" t="s">
        <v>1396</v>
      </c>
      <c r="H8" s="1851" t="s">
        <v>524</v>
      </c>
      <c r="I8" s="61" t="s">
        <v>526</v>
      </c>
      <c r="J8" s="61" t="s">
        <v>527</v>
      </c>
      <c r="K8" s="61" t="s">
        <v>525</v>
      </c>
      <c r="L8" s="61" t="s">
        <v>1167</v>
      </c>
    </row>
    <row r="9" spans="1:13" s="6" customFormat="1" ht="16.5" customHeight="1">
      <c r="A9" s="2387" t="str">
        <f>'1a_Leistungsvolumen'!A6</f>
        <v>RE 7</v>
      </c>
      <c r="B9" s="2388" t="str">
        <f>'1a_Leistungsvolumen'!B6</f>
        <v>Erfurt - Suhl - Grimmenthal - Ebenhausen - Schweinfurt - Würzburg</v>
      </c>
      <c r="C9" s="1978">
        <f>'1a_Leistungsvolumen'!$C$21</f>
        <v>52500</v>
      </c>
      <c r="D9" s="1978">
        <v>356.36500000000001</v>
      </c>
      <c r="E9" s="1979">
        <v>0</v>
      </c>
      <c r="F9" s="1980">
        <f>C9-D9-E9</f>
        <v>52143.635000000002</v>
      </c>
      <c r="G9" s="1975">
        <v>17</v>
      </c>
      <c r="H9" s="1980">
        <f t="shared" ref="H9:H14" si="2">F9-G9</f>
        <v>52126.635000000002</v>
      </c>
      <c r="I9" s="1981">
        <f>IF(F9=0,0,H9/F9*95)</f>
        <v>94.96902785929673</v>
      </c>
      <c r="J9" s="1981">
        <v>95</v>
      </c>
      <c r="K9" s="1982">
        <f t="shared" ref="K9:K14" si="3">IF(I9&gt;J9,0,F9*J9/95-H9)</f>
        <v>17</v>
      </c>
      <c r="L9" s="2420" t="s">
        <v>1526</v>
      </c>
    </row>
    <row r="10" spans="1:13" s="6" customFormat="1" ht="16.5" customHeight="1">
      <c r="A10" s="2389" t="s">
        <v>1529</v>
      </c>
      <c r="B10" s="2390" t="s">
        <v>1540</v>
      </c>
      <c r="C10" s="1983">
        <f>'1a_Leistungsvolumen'!$D$21</f>
        <v>53333</v>
      </c>
      <c r="D10" s="1983">
        <v>236.36500000000001</v>
      </c>
      <c r="E10" s="1984">
        <v>0</v>
      </c>
      <c r="F10" s="1985">
        <f>C10-D10-E10</f>
        <v>53096.635000000002</v>
      </c>
      <c r="G10" s="2412">
        <v>43</v>
      </c>
      <c r="H10" s="1985">
        <f t="shared" ref="H10" si="4">F10-G10</f>
        <v>53053.635000000002</v>
      </c>
      <c r="I10" s="1986">
        <f>IF(F10=0,0,H10/F10*95)</f>
        <v>94.923064804389199</v>
      </c>
      <c r="J10" s="1986">
        <v>95</v>
      </c>
      <c r="K10" s="1984">
        <f t="shared" si="3"/>
        <v>43</v>
      </c>
      <c r="L10" s="2421" t="s">
        <v>1527</v>
      </c>
    </row>
    <row r="11" spans="1:13" s="6" customFormat="1" ht="16.5" customHeight="1">
      <c r="A11" s="2389" t="str">
        <f>'1a_Leistungsvolumen'!A7</f>
        <v>RE 57</v>
      </c>
      <c r="B11" s="2390" t="str">
        <f>'1a_Leistungsvolumen'!B7</f>
        <v>Bad Kissingen - Ebenhausen - Schweinfurt - Würzburg</v>
      </c>
      <c r="C11" s="1983">
        <f>'1a_Leistungsvolumen'!$D$22</f>
        <v>5333</v>
      </c>
      <c r="D11" s="1983">
        <v>15</v>
      </c>
      <c r="E11" s="1984">
        <v>0</v>
      </c>
      <c r="F11" s="1985">
        <f t="shared" ref="F11:F12" si="5">C11-D11-E11</f>
        <v>5318</v>
      </c>
      <c r="G11" s="1976">
        <v>85</v>
      </c>
      <c r="H11" s="1985">
        <f t="shared" si="2"/>
        <v>5233</v>
      </c>
      <c r="I11" s="1981">
        <f t="shared" ref="I11:I13" si="6">IF(F11=0,0,H11/F11*95)</f>
        <v>93.481572019556225</v>
      </c>
      <c r="J11" s="1986">
        <v>95</v>
      </c>
      <c r="K11" s="1984">
        <f t="shared" si="3"/>
        <v>85</v>
      </c>
      <c r="L11" s="2421" t="s">
        <v>1527</v>
      </c>
    </row>
    <row r="12" spans="1:13" s="6" customFormat="1" ht="16.5" customHeight="1">
      <c r="A12" s="2389" t="str">
        <f>'1a_Leistungsvolumen'!A8</f>
        <v>RE 70</v>
      </c>
      <c r="B12" s="2390" t="str">
        <f>'1a_Leistungsvolumen'!B8</f>
        <v>Erfurt - Suhl - Grimmenthal - Meiningen</v>
      </c>
      <c r="C12" s="1983">
        <f>'1a_Leistungsvolumen'!$C$23</f>
        <v>4166</v>
      </c>
      <c r="D12" s="1983">
        <v>7</v>
      </c>
      <c r="E12" s="1984">
        <v>0</v>
      </c>
      <c r="F12" s="1985">
        <f t="shared" si="5"/>
        <v>4159</v>
      </c>
      <c r="G12" s="1976">
        <v>593</v>
      </c>
      <c r="H12" s="1985">
        <f t="shared" si="2"/>
        <v>3566</v>
      </c>
      <c r="I12" s="1981">
        <f>IF(F12=0,0,H12/F12*95)</f>
        <v>81.454676604953121</v>
      </c>
      <c r="J12" s="1986">
        <v>95</v>
      </c>
      <c r="K12" s="1984">
        <f t="shared" si="3"/>
        <v>593</v>
      </c>
      <c r="L12" s="2421" t="s">
        <v>1526</v>
      </c>
    </row>
    <row r="13" spans="1:13" s="6" customFormat="1" ht="16.5" customHeight="1">
      <c r="A13" s="2371" t="str">
        <f>'1a_Leistungsvolumen'!A9</f>
        <v>RS 5</v>
      </c>
      <c r="B13" s="2391" t="str">
        <f>'1a_Leistungsvolumen'!B9</f>
        <v>Würzburg - Seligenstadt - Volkach-Astheim</v>
      </c>
      <c r="C13" s="1987">
        <f>'1a_Leistungsvolumen'!E24</f>
        <v>30000</v>
      </c>
      <c r="D13" s="1987">
        <v>300</v>
      </c>
      <c r="E13" s="1982">
        <v>230</v>
      </c>
      <c r="F13" s="1980">
        <f t="shared" ref="F13" si="7">C13-D13-E13</f>
        <v>29470</v>
      </c>
      <c r="G13" s="1977">
        <v>6870</v>
      </c>
      <c r="H13" s="1980">
        <f t="shared" si="2"/>
        <v>22600</v>
      </c>
      <c r="I13" s="1981">
        <f t="shared" si="6"/>
        <v>72.853749575839842</v>
      </c>
      <c r="J13" s="1981">
        <v>95</v>
      </c>
      <c r="K13" s="1982">
        <f t="shared" si="3"/>
        <v>6870</v>
      </c>
      <c r="L13" s="2420" t="s">
        <v>1552</v>
      </c>
    </row>
    <row r="14" spans="1:13" s="6" customFormat="1" ht="16.5" customHeight="1">
      <c r="A14" s="2371" t="str">
        <f>'1a_Leistungsvolumen'!A10</f>
        <v>RB 40</v>
      </c>
      <c r="B14" s="2391" t="str">
        <f>'1a_Leistungsvolumen'!B10</f>
        <v>Erfurt - Suhl - Grimmenthal - Ebenhausen - Schweinfurt</v>
      </c>
      <c r="C14" s="2900">
        <f>'1a_Leistungsvolumen'!F25</f>
        <v>52500</v>
      </c>
      <c r="D14" s="1987">
        <v>0</v>
      </c>
      <c r="E14" s="1984">
        <v>57</v>
      </c>
      <c r="F14" s="1985">
        <f>C14-D14-E14</f>
        <v>52443</v>
      </c>
      <c r="G14" s="1977">
        <v>80</v>
      </c>
      <c r="H14" s="1985">
        <f t="shared" si="2"/>
        <v>52363</v>
      </c>
      <c r="I14" s="1981">
        <f>IF(F14=0,0,H14/F14*95)</f>
        <v>94.855080754342808</v>
      </c>
      <c r="J14" s="1986">
        <v>95</v>
      </c>
      <c r="K14" s="1984">
        <f t="shared" si="3"/>
        <v>80</v>
      </c>
      <c r="L14" s="2902" t="s">
        <v>1566</v>
      </c>
      <c r="M14" s="2903" t="s">
        <v>1706</v>
      </c>
    </row>
    <row r="15" spans="1:13" s="6" customFormat="1" ht="16.5" customHeight="1">
      <c r="A15" s="2371" t="s">
        <v>1533</v>
      </c>
      <c r="B15" s="2392" t="s">
        <v>1544</v>
      </c>
      <c r="C15" s="2901">
        <f>'1a_Leistungsvolumen'!G25</f>
        <v>32500</v>
      </c>
      <c r="D15" s="2415" t="s">
        <v>792</v>
      </c>
      <c r="E15" s="1984"/>
      <c r="F15" s="1985"/>
      <c r="G15" s="2395"/>
      <c r="H15" s="1985"/>
      <c r="I15" s="1986"/>
      <c r="J15" s="1986"/>
      <c r="K15" s="1984"/>
      <c r="L15" s="2902" t="s">
        <v>1528</v>
      </c>
      <c r="M15" s="2903" t="s">
        <v>1706</v>
      </c>
    </row>
    <row r="16" spans="1:13" s="6" customFormat="1" ht="16.5" customHeight="1">
      <c r="A16" s="2371" t="str">
        <f>'1a_Leistungsvolumen'!A11</f>
        <v>RB 44</v>
      </c>
      <c r="B16" s="2392" t="str">
        <f>'1a_Leistungsvolumen'!B11</f>
        <v>Erfurt - Suhl - Grimmenthal - Meiningen</v>
      </c>
      <c r="C16" s="2901">
        <f>'1a_Leistungsvolumen'!F26</f>
        <v>11666</v>
      </c>
      <c r="D16" s="2182"/>
      <c r="E16" s="2394"/>
      <c r="F16" s="1985"/>
      <c r="G16" s="2395"/>
      <c r="H16" s="1985"/>
      <c r="I16" s="1986"/>
      <c r="J16" s="1986"/>
      <c r="K16" s="1985"/>
      <c r="L16" s="2902" t="s">
        <v>1566</v>
      </c>
      <c r="M16" s="2903" t="s">
        <v>1706</v>
      </c>
    </row>
    <row r="17" spans="1:12" s="6" customFormat="1" ht="16.5" customHeight="1">
      <c r="A17" s="2371" t="str">
        <f>'1a_Leistungsvolumen'!A12</f>
        <v>RB 41</v>
      </c>
      <c r="B17" s="2391" t="str">
        <f>'1a_Leistungsvolumen'!B12</f>
        <v>Eisenach - Meiningen - Eisfeld - Sonneberg - Neuhaus am Rennweg</v>
      </c>
      <c r="C17" s="1987">
        <f>'1a_Leistungsvolumen'!F27</f>
        <v>169000</v>
      </c>
      <c r="D17" s="1987"/>
      <c r="E17" s="1982"/>
      <c r="F17" s="1980"/>
      <c r="G17" s="1977"/>
      <c r="H17" s="1980"/>
      <c r="I17" s="1981"/>
      <c r="J17" s="1981"/>
      <c r="K17" s="1982"/>
      <c r="L17" s="2420" t="s">
        <v>1551</v>
      </c>
    </row>
    <row r="18" spans="1:12" s="6" customFormat="1" ht="16.5" customHeight="1">
      <c r="A18" s="2371" t="s">
        <v>1535</v>
      </c>
      <c r="B18" s="2392" t="s">
        <v>1545</v>
      </c>
      <c r="C18" s="2182">
        <f>'1a_Leistungsvolumen'!I27</f>
        <v>0</v>
      </c>
      <c r="D18" s="2182"/>
      <c r="E18" s="1984"/>
      <c r="F18" s="1985"/>
      <c r="G18" s="2395"/>
      <c r="H18" s="1985"/>
      <c r="I18" s="1986"/>
      <c r="J18" s="1986"/>
      <c r="K18" s="1984"/>
      <c r="L18" s="2421" t="s">
        <v>1553</v>
      </c>
    </row>
    <row r="19" spans="1:12" s="6" customFormat="1" ht="16.5" customHeight="1">
      <c r="A19" s="2371" t="str">
        <f>'1a_Leistungsvolumen'!A13</f>
        <v>RB 43</v>
      </c>
      <c r="B19" s="2391" t="str">
        <f>'1a_Leistungsvolumen'!B13</f>
        <v>Wernshausen - Zella-Mehlis</v>
      </c>
      <c r="C19" s="1987">
        <f>'1a_Leistungsvolumen'!F28</f>
        <v>31666</v>
      </c>
      <c r="D19" s="1987"/>
      <c r="E19" s="1988"/>
      <c r="F19" s="1980"/>
      <c r="G19" s="1977"/>
      <c r="H19" s="92"/>
      <c r="I19" s="1981"/>
      <c r="J19" s="1989"/>
      <c r="K19" s="1982"/>
      <c r="L19" s="2422" t="s">
        <v>1551</v>
      </c>
    </row>
    <row r="20" spans="1:12" s="7" customFormat="1" ht="18" customHeight="1">
      <c r="A20" s="2371" t="str">
        <f>'1a_Leistungsvolumen'!A14</f>
        <v>RB 49</v>
      </c>
      <c r="B20" s="2391" t="str">
        <f>'1a_Leistungsvolumen'!B14</f>
        <v>Ilmenau - Rennsteig</v>
      </c>
      <c r="C20" s="2418">
        <f>'1a_Leistungsvolumen'!I29</f>
        <v>1166</v>
      </c>
      <c r="D20" s="1987"/>
      <c r="E20" s="1982"/>
      <c r="F20" s="1980"/>
      <c r="G20" s="1977"/>
      <c r="H20" s="1980"/>
      <c r="I20" s="1981"/>
      <c r="J20" s="1989"/>
      <c r="K20" s="1982"/>
      <c r="L20" s="2420" t="s">
        <v>1553</v>
      </c>
    </row>
    <row r="21" spans="1:12" s="1850" customFormat="1" ht="18" customHeight="1">
      <c r="A21" s="2371" t="str">
        <f>'1a_Leistungsvolumen'!A15</f>
        <v>RB 50</v>
      </c>
      <c r="B21" s="2391" t="str">
        <f>'1a_Leistungsvolumen'!B15</f>
        <v>Gemünden - Hammelburg - Bad Kissingen - Ebenhausen - Schweinfurt</v>
      </c>
      <c r="C21" s="1983">
        <f>'1a_Leistungsvolumen'!G30</f>
        <v>68000</v>
      </c>
      <c r="D21" s="1987"/>
      <c r="E21" s="1984"/>
      <c r="F21" s="1985"/>
      <c r="G21" s="1990"/>
      <c r="H21" s="1985"/>
      <c r="I21" s="1981"/>
      <c r="J21" s="1989"/>
      <c r="K21" s="1984"/>
      <c r="L21" s="2421" t="s">
        <v>1528</v>
      </c>
    </row>
    <row r="22" spans="1:12" s="2762" customFormat="1" ht="18" customHeight="1">
      <c r="A22" s="2414" t="s">
        <v>1538</v>
      </c>
      <c r="B22" s="2392" t="s">
        <v>1548</v>
      </c>
      <c r="C22" s="1983">
        <v>0</v>
      </c>
      <c r="D22" s="2182"/>
      <c r="E22" s="1984"/>
      <c r="F22" s="1985"/>
      <c r="G22" s="1990"/>
      <c r="H22" s="1985"/>
      <c r="I22" s="1986"/>
      <c r="J22" s="2812"/>
      <c r="K22" s="1984"/>
      <c r="L22" s="2421" t="s">
        <v>1666</v>
      </c>
    </row>
    <row r="23" spans="1:12" s="7" customFormat="1" ht="18" customHeight="1">
      <c r="A23" s="2414" t="str">
        <f>'1a_Leistungsvolumen'!A16</f>
        <v>RB 59</v>
      </c>
      <c r="B23" s="2391" t="str">
        <f>'1a_Leistungsvolumen'!B16</f>
        <v>Meiningen - Bad Neustadt - Ebenhausen - Schweinfurt</v>
      </c>
      <c r="C23" s="2418">
        <f>'1a_Leistungsvolumen'!F31</f>
        <v>916</v>
      </c>
      <c r="D23" s="1987"/>
      <c r="E23" s="1982"/>
      <c r="F23" s="1980"/>
      <c r="G23" s="1990"/>
      <c r="H23" s="1980"/>
      <c r="I23" s="1981"/>
      <c r="J23" s="1989"/>
      <c r="K23" s="1980"/>
      <c r="L23" s="2420" t="s">
        <v>1551</v>
      </c>
    </row>
    <row r="24" spans="1:12" s="2300" customFormat="1" ht="18" customHeight="1" thickBot="1">
      <c r="A24" s="2393" t="s">
        <v>1539</v>
      </c>
      <c r="B24" s="2413" t="s">
        <v>1549</v>
      </c>
      <c r="C24" s="2419">
        <f>'1a_Leistungsvolumen'!G31</f>
        <v>10000</v>
      </c>
      <c r="D24" s="2407"/>
      <c r="E24" s="2408"/>
      <c r="F24" s="2409"/>
      <c r="G24" s="1991"/>
      <c r="H24" s="2410"/>
      <c r="I24" s="2411"/>
      <c r="J24" s="2411"/>
      <c r="K24" s="2409"/>
      <c r="L24" s="2423" t="s">
        <v>1613</v>
      </c>
    </row>
    <row r="25" spans="1:12" s="7" customFormat="1" ht="18" customHeight="1" thickBot="1">
      <c r="A25" s="3340" t="s">
        <v>137</v>
      </c>
      <c r="B25" s="3342"/>
      <c r="C25" s="1992">
        <f t="shared" ref="C25:H25" si="8">SUM(C9:C24)</f>
        <v>522746</v>
      </c>
      <c r="D25" s="1993">
        <f t="shared" si="8"/>
        <v>914.73</v>
      </c>
      <c r="E25" s="1994">
        <f t="shared" si="8"/>
        <v>287</v>
      </c>
      <c r="F25" s="1994">
        <f t="shared" si="8"/>
        <v>196630.27000000002</v>
      </c>
      <c r="G25" s="1995">
        <f t="shared" si="8"/>
        <v>7688</v>
      </c>
      <c r="H25" s="1996">
        <f t="shared" si="8"/>
        <v>188942.27000000002</v>
      </c>
      <c r="I25" s="1997"/>
      <c r="J25" s="1997"/>
      <c r="K25" s="1994">
        <f>SUM(K9:K24)</f>
        <v>7688</v>
      </c>
      <c r="L25" s="1998"/>
    </row>
    <row r="26" spans="1:12" s="7" customFormat="1" ht="17.25" customHeight="1">
      <c r="C26" s="98"/>
      <c r="D26" s="99"/>
      <c r="E26" s="99"/>
    </row>
    <row r="27" spans="1:12">
      <c r="A27" s="194" t="s">
        <v>219</v>
      </c>
      <c r="B27" s="195" t="s">
        <v>224</v>
      </c>
      <c r="C27" s="388"/>
      <c r="D27" s="388"/>
      <c r="E27" s="388"/>
      <c r="F27" s="7"/>
      <c r="G27" s="7"/>
      <c r="I27" s="3057" t="s">
        <v>240</v>
      </c>
      <c r="J27" s="3057"/>
      <c r="K27" s="3057"/>
    </row>
    <row r="28" spans="1:12">
      <c r="B28" s="195" t="s">
        <v>1645</v>
      </c>
      <c r="I28" s="3057"/>
      <c r="J28" s="3057"/>
      <c r="K28" s="3057"/>
    </row>
    <row r="29" spans="1:12">
      <c r="I29" s="3057"/>
      <c r="J29" s="3057"/>
      <c r="K29" s="3057"/>
    </row>
    <row r="30" spans="1:12">
      <c r="A30" s="335" t="s">
        <v>1434</v>
      </c>
      <c r="B30" s="335" t="s">
        <v>1435</v>
      </c>
      <c r="I30" s="3057"/>
      <c r="J30" s="3057"/>
      <c r="K30" s="3057"/>
    </row>
    <row r="31" spans="1:12">
      <c r="A31" s="335" t="s">
        <v>1554</v>
      </c>
      <c r="B31" s="335" t="s">
        <v>1550</v>
      </c>
      <c r="C31" s="2196" t="s">
        <v>1442</v>
      </c>
      <c r="I31" s="3057"/>
      <c r="J31" s="3057"/>
      <c r="K31" s="3057"/>
    </row>
    <row r="32" spans="1:12">
      <c r="I32" s="3057"/>
      <c r="J32" s="3057"/>
      <c r="K32" s="3057"/>
    </row>
    <row r="33" spans="9:11">
      <c r="I33" s="3057"/>
      <c r="J33" s="3057"/>
      <c r="K33" s="3057"/>
    </row>
  </sheetData>
  <sheetProtection algorithmName="SHA-512" hashValue="dyzHdEijLZ9mQ2Ge154KEyfedTjM3RRMclib7Z0y9CP5pPsghrz6TvqAMEPABZ9HcZug4Gv1S4BpHYR6nVuiAg==" saltValue="ERmuUvzT32mnlctTUDUfHQ==" spinCount="100000" sheet="1" objects="1" scenarios="1"/>
  <mergeCells count="8">
    <mergeCell ref="I27:K33"/>
    <mergeCell ref="B1:K1"/>
    <mergeCell ref="B5:C5"/>
    <mergeCell ref="A8:B8"/>
    <mergeCell ref="A25:B25"/>
    <mergeCell ref="A2:K2"/>
    <mergeCell ref="B4:C4"/>
    <mergeCell ref="B6:C6"/>
  </mergeCells>
  <pageMargins left="0.7" right="0.7" top="0.78740157499999996" bottom="0.78740157499999996" header="0.3" footer="0.3"/>
  <pageSetup paperSize="9" scale="50" fitToHeight="0" orientation="landscape" r:id="rId1"/>
  <headerFooter>
    <oddHeader>&amp;LVDV SUN Jahresschlussrechnung JJJJ&amp;R&amp;KFF0000&amp;F</oddHeader>
    <oddFooter>&amp;C&amp;P&amp;R&amp;A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52C6C-C242-4C2E-9695-1B117C96EA57}">
  <sheetPr>
    <tabColor rgb="FF0070C0"/>
  </sheetPr>
  <dimension ref="A1:S32"/>
  <sheetViews>
    <sheetView view="pageLayout" zoomScale="90" zoomScaleNormal="100" zoomScaleSheetLayoutView="80" zoomScalePageLayoutView="90" workbookViewId="0">
      <selection activeCell="O9" sqref="O9"/>
    </sheetView>
  </sheetViews>
  <sheetFormatPr baseColWidth="10" defaultRowHeight="12.75"/>
  <cols>
    <col min="1" max="1" width="13.28515625" customWidth="1"/>
    <col min="2" max="2" width="14.28515625" customWidth="1"/>
    <col min="3" max="3" width="14.42578125" customWidth="1"/>
    <col min="5" max="5" width="14.140625" customWidth="1"/>
    <col min="6" max="6" width="12.42578125" customWidth="1"/>
    <col min="7" max="7" width="13.7109375" customWidth="1"/>
    <col min="8" max="8" width="13" customWidth="1"/>
    <col min="9" max="9" width="12.28515625" customWidth="1"/>
    <col min="10" max="10" width="11.42578125" customWidth="1"/>
    <col min="11" max="11" width="16.7109375" customWidth="1"/>
    <col min="12" max="15" width="8.7109375" customWidth="1"/>
  </cols>
  <sheetData>
    <row r="1" spans="1:19" ht="18">
      <c r="A1" s="3233" t="s">
        <v>1491</v>
      </c>
      <c r="B1" s="3233"/>
      <c r="C1" s="3233"/>
      <c r="D1" s="3233"/>
      <c r="E1" s="3233"/>
      <c r="F1" s="3233"/>
      <c r="G1" s="3233"/>
      <c r="H1" s="3233"/>
      <c r="I1" s="3233"/>
      <c r="J1" s="3233"/>
      <c r="K1" s="3233"/>
      <c r="L1" s="3233"/>
      <c r="M1" s="3233"/>
      <c r="N1" s="3233"/>
      <c r="O1" s="3233"/>
      <c r="P1" s="3233"/>
      <c r="Q1" s="3233"/>
      <c r="R1" s="3233"/>
      <c r="S1" s="3233"/>
    </row>
    <row r="2" spans="1:19" ht="18.75" thickBot="1">
      <c r="A2" s="3228" t="str">
        <f>'1a_Leistungsvolumen'!A2</f>
        <v>Monat JJJJ</v>
      </c>
      <c r="B2" s="3228"/>
      <c r="C2" s="3228"/>
      <c r="D2" s="3228"/>
      <c r="E2" s="3228"/>
      <c r="F2" s="3228"/>
      <c r="G2" s="3228"/>
      <c r="H2" s="3228"/>
      <c r="I2" s="3228"/>
      <c r="J2" s="3228"/>
      <c r="K2" s="3228"/>
      <c r="L2" s="3228"/>
      <c r="M2" s="3228"/>
      <c r="N2" s="3228"/>
      <c r="O2" s="3228"/>
      <c r="P2" s="3228"/>
      <c r="Q2" s="3228"/>
      <c r="R2" s="3228"/>
      <c r="S2" s="3228"/>
    </row>
    <row r="3" spans="1:19" ht="39" thickBot="1">
      <c r="A3" s="76"/>
      <c r="B3" s="76"/>
      <c r="C3" s="77"/>
      <c r="D3" s="77"/>
      <c r="E3" s="2201" t="s">
        <v>743</v>
      </c>
      <c r="F3" s="2205" t="s">
        <v>1526</v>
      </c>
      <c r="G3" s="2205" t="s">
        <v>1527</v>
      </c>
      <c r="H3" s="2205" t="s">
        <v>1552</v>
      </c>
      <c r="I3" s="2205" t="s">
        <v>1551</v>
      </c>
      <c r="J3" s="2205" t="s">
        <v>1528</v>
      </c>
      <c r="K3" s="2205" t="s">
        <v>1666</v>
      </c>
      <c r="L3" s="2205" t="s">
        <v>1553</v>
      </c>
      <c r="M3" s="76"/>
      <c r="N3" s="76"/>
      <c r="O3" s="76"/>
      <c r="P3" s="472"/>
      <c r="Q3" s="74"/>
      <c r="R3" s="74"/>
      <c r="S3" s="74"/>
    </row>
    <row r="4" spans="1:19">
      <c r="A4" s="76"/>
      <c r="B4" s="76"/>
      <c r="C4" s="77"/>
      <c r="D4" s="77"/>
      <c r="E4" s="1971">
        <f>SUM($F$4:$L$4)</f>
        <v>1.0000001000000001</v>
      </c>
      <c r="F4" s="3030">
        <f>'1a_Leistungsvolumen'!$C$93</f>
        <v>9.7772999999999992E-3</v>
      </c>
      <c r="G4" s="3030">
        <f>'1a_Leistungsvolumen'!$D$93</f>
        <v>0.1214701</v>
      </c>
      <c r="H4" s="3030">
        <f>'1a_Leistungsvolumen'!$E$93</f>
        <v>6.2115400000000001E-2</v>
      </c>
      <c r="I4" s="3030">
        <f>'1a_Leistungsvolumen'!$F$93</f>
        <v>0.54540759999999999</v>
      </c>
      <c r="J4" s="3030">
        <f>'1a_Leistungsvolumen'!$G$93</f>
        <v>0.22948180000000001</v>
      </c>
      <c r="K4" s="3030">
        <f>'1a_Leistungsvolumen'!$H$93</f>
        <v>2.9332299999999999E-2</v>
      </c>
      <c r="L4" s="3030">
        <f>'1a_Leistungsvolumen'!$I$93</f>
        <v>2.4156E-3</v>
      </c>
      <c r="M4" s="76"/>
      <c r="N4" s="3031" t="s">
        <v>1706</v>
      </c>
      <c r="O4" s="76"/>
      <c r="P4" s="472"/>
      <c r="Q4" s="74"/>
      <c r="R4" s="74"/>
      <c r="S4" s="74"/>
    </row>
    <row r="5" spans="1:19">
      <c r="A5" s="3361" t="s">
        <v>1145</v>
      </c>
      <c r="B5" s="3361"/>
      <c r="C5" s="3175"/>
      <c r="D5" s="3175"/>
      <c r="E5" s="1973">
        <v>100</v>
      </c>
      <c r="F5" s="1973"/>
      <c r="G5" s="1973"/>
      <c r="H5" s="1973"/>
      <c r="I5" s="1973"/>
      <c r="J5" s="1973"/>
      <c r="K5" s="1973"/>
      <c r="L5" s="1973"/>
      <c r="M5" s="353"/>
      <c r="N5" s="353"/>
      <c r="O5" s="353"/>
      <c r="P5" s="74"/>
      <c r="Q5" s="74"/>
      <c r="R5" s="74"/>
      <c r="S5" s="74"/>
    </row>
    <row r="6" spans="1:19">
      <c r="A6" s="3361" t="s">
        <v>1281</v>
      </c>
      <c r="B6" s="3357"/>
      <c r="C6" s="3175"/>
      <c r="D6" s="3175"/>
      <c r="E6" s="1972">
        <f>$Q$22</f>
        <v>6</v>
      </c>
      <c r="F6" s="1974"/>
      <c r="G6" s="1974"/>
      <c r="H6" s="1974"/>
      <c r="I6" s="1974"/>
      <c r="J6" s="1974"/>
      <c r="K6" s="1974"/>
      <c r="L6" s="1974"/>
      <c r="M6" s="76"/>
      <c r="N6" s="76"/>
      <c r="O6" s="76"/>
      <c r="P6" s="74"/>
      <c r="Q6" s="74"/>
      <c r="R6" s="74"/>
      <c r="S6" s="74"/>
    </row>
    <row r="7" spans="1:19">
      <c r="A7" s="3361" t="s">
        <v>1401</v>
      </c>
      <c r="B7" s="3175"/>
      <c r="C7" s="3175"/>
      <c r="D7" s="3362"/>
      <c r="E7" s="1933">
        <f>$E$5*$E$6</f>
        <v>600</v>
      </c>
      <c r="F7" s="2424">
        <f>$E$7*$F$4</f>
        <v>5.8663799999999995</v>
      </c>
      <c r="G7" s="2424">
        <f>$E$7*$G$4</f>
        <v>72.882059999999996</v>
      </c>
      <c r="H7" s="2424">
        <f>$E$7*$H$4</f>
        <v>37.269240000000003</v>
      </c>
      <c r="I7" s="2424">
        <f>$E$7*$I$4</f>
        <v>327.24455999999998</v>
      </c>
      <c r="J7" s="2424">
        <f>$E$7*$J$4</f>
        <v>137.68908000000002</v>
      </c>
      <c r="K7" s="2424">
        <f>$E$7*$K$4</f>
        <v>17.59938</v>
      </c>
      <c r="L7" s="2424">
        <f>$E$7*$L$4</f>
        <v>1.44936</v>
      </c>
      <c r="M7" s="76"/>
      <c r="N7" s="76"/>
      <c r="O7" s="76"/>
      <c r="P7" s="74"/>
      <c r="Q7" s="74"/>
      <c r="R7" s="74"/>
      <c r="S7" s="74"/>
    </row>
    <row r="8" spans="1:19">
      <c r="A8" s="3361" t="s">
        <v>1146</v>
      </c>
      <c r="B8" s="3357"/>
      <c r="C8" s="3175"/>
      <c r="D8" s="3175"/>
      <c r="E8" s="1973">
        <v>50</v>
      </c>
      <c r="F8" s="1973"/>
      <c r="G8" s="1973"/>
      <c r="H8" s="1973"/>
      <c r="I8" s="1973"/>
      <c r="J8" s="1973"/>
      <c r="K8" s="1973"/>
      <c r="L8" s="1973"/>
      <c r="M8" s="76"/>
      <c r="N8" s="76"/>
      <c r="O8" s="76"/>
      <c r="P8" s="472"/>
      <c r="Q8" s="79"/>
      <c r="R8" s="79"/>
      <c r="S8" s="79"/>
    </row>
    <row r="9" spans="1:19">
      <c r="A9" s="3361" t="s">
        <v>1282</v>
      </c>
      <c r="B9" s="3357"/>
      <c r="C9" s="3175"/>
      <c r="D9" s="3175"/>
      <c r="E9" s="1972">
        <f>$R$22</f>
        <v>2</v>
      </c>
      <c r="F9" s="1974"/>
      <c r="G9" s="1974"/>
      <c r="H9" s="1974"/>
      <c r="I9" s="1974"/>
      <c r="J9" s="1974"/>
      <c r="K9" s="1974"/>
      <c r="L9" s="1974"/>
      <c r="M9" s="76"/>
      <c r="N9" s="76"/>
      <c r="O9" s="76"/>
      <c r="P9" s="472"/>
      <c r="Q9" s="79"/>
      <c r="R9" s="79"/>
      <c r="S9" s="79"/>
    </row>
    <row r="10" spans="1:19" ht="13.5" thickBot="1">
      <c r="A10" s="3361" t="s">
        <v>1402</v>
      </c>
      <c r="B10" s="3175"/>
      <c r="C10" s="3175"/>
      <c r="D10" s="3362"/>
      <c r="E10" s="1933">
        <f>$E$8*$E$9</f>
        <v>100</v>
      </c>
      <c r="F10" s="1933">
        <f>$E$10*$F$4</f>
        <v>0.97772999999999988</v>
      </c>
      <c r="G10" s="1933">
        <f>$E$10*$G$4</f>
        <v>12.14701</v>
      </c>
      <c r="H10" s="1933">
        <f>$E$10*$H$4</f>
        <v>6.2115400000000003</v>
      </c>
      <c r="I10" s="1933">
        <f>$E$10*$I$4</f>
        <v>54.540759999999999</v>
      </c>
      <c r="J10" s="1933">
        <f>$E$10*$J$4</f>
        <v>22.948180000000001</v>
      </c>
      <c r="K10" s="1933">
        <f>$E$10*$K$4</f>
        <v>2.93323</v>
      </c>
      <c r="L10" s="2424">
        <f>$E$10*$L$4</f>
        <v>0.24156</v>
      </c>
      <c r="M10" s="76"/>
      <c r="N10" s="76"/>
      <c r="O10" s="76"/>
      <c r="P10" s="472"/>
      <c r="Q10" s="79"/>
      <c r="R10" s="79"/>
      <c r="S10" s="79"/>
    </row>
    <row r="11" spans="1:19" ht="13.5" thickBot="1">
      <c r="A11" s="3355" t="s">
        <v>201</v>
      </c>
      <c r="B11" s="3356"/>
      <c r="C11" s="3242"/>
      <c r="D11" s="3242"/>
      <c r="E11" s="1969">
        <f>$E$10+$E$7</f>
        <v>700</v>
      </c>
      <c r="F11" s="1970">
        <f>$F$10+$F$7</f>
        <v>6.8441099999999997</v>
      </c>
      <c r="G11" s="1970">
        <f>$G$10+$G$7</f>
        <v>85.02906999999999</v>
      </c>
      <c r="H11" s="1970">
        <f>$H$10+$H$7</f>
        <v>43.480780000000003</v>
      </c>
      <c r="I11" s="1970">
        <f>$I$10+$I$7</f>
        <v>381.78531999999996</v>
      </c>
      <c r="J11" s="1970">
        <f>$J$10+$J$7</f>
        <v>160.63726000000003</v>
      </c>
      <c r="K11" s="1970">
        <f>$K$10+$K$7</f>
        <v>20.532609999999998</v>
      </c>
      <c r="L11" s="1970">
        <f>$L$10+$L$7</f>
        <v>1.69092</v>
      </c>
      <c r="M11" s="76"/>
      <c r="N11" s="76"/>
      <c r="O11" s="76"/>
      <c r="P11" s="472"/>
      <c r="Q11" s="79"/>
      <c r="R11" s="79"/>
      <c r="S11" s="79"/>
    </row>
    <row r="12" spans="1:19">
      <c r="A12" s="3357"/>
      <c r="B12" s="3357"/>
      <c r="C12" s="3357"/>
      <c r="D12" s="3357"/>
      <c r="E12" s="3357"/>
      <c r="F12" s="74"/>
      <c r="G12" s="76"/>
      <c r="H12" s="76"/>
      <c r="I12" s="76"/>
      <c r="J12" s="76"/>
      <c r="K12" s="76"/>
      <c r="L12" s="76"/>
      <c r="M12" s="76"/>
      <c r="N12" s="76"/>
      <c r="O12" s="76"/>
      <c r="P12" s="472"/>
      <c r="Q12" s="79"/>
      <c r="R12" s="79"/>
      <c r="S12" s="79"/>
    </row>
    <row r="13" spans="1:19">
      <c r="A13" s="245" t="s">
        <v>1147</v>
      </c>
      <c r="B13" s="245"/>
      <c r="C13" s="473"/>
      <c r="D13" s="473"/>
      <c r="E13" s="76"/>
      <c r="F13" s="74"/>
      <c r="G13" s="76"/>
      <c r="H13" s="76"/>
      <c r="I13" s="76"/>
      <c r="J13" s="76"/>
      <c r="K13" s="76"/>
      <c r="L13" s="76"/>
      <c r="M13" s="76"/>
      <c r="N13" s="76"/>
      <c r="O13" s="76"/>
      <c r="P13" s="472"/>
      <c r="Q13" s="79"/>
      <c r="R13" s="79"/>
      <c r="S13" s="79"/>
    </row>
    <row r="14" spans="1:19" ht="18.75" thickBot="1">
      <c r="A14" s="1382" t="s">
        <v>67</v>
      </c>
      <c r="B14" s="471"/>
      <c r="C14" s="471"/>
      <c r="D14" s="471"/>
      <c r="E14" s="471"/>
      <c r="F14" s="97"/>
      <c r="G14" s="76"/>
      <c r="H14" s="76"/>
      <c r="I14" s="76"/>
      <c r="J14" s="76"/>
      <c r="K14" s="76"/>
      <c r="L14" s="76"/>
      <c r="M14" s="76"/>
      <c r="N14" s="76"/>
      <c r="O14" s="76"/>
      <c r="P14" s="472"/>
      <c r="Q14" s="170"/>
      <c r="R14" s="74"/>
      <c r="S14" s="74"/>
    </row>
    <row r="15" spans="1:19" ht="13.5" customHeight="1" thickBot="1">
      <c r="A15" s="3358" t="s">
        <v>131</v>
      </c>
      <c r="B15" s="1376"/>
      <c r="C15" s="3360" t="s">
        <v>110</v>
      </c>
      <c r="D15" s="3347" t="s">
        <v>57</v>
      </c>
      <c r="E15" s="3360" t="s">
        <v>112</v>
      </c>
      <c r="F15" s="3347" t="s">
        <v>58</v>
      </c>
      <c r="G15" s="3349" t="s">
        <v>1137</v>
      </c>
      <c r="H15" s="1374"/>
      <c r="I15" s="1374"/>
      <c r="J15" s="1374"/>
      <c r="K15" s="1374"/>
      <c r="L15" s="1374"/>
      <c r="M15" s="1383"/>
      <c r="N15" s="1385"/>
      <c r="O15" s="1386"/>
      <c r="P15" s="3351" t="s">
        <v>197</v>
      </c>
      <c r="Q15" s="3353" t="s">
        <v>1276</v>
      </c>
      <c r="R15" s="3354"/>
      <c r="S15" s="484"/>
    </row>
    <row r="16" spans="1:19" ht="131.25" customHeight="1" thickBot="1">
      <c r="A16" s="3359"/>
      <c r="B16" s="1377" t="s">
        <v>26</v>
      </c>
      <c r="C16" s="3348"/>
      <c r="D16" s="3348"/>
      <c r="E16" s="3348"/>
      <c r="F16" s="3348"/>
      <c r="G16" s="3350"/>
      <c r="H16" s="1375" t="s">
        <v>1138</v>
      </c>
      <c r="I16" s="1375" t="s">
        <v>1139</v>
      </c>
      <c r="J16" s="1375" t="s">
        <v>174</v>
      </c>
      <c r="K16" s="1375" t="s">
        <v>1140</v>
      </c>
      <c r="L16" s="1375" t="s">
        <v>1141</v>
      </c>
      <c r="M16" s="1384" t="s">
        <v>1142</v>
      </c>
      <c r="N16" s="1387" t="s">
        <v>1143</v>
      </c>
      <c r="O16" s="1388" t="s">
        <v>1144</v>
      </c>
      <c r="P16" s="3352"/>
      <c r="Q16" s="1393" t="s">
        <v>509</v>
      </c>
      <c r="R16" s="558" t="s">
        <v>510</v>
      </c>
      <c r="S16" s="474"/>
    </row>
    <row r="17" spans="1:19">
      <c r="A17" s="88" t="s">
        <v>133</v>
      </c>
      <c r="B17" s="1846" t="s">
        <v>139</v>
      </c>
      <c r="C17" s="90">
        <v>45764</v>
      </c>
      <c r="D17" s="2425" t="s">
        <v>313</v>
      </c>
      <c r="E17" s="90">
        <v>45764</v>
      </c>
      <c r="F17" s="2425" t="s">
        <v>1557</v>
      </c>
      <c r="G17" s="1378">
        <v>1</v>
      </c>
      <c r="H17" s="1379"/>
      <c r="I17" s="1379">
        <v>1</v>
      </c>
      <c r="J17" s="1379"/>
      <c r="K17" s="1379"/>
      <c r="L17" s="1379">
        <v>1</v>
      </c>
      <c r="M17" s="1379"/>
      <c r="N17" s="1389"/>
      <c r="O17" s="1390"/>
      <c r="P17" s="1395">
        <v>1</v>
      </c>
      <c r="Q17" s="1394">
        <f>COUNTIF(G17:M17,1)</f>
        <v>3</v>
      </c>
      <c r="R17" s="486">
        <f>COUNTIF(N17:O17,1)</f>
        <v>0</v>
      </c>
      <c r="S17" s="175" t="str">
        <f>IF($P17=3,IF(($E17-$C17-1)&lt;0,0,($E17-$C17-1)),"")</f>
        <v/>
      </c>
    </row>
    <row r="18" spans="1:19">
      <c r="A18" s="88" t="s">
        <v>133</v>
      </c>
      <c r="B18" s="1846" t="s">
        <v>139</v>
      </c>
      <c r="C18" s="91">
        <v>45768</v>
      </c>
      <c r="D18" s="2426" t="s">
        <v>1558</v>
      </c>
      <c r="E18" s="91">
        <v>45768</v>
      </c>
      <c r="F18" s="2426" t="s">
        <v>1557</v>
      </c>
      <c r="G18" s="1380"/>
      <c r="H18" s="1380"/>
      <c r="I18" s="1380"/>
      <c r="J18" s="1380"/>
      <c r="K18" s="1380"/>
      <c r="L18" s="1380"/>
      <c r="M18" s="1380"/>
      <c r="N18" s="1391"/>
      <c r="O18" s="1392"/>
      <c r="P18" s="1396">
        <v>2</v>
      </c>
      <c r="Q18" s="1394">
        <f>COUNTIF(G18:M18,1)</f>
        <v>0</v>
      </c>
      <c r="R18" s="486">
        <f t="shared" ref="R18:R20" si="0">COUNTIF(N18:O18,1)</f>
        <v>0</v>
      </c>
      <c r="S18" s="175"/>
    </row>
    <row r="19" spans="1:19">
      <c r="A19" s="88" t="s">
        <v>133</v>
      </c>
      <c r="B19" s="1846" t="s">
        <v>139</v>
      </c>
      <c r="C19" s="91">
        <v>45752</v>
      </c>
      <c r="D19" s="2426" t="s">
        <v>1388</v>
      </c>
      <c r="E19" s="91">
        <v>45752</v>
      </c>
      <c r="F19" s="2426" t="s">
        <v>1599</v>
      </c>
      <c r="G19" s="1380"/>
      <c r="H19" s="1380"/>
      <c r="I19" s="1380">
        <v>1</v>
      </c>
      <c r="J19" s="1380">
        <v>1</v>
      </c>
      <c r="K19" s="1380"/>
      <c r="L19" s="1380"/>
      <c r="M19" s="1380"/>
      <c r="N19" s="1391">
        <v>1</v>
      </c>
      <c r="O19" s="1392"/>
      <c r="P19" s="1396">
        <v>1</v>
      </c>
      <c r="Q19" s="1394">
        <f>COUNTIF(G19:M19,1)</f>
        <v>2</v>
      </c>
      <c r="R19" s="486">
        <f t="shared" si="0"/>
        <v>1</v>
      </c>
      <c r="S19" s="175"/>
    </row>
    <row r="20" spans="1:19">
      <c r="A20" s="116" t="s">
        <v>133</v>
      </c>
      <c r="B20" s="1847" t="s">
        <v>139</v>
      </c>
      <c r="C20" s="169">
        <v>45777</v>
      </c>
      <c r="D20" s="2427" t="s">
        <v>1611</v>
      </c>
      <c r="E20" s="169">
        <v>45777</v>
      </c>
      <c r="F20" s="2427" t="s">
        <v>1614</v>
      </c>
      <c r="G20" s="1381"/>
      <c r="H20" s="1381"/>
      <c r="I20" s="1381"/>
      <c r="J20" s="1381"/>
      <c r="K20" s="1381"/>
      <c r="L20" s="1381">
        <v>1</v>
      </c>
      <c r="M20" s="1381"/>
      <c r="N20" s="2042"/>
      <c r="O20" s="2043">
        <v>1</v>
      </c>
      <c r="P20" s="2044">
        <v>2</v>
      </c>
      <c r="Q20" s="2041">
        <f>COUNTIF(G20:M20,1)</f>
        <v>1</v>
      </c>
      <c r="R20" s="2045">
        <f t="shared" si="0"/>
        <v>1</v>
      </c>
      <c r="S20" s="175"/>
    </row>
    <row r="21" spans="1:19" ht="13.5" thickBot="1">
      <c r="A21" s="2053" t="s">
        <v>792</v>
      </c>
      <c r="B21" s="2046"/>
      <c r="C21" s="2047"/>
      <c r="D21" s="1917"/>
      <c r="E21" s="2047"/>
      <c r="F21" s="1917"/>
      <c r="G21" s="2048"/>
      <c r="H21" s="2048"/>
      <c r="I21" s="2048"/>
      <c r="J21" s="2048"/>
      <c r="K21" s="2048"/>
      <c r="L21" s="2048"/>
      <c r="M21" s="2050"/>
      <c r="N21" s="2051"/>
      <c r="O21" s="2050"/>
      <c r="P21" s="2051"/>
      <c r="Q21" s="2052"/>
      <c r="R21" s="2049"/>
      <c r="S21" s="175"/>
    </row>
    <row r="22" spans="1:19" ht="13.5" thickBot="1">
      <c r="A22" s="3343" t="s">
        <v>35</v>
      </c>
      <c r="B22" s="3344"/>
      <c r="C22" s="3345"/>
      <c r="D22" s="3345"/>
      <c r="E22" s="3345"/>
      <c r="F22" s="3345"/>
      <c r="G22" s="3345"/>
      <c r="H22" s="1373"/>
      <c r="I22" s="1373"/>
      <c r="J22" s="1373"/>
      <c r="K22" s="1373"/>
      <c r="L22" s="1373"/>
      <c r="M22" s="1373"/>
      <c r="N22" s="1373"/>
      <c r="O22" s="1373"/>
      <c r="P22" s="172"/>
      <c r="Q22" s="100">
        <f>SUM(Q17:Q20)</f>
        <v>6</v>
      </c>
      <c r="R22" s="487">
        <f>SUM(R17:R20)</f>
        <v>2</v>
      </c>
      <c r="S22" s="485"/>
    </row>
    <row r="23" spans="1:19">
      <c r="A23" s="76"/>
      <c r="B23" s="76"/>
      <c r="C23" s="77"/>
      <c r="D23" s="77"/>
      <c r="E23" s="76"/>
      <c r="F23" s="77"/>
      <c r="G23" s="76"/>
      <c r="H23" s="76"/>
      <c r="I23" s="76"/>
      <c r="J23" s="76"/>
      <c r="K23" s="76"/>
      <c r="L23" s="76"/>
      <c r="M23" s="76"/>
      <c r="N23" s="76"/>
      <c r="O23" s="76"/>
      <c r="P23" s="472"/>
      <c r="Q23" s="74"/>
      <c r="R23" s="74"/>
      <c r="S23" s="74"/>
    </row>
    <row r="24" spans="1:19">
      <c r="A24" s="3346" t="s">
        <v>239</v>
      </c>
      <c r="B24" s="3346"/>
      <c r="C24" s="3346"/>
      <c r="D24" s="3346"/>
      <c r="E24" s="3346"/>
      <c r="F24" s="3346"/>
      <c r="G24" s="3229" t="s">
        <v>1135</v>
      </c>
      <c r="H24" s="3229"/>
      <c r="I24" s="3229"/>
      <c r="J24" s="3229"/>
      <c r="K24" s="3229"/>
      <c r="L24" s="3229"/>
      <c r="M24" s="3229"/>
      <c r="N24" s="3229"/>
      <c r="O24" s="3229"/>
      <c r="P24" s="3230"/>
      <c r="Q24" s="3042"/>
      <c r="R24" s="74"/>
      <c r="S24" s="74"/>
    </row>
    <row r="25" spans="1:19">
      <c r="A25" s="3346"/>
      <c r="B25" s="3346"/>
      <c r="C25" s="3346"/>
      <c r="D25" s="3346"/>
      <c r="E25" s="3346"/>
      <c r="F25" s="3346"/>
      <c r="G25" s="3230"/>
      <c r="H25" s="3230"/>
      <c r="I25" s="3230"/>
      <c r="J25" s="3230"/>
      <c r="K25" s="3230"/>
      <c r="L25" s="3230"/>
      <c r="M25" s="3230"/>
      <c r="N25" s="3230"/>
      <c r="O25" s="3230"/>
      <c r="P25" s="3230"/>
      <c r="Q25" s="3042"/>
      <c r="R25" s="74"/>
      <c r="S25" s="74"/>
    </row>
    <row r="26" spans="1:19">
      <c r="A26" s="3346"/>
      <c r="B26" s="3346"/>
      <c r="C26" s="3346"/>
      <c r="D26" s="3346"/>
      <c r="E26" s="3346"/>
      <c r="F26" s="3346"/>
      <c r="G26" s="3230"/>
      <c r="H26" s="3230"/>
      <c r="I26" s="3230"/>
      <c r="J26" s="3230"/>
      <c r="K26" s="3230"/>
      <c r="L26" s="3230"/>
      <c r="M26" s="3230"/>
      <c r="N26" s="3230"/>
      <c r="O26" s="3230"/>
      <c r="P26" s="3230"/>
      <c r="Q26" s="3042"/>
      <c r="R26" s="74"/>
      <c r="S26" s="74"/>
    </row>
    <row r="27" spans="1:19">
      <c r="A27" s="76"/>
      <c r="B27" s="76"/>
      <c r="C27" s="77"/>
      <c r="D27" s="77"/>
      <c r="E27" s="76"/>
      <c r="F27" s="77"/>
      <c r="G27" s="76"/>
      <c r="H27" s="76"/>
      <c r="I27" s="76"/>
      <c r="J27" s="76"/>
      <c r="K27" s="76"/>
      <c r="L27" s="76"/>
      <c r="M27" s="76"/>
      <c r="N27" s="76"/>
      <c r="O27" s="76"/>
      <c r="P27" s="472"/>
      <c r="Q27" s="74"/>
      <c r="R27" s="74"/>
      <c r="S27" s="74"/>
    </row>
    <row r="28" spans="1:19">
      <c r="A28" s="194" t="s">
        <v>219</v>
      </c>
      <c r="B28" s="194"/>
      <c r="C28" s="195" t="s">
        <v>224</v>
      </c>
      <c r="D28" s="388"/>
      <c r="E28" s="388"/>
      <c r="F28" s="388"/>
      <c r="G28" s="76"/>
      <c r="H28" s="76"/>
      <c r="I28" s="76"/>
      <c r="J28" s="76"/>
      <c r="K28" s="76"/>
      <c r="L28" s="76"/>
      <c r="M28" s="76"/>
      <c r="N28" s="76"/>
      <c r="O28" s="76"/>
      <c r="P28" s="472"/>
      <c r="Q28" s="74"/>
      <c r="R28" s="74"/>
      <c r="S28" s="74"/>
    </row>
    <row r="29" spans="1:19">
      <c r="A29" s="245"/>
      <c r="B29" s="245"/>
      <c r="C29" s="195" t="s">
        <v>1645</v>
      </c>
      <c r="D29" s="77"/>
      <c r="E29" s="76"/>
      <c r="F29" s="77"/>
      <c r="G29" s="76"/>
      <c r="H29" s="76"/>
      <c r="I29" s="76"/>
      <c r="J29" s="76"/>
      <c r="K29" s="76"/>
      <c r="L29" s="76"/>
      <c r="M29" s="76"/>
      <c r="N29" s="76"/>
      <c r="O29" s="76"/>
      <c r="P29" s="472"/>
      <c r="Q29" s="74"/>
      <c r="R29" s="74"/>
      <c r="S29" s="74"/>
    </row>
    <row r="30" spans="1:19">
      <c r="A30" s="245"/>
      <c r="B30" s="245"/>
      <c r="C30" s="195"/>
      <c r="D30" s="77"/>
      <c r="E30" s="76"/>
      <c r="F30" s="77"/>
      <c r="G30" s="76"/>
      <c r="H30" s="76"/>
      <c r="I30" s="76"/>
      <c r="J30" s="76"/>
      <c r="K30" s="76"/>
      <c r="L30" s="76"/>
      <c r="M30" s="76"/>
      <c r="N30" s="76"/>
      <c r="O30" s="76"/>
      <c r="P30" s="472"/>
      <c r="Q30" s="74"/>
      <c r="R30" s="74"/>
      <c r="S30" s="74"/>
    </row>
    <row r="31" spans="1:19">
      <c r="A31" s="335" t="s">
        <v>1434</v>
      </c>
      <c r="B31" s="335" t="s">
        <v>1435</v>
      </c>
      <c r="C31" s="436"/>
    </row>
    <row r="32" spans="1:19">
      <c r="A32" s="335" t="s">
        <v>1554</v>
      </c>
      <c r="B32" s="335" t="s">
        <v>1550</v>
      </c>
      <c r="C32" s="2196" t="s">
        <v>1442</v>
      </c>
    </row>
  </sheetData>
  <sheetProtection algorithmName="SHA-512" hashValue="hlSLJmo9OJIVgMfOF0E2GGA1i+gZCfTnXVWRCV7Guvry6CgJdoR1vHSQ30YdLU6G1X62nY0Ulh+yQXeQMqGj+g==" saltValue="igRYgK2BhqWxUNyUp5MkzA==" spinCount="100000" sheet="1" objects="1" scenarios="1"/>
  <mergeCells count="21">
    <mergeCell ref="A10:D10"/>
    <mergeCell ref="A9:D9"/>
    <mergeCell ref="A1:S1"/>
    <mergeCell ref="A2:S2"/>
    <mergeCell ref="A5:D5"/>
    <mergeCell ref="A6:D6"/>
    <mergeCell ref="A8:D8"/>
    <mergeCell ref="A7:D7"/>
    <mergeCell ref="A11:D11"/>
    <mergeCell ref="A12:E12"/>
    <mergeCell ref="A15:A16"/>
    <mergeCell ref="C15:C16"/>
    <mergeCell ref="D15:D16"/>
    <mergeCell ref="E15:E16"/>
    <mergeCell ref="A22:G22"/>
    <mergeCell ref="A24:F26"/>
    <mergeCell ref="G24:Q26"/>
    <mergeCell ref="F15:F16"/>
    <mergeCell ref="G15:G16"/>
    <mergeCell ref="P15:P16"/>
    <mergeCell ref="Q15:R15"/>
  </mergeCells>
  <pageMargins left="0.7" right="0.7" top="0.78740157499999996" bottom="0.78740157499999996" header="0.3" footer="0.3"/>
  <pageSetup paperSize="9" scale="58" orientation="landscape" r:id="rId1"/>
  <headerFooter>
    <oddHeader>&amp;LVDV SUN Jahresschlussrechnung JJJJ&amp;R&amp;KFF0000&amp;F</oddHeader>
    <oddFooter>&amp;C&amp;P&amp;R&amp;A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70C0"/>
  </sheetPr>
  <dimension ref="A1:L24"/>
  <sheetViews>
    <sheetView view="pageLayout" zoomScale="80" zoomScaleNormal="100" zoomScaleSheetLayoutView="80" zoomScalePageLayoutView="80" workbookViewId="0">
      <selection activeCell="L16" sqref="L16"/>
    </sheetView>
  </sheetViews>
  <sheetFormatPr baseColWidth="10" defaultColWidth="9.140625" defaultRowHeight="18" customHeight="1"/>
  <cols>
    <col min="1" max="1" width="7.42578125" style="76" customWidth="1"/>
    <col min="2" max="2" width="51" style="76" customWidth="1"/>
    <col min="3" max="3" width="13.42578125" style="76" customWidth="1"/>
    <col min="4" max="4" width="14.140625" style="76" customWidth="1"/>
    <col min="5" max="5" width="18.28515625" style="77" customWidth="1"/>
    <col min="6" max="6" width="17.28515625" style="77" customWidth="1"/>
    <col min="7" max="7" width="11.7109375" style="76" customWidth="1"/>
    <col min="8" max="8" width="11.7109375" style="77" customWidth="1"/>
    <col min="9" max="9" width="12.28515625" style="472" customWidth="1"/>
    <col min="10" max="10" width="10.42578125" style="472" customWidth="1"/>
    <col min="11" max="11" width="11.5703125" style="472" customWidth="1"/>
    <col min="12" max="12" width="22.7109375" style="76" customWidth="1"/>
    <col min="13" max="16384" width="9.140625" style="74"/>
  </cols>
  <sheetData>
    <row r="1" spans="1:12" ht="18" customHeight="1">
      <c r="A1" s="74"/>
      <c r="B1" s="3227" t="s">
        <v>1492</v>
      </c>
      <c r="C1" s="3227"/>
      <c r="D1" s="3227"/>
      <c r="E1" s="3227"/>
      <c r="F1" s="3227"/>
      <c r="G1" s="3227"/>
      <c r="H1" s="3227"/>
      <c r="I1" s="3227"/>
      <c r="J1" s="3227"/>
      <c r="K1" s="3227"/>
      <c r="L1" s="547"/>
    </row>
    <row r="2" spans="1:12" ht="23.25" customHeight="1" thickBot="1">
      <c r="A2" s="3233" t="str">
        <f>'1a_Leistungsvolumen'!A2</f>
        <v>Monat JJJJ</v>
      </c>
      <c r="B2" s="3233"/>
      <c r="C2" s="3233"/>
      <c r="D2" s="3233"/>
      <c r="E2" s="3233"/>
      <c r="F2" s="3233"/>
      <c r="G2" s="3233"/>
      <c r="H2" s="3233"/>
      <c r="I2" s="3233"/>
      <c r="J2" s="3233"/>
      <c r="K2" s="3233"/>
      <c r="L2" s="548"/>
    </row>
    <row r="3" spans="1:12" ht="27.75" customHeight="1" thickBot="1">
      <c r="A3" s="75"/>
      <c r="B3" s="2345"/>
      <c r="C3" s="2346"/>
      <c r="D3" s="2127" t="s">
        <v>743</v>
      </c>
      <c r="E3" s="719" t="s">
        <v>1526</v>
      </c>
      <c r="F3" s="719" t="s">
        <v>1527</v>
      </c>
      <c r="G3" s="719" t="s">
        <v>1552</v>
      </c>
      <c r="H3" s="719" t="s">
        <v>1551</v>
      </c>
      <c r="I3" s="2192" t="s">
        <v>1528</v>
      </c>
      <c r="J3" s="2192" t="s">
        <v>1666</v>
      </c>
      <c r="K3" s="2192" t="s">
        <v>1553</v>
      </c>
      <c r="L3" s="653"/>
    </row>
    <row r="4" spans="1:12" ht="23.25" customHeight="1" thickBot="1">
      <c r="A4" s="75"/>
      <c r="B4" s="1961"/>
      <c r="C4" s="1962"/>
      <c r="D4" s="2469">
        <f>SUM($E$4:$K$4)</f>
        <v>1.0000001000000001</v>
      </c>
      <c r="E4" s="3027">
        <f>'1a_Leistungsvolumen'!$C$93</f>
        <v>9.7772999999999992E-3</v>
      </c>
      <c r="F4" s="3027">
        <f>'1a_Leistungsvolumen'!$D$93</f>
        <v>0.1214701</v>
      </c>
      <c r="G4" s="3027">
        <f>'1a_Leistungsvolumen'!$E$93</f>
        <v>6.2115400000000001E-2</v>
      </c>
      <c r="H4" s="3027">
        <f>'1a_Leistungsvolumen'!$F$93</f>
        <v>0.54540759999999999</v>
      </c>
      <c r="I4" s="3028">
        <f>'1a_Leistungsvolumen'!$G$93</f>
        <v>0.22948180000000001</v>
      </c>
      <c r="J4" s="3028">
        <f>'1a_Leistungsvolumen'!$H$93</f>
        <v>2.9332299999999999E-2</v>
      </c>
      <c r="K4" s="3028">
        <f>'1a_Leistungsvolumen'!$I$93</f>
        <v>2.4156E-3</v>
      </c>
      <c r="L4" s="3029" t="s">
        <v>1706</v>
      </c>
    </row>
    <row r="5" spans="1:12" ht="23.25" customHeight="1" thickBot="1">
      <c r="A5" s="75"/>
      <c r="B5" s="3323" t="s">
        <v>1213</v>
      </c>
      <c r="C5" s="3363"/>
      <c r="D5" s="1568">
        <v>1</v>
      </c>
      <c r="E5" s="1963"/>
      <c r="F5" s="1963"/>
      <c r="G5" s="1963"/>
      <c r="H5" s="1963"/>
      <c r="I5" s="2216"/>
      <c r="J5" s="2216"/>
      <c r="K5" s="2216"/>
      <c r="L5" s="74"/>
    </row>
    <row r="6" spans="1:12" ht="37.5" customHeight="1" thickBot="1">
      <c r="A6" s="75"/>
      <c r="B6" s="3208" t="s">
        <v>453</v>
      </c>
      <c r="C6" s="3209"/>
      <c r="D6" s="1615">
        <f>$H$13</f>
        <v>936.12970000000496</v>
      </c>
      <c r="E6" s="1964"/>
      <c r="F6" s="1964"/>
      <c r="G6" s="1964"/>
      <c r="H6" s="1964"/>
      <c r="I6" s="2217"/>
      <c r="J6" s="2217"/>
      <c r="K6" s="2217"/>
      <c r="L6" s="74"/>
    </row>
    <row r="7" spans="1:12" ht="18" customHeight="1" thickBot="1">
      <c r="A7" s="75"/>
      <c r="B7" s="2204" t="s">
        <v>1493</v>
      </c>
      <c r="C7" s="1960"/>
      <c r="D7" s="1564">
        <f>$D$6*$D$5</f>
        <v>936.12970000000496</v>
      </c>
      <c r="E7" s="1965">
        <f>$D$7*$E$4</f>
        <v>9.1528209158100484</v>
      </c>
      <c r="F7" s="1965">
        <f>$D$7*$F$4</f>
        <v>113.7117682719706</v>
      </c>
      <c r="G7" s="1965">
        <f>$D$7*$G$4</f>
        <v>58.148070767380311</v>
      </c>
      <c r="H7" s="1965">
        <f>$D$7*$H$4</f>
        <v>510.57225296572273</v>
      </c>
      <c r="I7" s="2218">
        <f>$D$7*$I$4</f>
        <v>214.82472858946116</v>
      </c>
      <c r="J7" s="2218">
        <f>$D$7*$J$4</f>
        <v>27.458837199310143</v>
      </c>
      <c r="K7" s="2218">
        <f>$D$7*$K$4</f>
        <v>2.2613149033200117</v>
      </c>
      <c r="L7" s="74"/>
    </row>
    <row r="8" spans="1:12" ht="18" customHeight="1" thickBot="1">
      <c r="A8" s="75"/>
      <c r="B8" s="858"/>
      <c r="C8" s="858"/>
      <c r="D8" s="858"/>
      <c r="E8" s="858"/>
      <c r="F8" s="858"/>
      <c r="G8" s="75"/>
      <c r="H8" s="75"/>
      <c r="I8" s="75"/>
      <c r="J8" s="75"/>
      <c r="K8" s="75"/>
      <c r="L8" s="74"/>
    </row>
    <row r="9" spans="1:12" ht="64.5" thickBot="1">
      <c r="A9" s="2134" t="s">
        <v>698</v>
      </c>
      <c r="B9" s="2135" t="s">
        <v>520</v>
      </c>
      <c r="C9" s="2158" t="s">
        <v>1424</v>
      </c>
      <c r="D9" s="2159" t="s">
        <v>523</v>
      </c>
      <c r="E9" s="2136" t="s">
        <v>524</v>
      </c>
      <c r="F9" s="2136" t="s">
        <v>837</v>
      </c>
      <c r="G9" s="2136" t="s">
        <v>838</v>
      </c>
      <c r="H9" s="2137" t="s">
        <v>525</v>
      </c>
      <c r="I9" s="2138" t="s">
        <v>1167</v>
      </c>
      <c r="J9" s="2139"/>
      <c r="K9" s="2139"/>
      <c r="L9" s="74"/>
    </row>
    <row r="10" spans="1:12" ht="15.75" customHeight="1">
      <c r="A10" s="2428">
        <v>5</v>
      </c>
      <c r="B10" s="2429">
        <f>'1a_Leistungsvolumen'!J32</f>
        <v>536746</v>
      </c>
      <c r="C10" s="2430">
        <f>'7_Statistik Zugausfälle'!P43</f>
        <v>134.703</v>
      </c>
      <c r="D10" s="2429">
        <f>(B10-C10)*0.1</f>
        <v>53661.129700000005</v>
      </c>
      <c r="E10" s="2394">
        <v>52725</v>
      </c>
      <c r="F10" s="2431">
        <f>IF(D10=0,0,E10/D10*G10)</f>
        <v>9.8255478956120434</v>
      </c>
      <c r="G10" s="2431">
        <v>10</v>
      </c>
      <c r="H10" s="2432">
        <f>IF(F10&gt;G10,0,D10*G10/10-E10)</f>
        <v>936.12970000000496</v>
      </c>
      <c r="I10" s="2433" t="s">
        <v>1405</v>
      </c>
      <c r="J10" s="1418"/>
      <c r="K10" s="1418"/>
      <c r="L10" s="74"/>
    </row>
    <row r="11" spans="1:12" ht="20.25" customHeight="1">
      <c r="A11" s="2148"/>
      <c r="B11" s="2156"/>
      <c r="C11" s="2154"/>
      <c r="D11" s="2151"/>
      <c r="E11" s="2152"/>
      <c r="F11" s="2153"/>
      <c r="G11" s="2153"/>
      <c r="H11" s="2151"/>
      <c r="I11" s="2143"/>
      <c r="J11" s="2140"/>
      <c r="K11" s="2140"/>
      <c r="L11" s="74"/>
    </row>
    <row r="12" spans="1:12" ht="18" customHeight="1" thickBot="1">
      <c r="A12" s="2149"/>
      <c r="B12" s="2150"/>
      <c r="C12" s="2155"/>
      <c r="D12" s="2157"/>
      <c r="E12" s="1988"/>
      <c r="F12" s="2144"/>
      <c r="G12" s="2145"/>
      <c r="H12" s="2146"/>
      <c r="I12" s="2141"/>
      <c r="J12" s="2140"/>
      <c r="K12" s="2140"/>
    </row>
    <row r="13" spans="1:12" ht="18" customHeight="1" thickBot="1">
      <c r="A13" s="2147"/>
      <c r="B13" s="2161">
        <f>SUM(B10:B11)</f>
        <v>536746</v>
      </c>
      <c r="C13" s="1992">
        <f>SUM(C10:C12)</f>
        <v>134.703</v>
      </c>
      <c r="D13" s="1994">
        <f>SUM(D10:D12)</f>
        <v>53661.129700000005</v>
      </c>
      <c r="E13" s="1994">
        <f>SUM(E10:E12)</f>
        <v>52725</v>
      </c>
      <c r="F13" s="2162"/>
      <c r="G13" s="2162"/>
      <c r="H13" s="2160">
        <f>SUM(H10:H12)</f>
        <v>936.12970000000496</v>
      </c>
      <c r="I13" s="2142"/>
      <c r="J13" s="2140"/>
      <c r="K13" s="2140"/>
    </row>
    <row r="14" spans="1:12" ht="18" customHeight="1">
      <c r="A14" s="7"/>
      <c r="B14" s="7"/>
      <c r="C14" s="98"/>
      <c r="D14" s="99"/>
      <c r="E14" s="99"/>
      <c r="F14" s="7"/>
      <c r="G14" s="7"/>
      <c r="H14" s="7"/>
      <c r="I14" s="7"/>
      <c r="J14" s="7"/>
      <c r="K14" s="7"/>
      <c r="L14" s="74"/>
    </row>
    <row r="15" spans="1:12" ht="18" customHeight="1">
      <c r="A15" s="194" t="s">
        <v>219</v>
      </c>
      <c r="B15" s="195" t="s">
        <v>224</v>
      </c>
      <c r="C15" s="388"/>
      <c r="D15" s="388"/>
      <c r="E15" s="388"/>
      <c r="F15" s="7"/>
      <c r="G15" s="7"/>
      <c r="H15"/>
      <c r="I15" s="3057" t="s">
        <v>240</v>
      </c>
      <c r="J15" s="3057"/>
      <c r="K15" s="3057"/>
      <c r="L15" s="74"/>
    </row>
    <row r="16" spans="1:12" ht="18" customHeight="1">
      <c r="A16"/>
      <c r="B16" s="195" t="s">
        <v>1645</v>
      </c>
      <c r="C16"/>
      <c r="D16"/>
      <c r="E16"/>
      <c r="F16"/>
      <c r="G16"/>
      <c r="H16"/>
      <c r="I16" s="3057"/>
      <c r="J16" s="3057"/>
      <c r="K16" s="3057"/>
      <c r="L16" s="74"/>
    </row>
    <row r="17" spans="1:12" ht="18" customHeight="1">
      <c r="D17" s="1136"/>
      <c r="E17"/>
      <c r="F17"/>
      <c r="G17"/>
      <c r="H17"/>
      <c r="I17" s="3057"/>
      <c r="J17" s="3057"/>
      <c r="K17" s="3057"/>
    </row>
    <row r="18" spans="1:12" ht="18" customHeight="1">
      <c r="A18" s="335" t="s">
        <v>1434</v>
      </c>
      <c r="B18" s="335" t="s">
        <v>1435</v>
      </c>
      <c r="C18" s="1136"/>
      <c r="E18"/>
      <c r="F18"/>
      <c r="G18"/>
      <c r="H18"/>
      <c r="I18" s="3057"/>
      <c r="J18" s="3057"/>
      <c r="K18" s="3057"/>
    </row>
    <row r="19" spans="1:12" ht="18" customHeight="1">
      <c r="A19" s="335" t="s">
        <v>1554</v>
      </c>
      <c r="B19" s="335" t="s">
        <v>1550</v>
      </c>
      <c r="C19" s="2196" t="s">
        <v>1442</v>
      </c>
      <c r="D19"/>
      <c r="E19"/>
      <c r="F19"/>
      <c r="G19"/>
      <c r="H19"/>
      <c r="I19" s="3057"/>
      <c r="J19" s="3057"/>
      <c r="K19" s="3057"/>
    </row>
    <row r="20" spans="1:12" ht="18" customHeight="1">
      <c r="A20"/>
      <c r="B20"/>
      <c r="C20"/>
      <c r="D20"/>
      <c r="E20"/>
      <c r="F20"/>
      <c r="G20"/>
      <c r="H20"/>
      <c r="I20" s="3057"/>
      <c r="J20" s="3057"/>
      <c r="K20" s="3057"/>
    </row>
    <row r="21" spans="1:12" ht="18" customHeight="1">
      <c r="A21"/>
      <c r="B21"/>
      <c r="C21"/>
      <c r="D21"/>
      <c r="E21"/>
      <c r="F21"/>
      <c r="G21"/>
      <c r="H21"/>
      <c r="I21" s="3057"/>
      <c r="J21" s="3057"/>
      <c r="K21" s="3057"/>
    </row>
    <row r="22" spans="1:12" ht="18" customHeight="1">
      <c r="A22" s="74"/>
      <c r="B22" s="74"/>
      <c r="C22" s="74"/>
      <c r="D22" s="74"/>
      <c r="E22" s="74"/>
      <c r="F22" s="74"/>
      <c r="G22" s="74"/>
      <c r="H22" s="74"/>
      <c r="I22" s="74"/>
      <c r="J22" s="74"/>
    </row>
    <row r="23" spans="1:12" s="472" customFormat="1" ht="18" customHeight="1">
      <c r="A23" s="74"/>
      <c r="B23" s="74"/>
      <c r="C23" s="74"/>
      <c r="D23" s="74"/>
      <c r="E23" s="74"/>
      <c r="F23" s="74"/>
      <c r="G23" s="74"/>
      <c r="H23" s="74"/>
      <c r="I23" s="74"/>
      <c r="J23" s="74"/>
      <c r="L23" s="76"/>
    </row>
    <row r="24" spans="1:12" s="472" customFormat="1" ht="18" customHeight="1">
      <c r="A24" s="74"/>
      <c r="B24" s="74"/>
      <c r="C24" s="74"/>
      <c r="D24" s="74"/>
      <c r="E24" s="74"/>
      <c r="F24" s="74"/>
      <c r="G24" s="74"/>
      <c r="H24" s="74"/>
      <c r="I24" s="74"/>
      <c r="J24" s="74"/>
      <c r="L24" s="76"/>
    </row>
  </sheetData>
  <sheetProtection algorithmName="SHA-512" hashValue="sfl1jDEf6erSr3D15zHlleYgP45buBEiu5zk00HVKh8HviBKFw5CpG2f0yOTtCsWHPEKExF0O1zxANatP0+s7A==" saltValue="aLSJuGkvN2ds7bAZXef4UQ==" spinCount="100000" sheet="1" objects="1" scenarios="1"/>
  <mergeCells count="5">
    <mergeCell ref="I15:K21"/>
    <mergeCell ref="A2:K2"/>
    <mergeCell ref="B1:K1"/>
    <mergeCell ref="B6:C6"/>
    <mergeCell ref="B5:C5"/>
  </mergeCells>
  <pageMargins left="0.7" right="0.7" top="0.78740157499999996" bottom="0.78740157499999996" header="0.3" footer="0.3"/>
  <pageSetup paperSize="9" scale="63" fitToHeight="0" orientation="landscape" r:id="rId1"/>
  <headerFooter>
    <oddHeader>&amp;LVDV SUN Jahresschlussrechnung JJJJ&amp;R&amp;KFF0000&amp;F</oddHeader>
    <oddFooter>&amp;C&amp;P&amp;R&amp;A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14207-2EB4-40F5-BB27-D57BC4029733}">
  <sheetPr>
    <tabColor rgb="FF0070C0"/>
  </sheetPr>
  <dimension ref="A1:G115"/>
  <sheetViews>
    <sheetView showGridLines="0" view="pageBreakPreview" zoomScale="80" zoomScaleNormal="100" zoomScaleSheetLayoutView="80" zoomScalePageLayoutView="80" workbookViewId="0">
      <selection activeCell="D27" sqref="D27"/>
    </sheetView>
  </sheetViews>
  <sheetFormatPr baseColWidth="10" defaultColWidth="11.42578125" defaultRowHeight="12.75"/>
  <cols>
    <col min="1" max="1" width="57.140625" style="195" customWidth="1"/>
    <col min="2" max="2" width="15.5703125" style="195" customWidth="1"/>
    <col min="3" max="3" width="16.140625" style="195" customWidth="1"/>
    <col min="4" max="4" width="18" style="195" customWidth="1"/>
    <col min="5" max="5" width="19.7109375" style="195" customWidth="1"/>
    <col min="6" max="6" width="2.5703125" style="195" customWidth="1"/>
    <col min="7" max="7" width="15.28515625" style="195" customWidth="1"/>
    <col min="8" max="16384" width="11.42578125" style="195"/>
  </cols>
  <sheetData>
    <row r="1" spans="1:7" ht="18">
      <c r="A1" s="2272" t="s">
        <v>1458</v>
      </c>
      <c r="B1" s="254"/>
      <c r="C1" s="369"/>
      <c r="D1" s="369"/>
      <c r="E1" s="255"/>
      <c r="F1" s="255"/>
      <c r="G1" s="342" t="s">
        <v>1468</v>
      </c>
    </row>
    <row r="2" spans="1:7" ht="15">
      <c r="A2" s="256"/>
      <c r="B2" s="257"/>
      <c r="C2" s="344" t="s">
        <v>1683</v>
      </c>
      <c r="D2" s="345">
        <v>6.5</v>
      </c>
      <c r="E2" s="257"/>
      <c r="F2" s="257"/>
      <c r="G2" s="370"/>
    </row>
    <row r="3" spans="1:7" ht="18">
      <c r="A3" s="258" t="s">
        <v>255</v>
      </c>
      <c r="B3" s="257"/>
      <c r="C3" s="257"/>
      <c r="D3" s="257"/>
      <c r="E3" s="370"/>
      <c r="F3" s="259" t="s">
        <v>256</v>
      </c>
      <c r="G3" s="371" t="str">
        <f>INHALT!$A$2&amp;" "&amp;INHALT!$B$2</f>
        <v>Monat JJJJ</v>
      </c>
    </row>
    <row r="4" spans="1:7">
      <c r="A4" s="369"/>
      <c r="B4" s="369"/>
      <c r="C4" s="369"/>
      <c r="D4" s="369"/>
      <c r="E4" s="369"/>
      <c r="F4" s="369"/>
      <c r="G4" s="372"/>
    </row>
    <row r="5" spans="1:7">
      <c r="A5" s="373" t="s">
        <v>257</v>
      </c>
      <c r="B5" s="373" t="s">
        <v>156</v>
      </c>
      <c r="C5" s="373" t="s">
        <v>258</v>
      </c>
      <c r="D5" s="373" t="s">
        <v>782</v>
      </c>
      <c r="E5" s="374" t="s">
        <v>201</v>
      </c>
      <c r="F5" s="3040"/>
      <c r="G5" s="3040"/>
    </row>
    <row r="6" spans="1:7" ht="6.75" customHeight="1" thickBot="1">
      <c r="A6" s="260"/>
      <c r="B6" s="260"/>
      <c r="C6" s="260"/>
      <c r="D6" s="260"/>
      <c r="E6" s="260"/>
      <c r="F6" s="257"/>
      <c r="G6" s="257"/>
    </row>
    <row r="7" spans="1:7" ht="16.5" thickBot="1">
      <c r="A7" s="261" t="s">
        <v>259</v>
      </c>
      <c r="B7" s="262"/>
      <c r="C7" s="262"/>
      <c r="D7" s="263"/>
      <c r="E7" s="264">
        <f>SUM(E9:E18)</f>
        <v>0</v>
      </c>
      <c r="F7" s="729"/>
      <c r="G7" s="730"/>
    </row>
    <row r="8" spans="1:7" ht="5.85" customHeight="1" thickBot="1">
      <c r="A8" s="266"/>
      <c r="B8" s="267"/>
      <c r="C8" s="268"/>
      <c r="D8" s="269"/>
      <c r="E8" s="270"/>
      <c r="F8" s="731"/>
      <c r="G8" s="732"/>
    </row>
    <row r="9" spans="1:7" ht="13.5" thickBot="1">
      <c r="A9" s="272" t="s">
        <v>260</v>
      </c>
      <c r="B9" s="273"/>
      <c r="C9" s="274" t="s">
        <v>261</v>
      </c>
      <c r="D9" s="275">
        <f>$D$2*-1</f>
        <v>-6.5</v>
      </c>
      <c r="E9" s="276">
        <f>ROUND(D9*B9,2)</f>
        <v>0</v>
      </c>
      <c r="F9" s="731"/>
      <c r="G9" s="732"/>
    </row>
    <row r="10" spans="1:7" ht="26.25" thickBot="1">
      <c r="A10" s="272" t="s">
        <v>1707</v>
      </c>
      <c r="B10" s="273"/>
      <c r="C10" s="277" t="s">
        <v>262</v>
      </c>
      <c r="D10" s="275">
        <f>$D$2*-1</f>
        <v>-6.5</v>
      </c>
      <c r="E10" s="276">
        <f>ROUND(D10*B10,2)</f>
        <v>0</v>
      </c>
      <c r="F10" s="731"/>
      <c r="G10" s="2975" t="s">
        <v>1708</v>
      </c>
    </row>
    <row r="11" spans="1:7" ht="6.75" customHeight="1" thickBot="1">
      <c r="A11" s="272"/>
      <c r="B11" s="278"/>
      <c r="C11" s="277"/>
      <c r="D11" s="275"/>
      <c r="E11" s="276"/>
      <c r="F11" s="731"/>
      <c r="G11" s="732"/>
    </row>
    <row r="12" spans="1:7" ht="7.5" customHeight="1" thickBot="1">
      <c r="A12" s="272"/>
      <c r="B12" s="278"/>
      <c r="C12" s="277"/>
      <c r="D12" s="275"/>
      <c r="E12" s="276"/>
      <c r="F12" s="731"/>
      <c r="G12" s="732"/>
    </row>
    <row r="13" spans="1:7" ht="13.5" thickBot="1">
      <c r="A13" s="279" t="s">
        <v>263</v>
      </c>
      <c r="B13" s="273"/>
      <c r="C13" s="274" t="s">
        <v>261</v>
      </c>
      <c r="D13" s="275">
        <v>4</v>
      </c>
      <c r="E13" s="276">
        <f>ROUND(D13*B13,2)</f>
        <v>0</v>
      </c>
      <c r="F13" s="731"/>
      <c r="G13" s="732"/>
    </row>
    <row r="14" spans="1:7" ht="12.75" customHeight="1" thickBot="1">
      <c r="A14" s="272" t="s">
        <v>264</v>
      </c>
      <c r="B14" s="273"/>
      <c r="C14" s="277" t="s">
        <v>262</v>
      </c>
      <c r="D14" s="275">
        <v>3.2</v>
      </c>
      <c r="E14" s="276">
        <f>ROUND(D14*B14,2)</f>
        <v>0</v>
      </c>
      <c r="F14" s="731"/>
      <c r="G14" s="732"/>
    </row>
    <row r="15" spans="1:7" ht="12.75" customHeight="1" thickBot="1">
      <c r="A15" s="1734" t="s">
        <v>1315</v>
      </c>
      <c r="B15" s="1735"/>
      <c r="C15" s="277" t="s">
        <v>262</v>
      </c>
      <c r="D15" s="275">
        <v>3.2</v>
      </c>
      <c r="E15" s="276">
        <f>ROUND(D15*B15,2)</f>
        <v>0</v>
      </c>
      <c r="F15" s="731"/>
      <c r="G15" s="732"/>
    </row>
    <row r="16" spans="1:7" ht="12.75" customHeight="1" thickBot="1">
      <c r="A16" s="272"/>
      <c r="B16" s="278"/>
      <c r="C16" s="274"/>
      <c r="D16" s="275"/>
      <c r="E16" s="276"/>
      <c r="F16" s="731"/>
      <c r="G16" s="732"/>
    </row>
    <row r="17" spans="1:7" ht="30" customHeight="1" thickBot="1">
      <c r="A17" s="1723" t="s">
        <v>1309</v>
      </c>
      <c r="B17" s="273"/>
      <c r="C17" s="274" t="s">
        <v>261</v>
      </c>
      <c r="D17" s="275">
        <v>-1</v>
      </c>
      <c r="E17" s="276">
        <f>ROUND(D17*B17,2)</f>
        <v>0</v>
      </c>
      <c r="F17" s="731"/>
      <c r="G17" s="732"/>
    </row>
    <row r="18" spans="1:7" ht="12.75" customHeight="1" thickBot="1">
      <c r="A18" s="272" t="s">
        <v>1308</v>
      </c>
      <c r="B18" s="273"/>
      <c r="C18" s="274" t="s">
        <v>261</v>
      </c>
      <c r="D18" s="275">
        <v>-1</v>
      </c>
      <c r="E18" s="276">
        <f>ROUND(D18*B18,2)</f>
        <v>0</v>
      </c>
      <c r="F18" s="729"/>
      <c r="G18" s="733"/>
    </row>
    <row r="19" spans="1:7" ht="5.85" customHeight="1" thickBot="1">
      <c r="A19" s="280"/>
      <c r="B19" s="281"/>
      <c r="C19" s="282"/>
      <c r="D19" s="283"/>
      <c r="E19" s="284"/>
      <c r="F19" s="731"/>
      <c r="G19" s="732"/>
    </row>
    <row r="20" spans="1:7" ht="16.5" thickBot="1">
      <c r="A20" s="261" t="s">
        <v>265</v>
      </c>
      <c r="B20" s="262"/>
      <c r="C20" s="262"/>
      <c r="D20" s="263"/>
      <c r="E20" s="264">
        <f>SUM(E22:E29)</f>
        <v>-237.49</v>
      </c>
      <c r="F20" s="729"/>
      <c r="G20" s="730"/>
    </row>
    <row r="21" spans="1:7" ht="11.25" customHeight="1" thickBot="1">
      <c r="A21" s="2639" t="s">
        <v>1327</v>
      </c>
      <c r="B21" s="267"/>
      <c r="C21" s="268"/>
      <c r="D21" s="285" t="s">
        <v>266</v>
      </c>
      <c r="E21" s="270"/>
      <c r="F21" s="731"/>
      <c r="G21" s="732"/>
    </row>
    <row r="22" spans="1:7" ht="25.5" customHeight="1" thickBot="1">
      <c r="A22" s="2653" t="str">
        <f>'1a_Leistungsvolumen'!A12&amp;" "&amp;'1a_Leistungsvolumen'!B12</f>
        <v>RB 41 Eisenach - Meiningen - Eisfeld - Sonneberg - Neuhaus am Rennweg</v>
      </c>
      <c r="B22" s="689">
        <f>'2a_Linienpünktlichkeit '!$E$11</f>
        <v>96.774193548387103</v>
      </c>
      <c r="C22" s="2789" t="s">
        <v>278</v>
      </c>
      <c r="D22" s="286">
        <f>('1a_Leistungsvolumen'!$F$27-'7_Statistik Zugausfälle'!$P$35)*'0a_Zsfsg. Thüringen GA Los B'!$D$2</f>
        <v>1098500</v>
      </c>
      <c r="E22" s="2224">
        <f>ROUND(IF($B$22&gt;95,0,IF($B$22&gt;85,(95-$B$22)*-0.005*$D$22,10*-0.005*$D$22)),2)</f>
        <v>0</v>
      </c>
      <c r="F22" s="734"/>
      <c r="G22" s="735"/>
    </row>
    <row r="23" spans="1:7" ht="13.5" customHeight="1" thickBot="1">
      <c r="A23" s="2653" t="str">
        <f>'1a_Leistungsvolumen'!A13&amp;" "&amp;'1a_Leistungsvolumen'!B13</f>
        <v>RB 43 Wernshausen - Zella-Mehlis</v>
      </c>
      <c r="B23" s="689">
        <f>'2a_Linienpünktlichkeit '!$E$12</f>
        <v>94.769230769230774</v>
      </c>
      <c r="C23" s="2789" t="s">
        <v>278</v>
      </c>
      <c r="D23" s="286">
        <f>('1a_Leistungsvolumen'!$F$28-'7_Statistik Zugausfälle'!$P$37)*'0a_Zsfsg. Thüringen GA Los B'!$D$2</f>
        <v>205829</v>
      </c>
      <c r="E23" s="2224">
        <f>ROUND(IF($B$23&gt;95,0,IF($B$23&gt;85,(95-$B$23)*-0.005*$D$23,10*-0.005*$D$23)),2)</f>
        <v>-237.49</v>
      </c>
      <c r="F23" s="734"/>
      <c r="G23" s="735"/>
    </row>
    <row r="24" spans="1:7" ht="13.5" customHeight="1" thickBot="1">
      <c r="A24" s="2827" t="str">
        <f>'1a_Leistungsvolumen'!A16&amp;" "&amp;'1a_Leistungsvolumen'!B16</f>
        <v>RB 59 Meiningen - Bad Neustadt - Ebenhausen - Schweinfurt</v>
      </c>
      <c r="B24" s="689">
        <f>'2a_Linienpünktlichkeit '!$E$15</f>
        <v>99.055118110236222</v>
      </c>
      <c r="C24" s="2789" t="s">
        <v>278</v>
      </c>
      <c r="D24" s="286">
        <f>('1a_Leistungsvolumen'!$F$31-'7_Statistik Zugausfälle'!$P$41)*'0a_Zsfsg. Thüringen GA Los B'!$D$2</f>
        <v>5954</v>
      </c>
      <c r="E24" s="2224">
        <f>ROUND(IF($B$24&gt;95,0,IF($B$24&gt;85,(95-$B$24)*-0.005*$D$24,10*-0.005*$D$24)),2)</f>
        <v>0</v>
      </c>
      <c r="F24" s="734"/>
      <c r="G24" s="735"/>
    </row>
    <row r="25" spans="1:7" ht="13.5" customHeight="1" thickBot="1">
      <c r="A25" s="2836" t="s">
        <v>792</v>
      </c>
      <c r="B25" s="2826"/>
      <c r="C25" s="2789"/>
      <c r="D25" s="286"/>
      <c r="E25" s="2225"/>
      <c r="F25" s="734"/>
      <c r="G25" s="735"/>
    </row>
    <row r="26" spans="1:7" ht="13.5" customHeight="1" thickBot="1">
      <c r="A26" s="369"/>
      <c r="B26" s="689"/>
      <c r="C26" s="2789"/>
      <c r="D26" s="286"/>
      <c r="E26" s="2225"/>
      <c r="F26" s="734"/>
      <c r="G26" s="735"/>
    </row>
    <row r="27" spans="1:7" ht="17.25" customHeight="1" thickBot="1">
      <c r="A27" s="2653"/>
      <c r="B27" s="689"/>
      <c r="C27" s="2789"/>
      <c r="D27" s="286"/>
      <c r="E27" s="276"/>
      <c r="F27" s="734"/>
      <c r="G27" s="735"/>
    </row>
    <row r="28" spans="1:7" ht="8.25" customHeight="1" thickBot="1">
      <c r="B28" s="689"/>
      <c r="C28" s="274"/>
      <c r="D28" s="286"/>
      <c r="E28" s="276"/>
      <c r="F28" s="734"/>
      <c r="G28" s="735"/>
    </row>
    <row r="29" spans="1:7" ht="4.5" customHeight="1" thickBot="1">
      <c r="A29" s="272" t="str">
        <f>'1a_Leistungsvolumen'!A17&amp;" "&amp;'1a_Leistungsvolumen'!B17</f>
        <v xml:space="preserve"> </v>
      </c>
      <c r="B29" s="689"/>
      <c r="C29" s="274"/>
      <c r="D29" s="286"/>
      <c r="E29" s="276"/>
      <c r="F29" s="734"/>
      <c r="G29" s="735"/>
    </row>
    <row r="30" spans="1:7" ht="5.85" customHeight="1" thickBot="1">
      <c r="A30" s="287"/>
      <c r="B30" s="288"/>
      <c r="C30" s="289"/>
      <c r="D30" s="290"/>
      <c r="E30" s="271"/>
      <c r="F30" s="731"/>
      <c r="G30" s="732"/>
    </row>
    <row r="31" spans="1:7" ht="16.5" thickBot="1">
      <c r="A31" s="261" t="s">
        <v>1347</v>
      </c>
      <c r="B31" s="262"/>
      <c r="C31" s="262"/>
      <c r="D31" s="263"/>
      <c r="E31" s="264">
        <f>SUM(E33:E34)</f>
        <v>0</v>
      </c>
      <c r="F31" s="729"/>
      <c r="G31" s="730"/>
    </row>
    <row r="32" spans="1:7" ht="5.85" customHeight="1" thickBot="1">
      <c r="A32" s="287"/>
      <c r="B32" s="288"/>
      <c r="C32" s="289"/>
      <c r="D32" s="290"/>
      <c r="E32" s="271"/>
      <c r="F32" s="731"/>
      <c r="G32" s="728"/>
    </row>
    <row r="33" spans="1:7" ht="13.5" thickBot="1">
      <c r="A33" s="272" t="s">
        <v>691</v>
      </c>
      <c r="B33" s="273">
        <f>'1b_Mehr_Zusatzleistungen'!$B$11</f>
        <v>0</v>
      </c>
      <c r="C33" s="274" t="s">
        <v>261</v>
      </c>
      <c r="D33" s="275"/>
      <c r="E33" s="276">
        <f>'1b_Mehr_Zusatzleistungen'!$C$11</f>
        <v>0</v>
      </c>
      <c r="F33" s="729"/>
      <c r="G33" s="736"/>
    </row>
    <row r="34" spans="1:7" ht="13.5" thickBot="1">
      <c r="A34" s="287" t="s">
        <v>1339</v>
      </c>
      <c r="B34" s="273">
        <f>'1b_Mehr_Zusatzleistungen'!$B$12</f>
        <v>0</v>
      </c>
      <c r="C34" s="289" t="s">
        <v>261</v>
      </c>
      <c r="D34" s="290"/>
      <c r="E34" s="271">
        <f>'1b_Mehr_Zusatzleistungen'!$C$12</f>
        <v>0</v>
      </c>
      <c r="F34" s="731"/>
      <c r="G34" s="728"/>
    </row>
    <row r="35" spans="1:7" ht="16.5" thickBot="1">
      <c r="A35" s="261" t="s">
        <v>267</v>
      </c>
      <c r="B35" s="262"/>
      <c r="C35" s="262"/>
      <c r="D35" s="263"/>
      <c r="E35" s="264">
        <f>E37</f>
        <v>-120</v>
      </c>
      <c r="F35" s="729"/>
      <c r="G35" s="730"/>
    </row>
    <row r="36" spans="1:7" ht="5.85" customHeight="1" thickBot="1">
      <c r="A36" s="266"/>
      <c r="B36" s="292"/>
      <c r="C36" s="268"/>
      <c r="D36" s="269"/>
      <c r="E36" s="270"/>
      <c r="F36" s="731"/>
      <c r="G36" s="728"/>
    </row>
    <row r="37" spans="1:7" ht="13.5" thickBot="1">
      <c r="A37" s="272" t="s">
        <v>268</v>
      </c>
      <c r="B37" s="273">
        <f>'9_Statistik Zugbildung'!$H$5</f>
        <v>80</v>
      </c>
      <c r="C37" s="274" t="s">
        <v>261</v>
      </c>
      <c r="D37" s="341">
        <v>-1.5</v>
      </c>
      <c r="E37" s="276">
        <f>ROUND($D$37*B37,2)</f>
        <v>-120</v>
      </c>
      <c r="F37" s="731"/>
      <c r="G37" s="728"/>
    </row>
    <row r="38" spans="1:7" ht="5.85" customHeight="1" thickBot="1">
      <c r="A38" s="280"/>
      <c r="B38" s="281"/>
      <c r="C38" s="282"/>
      <c r="D38" s="283"/>
      <c r="E38" s="284"/>
      <c r="F38" s="731"/>
      <c r="G38" s="728"/>
    </row>
    <row r="39" spans="1:7" ht="27.75" customHeight="1" thickBot="1">
      <c r="A39" s="261" t="s">
        <v>1262</v>
      </c>
      <c r="B39" s="262"/>
      <c r="C39" s="262"/>
      <c r="D39" s="263"/>
      <c r="E39" s="264">
        <f>SUM(E41:E44)</f>
        <v>-892.35757296572274</v>
      </c>
      <c r="F39" s="729"/>
      <c r="G39" s="730"/>
    </row>
    <row r="40" spans="1:7" ht="5.85" customHeight="1" thickBot="1">
      <c r="A40" s="294"/>
      <c r="B40" s="295"/>
      <c r="C40" s="296"/>
      <c r="D40" s="529"/>
      <c r="E40" s="297"/>
      <c r="F40" s="731"/>
      <c r="G40" s="728"/>
    </row>
    <row r="41" spans="1:7" ht="13.5" thickBot="1">
      <c r="A41" s="298" t="s">
        <v>1263</v>
      </c>
      <c r="B41" s="273">
        <f>'19a_Statistik_Kundenbetreuer '!$H$5</f>
        <v>0</v>
      </c>
      <c r="C41" s="527" t="s">
        <v>261</v>
      </c>
      <c r="D41" s="530">
        <v>-1</v>
      </c>
      <c r="E41" s="528">
        <f>ROUND($D$41*B41,2)</f>
        <v>0</v>
      </c>
      <c r="F41" s="731"/>
      <c r="G41" s="728"/>
    </row>
    <row r="42" spans="1:7" ht="13.5" thickBot="1">
      <c r="A42" s="1650" t="s">
        <v>1264</v>
      </c>
      <c r="B42" s="1651"/>
      <c r="C42" s="1652"/>
      <c r="D42" s="530">
        <v>-1</v>
      </c>
      <c r="E42" s="2840">
        <f>-'20_Statistik SiP'!$H$7</f>
        <v>-510.57225296572273</v>
      </c>
      <c r="F42" s="731"/>
      <c r="G42" s="728"/>
    </row>
    <row r="43" spans="1:7" ht="13.5" thickBot="1">
      <c r="A43" s="1650" t="s">
        <v>1265</v>
      </c>
      <c r="B43" s="1654"/>
      <c r="C43" s="1652"/>
      <c r="D43" s="530"/>
      <c r="E43" s="1653">
        <f>-'19b_Aufgaben Zugpersonal'!$I$11</f>
        <v>-381.78531999999996</v>
      </c>
      <c r="F43" s="731"/>
      <c r="G43" s="728"/>
    </row>
    <row r="44" spans="1:7" ht="13.5" thickBot="1">
      <c r="A44" s="532" t="s">
        <v>495</v>
      </c>
      <c r="B44" s="690"/>
      <c r="C44" s="526"/>
      <c r="D44" s="531"/>
      <c r="E44" s="746">
        <f>'22_zusätzl. Personale'!$G$8</f>
        <v>0</v>
      </c>
      <c r="F44" s="731"/>
      <c r="G44" s="728"/>
    </row>
    <row r="45" spans="1:7" ht="5.85" customHeight="1" thickBot="1">
      <c r="A45" s="299"/>
      <c r="B45" s="300"/>
      <c r="C45" s="301"/>
      <c r="D45" s="302"/>
      <c r="E45" s="303"/>
      <c r="F45" s="731"/>
      <c r="G45" s="728"/>
    </row>
    <row r="46" spans="1:7" ht="16.5" thickBot="1">
      <c r="A46" s="261" t="s">
        <v>280</v>
      </c>
      <c r="B46" s="262"/>
      <c r="C46" s="262"/>
      <c r="D46" s="263"/>
      <c r="E46" s="264">
        <f>SUM(E48:E49)</f>
        <v>-872.65215999999998</v>
      </c>
      <c r="F46" s="737"/>
      <c r="G46" s="730"/>
    </row>
    <row r="47" spans="1:7" ht="5.85" customHeight="1" thickBot="1">
      <c r="A47" s="266"/>
      <c r="B47" s="304"/>
      <c r="C47" s="268"/>
      <c r="D47" s="305"/>
      <c r="E47" s="270"/>
      <c r="F47" s="727"/>
      <c r="G47" s="728"/>
    </row>
    <row r="48" spans="1:7" ht="13.5" thickBot="1">
      <c r="A48" s="272" t="s">
        <v>269</v>
      </c>
      <c r="B48" s="1814">
        <f>'23a_Schäden an Fahrzeugen'!$D$9</f>
        <v>1</v>
      </c>
      <c r="C48" s="293" t="s">
        <v>1685</v>
      </c>
      <c r="D48" s="349">
        <v>-100</v>
      </c>
      <c r="E48" s="2831">
        <f>-'23a_Schäden an Fahrzeugen'!$H$7</f>
        <v>-818.1114</v>
      </c>
      <c r="F48" s="727"/>
      <c r="G48" s="728"/>
    </row>
    <row r="49" spans="1:7" ht="13.5" thickBot="1">
      <c r="A49" s="272" t="s">
        <v>270</v>
      </c>
      <c r="B49" s="1814">
        <f>'23a_Schäden an Fahrzeugen'!$D$6</f>
        <v>3</v>
      </c>
      <c r="C49" s="343" t="s">
        <v>1685</v>
      </c>
      <c r="D49" s="349">
        <v>-500</v>
      </c>
      <c r="E49" s="2831">
        <f>-'23a_Schäden an Fahrzeugen'!$H$10</f>
        <v>-54.540759999999999</v>
      </c>
      <c r="F49" s="727"/>
      <c r="G49" s="728"/>
    </row>
    <row r="50" spans="1:7" ht="15" customHeight="1">
      <c r="A50" s="747" t="s">
        <v>1684</v>
      </c>
      <c r="B50" s="534">
        <f>'23a_Schäden an Fahrzeugen'!$D$12</f>
        <v>21</v>
      </c>
      <c r="C50" s="535" t="s">
        <v>1685</v>
      </c>
      <c r="D50" s="535"/>
      <c r="E50" s="2842">
        <f>-'23a_Schäden an Fahrzeugen'!$H$13</f>
        <v>-572.67797999999993</v>
      </c>
      <c r="F50" s="727"/>
      <c r="G50" s="728"/>
    </row>
    <row r="51" spans="1:7" ht="5.85" customHeight="1" thickBot="1">
      <c r="A51" s="747"/>
      <c r="B51" s="534"/>
      <c r="C51" s="535"/>
      <c r="D51" s="535"/>
      <c r="E51" s="748"/>
      <c r="F51" s="727"/>
      <c r="G51" s="728"/>
    </row>
    <row r="52" spans="1:7" ht="16.5" customHeight="1" thickBot="1">
      <c r="A52" s="261" t="s">
        <v>492</v>
      </c>
      <c r="B52" s="262"/>
      <c r="C52" s="262"/>
      <c r="D52" s="263"/>
      <c r="E52" s="264">
        <f>SUM(E55:E58)</f>
        <v>-818.1114</v>
      </c>
      <c r="F52" s="737"/>
      <c r="G52" s="730"/>
    </row>
    <row r="53" spans="1:7" ht="5.85" customHeight="1" thickBot="1">
      <c r="A53" s="266"/>
      <c r="B53" s="304"/>
      <c r="C53" s="268"/>
      <c r="D53" s="305"/>
      <c r="E53" s="270"/>
      <c r="F53" s="731"/>
      <c r="G53" s="728"/>
    </row>
    <row r="54" spans="1:7" ht="6.75" customHeight="1" thickBot="1">
      <c r="A54" s="539"/>
      <c r="B54" s="536"/>
      <c r="C54" s="533"/>
      <c r="D54" s="537"/>
      <c r="E54" s="297"/>
      <c r="F54" s="731"/>
      <c r="G54" s="728"/>
    </row>
    <row r="55" spans="1:7" ht="13.5" customHeight="1" thickBot="1">
      <c r="A55" s="272" t="s">
        <v>749</v>
      </c>
      <c r="B55" s="1814"/>
      <c r="C55" s="293" t="s">
        <v>493</v>
      </c>
      <c r="D55" s="538">
        <v>-300</v>
      </c>
      <c r="E55" s="2846">
        <f>-'24_Außenreinigung'!M8</f>
        <v>-654.48911999999996</v>
      </c>
      <c r="F55" s="731"/>
      <c r="G55" s="728"/>
    </row>
    <row r="56" spans="1:7" ht="13.5" customHeight="1" thickBot="1">
      <c r="A56" s="272" t="s">
        <v>750</v>
      </c>
      <c r="B56" s="1814"/>
      <c r="C56" s="293" t="s">
        <v>493</v>
      </c>
      <c r="D56" s="538">
        <v>-300</v>
      </c>
      <c r="E56" s="2831">
        <f>-'25_Innenreinigung'!L8</f>
        <v>-163.62227999999999</v>
      </c>
      <c r="F56" s="731"/>
      <c r="G56" s="728"/>
    </row>
    <row r="57" spans="1:7" ht="6" customHeight="1" thickBot="1">
      <c r="A57" s="272"/>
      <c r="B57" s="524"/>
      <c r="C57" s="293"/>
      <c r="D57" s="538"/>
      <c r="E57" s="276"/>
      <c r="F57" s="731"/>
      <c r="G57" s="728"/>
    </row>
    <row r="58" spans="1:7" ht="7.5" customHeight="1" thickBot="1">
      <c r="A58" s="272"/>
      <c r="B58" s="524"/>
      <c r="C58" s="343"/>
      <c r="D58" s="538"/>
      <c r="E58" s="276"/>
      <c r="F58" s="731"/>
      <c r="G58" s="728"/>
    </row>
    <row r="59" spans="1:7" ht="5.85" customHeight="1" thickBot="1">
      <c r="A59" s="361"/>
      <c r="B59" s="362"/>
      <c r="C59" s="363"/>
      <c r="D59" s="364"/>
      <c r="E59" s="365"/>
      <c r="F59" s="731"/>
      <c r="G59" s="728"/>
    </row>
    <row r="60" spans="1:7" ht="16.5" thickBot="1">
      <c r="A60" s="261" t="s">
        <v>490</v>
      </c>
      <c r="B60" s="262"/>
      <c r="C60" s="262"/>
      <c r="D60" s="262"/>
      <c r="E60" s="264">
        <f>SUM(E62:E67)</f>
        <v>0</v>
      </c>
      <c r="F60" s="729"/>
      <c r="G60" s="730"/>
    </row>
    <row r="61" spans="1:7" ht="5.85" customHeight="1" thickBot="1">
      <c r="A61" s="266"/>
      <c r="B61" s="267"/>
      <c r="C61" s="268"/>
      <c r="D61" s="305"/>
      <c r="E61" s="270"/>
      <c r="F61" s="731"/>
      <c r="G61" s="728"/>
    </row>
    <row r="62" spans="1:7" ht="13.5" thickBot="1">
      <c r="A62" s="307" t="s">
        <v>501</v>
      </c>
      <c r="B62" s="1814"/>
      <c r="C62" s="293" t="s">
        <v>271</v>
      </c>
      <c r="D62" s="349">
        <v>-300</v>
      </c>
      <c r="E62" s="276">
        <f>ROUND($D$62*B62,2)</f>
        <v>0</v>
      </c>
      <c r="F62" s="738"/>
      <c r="G62" s="732"/>
    </row>
    <row r="63" spans="1:7" ht="13.5" thickBot="1">
      <c r="A63" s="308" t="s">
        <v>502</v>
      </c>
      <c r="B63" s="1814"/>
      <c r="C63" s="309" t="s">
        <v>272</v>
      </c>
      <c r="D63" s="350">
        <v>-30</v>
      </c>
      <c r="E63" s="276">
        <f>ROUND($D$63*B63,2)</f>
        <v>0</v>
      </c>
      <c r="F63" s="738"/>
      <c r="G63" s="732"/>
    </row>
    <row r="64" spans="1:7" ht="13.5" thickBot="1">
      <c r="A64" s="308" t="s">
        <v>273</v>
      </c>
      <c r="B64" s="1814"/>
      <c r="C64" s="293" t="s">
        <v>271</v>
      </c>
      <c r="D64" s="351">
        <v>-100</v>
      </c>
      <c r="E64" s="276">
        <f>ROUND($D$64*B64,2)</f>
        <v>0</v>
      </c>
      <c r="F64" s="738"/>
      <c r="G64" s="732"/>
    </row>
    <row r="65" spans="1:7" ht="13.5" thickBot="1">
      <c r="A65" s="308" t="s">
        <v>1243</v>
      </c>
      <c r="B65" s="1814"/>
      <c r="C65" s="293" t="s">
        <v>271</v>
      </c>
      <c r="D65" s="351">
        <v>-100</v>
      </c>
      <c r="E65" s="276">
        <f>ROUND($D$65*B65,2)</f>
        <v>0</v>
      </c>
      <c r="F65" s="738"/>
      <c r="G65" s="732"/>
    </row>
    <row r="66" spans="1:7" ht="13.5" thickBot="1">
      <c r="A66" s="308" t="s">
        <v>689</v>
      </c>
      <c r="B66" s="1814"/>
      <c r="C66" s="293" t="s">
        <v>271</v>
      </c>
      <c r="D66" s="351">
        <v>-30</v>
      </c>
      <c r="E66" s="276">
        <f>ROUND($D$66*B66,2)</f>
        <v>0</v>
      </c>
      <c r="F66" s="738"/>
      <c r="G66" s="732"/>
    </row>
    <row r="67" spans="1:7" ht="5.85" customHeight="1" thickBot="1">
      <c r="A67" s="355"/>
      <c r="B67" s="1815"/>
      <c r="C67" s="357"/>
      <c r="D67" s="358"/>
      <c r="E67" s="359"/>
      <c r="F67" s="739"/>
      <c r="G67" s="740"/>
    </row>
    <row r="68" spans="1:7" ht="16.5" thickBot="1">
      <c r="A68" s="261" t="s">
        <v>491</v>
      </c>
      <c r="B68" s="311"/>
      <c r="C68" s="311"/>
      <c r="D68" s="311"/>
      <c r="E68" s="264">
        <f>SUM(E71:E83)</f>
        <v>0</v>
      </c>
      <c r="F68" s="741"/>
      <c r="G68" s="730"/>
    </row>
    <row r="69" spans="1:7" ht="10.5" customHeight="1" thickBot="1">
      <c r="A69" s="2640" t="s">
        <v>1327</v>
      </c>
      <c r="B69" s="312"/>
      <c r="C69" s="313"/>
      <c r="D69" s="314"/>
      <c r="E69" s="315"/>
      <c r="F69" s="742"/>
      <c r="G69" s="728"/>
    </row>
    <row r="70" spans="1:7" ht="13.5" thickBot="1">
      <c r="A70" s="316" t="s">
        <v>285</v>
      </c>
      <c r="B70" s="317"/>
      <c r="C70" s="289"/>
      <c r="D70" s="318"/>
      <c r="E70" s="271"/>
      <c r="F70" s="742"/>
      <c r="G70" s="728"/>
    </row>
    <row r="71" spans="1:7" ht="26.25" thickBot="1">
      <c r="A71" s="2653" t="str">
        <f t="shared" ref="A71:A73" si="0">A22</f>
        <v>RB 41 Eisenach - Meiningen - Eisfeld - Sonneberg - Neuhaus am Rennweg</v>
      </c>
      <c r="B71" s="691"/>
      <c r="C71" s="274" t="s">
        <v>278</v>
      </c>
      <c r="D71" s="354">
        <f>ROUND(-100,2)</f>
        <v>-100</v>
      </c>
      <c r="E71" s="276">
        <f>ROUND($D$71*B71,2)</f>
        <v>0</v>
      </c>
      <c r="F71" s="738"/>
      <c r="G71" s="732"/>
    </row>
    <row r="72" spans="1:7" ht="13.5" thickBot="1">
      <c r="A72" s="2653" t="str">
        <f t="shared" si="0"/>
        <v>RB 43 Wernshausen - Zella-Mehlis</v>
      </c>
      <c r="B72" s="691"/>
      <c r="C72" s="274" t="s">
        <v>278</v>
      </c>
      <c r="D72" s="354">
        <f t="shared" ref="D72:D73" si="1">ROUND(-100,2)</f>
        <v>-100</v>
      </c>
      <c r="E72" s="276">
        <f>ROUND($D$72*B72,2)</f>
        <v>0</v>
      </c>
      <c r="F72" s="738"/>
      <c r="G72" s="732"/>
    </row>
    <row r="73" spans="1:7" ht="13.5" thickBot="1">
      <c r="A73" s="2653" t="str">
        <f t="shared" si="0"/>
        <v>RB 59 Meiningen - Bad Neustadt - Ebenhausen - Schweinfurt</v>
      </c>
      <c r="B73" s="691"/>
      <c r="C73" s="274" t="s">
        <v>278</v>
      </c>
      <c r="D73" s="354">
        <f t="shared" si="1"/>
        <v>-100</v>
      </c>
      <c r="E73" s="276">
        <f>ROUND($D$73*B73,2)</f>
        <v>0</v>
      </c>
      <c r="F73" s="738"/>
      <c r="G73" s="732"/>
    </row>
    <row r="74" spans="1:7" ht="13.5" thickBot="1">
      <c r="A74" s="2652" t="s">
        <v>792</v>
      </c>
      <c r="B74" s="691"/>
      <c r="C74" s="274"/>
      <c r="D74" s="354"/>
      <c r="E74" s="276"/>
      <c r="F74" s="738"/>
      <c r="G74" s="732"/>
    </row>
    <row r="75" spans="1:7" ht="13.5" thickBot="1">
      <c r="A75" s="2653"/>
      <c r="B75" s="691"/>
      <c r="C75" s="274"/>
      <c r="D75" s="354"/>
      <c r="E75" s="276"/>
      <c r="F75" s="738"/>
      <c r="G75" s="732"/>
    </row>
    <row r="76" spans="1:7" ht="13.5" thickBot="1">
      <c r="A76" s="2653"/>
      <c r="B76" s="691"/>
      <c r="C76" s="274"/>
      <c r="D76" s="354"/>
      <c r="E76" s="276"/>
      <c r="F76" s="738"/>
      <c r="G76" s="732"/>
    </row>
    <row r="77" spans="1:7" ht="13.5" thickBot="1">
      <c r="B77" s="691"/>
      <c r="C77" s="274"/>
      <c r="D77" s="354"/>
      <c r="E77" s="276"/>
      <c r="F77" s="738"/>
      <c r="G77" s="732"/>
    </row>
    <row r="78" spans="1:7" ht="13.5" thickBot="1">
      <c r="A78" s="321" t="s">
        <v>274</v>
      </c>
      <c r="B78" s="691"/>
      <c r="C78" s="274"/>
      <c r="D78" s="354"/>
      <c r="E78" s="276"/>
      <c r="F78" s="738"/>
      <c r="G78" s="732"/>
    </row>
    <row r="79" spans="1:7" ht="5.85" customHeight="1" thickBot="1">
      <c r="A79" s="272"/>
      <c r="B79" s="319"/>
      <c r="C79" s="289"/>
      <c r="D79" s="320"/>
      <c r="E79" s="271"/>
      <c r="F79" s="731"/>
      <c r="G79" s="728"/>
    </row>
    <row r="80" spans="1:7" ht="9.75" customHeight="1" thickBot="1">
      <c r="A80" s="2655" t="s">
        <v>1327</v>
      </c>
      <c r="B80" s="319"/>
      <c r="C80" s="289"/>
      <c r="D80" s="320"/>
      <c r="E80" s="271"/>
      <c r="F80" s="731"/>
      <c r="G80" s="728"/>
    </row>
    <row r="81" spans="1:7" ht="13.5" thickBot="1">
      <c r="A81" s="323" t="s">
        <v>174</v>
      </c>
      <c r="B81" s="942"/>
      <c r="C81" s="301"/>
      <c r="D81" s="322"/>
      <c r="E81" s="2822"/>
      <c r="F81" s="731"/>
      <c r="G81" s="728"/>
    </row>
    <row r="82" spans="1:7" ht="13.5" thickBot="1">
      <c r="A82" s="325" t="s">
        <v>161</v>
      </c>
      <c r="B82" s="306"/>
      <c r="C82" s="324"/>
      <c r="D82" s="310"/>
      <c r="E82" s="2823"/>
      <c r="F82" s="743"/>
      <c r="G82" s="732"/>
    </row>
    <row r="83" spans="1:7" ht="13.5" thickBot="1">
      <c r="A83" s="1660"/>
      <c r="B83" s="1661"/>
      <c r="C83" s="324"/>
      <c r="D83" s="310"/>
      <c r="E83" s="2824"/>
      <c r="F83" s="743"/>
      <c r="G83" s="732"/>
    </row>
    <row r="84" spans="1:7" ht="13.5" thickBot="1">
      <c r="A84" s="1656"/>
      <c r="B84" s="1657"/>
      <c r="C84" s="324"/>
      <c r="D84" s="310"/>
      <c r="E84" s="2825"/>
      <c r="F84" s="743"/>
      <c r="G84" s="732"/>
    </row>
    <row r="85" spans="1:7" ht="5.85" customHeight="1" thickBot="1">
      <c r="A85" s="326"/>
      <c r="B85" s="327"/>
      <c r="C85" s="328"/>
      <c r="D85" s="329"/>
      <c r="E85" s="359"/>
      <c r="F85" s="731"/>
      <c r="G85" s="728"/>
    </row>
    <row r="86" spans="1:7" ht="15.75" customHeight="1" thickBot="1">
      <c r="A86" s="330" t="s">
        <v>275</v>
      </c>
      <c r="B86" s="331"/>
      <c r="C86" s="332"/>
      <c r="D86" s="332"/>
      <c r="E86" s="1655">
        <f>E68+E60+E52+E46+E39+E35+E31+E20+E7</f>
        <v>-2940.6111329657224</v>
      </c>
      <c r="F86" s="744"/>
      <c r="G86" s="730"/>
    </row>
    <row r="87" spans="1:7" ht="13.5" thickBot="1">
      <c r="A87" s="369"/>
      <c r="B87" s="369"/>
      <c r="C87" s="369"/>
      <c r="D87" s="369"/>
      <c r="E87" s="369"/>
      <c r="F87" s="333"/>
      <c r="G87" s="369"/>
    </row>
    <row r="88" spans="1:7" ht="16.5" thickBot="1">
      <c r="A88" s="261" t="s">
        <v>474</v>
      </c>
      <c r="B88" s="262"/>
      <c r="C88" s="262"/>
      <c r="D88" s="262"/>
      <c r="E88" s="265"/>
      <c r="F88" s="729"/>
    </row>
    <row r="89" spans="1:7" ht="6" customHeight="1" thickBot="1">
      <c r="A89" s="266"/>
      <c r="B89" s="267"/>
      <c r="C89" s="268"/>
      <c r="D89" s="305"/>
      <c r="E89" s="291"/>
      <c r="F89" s="731"/>
    </row>
    <row r="90" spans="1:7" ht="13.5" thickBot="1">
      <c r="A90" s="307" t="s">
        <v>487</v>
      </c>
      <c r="B90" s="524"/>
      <c r="C90" s="293"/>
      <c r="D90" s="349"/>
      <c r="E90" s="271"/>
      <c r="F90" s="731"/>
    </row>
    <row r="91" spans="1:7" ht="13.5" thickBot="1">
      <c r="A91" s="308" t="s">
        <v>486</v>
      </c>
      <c r="B91" s="525"/>
      <c r="C91" s="309"/>
      <c r="D91" s="350"/>
      <c r="E91" s="271"/>
      <c r="F91" s="731"/>
    </row>
    <row r="92" spans="1:7" ht="6" customHeight="1" thickBot="1">
      <c r="A92" s="355"/>
      <c r="B92" s="356"/>
      <c r="C92" s="357"/>
      <c r="D92" s="358"/>
      <c r="E92" s="360"/>
      <c r="F92" s="745"/>
    </row>
    <row r="93" spans="1:7" ht="16.5" thickBot="1">
      <c r="A93" s="330" t="s">
        <v>488</v>
      </c>
      <c r="B93" s="331"/>
      <c r="C93" s="332"/>
      <c r="D93" s="332"/>
      <c r="E93" s="346">
        <f>SUM(E90:E92)*-1</f>
        <v>0</v>
      </c>
      <c r="F93" s="744"/>
    </row>
    <row r="94" spans="1:7" ht="18">
      <c r="A94" s="334"/>
      <c r="B94" s="369"/>
      <c r="C94" s="369"/>
      <c r="D94" s="369"/>
      <c r="E94" s="369"/>
      <c r="F94" s="744"/>
      <c r="G94" s="369"/>
    </row>
    <row r="95" spans="1:7" ht="18">
      <c r="A95" s="334" t="s">
        <v>1503</v>
      </c>
      <c r="B95" s="335"/>
      <c r="C95" s="243"/>
      <c r="F95" s="333"/>
      <c r="G95" s="333"/>
    </row>
    <row r="96" spans="1:7">
      <c r="A96" s="376"/>
      <c r="B96" s="335"/>
      <c r="C96" s="243"/>
      <c r="D96" s="375"/>
      <c r="E96" s="333"/>
      <c r="F96" s="333"/>
      <c r="G96" s="333"/>
    </row>
    <row r="97" spans="1:7" ht="15">
      <c r="A97" s="377" t="s">
        <v>284</v>
      </c>
      <c r="B97" s="378"/>
      <c r="C97" s="379">
        <f>'1a_Leistungsvolumen'!$D$103</f>
        <v>0</v>
      </c>
      <c r="D97" s="375"/>
      <c r="E97" s="380"/>
      <c r="F97" s="333"/>
      <c r="G97" s="333"/>
    </row>
    <row r="98" spans="1:7" ht="15">
      <c r="A98" s="377" t="s">
        <v>793</v>
      </c>
      <c r="B98" s="381"/>
      <c r="C98" s="379">
        <f>E86</f>
        <v>-2940.6111329657224</v>
      </c>
      <c r="D98" s="375"/>
      <c r="E98" s="382"/>
      <c r="F98" s="333"/>
      <c r="G98" s="333"/>
    </row>
    <row r="99" spans="1:7" ht="15">
      <c r="A99" s="377" t="s">
        <v>794</v>
      </c>
      <c r="B99" s="381"/>
      <c r="C99" s="379">
        <f>E93</f>
        <v>0</v>
      </c>
      <c r="D99" s="375"/>
      <c r="E99" s="382"/>
      <c r="F99" s="333"/>
      <c r="G99" s="333"/>
    </row>
    <row r="100" spans="1:7" ht="15.75" thickBot="1">
      <c r="A100" s="383" t="str">
        <f>"Rate "&amp;G3&amp;":"</f>
        <v>Rate Monat JJJJ:</v>
      </c>
      <c r="B100" s="370"/>
      <c r="C100" s="384">
        <f>SUM(C97:C99)</f>
        <v>-2940.6111329657224</v>
      </c>
      <c r="D100" s="375"/>
      <c r="E100" s="333"/>
      <c r="F100" s="333"/>
      <c r="G100" s="333"/>
    </row>
    <row r="101" spans="1:7" ht="15.75" thickTop="1">
      <c r="A101" s="336"/>
      <c r="B101" s="337"/>
      <c r="C101" s="338"/>
      <c r="D101" s="338"/>
      <c r="E101" s="339"/>
      <c r="F101" s="339"/>
      <c r="G101" s="339"/>
    </row>
    <row r="102" spans="1:7">
      <c r="A102" s="369"/>
      <c r="B102" s="369"/>
      <c r="C102" s="369"/>
      <c r="D102" s="369"/>
      <c r="E102" s="369"/>
      <c r="F102" s="369"/>
      <c r="G102" s="369"/>
    </row>
    <row r="103" spans="1:7">
      <c r="A103" s="194" t="s">
        <v>219</v>
      </c>
      <c r="B103" s="2844" t="s">
        <v>224</v>
      </c>
      <c r="C103" s="2844"/>
      <c r="D103" s="2845"/>
      <c r="E103" s="2845"/>
      <c r="F103" s="2845"/>
      <c r="G103" s="2845"/>
    </row>
    <row r="104" spans="1:7">
      <c r="B104" s="2844" t="s">
        <v>1645</v>
      </c>
      <c r="C104" s="2844"/>
      <c r="D104" s="2845"/>
      <c r="E104" s="2845"/>
      <c r="F104" s="2845"/>
      <c r="G104" s="2845"/>
    </row>
    <row r="105" spans="1:7">
      <c r="D105" s="369"/>
      <c r="E105" s="369"/>
      <c r="F105" s="369"/>
      <c r="G105" s="369"/>
    </row>
    <row r="106" spans="1:7">
      <c r="A106" s="2267" t="s">
        <v>1434</v>
      </c>
      <c r="B106" s="2267" t="s">
        <v>1435</v>
      </c>
      <c r="C106"/>
      <c r="D106" s="369"/>
      <c r="E106" s="369"/>
      <c r="F106" s="369"/>
      <c r="G106" s="369"/>
    </row>
    <row r="107" spans="1:7">
      <c r="A107" s="2267" t="s">
        <v>1554</v>
      </c>
      <c r="B107" s="2267" t="s">
        <v>1550</v>
      </c>
      <c r="C107" s="2196" t="s">
        <v>1442</v>
      </c>
      <c r="D107" s="369"/>
      <c r="E107" s="369"/>
      <c r="F107" s="369"/>
      <c r="G107" s="369"/>
    </row>
    <row r="108" spans="1:7">
      <c r="A108" s="369"/>
      <c r="B108" s="369"/>
      <c r="C108" s="369"/>
      <c r="D108" s="369"/>
      <c r="E108" s="369"/>
      <c r="F108" s="369"/>
      <c r="G108" s="369"/>
    </row>
    <row r="109" spans="1:7">
      <c r="A109" s="369"/>
      <c r="B109" s="369"/>
      <c r="C109" s="369"/>
      <c r="D109" s="369"/>
      <c r="E109" s="369"/>
      <c r="F109" s="369"/>
      <c r="G109" s="369"/>
    </row>
    <row r="110" spans="1:7">
      <c r="A110" s="369"/>
      <c r="B110" s="369"/>
      <c r="C110" s="369"/>
      <c r="D110" s="369"/>
      <c r="E110" s="369"/>
      <c r="F110" s="369"/>
      <c r="G110" s="369"/>
    </row>
    <row r="111" spans="1:7">
      <c r="A111" s="369"/>
      <c r="B111" s="369"/>
      <c r="C111" s="369"/>
      <c r="D111" s="369"/>
      <c r="E111" s="369"/>
      <c r="F111" s="369"/>
      <c r="G111" s="369"/>
    </row>
    <row r="112" spans="1:7">
      <c r="A112" s="369"/>
      <c r="B112" s="369"/>
      <c r="C112" s="369"/>
      <c r="D112" s="369"/>
      <c r="E112" s="369"/>
      <c r="F112" s="369"/>
      <c r="G112" s="369"/>
    </row>
    <row r="113" spans="1:7">
      <c r="A113" s="369"/>
      <c r="B113" s="369"/>
      <c r="C113" s="369"/>
      <c r="D113" s="369"/>
      <c r="E113" s="369"/>
      <c r="F113" s="369"/>
      <c r="G113" s="369"/>
    </row>
    <row r="114" spans="1:7">
      <c r="A114" s="369"/>
      <c r="B114" s="369"/>
      <c r="C114" s="369"/>
      <c r="D114" s="369"/>
      <c r="E114" s="369"/>
      <c r="F114" s="369"/>
      <c r="G114" s="369"/>
    </row>
    <row r="115" spans="1:7">
      <c r="A115" s="369"/>
      <c r="B115" s="369"/>
      <c r="C115" s="369"/>
      <c r="D115" s="369"/>
      <c r="E115" s="369"/>
      <c r="F115" s="369"/>
      <c r="G115" s="369"/>
    </row>
  </sheetData>
  <sheetProtection algorithmName="SHA-512" hashValue="sDj7WHb2oX4pwiGPv4S6e9tMRrnKKdg0f5jmchu8M7z3slt5VoVXHHu/6hYhZUh5zdJZjq7f753OTe2tppUY4w==" saltValue="ZuGiu+iRZVWQti2PdNOX+g==" spinCount="100000" sheet="1" objects="1" scenarios="1"/>
  <mergeCells count="1">
    <mergeCell ref="F5:G5"/>
  </mergeCells>
  <pageMargins left="0.7" right="0.7" top="0.78740157499999996" bottom="0.78740157499999996" header="0.3" footer="0.3"/>
  <pageSetup paperSize="9" scale="55" orientation="portrait" r:id="rId1"/>
  <headerFooter>
    <oddHeader>&amp;LVDV SUN Jahresschlussrechnung JJJJ&amp;R&amp;KFF0000&amp;F</oddHeader>
    <oddFooter>&amp;C&amp;P&amp;R&amp;A</oddFooter>
  </headerFooter>
  <rowBreaks count="1" manualBreakCount="1">
    <brk id="46" max="6"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M22"/>
  <sheetViews>
    <sheetView view="pageLayout" zoomScale="80" zoomScaleNormal="80" zoomScaleSheetLayoutView="80" zoomScalePageLayoutView="80" workbookViewId="0">
      <selection activeCell="M39" sqref="M39"/>
    </sheetView>
  </sheetViews>
  <sheetFormatPr baseColWidth="10" defaultColWidth="11.42578125" defaultRowHeight="12.75"/>
  <cols>
    <col min="1" max="1" width="19.85546875" style="140" customWidth="1"/>
    <col min="2" max="2" width="10.85546875" style="140" bestFit="1" customWidth="1"/>
    <col min="3" max="3" width="5.85546875" style="12" customWidth="1"/>
    <col min="4" max="4" width="16.140625" style="141" customWidth="1"/>
    <col min="5" max="5" width="15.140625" style="141" bestFit="1" customWidth="1"/>
    <col min="6" max="6" width="6" style="12" bestFit="1" customWidth="1"/>
    <col min="7" max="7" width="14.5703125" style="141" bestFit="1" customWidth="1"/>
    <col min="8" max="8" width="6.5703125" style="12" customWidth="1"/>
    <col min="9" max="9" width="21.42578125" style="12" bestFit="1" customWidth="1"/>
    <col min="10" max="10" width="8.5703125" style="12" bestFit="1" customWidth="1"/>
    <col min="11" max="11" width="12.42578125" style="133" customWidth="1"/>
    <col min="12" max="12" width="66.85546875" style="12" customWidth="1"/>
    <col min="13" max="13" width="30.28515625" style="12" customWidth="1"/>
    <col min="14" max="16384" width="11.42578125" style="12"/>
  </cols>
  <sheetData>
    <row r="1" spans="1:13" ht="20.25">
      <c r="A1" s="3364" t="s">
        <v>1494</v>
      </c>
      <c r="B1" s="3364"/>
      <c r="C1" s="3364"/>
      <c r="D1" s="3364"/>
      <c r="E1" s="3364"/>
      <c r="F1" s="3364"/>
      <c r="G1" s="3364"/>
      <c r="H1" s="3364"/>
      <c r="I1" s="3364"/>
      <c r="J1" s="3364"/>
      <c r="K1" s="3364"/>
      <c r="L1" s="3364"/>
    </row>
    <row r="2" spans="1:13" s="139" customFormat="1" ht="18">
      <c r="A2" s="3216" t="str">
        <f>'1a_Leistungsvolumen'!A2</f>
        <v>Monat JJJJ</v>
      </c>
      <c r="B2" s="3216"/>
      <c r="C2" s="3216"/>
      <c r="D2" s="3216"/>
      <c r="E2" s="3216"/>
      <c r="F2" s="3216"/>
      <c r="G2" s="3216"/>
      <c r="H2" s="3216"/>
      <c r="I2" s="3216"/>
      <c r="J2" s="3216"/>
      <c r="K2" s="3216"/>
      <c r="L2" s="3216"/>
    </row>
    <row r="3" spans="1:13" s="139" customFormat="1" ht="18">
      <c r="A3" s="614"/>
      <c r="B3" s="614"/>
      <c r="C3" s="614"/>
      <c r="D3" s="614"/>
      <c r="E3" s="614"/>
      <c r="F3" s="614"/>
      <c r="G3" s="614"/>
      <c r="H3" s="614"/>
      <c r="I3" s="614"/>
      <c r="J3" s="614"/>
      <c r="K3" s="614"/>
      <c r="L3" s="614"/>
    </row>
    <row r="4" spans="1:13" s="139" customFormat="1" ht="18">
      <c r="A4" s="652" t="s">
        <v>671</v>
      </c>
      <c r="B4" s="623"/>
      <c r="C4" s="623"/>
      <c r="D4" s="623"/>
      <c r="E4" s="623"/>
      <c r="F4" s="623"/>
      <c r="G4" s="623"/>
      <c r="H4" s="623"/>
      <c r="I4" s="623"/>
      <c r="J4" s="623"/>
      <c r="K4" s="623"/>
      <c r="L4" s="623"/>
    </row>
    <row r="5" spans="1:13" s="139" customFormat="1" ht="53.25" customHeight="1">
      <c r="A5" s="3365" t="s">
        <v>1638</v>
      </c>
      <c r="B5" s="3365"/>
      <c r="C5" s="3365"/>
      <c r="D5" s="3365"/>
      <c r="E5" s="3365"/>
      <c r="F5" s="3365"/>
      <c r="G5" s="3365"/>
      <c r="H5" s="3365"/>
      <c r="I5" s="3365"/>
      <c r="J5" s="3365"/>
      <c r="K5" s="3365"/>
      <c r="L5" s="3365"/>
    </row>
    <row r="6" spans="1:13" s="139" customFormat="1" ht="18">
      <c r="A6" s="652"/>
      <c r="B6" s="623"/>
      <c r="C6" s="623"/>
      <c r="D6" s="623"/>
      <c r="E6" s="623"/>
      <c r="F6" s="623"/>
      <c r="G6" s="623"/>
      <c r="H6" s="623"/>
      <c r="I6" s="623"/>
      <c r="J6" s="623"/>
      <c r="K6" s="623"/>
      <c r="L6" s="623"/>
    </row>
    <row r="7" spans="1:13" s="139" customFormat="1" ht="18.75" thickBot="1">
      <c r="A7" s="623"/>
      <c r="B7" s="623"/>
      <c r="C7" s="623"/>
      <c r="D7" s="623"/>
      <c r="E7" s="623"/>
      <c r="F7" s="623"/>
      <c r="G7" s="623"/>
      <c r="H7" s="623"/>
      <c r="I7" s="623"/>
      <c r="J7" s="623"/>
      <c r="K7" s="623"/>
      <c r="L7" s="623"/>
    </row>
    <row r="8" spans="1:13" ht="123.75" customHeight="1" thickBot="1">
      <c r="A8" s="493" t="s">
        <v>655</v>
      </c>
      <c r="B8" s="648" t="s">
        <v>56</v>
      </c>
      <c r="C8" s="52" t="s">
        <v>668</v>
      </c>
      <c r="D8" s="29" t="s">
        <v>656</v>
      </c>
      <c r="E8" s="29" t="s">
        <v>657</v>
      </c>
      <c r="F8" s="143" t="s">
        <v>658</v>
      </c>
      <c r="G8" s="29" t="s">
        <v>659</v>
      </c>
      <c r="H8" s="586" t="s">
        <v>660</v>
      </c>
      <c r="I8" s="586" t="s">
        <v>661</v>
      </c>
      <c r="J8" s="586" t="s">
        <v>662</v>
      </c>
      <c r="K8" s="56" t="s">
        <v>166</v>
      </c>
      <c r="L8" s="4" t="s">
        <v>66</v>
      </c>
      <c r="M8" s="2594" t="s">
        <v>663</v>
      </c>
    </row>
    <row r="9" spans="1:13" ht="25.5">
      <c r="A9" s="649" t="s">
        <v>664</v>
      </c>
      <c r="B9" s="496">
        <v>45658</v>
      </c>
      <c r="C9" s="642">
        <v>0.75277777777777777</v>
      </c>
      <c r="D9" s="643">
        <v>45658</v>
      </c>
      <c r="E9" s="644">
        <v>0.75277777777777777</v>
      </c>
      <c r="F9" s="499" t="s">
        <v>665</v>
      </c>
      <c r="G9" s="498" t="s">
        <v>666</v>
      </c>
      <c r="H9" s="2341" t="s">
        <v>1388</v>
      </c>
      <c r="I9" s="2341" t="s">
        <v>1397</v>
      </c>
      <c r="J9" s="2341" t="s">
        <v>133</v>
      </c>
      <c r="K9" s="2595" t="s">
        <v>1397</v>
      </c>
      <c r="L9" s="2596" t="s">
        <v>669</v>
      </c>
      <c r="M9" s="2597" t="s">
        <v>1535</v>
      </c>
    </row>
    <row r="10" spans="1:13" ht="51">
      <c r="A10" s="650" t="s">
        <v>667</v>
      </c>
      <c r="B10" s="149">
        <v>45659</v>
      </c>
      <c r="C10" s="645">
        <v>0.55555555555555558</v>
      </c>
      <c r="D10" s="646">
        <v>45659</v>
      </c>
      <c r="E10" s="647">
        <v>0.55555555555555558</v>
      </c>
      <c r="F10" s="148" t="s">
        <v>665</v>
      </c>
      <c r="G10" s="147" t="s">
        <v>666</v>
      </c>
      <c r="H10" s="202" t="s">
        <v>1581</v>
      </c>
      <c r="I10" s="202" t="s">
        <v>1606</v>
      </c>
      <c r="J10" s="80" t="s">
        <v>133</v>
      </c>
      <c r="K10" s="2598"/>
      <c r="L10" s="2599" t="s">
        <v>1400</v>
      </c>
      <c r="M10" s="2600" t="s">
        <v>1529</v>
      </c>
    </row>
    <row r="11" spans="1:13" ht="25.5">
      <c r="A11" s="650" t="s">
        <v>670</v>
      </c>
      <c r="B11" s="149">
        <v>45659</v>
      </c>
      <c r="C11" s="645">
        <v>0.46527777777777773</v>
      </c>
      <c r="D11" s="646">
        <v>45659</v>
      </c>
      <c r="E11" s="647">
        <v>0.46527777777777773</v>
      </c>
      <c r="F11" s="191" t="s">
        <v>665</v>
      </c>
      <c r="G11" s="774" t="s">
        <v>666</v>
      </c>
      <c r="H11" s="202" t="s">
        <v>742</v>
      </c>
      <c r="I11" s="202" t="s">
        <v>435</v>
      </c>
      <c r="J11" s="80" t="s">
        <v>133</v>
      </c>
      <c r="K11" s="2598"/>
      <c r="L11" s="203" t="s">
        <v>690</v>
      </c>
      <c r="M11" s="2600" t="s">
        <v>1533</v>
      </c>
    </row>
    <row r="12" spans="1:13" ht="17.25" customHeight="1">
      <c r="A12" s="650"/>
      <c r="B12" s="149"/>
      <c r="C12" s="114"/>
      <c r="D12" s="147"/>
      <c r="E12" s="147"/>
      <c r="F12" s="148"/>
      <c r="G12" s="147"/>
      <c r="H12" s="114"/>
      <c r="I12" s="114"/>
      <c r="J12" s="114"/>
      <c r="K12" s="129"/>
      <c r="L12" s="114"/>
      <c r="M12" s="130"/>
    </row>
    <row r="13" spans="1:13" ht="17.25" customHeight="1">
      <c r="A13" s="650"/>
      <c r="B13" s="149"/>
      <c r="C13" s="114"/>
      <c r="D13" s="147"/>
      <c r="E13" s="147"/>
      <c r="F13" s="148"/>
      <c r="G13" s="147"/>
      <c r="H13" s="114"/>
      <c r="I13" s="114"/>
      <c r="J13" s="114"/>
      <c r="K13" s="129"/>
      <c r="L13" s="114"/>
      <c r="M13" s="130"/>
    </row>
    <row r="14" spans="1:13" ht="17.25" customHeight="1">
      <c r="A14" s="503"/>
      <c r="B14" s="149"/>
      <c r="C14" s="114"/>
      <c r="D14" s="147"/>
      <c r="E14" s="147"/>
      <c r="F14" s="148"/>
      <c r="G14" s="147"/>
      <c r="H14" s="114"/>
      <c r="I14" s="114"/>
      <c r="J14" s="114"/>
      <c r="K14" s="129"/>
      <c r="L14" s="114"/>
      <c r="M14" s="130"/>
    </row>
    <row r="15" spans="1:13" ht="17.25" customHeight="1" thickBot="1">
      <c r="A15" s="505"/>
      <c r="B15" s="24"/>
      <c r="C15" s="23"/>
      <c r="D15" s="154"/>
      <c r="E15" s="154"/>
      <c r="F15" s="26"/>
      <c r="G15" s="154"/>
      <c r="H15" s="23"/>
      <c r="I15" s="23"/>
      <c r="J15" s="23"/>
      <c r="K15" s="131"/>
      <c r="L15" s="23"/>
      <c r="M15" s="138"/>
    </row>
    <row r="18" spans="1:11">
      <c r="A18" s="194" t="s">
        <v>219</v>
      </c>
      <c r="B18" s="195" t="s">
        <v>224</v>
      </c>
      <c r="C18" s="388"/>
      <c r="D18" s="388"/>
      <c r="E18" s="388"/>
      <c r="F18" s="7"/>
      <c r="G18" s="7"/>
    </row>
    <row r="19" spans="1:11">
      <c r="B19" s="195" t="s">
        <v>1645</v>
      </c>
    </row>
    <row r="21" spans="1:11">
      <c r="A21" s="335" t="s">
        <v>1434</v>
      </c>
      <c r="B21" s="335" t="s">
        <v>1435</v>
      </c>
      <c r="K21" s="433"/>
    </row>
    <row r="22" spans="1:11">
      <c r="A22" s="335" t="s">
        <v>1554</v>
      </c>
      <c r="B22" s="335" t="s">
        <v>1550</v>
      </c>
      <c r="C22" s="2196" t="s">
        <v>1442</v>
      </c>
      <c r="D22" s="1941"/>
    </row>
  </sheetData>
  <sheetProtection algorithmName="SHA-512" hashValue="+0H1ilbzvxN6Yy9h69jJfQjTWbeW5p6xZ7wl/ZW5Q0rqGERcrf+FF3Y7+lIOP6XwscCm7xfpr41XE/9ofltzLQ==" saltValue="CNrt3veekkTKMw2/kdu77g==" spinCount="100000" sheet="1" objects="1" scenarios="1"/>
  <mergeCells count="3">
    <mergeCell ref="A1:L1"/>
    <mergeCell ref="A2:L2"/>
    <mergeCell ref="A5:L5"/>
  </mergeCells>
  <pageMargins left="0.7" right="0.7" top="0.78740157499999996" bottom="0.78740157499999996" header="0.3" footer="0.3"/>
  <pageSetup paperSize="9" scale="57" fitToHeight="0" orientation="landscape" r:id="rId1"/>
  <headerFooter>
    <oddHeader>&amp;LVDV SUN Jahresschlussrechnung JJJJ&amp;R&amp;F</oddHeader>
    <oddFooter>&amp;C&amp;P&amp;R&amp;A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36"/>
  <sheetViews>
    <sheetView view="pageLayout" zoomScale="80" zoomScaleNormal="100" zoomScaleSheetLayoutView="80" zoomScalePageLayoutView="80" workbookViewId="0">
      <selection activeCell="D5" sqref="D5"/>
    </sheetView>
  </sheetViews>
  <sheetFormatPr baseColWidth="10" defaultColWidth="9.140625" defaultRowHeight="18" customHeight="1"/>
  <cols>
    <col min="1" max="1" width="49.5703125" style="1940" customWidth="1"/>
    <col min="2" max="2" width="17.85546875" style="1940" customWidth="1"/>
    <col min="3" max="3" width="13.42578125" style="1941" customWidth="1"/>
    <col min="4" max="4" width="11.7109375" style="1941" customWidth="1"/>
    <col min="5" max="5" width="11.7109375" style="1940" customWidth="1"/>
    <col min="6" max="6" width="11.7109375" style="1941" customWidth="1"/>
    <col min="7" max="7" width="11.7109375" style="1942" customWidth="1"/>
    <col min="8" max="8" width="15.140625" style="1942" customWidth="1"/>
    <col min="9" max="9" width="15.140625" style="1940" customWidth="1"/>
    <col min="10" max="10" width="14.5703125" style="1891" customWidth="1"/>
    <col min="11" max="16384" width="9.140625" style="1891"/>
  </cols>
  <sheetData>
    <row r="1" spans="1:10" ht="18" customHeight="1">
      <c r="A1" s="3233" t="s">
        <v>1495</v>
      </c>
      <c r="B1" s="3233"/>
      <c r="C1" s="3233"/>
      <c r="D1" s="3233"/>
      <c r="E1" s="3233"/>
      <c r="F1" s="3233"/>
      <c r="G1" s="3233"/>
      <c r="H1" s="3233"/>
      <c r="I1" s="547"/>
    </row>
    <row r="2" spans="1:10" ht="23.25" customHeight="1">
      <c r="A2" s="3228" t="str">
        <f>'1a_Leistungsvolumen'!A2</f>
        <v>Monat JJJJ</v>
      </c>
      <c r="B2" s="3228"/>
      <c r="C2" s="3228"/>
      <c r="D2" s="3228"/>
      <c r="E2" s="3228"/>
      <c r="F2" s="3228"/>
      <c r="G2" s="3228"/>
      <c r="H2" s="3228"/>
      <c r="I2" s="548"/>
    </row>
    <row r="3" spans="1:10" ht="23.25" customHeight="1" thickBot="1">
      <c r="A3" s="1890"/>
      <c r="B3" s="1890"/>
      <c r="C3" s="1890"/>
      <c r="D3" s="1890"/>
      <c r="E3" s="722"/>
      <c r="F3" s="722"/>
      <c r="G3" s="722"/>
      <c r="H3" s="722"/>
      <c r="I3" s="1890"/>
    </row>
    <row r="4" spans="1:10" ht="29.25" customHeight="1" thickBot="1">
      <c r="B4" s="1941"/>
      <c r="C4" s="1942"/>
      <c r="D4" s="719" t="s">
        <v>1526</v>
      </c>
      <c r="E4" s="719" t="s">
        <v>1527</v>
      </c>
      <c r="F4" s="719" t="s">
        <v>1552</v>
      </c>
      <c r="G4" s="719" t="s">
        <v>1551</v>
      </c>
      <c r="H4" s="719" t="s">
        <v>1528</v>
      </c>
      <c r="I4" s="719" t="s">
        <v>1666</v>
      </c>
      <c r="J4" s="719" t="s">
        <v>1553</v>
      </c>
    </row>
    <row r="5" spans="1:10" ht="12.75">
      <c r="A5" s="3366" t="s">
        <v>695</v>
      </c>
      <c r="B5" s="3367"/>
      <c r="C5" s="936">
        <v>20</v>
      </c>
      <c r="D5" s="723"/>
      <c r="E5" s="723"/>
      <c r="F5" s="723"/>
      <c r="G5" s="723"/>
      <c r="H5" s="723"/>
      <c r="I5" s="723"/>
      <c r="J5" s="723"/>
    </row>
    <row r="6" spans="1:10" ht="12.75">
      <c r="A6" s="3370" t="s">
        <v>696</v>
      </c>
      <c r="B6" s="3371"/>
      <c r="C6" s="937">
        <v>30</v>
      </c>
      <c r="D6" s="724"/>
      <c r="E6" s="724"/>
      <c r="F6" s="724"/>
      <c r="G6" s="724"/>
      <c r="H6" s="724"/>
      <c r="I6" s="724"/>
      <c r="J6" s="724"/>
    </row>
    <row r="7" spans="1:10" ht="13.5" thickBot="1">
      <c r="A7" s="3372" t="s">
        <v>697</v>
      </c>
      <c r="B7" s="3373"/>
      <c r="C7" s="938">
        <v>40</v>
      </c>
      <c r="D7" s="725"/>
      <c r="E7" s="725"/>
      <c r="F7" s="725"/>
      <c r="G7" s="725"/>
      <c r="H7" s="725"/>
      <c r="I7" s="725"/>
      <c r="J7" s="725"/>
    </row>
    <row r="8" spans="1:10" ht="18" customHeight="1" thickBot="1">
      <c r="A8" s="3368" t="s">
        <v>743</v>
      </c>
      <c r="B8" s="3369"/>
      <c r="C8" s="1943"/>
      <c r="D8" s="726"/>
      <c r="E8" s="726"/>
      <c r="F8" s="726"/>
      <c r="G8" s="726"/>
      <c r="H8" s="726"/>
      <c r="I8" s="726"/>
      <c r="J8" s="726"/>
    </row>
    <row r="9" spans="1:10" ht="18" customHeight="1" thickBot="1">
      <c r="D9" s="1944"/>
    </row>
    <row r="10" spans="1:10" ht="48.75" customHeight="1" thickBot="1">
      <c r="A10" s="466" t="s">
        <v>497</v>
      </c>
      <c r="B10" s="1693" t="s">
        <v>1164</v>
      </c>
      <c r="C10" s="545" t="s">
        <v>496</v>
      </c>
      <c r="D10" s="545" t="s">
        <v>110</v>
      </c>
      <c r="E10" s="660" t="s">
        <v>111</v>
      </c>
      <c r="F10" s="545" t="s">
        <v>112</v>
      </c>
      <c r="G10" s="660" t="s">
        <v>113</v>
      </c>
      <c r="H10" s="845" t="s">
        <v>694</v>
      </c>
      <c r="I10" s="845" t="s">
        <v>692</v>
      </c>
      <c r="J10" s="687" t="s">
        <v>693</v>
      </c>
    </row>
    <row r="11" spans="1:10" ht="18" customHeight="1">
      <c r="A11" s="178" t="s">
        <v>500</v>
      </c>
      <c r="B11" s="2904" t="s">
        <v>1438</v>
      </c>
      <c r="C11" s="179" t="s">
        <v>139</v>
      </c>
      <c r="D11" s="165">
        <v>45920</v>
      </c>
      <c r="E11" s="549">
        <v>0.70833333333333337</v>
      </c>
      <c r="F11" s="165">
        <v>45923</v>
      </c>
      <c r="G11" s="166">
        <v>0.91666666666666663</v>
      </c>
      <c r="H11" s="1945">
        <v>0</v>
      </c>
      <c r="I11" s="1946">
        <v>0</v>
      </c>
      <c r="J11" s="1947">
        <v>6</v>
      </c>
    </row>
    <row r="12" spans="1:10" ht="18" customHeight="1">
      <c r="A12" s="178" t="s">
        <v>498</v>
      </c>
      <c r="B12" s="2904" t="s">
        <v>1438</v>
      </c>
      <c r="C12" s="179" t="s">
        <v>499</v>
      </c>
      <c r="D12" s="165">
        <v>45923</v>
      </c>
      <c r="E12" s="549">
        <v>0.75</v>
      </c>
      <c r="F12" s="165">
        <v>45923</v>
      </c>
      <c r="G12" s="166">
        <v>0.91666666666666663</v>
      </c>
      <c r="H12" s="1948">
        <v>0</v>
      </c>
      <c r="I12" s="1949">
        <v>4</v>
      </c>
      <c r="J12" s="1950">
        <v>0</v>
      </c>
    </row>
    <row r="13" spans="1:10" ht="18" customHeight="1">
      <c r="A13" s="178"/>
      <c r="B13" s="1209"/>
      <c r="C13" s="180"/>
      <c r="D13" s="177"/>
      <c r="E13" s="550"/>
      <c r="F13" s="177"/>
      <c r="G13" s="843"/>
      <c r="H13" s="1951"/>
      <c r="I13" s="1952"/>
      <c r="J13" s="1953"/>
    </row>
    <row r="14" spans="1:10" ht="18" customHeight="1">
      <c r="A14" s="480"/>
      <c r="B14" s="1209"/>
      <c r="C14" s="478"/>
      <c r="D14" s="479"/>
      <c r="E14" s="551"/>
      <c r="F14" s="479"/>
      <c r="G14" s="1787"/>
      <c r="H14" s="1948"/>
      <c r="I14" s="1949"/>
      <c r="J14" s="1950"/>
    </row>
    <row r="15" spans="1:10" ht="18" customHeight="1">
      <c r="A15" s="480"/>
      <c r="B15" s="1209"/>
      <c r="C15" s="478"/>
      <c r="D15" s="479"/>
      <c r="E15" s="551"/>
      <c r="F15" s="479"/>
      <c r="G15" s="1787"/>
      <c r="H15" s="1948"/>
      <c r="I15" s="1949"/>
      <c r="J15" s="1950"/>
    </row>
    <row r="16" spans="1:10" ht="18" customHeight="1">
      <c r="A16" s="480"/>
      <c r="B16" s="1209"/>
      <c r="C16" s="478"/>
      <c r="D16" s="479"/>
      <c r="E16" s="551"/>
      <c r="F16" s="479"/>
      <c r="G16" s="1787"/>
      <c r="H16" s="1948"/>
      <c r="I16" s="1949"/>
      <c r="J16" s="1950"/>
    </row>
    <row r="17" spans="1:10" ht="18" customHeight="1">
      <c r="A17" s="480"/>
      <c r="B17" s="1209"/>
      <c r="C17" s="478"/>
      <c r="D17" s="479"/>
      <c r="E17" s="551"/>
      <c r="F17" s="479"/>
      <c r="G17" s="1787"/>
      <c r="H17" s="1948"/>
      <c r="I17" s="1949"/>
      <c r="J17" s="1950"/>
    </row>
    <row r="18" spans="1:10" ht="18" customHeight="1">
      <c r="A18" s="480"/>
      <c r="B18" s="1209"/>
      <c r="C18" s="478"/>
      <c r="D18" s="479"/>
      <c r="E18" s="551"/>
      <c r="F18" s="479"/>
      <c r="G18" s="1787"/>
      <c r="H18" s="1948"/>
      <c r="I18" s="1949"/>
      <c r="J18" s="1950"/>
    </row>
    <row r="19" spans="1:10" ht="18" customHeight="1">
      <c r="A19" s="480"/>
      <c r="B19" s="1209"/>
      <c r="C19" s="478"/>
      <c r="D19" s="479"/>
      <c r="E19" s="551"/>
      <c r="F19" s="479"/>
      <c r="G19" s="1787"/>
      <c r="H19" s="1948"/>
      <c r="I19" s="1949"/>
      <c r="J19" s="1950"/>
    </row>
    <row r="20" spans="1:10" ht="18" customHeight="1">
      <c r="A20" s="480"/>
      <c r="B20" s="1209"/>
      <c r="C20" s="478"/>
      <c r="D20" s="479"/>
      <c r="E20" s="551"/>
      <c r="F20" s="479"/>
      <c r="G20" s="1787"/>
      <c r="H20" s="1948"/>
      <c r="I20" s="1949"/>
      <c r="J20" s="1950"/>
    </row>
    <row r="21" spans="1:10" ht="18" customHeight="1">
      <c r="A21" s="480"/>
      <c r="B21" s="1209"/>
      <c r="C21" s="478"/>
      <c r="D21" s="479"/>
      <c r="E21" s="551"/>
      <c r="F21" s="479"/>
      <c r="G21" s="1787"/>
      <c r="H21" s="1948"/>
      <c r="I21" s="1949"/>
      <c r="J21" s="1950"/>
    </row>
    <row r="22" spans="1:10" ht="18" customHeight="1" thickBot="1">
      <c r="A22" s="475"/>
      <c r="B22" s="1914"/>
      <c r="C22" s="476"/>
      <c r="D22" s="477"/>
      <c r="E22" s="552"/>
      <c r="F22" s="477"/>
      <c r="G22" s="1799"/>
      <c r="H22" s="1954"/>
      <c r="I22" s="1955"/>
      <c r="J22" s="1956"/>
    </row>
    <row r="23" spans="1:10" ht="18" customHeight="1" thickBot="1">
      <c r="A23" s="466" t="s">
        <v>35</v>
      </c>
      <c r="B23" s="1957"/>
      <c r="C23" s="545"/>
      <c r="D23" s="545"/>
      <c r="E23" s="660"/>
      <c r="F23" s="545"/>
      <c r="G23" s="660"/>
      <c r="H23" s="1958">
        <f>SUM(H11:H22)</f>
        <v>0</v>
      </c>
      <c r="I23" s="1958">
        <f>SUM(I11:I22)</f>
        <v>4</v>
      </c>
      <c r="J23" s="1959">
        <f>SUM(J11:J22)</f>
        <v>6</v>
      </c>
    </row>
    <row r="25" spans="1:10" ht="18" customHeight="1">
      <c r="A25" s="985" t="s">
        <v>219</v>
      </c>
      <c r="B25" s="195" t="s">
        <v>224</v>
      </c>
      <c r="C25" s="1892"/>
      <c r="D25" s="1892"/>
      <c r="E25" s="1892"/>
      <c r="F25" s="197"/>
      <c r="G25" s="197"/>
    </row>
    <row r="26" spans="1:10" ht="18" customHeight="1">
      <c r="B26" s="195" t="s">
        <v>1645</v>
      </c>
      <c r="F26" s="1333"/>
      <c r="G26" s="1891"/>
      <c r="H26" s="437"/>
      <c r="I26" s="1891"/>
    </row>
    <row r="27" spans="1:10" ht="18" customHeight="1">
      <c r="F27" s="437"/>
      <c r="G27" s="437"/>
      <c r="H27" s="437"/>
      <c r="I27" s="1891"/>
    </row>
    <row r="28" spans="1:10" ht="18" customHeight="1">
      <c r="A28" s="335" t="s">
        <v>1434</v>
      </c>
      <c r="B28" s="335" t="s">
        <v>1435</v>
      </c>
      <c r="F28" s="437"/>
      <c r="G28" s="437"/>
      <c r="H28" s="437"/>
      <c r="I28" s="1891"/>
    </row>
    <row r="29" spans="1:10" ht="18" customHeight="1">
      <c r="A29" s="335" t="s">
        <v>1554</v>
      </c>
      <c r="B29" s="335" t="s">
        <v>1550</v>
      </c>
      <c r="C29" s="2196" t="s">
        <v>1442</v>
      </c>
    </row>
    <row r="31" spans="1:10" ht="18" customHeight="1">
      <c r="A31" s="1891"/>
      <c r="B31" s="1891"/>
      <c r="C31" s="1891"/>
      <c r="D31" s="1891"/>
      <c r="E31" s="1891"/>
      <c r="F31" s="1891"/>
      <c r="G31" s="1891"/>
      <c r="H31" s="1891"/>
    </row>
    <row r="32" spans="1:10" ht="18" customHeight="1">
      <c r="A32" s="1891"/>
      <c r="B32" s="1891"/>
      <c r="C32" s="1891"/>
      <c r="D32" s="1891"/>
      <c r="E32" s="1891"/>
      <c r="F32" s="1891"/>
      <c r="G32" s="1891"/>
      <c r="H32" s="1891"/>
    </row>
    <row r="33" spans="1:10" ht="18" customHeight="1">
      <c r="A33" s="1891"/>
      <c r="B33" s="1891"/>
      <c r="C33" s="1891"/>
      <c r="D33" s="1891"/>
      <c r="E33" s="1891"/>
      <c r="F33" s="1891"/>
      <c r="G33" s="1891"/>
      <c r="H33" s="1891"/>
    </row>
    <row r="34" spans="1:10" ht="18" customHeight="1">
      <c r="A34" s="1891"/>
      <c r="B34" s="1891"/>
      <c r="C34" s="1891"/>
      <c r="D34" s="1891"/>
      <c r="E34" s="1891"/>
      <c r="F34" s="1891"/>
      <c r="G34" s="1891"/>
      <c r="H34" s="1891"/>
    </row>
    <row r="35" spans="1:10" s="1942" customFormat="1" ht="18" customHeight="1">
      <c r="A35" s="1891"/>
      <c r="B35" s="1891"/>
      <c r="C35" s="1891"/>
      <c r="D35" s="1891"/>
      <c r="E35" s="1891"/>
      <c r="F35" s="1891"/>
      <c r="G35" s="1891"/>
      <c r="H35" s="1891"/>
      <c r="I35" s="1940"/>
      <c r="J35" s="1891"/>
    </row>
    <row r="36" spans="1:10" s="1942" customFormat="1" ht="18" customHeight="1">
      <c r="A36" s="1891"/>
      <c r="B36" s="1891"/>
      <c r="C36" s="1891"/>
      <c r="D36" s="1891"/>
      <c r="E36" s="1891"/>
      <c r="F36" s="1891"/>
      <c r="G36" s="1891"/>
      <c r="H36" s="1891"/>
      <c r="I36" s="1940"/>
      <c r="J36" s="1891"/>
    </row>
  </sheetData>
  <sheetProtection algorithmName="SHA-512" hashValue="jkJbwm4Xd7TyfoarOW+6U5GP6HjbfxxR9ob4YBS1WQss2cbQVCO4LJm7J8BmnjxzlNrkaJ45AaDjC5GPohBrZg==" saltValue="xtgbTN0pqtDcTeu4A87QGQ==" spinCount="100000" sheet="1" objects="1" scenarios="1"/>
  <mergeCells count="6">
    <mergeCell ref="A5:B5"/>
    <mergeCell ref="A8:B8"/>
    <mergeCell ref="A2:H2"/>
    <mergeCell ref="A1:H1"/>
    <mergeCell ref="A6:B6"/>
    <mergeCell ref="A7:B7"/>
  </mergeCells>
  <pageMargins left="0.7" right="0.7" top="0.78740157499999996" bottom="0.78740157499999996" header="0.3" footer="0.3"/>
  <pageSetup paperSize="9" scale="63" fitToHeight="0" orientation="landscape" r:id="rId1"/>
  <headerFooter>
    <oddHeader>&amp;LVDV SUN Jahresschlussrechnung JJJJ&amp;R&amp;F</oddHeader>
    <oddFooter>&amp;C&amp;P&amp;R&amp;A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70C0"/>
  </sheetPr>
  <dimension ref="A1:AR37"/>
  <sheetViews>
    <sheetView view="pageLayout" zoomScale="80" zoomScaleNormal="100" zoomScaleSheetLayoutView="80" zoomScalePageLayoutView="80" workbookViewId="0">
      <selection activeCell="P11" sqref="P11"/>
    </sheetView>
  </sheetViews>
  <sheetFormatPr baseColWidth="10" defaultColWidth="6" defaultRowHeight="18" customHeight="1"/>
  <cols>
    <col min="1" max="1" width="18.5703125" style="76" customWidth="1"/>
    <col min="2" max="2" width="15.7109375" style="77" customWidth="1"/>
    <col min="3" max="3" width="8.42578125" style="77" customWidth="1"/>
    <col min="4" max="4" width="12.7109375" style="76" bestFit="1" customWidth="1"/>
    <col min="5" max="5" width="13.140625" style="77" customWidth="1"/>
    <col min="6" max="6" width="11.140625" style="78" customWidth="1"/>
    <col min="7" max="7" width="10.7109375" style="78" customWidth="1"/>
    <col min="8" max="8" width="27.85546875" style="76" customWidth="1"/>
    <col min="9" max="9" width="11.42578125" style="78" customWidth="1"/>
    <col min="10" max="10" width="15.28515625" style="74" customWidth="1"/>
    <col min="11" max="11" width="15.7109375" style="74" customWidth="1"/>
    <col min="12" max="12" width="12.7109375" style="74" bestFit="1" customWidth="1"/>
    <col min="13" max="13" width="5.28515625" style="79" bestFit="1" customWidth="1"/>
    <col min="14" max="14" width="5" style="79" bestFit="1" customWidth="1"/>
    <col min="15" max="44" width="3.85546875" style="79" customWidth="1"/>
    <col min="45" max="16384" width="6" style="74"/>
  </cols>
  <sheetData>
    <row r="1" spans="1:44" ht="33.75" customHeight="1">
      <c r="A1" s="3233" t="s">
        <v>1496</v>
      </c>
      <c r="B1" s="3233"/>
      <c r="C1" s="3233"/>
      <c r="D1" s="3233"/>
      <c r="E1" s="3233"/>
      <c r="F1" s="3233"/>
      <c r="G1" s="3233"/>
      <c r="H1" s="3233"/>
      <c r="I1" s="3233"/>
      <c r="J1" s="3233"/>
      <c r="K1" s="3233"/>
      <c r="L1" s="3233"/>
      <c r="M1" s="1680"/>
      <c r="N1" s="425"/>
      <c r="O1" s="425"/>
      <c r="P1" s="425"/>
      <c r="Q1" s="425"/>
      <c r="R1" s="425"/>
      <c r="S1" s="425"/>
      <c r="T1" s="425"/>
      <c r="U1" s="425"/>
      <c r="V1" s="425"/>
      <c r="W1" s="425"/>
      <c r="X1" s="425"/>
      <c r="Y1" s="425"/>
      <c r="Z1" s="425"/>
      <c r="AA1" s="425"/>
      <c r="AB1" s="425"/>
      <c r="AC1" s="425"/>
      <c r="AD1" s="425"/>
      <c r="AE1" s="425"/>
      <c r="AF1" s="425"/>
      <c r="AG1" s="425"/>
      <c r="AH1" s="425"/>
      <c r="AI1" s="425"/>
      <c r="AJ1" s="425"/>
      <c r="AK1" s="425"/>
      <c r="AL1" s="425"/>
      <c r="AM1" s="425"/>
      <c r="AN1" s="425"/>
      <c r="AO1" s="425"/>
      <c r="AP1" s="425"/>
      <c r="AQ1" s="425"/>
      <c r="AR1" s="425"/>
    </row>
    <row r="2" spans="1:44" ht="23.25" customHeight="1" thickBot="1">
      <c r="A2" s="3228" t="str">
        <f>'1a_Leistungsvolumen'!A2</f>
        <v>Monat JJJJ</v>
      </c>
      <c r="B2" s="3228"/>
      <c r="C2" s="3228"/>
      <c r="D2" s="3228"/>
      <c r="E2" s="3228"/>
      <c r="F2" s="3228"/>
      <c r="G2" s="3228"/>
      <c r="H2" s="3228"/>
      <c r="I2" s="3228"/>
      <c r="J2" s="3228"/>
      <c r="K2" s="3228"/>
      <c r="L2" s="3228"/>
      <c r="M2" s="1681"/>
      <c r="N2" s="1681"/>
      <c r="O2" s="1681"/>
      <c r="P2" s="1681"/>
      <c r="Q2" s="1681"/>
      <c r="R2" s="1681"/>
      <c r="S2" s="1681"/>
      <c r="T2" s="95"/>
      <c r="U2" s="1681"/>
      <c r="V2" s="1681"/>
      <c r="W2" s="1681"/>
      <c r="X2" s="1681"/>
      <c r="Y2" s="1681"/>
      <c r="Z2" s="1681"/>
      <c r="AA2" s="1681"/>
      <c r="AB2" s="1681"/>
      <c r="AC2" s="1681"/>
      <c r="AD2" s="1681"/>
      <c r="AE2" s="1681"/>
      <c r="AF2" s="1681"/>
      <c r="AG2" s="1681"/>
      <c r="AH2" s="1681"/>
      <c r="AI2" s="1681"/>
      <c r="AJ2" s="1681"/>
      <c r="AK2" s="1681"/>
      <c r="AL2" s="1681"/>
      <c r="AM2" s="1681"/>
      <c r="AN2" s="425"/>
      <c r="AO2" s="425"/>
      <c r="AP2" s="425"/>
      <c r="AQ2" s="1681"/>
      <c r="AR2" s="1681"/>
    </row>
    <row r="3" spans="1:44" ht="27.75" customHeight="1" thickBot="1">
      <c r="D3" s="2201" t="s">
        <v>1497</v>
      </c>
      <c r="E3" s="1884" t="s">
        <v>1526</v>
      </c>
      <c r="F3" s="1513" t="s">
        <v>1527</v>
      </c>
      <c r="G3" s="1513" t="s">
        <v>1552</v>
      </c>
      <c r="H3" s="1513" t="s">
        <v>1551</v>
      </c>
      <c r="I3" s="1513" t="s">
        <v>1528</v>
      </c>
      <c r="J3" s="1513" t="s">
        <v>1666</v>
      </c>
      <c r="K3" s="1513" t="s">
        <v>1553</v>
      </c>
      <c r="M3" s="1681"/>
      <c r="N3" s="1681"/>
      <c r="O3" s="1681"/>
      <c r="P3" s="1681"/>
      <c r="Q3" s="1681"/>
      <c r="R3" s="1681"/>
      <c r="S3" s="1681"/>
      <c r="T3" s="425"/>
      <c r="U3" s="425"/>
      <c r="V3" s="1681"/>
      <c r="W3" s="1681"/>
      <c r="X3" s="95"/>
      <c r="Y3" s="1681"/>
      <c r="Z3" s="1681"/>
      <c r="AA3" s="1681"/>
      <c r="AB3" s="1681"/>
      <c r="AC3" s="1681"/>
      <c r="AD3" s="1681"/>
      <c r="AE3" s="425"/>
      <c r="AF3" s="425"/>
      <c r="AG3" s="1681"/>
      <c r="AH3" s="1681"/>
      <c r="AI3" s="1681"/>
      <c r="AJ3" s="1681"/>
      <c r="AK3" s="1681"/>
      <c r="AL3" s="1681"/>
      <c r="AM3" s="1681"/>
      <c r="AN3" s="1681"/>
      <c r="AO3" s="1681"/>
      <c r="AP3" s="1681"/>
      <c r="AQ3" s="1681"/>
      <c r="AR3" s="1681"/>
    </row>
    <row r="4" spans="1:44" ht="18" customHeight="1">
      <c r="D4" s="1922">
        <f>SUM($E$4:$K$4)</f>
        <v>1.0000001000000001</v>
      </c>
      <c r="E4" s="3021">
        <f>'1a_Leistungsvolumen'!$C$93</f>
        <v>9.7772999999999992E-3</v>
      </c>
      <c r="F4" s="3021">
        <f>'1a_Leistungsvolumen'!$D$93</f>
        <v>0.1214701</v>
      </c>
      <c r="G4" s="3021">
        <f>'1a_Leistungsvolumen'!$E$93</f>
        <v>6.2115400000000001E-2</v>
      </c>
      <c r="H4" s="3021">
        <f>'1a_Leistungsvolumen'!$F$93</f>
        <v>0.54540759999999999</v>
      </c>
      <c r="I4" s="3021">
        <f>'1a_Leistungsvolumen'!$G$93</f>
        <v>0.22948180000000001</v>
      </c>
      <c r="J4" s="3021">
        <f>'1a_Leistungsvolumen'!$H$93</f>
        <v>2.9332299999999999E-2</v>
      </c>
      <c r="K4" s="3022">
        <f>'1a_Leistungsvolumen'!$I$93</f>
        <v>2.4156E-3</v>
      </c>
      <c r="L4" s="3026" t="s">
        <v>1706</v>
      </c>
      <c r="M4" s="1681"/>
      <c r="N4" s="425"/>
      <c r="O4" s="425"/>
      <c r="P4" s="425"/>
      <c r="Q4" s="425"/>
      <c r="R4" s="1681"/>
      <c r="S4" s="1681"/>
      <c r="T4" s="1681"/>
      <c r="U4" s="1681"/>
      <c r="V4" s="1681"/>
      <c r="W4" s="1681"/>
      <c r="X4" s="1681"/>
      <c r="Y4" s="1681"/>
      <c r="Z4" s="1681"/>
      <c r="AA4" s="1681"/>
      <c r="AB4" s="1681"/>
      <c r="AC4" s="1681"/>
      <c r="AD4" s="1681"/>
      <c r="AE4" s="1681"/>
      <c r="AF4" s="1681"/>
      <c r="AG4" s="1681"/>
      <c r="AH4" s="1681"/>
      <c r="AI4" s="1681"/>
      <c r="AJ4" s="1681"/>
      <c r="AK4" s="1681"/>
      <c r="AL4" s="1681"/>
      <c r="AM4" s="1681"/>
      <c r="AN4" s="1681"/>
      <c r="AO4" s="1681"/>
      <c r="AP4" s="1681"/>
      <c r="AQ4" s="1681"/>
      <c r="AR4" s="1681"/>
    </row>
    <row r="5" spans="1:44" ht="21.75" customHeight="1">
      <c r="A5" s="3361" t="s">
        <v>1190</v>
      </c>
      <c r="B5" s="3175"/>
      <c r="C5" s="3175"/>
      <c r="D5" s="1923">
        <v>500</v>
      </c>
      <c r="E5" s="1926"/>
      <c r="F5" s="1927"/>
      <c r="G5" s="1927"/>
      <c r="H5" s="1928"/>
      <c r="I5" s="1927"/>
      <c r="J5" s="1927"/>
      <c r="K5" s="1927"/>
      <c r="M5" s="1681"/>
      <c r="N5" s="1681"/>
      <c r="O5" s="1681"/>
      <c r="P5" s="1681"/>
      <c r="Q5" s="1681"/>
      <c r="R5" s="1681"/>
      <c r="S5" s="1681"/>
      <c r="T5" s="1681"/>
      <c r="U5" s="1681"/>
      <c r="V5" s="1681"/>
      <c r="W5" s="1681"/>
      <c r="X5" s="1681"/>
      <c r="Y5" s="1681"/>
      <c r="Z5" s="1681"/>
      <c r="AA5" s="1681"/>
      <c r="AB5" s="1681"/>
      <c r="AC5" s="425"/>
      <c r="AD5" s="425"/>
      <c r="AE5" s="1681"/>
      <c r="AF5" s="1681"/>
      <c r="AG5" s="1681"/>
      <c r="AH5" s="1681"/>
      <c r="AI5" s="1681"/>
      <c r="AJ5" s="1681"/>
      <c r="AK5" s="1681"/>
      <c r="AL5" s="1681"/>
      <c r="AM5" s="1681"/>
      <c r="AN5" s="1681"/>
      <c r="AO5" s="1681"/>
      <c r="AP5" s="1681"/>
      <c r="AQ5" s="1681"/>
      <c r="AR5" s="1681"/>
    </row>
    <row r="6" spans="1:44" ht="25.5" customHeight="1">
      <c r="A6" s="3361" t="s">
        <v>1277</v>
      </c>
      <c r="B6" s="3175"/>
      <c r="C6" s="3175"/>
      <c r="D6" s="1924">
        <f>$J$27</f>
        <v>3</v>
      </c>
      <c r="E6" s="1927"/>
      <c r="F6" s="1927"/>
      <c r="G6" s="1927"/>
      <c r="H6" s="1927"/>
      <c r="I6" s="1927"/>
      <c r="J6" s="1927"/>
      <c r="K6" s="1927"/>
      <c r="M6" s="1681"/>
      <c r="N6" s="1681"/>
      <c r="O6" s="1681"/>
      <c r="P6" s="1681"/>
      <c r="Q6" s="1681"/>
      <c r="R6" s="1681"/>
      <c r="S6" s="1681"/>
      <c r="T6" s="1681"/>
      <c r="U6" s="1681"/>
      <c r="V6" s="1681"/>
      <c r="W6" s="1681"/>
      <c r="X6" s="1681"/>
      <c r="Y6" s="1681"/>
      <c r="Z6" s="1681"/>
      <c r="AA6" s="1681"/>
      <c r="AB6" s="1681"/>
      <c r="AC6" s="1681"/>
      <c r="AD6" s="1681"/>
      <c r="AE6" s="1681"/>
      <c r="AF6" s="1681"/>
      <c r="AG6" s="95"/>
      <c r="AH6" s="1681"/>
      <c r="AI6" s="425"/>
      <c r="AJ6" s="1681"/>
      <c r="AK6" s="1681"/>
      <c r="AL6" s="1681"/>
      <c r="AM6" s="1681"/>
      <c r="AN6" s="1681"/>
      <c r="AO6" s="1681"/>
      <c r="AP6" s="1681"/>
      <c r="AQ6" s="1681"/>
      <c r="AR6" s="1681"/>
    </row>
    <row r="7" spans="1:44" ht="25.5" customHeight="1">
      <c r="A7" s="3361" t="s">
        <v>1398</v>
      </c>
      <c r="B7" s="3175"/>
      <c r="C7" s="3362"/>
      <c r="D7" s="1923">
        <f>$D$5*$D$6</f>
        <v>1500</v>
      </c>
      <c r="E7" s="1923">
        <f>$D$5*$E$4*$D$6</f>
        <v>14.665949999999999</v>
      </c>
      <c r="F7" s="1923">
        <f>$D$5*$F$4*$D$6</f>
        <v>182.20515</v>
      </c>
      <c r="G7" s="1923">
        <f>$D$5*$G$4*$D$6</f>
        <v>93.173100000000005</v>
      </c>
      <c r="H7" s="1923">
        <f>$D$5*$H$4*$D$6</f>
        <v>818.1114</v>
      </c>
      <c r="I7" s="1933">
        <f>$D$5*$I$4*$D$6</f>
        <v>344.22270000000003</v>
      </c>
      <c r="J7" s="1933">
        <f>$D$5*$J$4*$D$6</f>
        <v>43.998449999999998</v>
      </c>
      <c r="K7" s="2424">
        <f>$D$5*$K$4*$D$6</f>
        <v>3.6234000000000002</v>
      </c>
      <c r="M7" s="1681"/>
      <c r="N7" s="1681"/>
      <c r="O7" s="1681"/>
      <c r="P7" s="1681"/>
      <c r="Q7" s="1681"/>
      <c r="R7" s="1681"/>
      <c r="S7" s="1681"/>
      <c r="T7" s="1681"/>
      <c r="U7" s="1681"/>
      <c r="V7" s="1681"/>
      <c r="W7" s="1681"/>
      <c r="X7" s="1681"/>
      <c r="Y7" s="1681"/>
      <c r="Z7" s="1681"/>
      <c r="AA7" s="1681"/>
      <c r="AB7" s="1681"/>
      <c r="AC7" s="1681"/>
      <c r="AD7" s="1681"/>
      <c r="AE7" s="1681"/>
      <c r="AF7" s="1681"/>
      <c r="AG7" s="95"/>
      <c r="AH7" s="1681"/>
      <c r="AI7" s="425"/>
      <c r="AJ7" s="1681"/>
      <c r="AK7" s="1681"/>
      <c r="AL7" s="1681"/>
      <c r="AM7" s="1681"/>
      <c r="AN7" s="1681"/>
      <c r="AO7" s="1681"/>
      <c r="AP7" s="1681"/>
      <c r="AQ7" s="1681"/>
      <c r="AR7" s="1681"/>
    </row>
    <row r="8" spans="1:44" ht="18" customHeight="1">
      <c r="A8" s="3361" t="s">
        <v>1189</v>
      </c>
      <c r="B8" s="3175"/>
      <c r="C8" s="3175"/>
      <c r="D8" s="1923">
        <v>100</v>
      </c>
      <c r="E8" s="1926"/>
      <c r="F8" s="1929"/>
      <c r="G8" s="1929"/>
      <c r="H8" s="1929"/>
      <c r="I8" s="1929"/>
      <c r="J8" s="1929"/>
      <c r="K8" s="1929"/>
      <c r="L8" s="79"/>
      <c r="M8" s="1681"/>
      <c r="N8" s="425"/>
      <c r="O8" s="1681"/>
      <c r="P8" s="1681"/>
      <c r="Q8" s="1681"/>
      <c r="R8" s="1681"/>
      <c r="S8" s="1681"/>
      <c r="T8" s="1681"/>
      <c r="U8" s="1681"/>
      <c r="V8" s="1681"/>
      <c r="W8" s="1681"/>
      <c r="X8" s="1681"/>
      <c r="Y8" s="1681"/>
      <c r="Z8" s="1681"/>
      <c r="AA8" s="95"/>
      <c r="AB8" s="1681"/>
      <c r="AC8" s="1681"/>
      <c r="AD8" s="1681"/>
      <c r="AE8" s="1681"/>
      <c r="AF8" s="1681"/>
      <c r="AG8" s="1681"/>
      <c r="AH8" s="1681"/>
      <c r="AI8" s="1681"/>
      <c r="AJ8" s="1681"/>
      <c r="AK8" s="1681"/>
      <c r="AL8" s="1681"/>
      <c r="AM8" s="1681"/>
      <c r="AN8" s="1681"/>
      <c r="AO8" s="1681"/>
      <c r="AP8" s="1681"/>
      <c r="AQ8" s="1681"/>
      <c r="AR8" s="1681"/>
    </row>
    <row r="9" spans="1:44" ht="30" customHeight="1">
      <c r="A9" s="3361" t="s">
        <v>1278</v>
      </c>
      <c r="B9" s="3175"/>
      <c r="C9" s="3175"/>
      <c r="D9" s="1925">
        <f>$K$27</f>
        <v>1</v>
      </c>
      <c r="E9" s="1927"/>
      <c r="F9" s="1927"/>
      <c r="G9" s="1927"/>
      <c r="H9" s="1927"/>
      <c r="I9" s="1927"/>
      <c r="J9" s="1927"/>
      <c r="K9" s="1927"/>
      <c r="L9" s="79"/>
      <c r="M9" s="1681"/>
      <c r="N9" s="1681"/>
      <c r="O9" s="1681"/>
      <c r="P9" s="1681"/>
      <c r="Q9" s="1681"/>
      <c r="R9" s="1681"/>
      <c r="S9" s="1681"/>
      <c r="T9" s="1681"/>
      <c r="U9" s="1681"/>
      <c r="V9" s="1681"/>
      <c r="W9" s="1681"/>
      <c r="X9" s="1681"/>
      <c r="Y9" s="1681"/>
      <c r="Z9" s="1681"/>
      <c r="AA9" s="1681"/>
      <c r="AB9" s="1681"/>
      <c r="AC9" s="1681"/>
      <c r="AD9" s="1681"/>
      <c r="AE9" s="1681"/>
      <c r="AF9" s="1681"/>
      <c r="AG9" s="1681"/>
      <c r="AH9" s="1681"/>
      <c r="AI9" s="1681"/>
      <c r="AJ9" s="1681"/>
      <c r="AK9" s="1681"/>
      <c r="AL9" s="1681"/>
      <c r="AM9" s="1681"/>
      <c r="AN9" s="1681"/>
      <c r="AO9" s="1681"/>
      <c r="AP9" s="1681"/>
      <c r="AQ9" s="1681"/>
      <c r="AR9" s="1681"/>
    </row>
    <row r="10" spans="1:44" ht="30" customHeight="1">
      <c r="A10" s="3361" t="s">
        <v>1399</v>
      </c>
      <c r="B10" s="3175"/>
      <c r="C10" s="3362"/>
      <c r="D10" s="1923">
        <f>$D$8*$D$9</f>
        <v>100</v>
      </c>
      <c r="E10" s="1923">
        <f>$D$8*$E$4*$D$9</f>
        <v>0.97772999999999988</v>
      </c>
      <c r="F10" s="1923">
        <f>$D$8*$F$4*$D$9</f>
        <v>12.14701</v>
      </c>
      <c r="G10" s="1923">
        <f>$D$8*$G$4*$D$9</f>
        <v>6.2115400000000003</v>
      </c>
      <c r="H10" s="1923">
        <f>$D$8*$H$4*$D$9</f>
        <v>54.540759999999999</v>
      </c>
      <c r="I10" s="2124">
        <f>$D$8*$I$4*$D$9</f>
        <v>22.948180000000001</v>
      </c>
      <c r="J10" s="2124">
        <f>$D$8*$J$4*$D$9</f>
        <v>2.93323</v>
      </c>
      <c r="K10" s="2470">
        <f>$D$8*$K$4*$D$9</f>
        <v>0.24156</v>
      </c>
      <c r="L10" s="79"/>
      <c r="M10" s="1681"/>
      <c r="N10" s="1681"/>
      <c r="O10" s="1681"/>
      <c r="P10" s="1681"/>
      <c r="Q10" s="1681"/>
      <c r="R10" s="1681"/>
      <c r="S10" s="1681"/>
      <c r="T10" s="1681"/>
      <c r="U10" s="1681"/>
      <c r="V10" s="1681"/>
      <c r="W10" s="1681"/>
      <c r="X10" s="1681"/>
      <c r="Y10" s="1681"/>
      <c r="Z10" s="1681"/>
      <c r="AA10" s="1681"/>
      <c r="AB10" s="1681"/>
      <c r="AC10" s="1681"/>
      <c r="AD10" s="1681"/>
      <c r="AE10" s="1681"/>
      <c r="AF10" s="1681"/>
      <c r="AG10" s="1681"/>
      <c r="AH10" s="1681"/>
      <c r="AI10" s="1681"/>
      <c r="AJ10" s="1681"/>
      <c r="AK10" s="1681"/>
      <c r="AL10" s="1681"/>
      <c r="AM10" s="1681"/>
      <c r="AN10" s="1681"/>
      <c r="AO10" s="1681"/>
      <c r="AP10" s="1681"/>
      <c r="AQ10" s="1681"/>
      <c r="AR10" s="1681"/>
    </row>
    <row r="11" spans="1:44" ht="30" customHeight="1">
      <c r="A11" s="3361" t="s">
        <v>1418</v>
      </c>
      <c r="B11" s="3175"/>
      <c r="C11" s="3175"/>
      <c r="D11" s="1923">
        <v>50</v>
      </c>
      <c r="E11" s="1926"/>
      <c r="F11" s="1929"/>
      <c r="G11" s="1929"/>
      <c r="H11" s="1929"/>
      <c r="I11" s="2125"/>
      <c r="J11" s="2125"/>
      <c r="K11" s="2125"/>
      <c r="L11" s="79"/>
      <c r="M11" s="1681"/>
      <c r="N11" s="1681"/>
      <c r="O11" s="1681"/>
      <c r="P11" s="1681"/>
      <c r="Q11" s="1681"/>
      <c r="R11" s="1681"/>
      <c r="S11" s="1681"/>
      <c r="T11" s="1681"/>
      <c r="U11" s="1681"/>
      <c r="V11" s="1681"/>
      <c r="W11" s="1681"/>
      <c r="X11" s="1681"/>
      <c r="Y11" s="1681"/>
      <c r="Z11" s="1681"/>
      <c r="AA11" s="1681"/>
      <c r="AB11" s="1681"/>
      <c r="AC11" s="1681"/>
      <c r="AD11" s="1681"/>
      <c r="AE11" s="1681"/>
      <c r="AF11" s="1681"/>
      <c r="AG11" s="1681"/>
      <c r="AH11" s="1681"/>
      <c r="AI11" s="1681"/>
      <c r="AJ11" s="1681"/>
      <c r="AK11" s="1681"/>
      <c r="AL11" s="1681"/>
      <c r="AM11" s="1681"/>
      <c r="AN11" s="1681"/>
      <c r="AO11" s="1681"/>
      <c r="AP11" s="1681"/>
      <c r="AQ11" s="1681"/>
      <c r="AR11" s="1681"/>
    </row>
    <row r="12" spans="1:44" ht="30" customHeight="1">
      <c r="A12" s="3361" t="s">
        <v>1416</v>
      </c>
      <c r="B12" s="3175"/>
      <c r="C12" s="3175"/>
      <c r="D12" s="1925">
        <f>$L$27</f>
        <v>21</v>
      </c>
      <c r="E12" s="1927"/>
      <c r="F12" s="1927"/>
      <c r="G12" s="1927"/>
      <c r="H12" s="1927"/>
      <c r="I12" s="1927"/>
      <c r="J12" s="1927"/>
      <c r="K12" s="1927"/>
      <c r="L12" s="79"/>
      <c r="M12" s="1681"/>
      <c r="N12" s="1681"/>
      <c r="O12" s="1681"/>
      <c r="P12" s="1681"/>
      <c r="Q12" s="1681"/>
      <c r="R12" s="1681"/>
      <c r="S12" s="1681"/>
      <c r="T12" s="1681"/>
      <c r="U12" s="1681"/>
      <c r="V12" s="1681"/>
      <c r="W12" s="1681"/>
      <c r="X12" s="1681"/>
      <c r="Y12" s="1681"/>
      <c r="Z12" s="1681"/>
      <c r="AA12" s="1681"/>
      <c r="AB12" s="1681"/>
      <c r="AC12" s="1681"/>
      <c r="AD12" s="1681"/>
      <c r="AE12" s="1681"/>
      <c r="AF12" s="1681"/>
      <c r="AG12" s="1681"/>
      <c r="AH12" s="1681"/>
      <c r="AI12" s="1681"/>
      <c r="AJ12" s="1681"/>
      <c r="AK12" s="1681"/>
      <c r="AL12" s="1681"/>
      <c r="AM12" s="1681"/>
      <c r="AN12" s="1681"/>
      <c r="AO12" s="1681"/>
      <c r="AP12" s="1681"/>
      <c r="AQ12" s="1681"/>
      <c r="AR12" s="1681"/>
    </row>
    <row r="13" spans="1:44" ht="30" customHeight="1" thickBot="1">
      <c r="A13" s="3361" t="s">
        <v>1411</v>
      </c>
      <c r="B13" s="3175"/>
      <c r="C13" s="3362"/>
      <c r="D13" s="2202">
        <f>$D$11*$D$12</f>
        <v>1050</v>
      </c>
      <c r="E13" s="2202">
        <f>$D$11*$E$4*$D$12</f>
        <v>10.266164999999999</v>
      </c>
      <c r="F13" s="2202">
        <f>$D$11*$F$4*$D$12</f>
        <v>127.543605</v>
      </c>
      <c r="G13" s="2202">
        <f>$D$11*$G$4*$D$12</f>
        <v>65.221170000000001</v>
      </c>
      <c r="H13" s="2202">
        <f>$D$11*$H$4*$D$12</f>
        <v>572.67797999999993</v>
      </c>
      <c r="I13" s="2203">
        <f>$D$11*$I$4*$D$12</f>
        <v>240.95589000000001</v>
      </c>
      <c r="J13" s="2203">
        <f>$D$11*$J$4*$D$12</f>
        <v>30.798915000000001</v>
      </c>
      <c r="K13" s="2203">
        <f>$D$11*$K$4*$D$12</f>
        <v>2.5363799999999999</v>
      </c>
      <c r="L13" s="79"/>
      <c r="M13" s="1681"/>
      <c r="N13" s="1681"/>
      <c r="O13" s="1681"/>
      <c r="P13" s="1681"/>
      <c r="Q13" s="1681"/>
      <c r="R13" s="1681"/>
      <c r="S13" s="1681"/>
      <c r="T13" s="1681"/>
      <c r="U13" s="1681"/>
      <c r="V13" s="1681"/>
      <c r="W13" s="1681"/>
      <c r="X13" s="1681"/>
      <c r="Y13" s="1681"/>
      <c r="Z13" s="1681"/>
      <c r="AA13" s="1681"/>
      <c r="AB13" s="1681"/>
      <c r="AC13" s="1681"/>
      <c r="AD13" s="1681"/>
      <c r="AE13" s="1681"/>
      <c r="AF13" s="1681"/>
      <c r="AG13" s="1681"/>
      <c r="AH13" s="1681"/>
      <c r="AI13" s="1681"/>
      <c r="AJ13" s="1681"/>
      <c r="AK13" s="1681"/>
      <c r="AL13" s="1681"/>
      <c r="AM13" s="1681"/>
      <c r="AN13" s="1681"/>
      <c r="AO13" s="1681"/>
      <c r="AP13" s="1681"/>
      <c r="AQ13" s="1681"/>
      <c r="AR13" s="1681"/>
    </row>
    <row r="14" spans="1:44" ht="18" customHeight="1" thickBot="1">
      <c r="A14" s="3355" t="s">
        <v>1440</v>
      </c>
      <c r="B14" s="3242"/>
      <c r="C14" s="3242"/>
      <c r="D14" s="1966">
        <f>$D$7+$D$10+$D$13</f>
        <v>2650</v>
      </c>
      <c r="E14" s="1845">
        <f>SUM($E$7,$E$10,$E$13)</f>
        <v>25.909844999999997</v>
      </c>
      <c r="F14" s="1845">
        <f>SUM($F$7,$F$10,$F$13)</f>
        <v>321.89576499999998</v>
      </c>
      <c r="G14" s="1845">
        <f>SUM($G$7,$G$10,$G$13)</f>
        <v>164.60581000000002</v>
      </c>
      <c r="H14" s="1845">
        <f>SUM($H$7,$H$10,$H$13)</f>
        <v>1445.33014</v>
      </c>
      <c r="I14" s="1845">
        <f>SUM($I$7,$I$10,$I$13)</f>
        <v>608.12677000000008</v>
      </c>
      <c r="J14" s="1845">
        <f>SUM($J$7,$J$10,$J$13)</f>
        <v>77.730594999999994</v>
      </c>
      <c r="K14" s="1845">
        <f>SUM($K$7,$K$10)</f>
        <v>3.86496</v>
      </c>
      <c r="L14" s="79"/>
      <c r="M14" s="1681"/>
      <c r="N14" s="1681"/>
      <c r="O14" s="1681"/>
      <c r="P14" s="1681"/>
      <c r="Q14" s="1681"/>
      <c r="R14" s="1681"/>
      <c r="S14" s="1681"/>
      <c r="T14" s="1681"/>
      <c r="U14" s="1681"/>
      <c r="V14" s="1681"/>
      <c r="W14" s="95"/>
      <c r="X14" s="1681"/>
      <c r="Y14" s="1681"/>
      <c r="Z14" s="1681"/>
      <c r="AA14" s="1681"/>
      <c r="AB14" s="1681"/>
      <c r="AC14" s="1681"/>
      <c r="AD14" s="1681"/>
      <c r="AE14" s="1681"/>
      <c r="AF14" s="1681"/>
      <c r="AG14" s="1681"/>
      <c r="AH14" s="1681"/>
      <c r="AI14" s="1681"/>
      <c r="AJ14" s="1681"/>
      <c r="AK14" s="1681"/>
      <c r="AL14" s="1681"/>
      <c r="AM14" s="1681"/>
      <c r="AN14" s="1681"/>
      <c r="AO14" s="1681"/>
      <c r="AP14" s="1681"/>
      <c r="AQ14" s="1681"/>
      <c r="AR14" s="1681"/>
    </row>
    <row r="15" spans="1:44" ht="18" customHeight="1">
      <c r="A15" s="3357"/>
      <c r="B15" s="3357"/>
      <c r="C15" s="3357"/>
      <c r="D15" s="3357"/>
      <c r="E15" s="74"/>
      <c r="F15" s="77"/>
      <c r="G15" s="113"/>
      <c r="J15" s="79"/>
      <c r="K15" s="79"/>
      <c r="L15" s="1333"/>
      <c r="M15" s="1681"/>
      <c r="N15" s="1681"/>
      <c r="O15" s="1681"/>
      <c r="P15" s="1681"/>
      <c r="Q15" s="1681"/>
      <c r="R15" s="1681"/>
      <c r="S15" s="1681"/>
      <c r="T15" s="95"/>
      <c r="U15" s="1681"/>
      <c r="V15" s="1681"/>
      <c r="W15" s="1681"/>
      <c r="X15" s="1681"/>
      <c r="Y15" s="1681"/>
      <c r="Z15" s="1681"/>
      <c r="AA15" s="1681"/>
      <c r="AB15" s="1681"/>
      <c r="AC15" s="95"/>
      <c r="AD15" s="1681"/>
      <c r="AE15" s="1681"/>
      <c r="AF15" s="1681"/>
      <c r="AG15" s="1681"/>
      <c r="AH15" s="1681"/>
      <c r="AI15" s="1681"/>
      <c r="AJ15" s="1681"/>
      <c r="AK15" s="1681"/>
      <c r="AL15" s="1681"/>
      <c r="AM15" s="1681"/>
      <c r="AN15" s="1681"/>
      <c r="AO15" s="1681"/>
      <c r="AP15" s="1681"/>
      <c r="AQ15" s="1681"/>
      <c r="AR15" s="1681"/>
    </row>
    <row r="16" spans="1:44" ht="18" customHeight="1">
      <c r="A16" s="245" t="s">
        <v>1359</v>
      </c>
      <c r="B16" s="1679"/>
      <c r="C16" s="1679"/>
      <c r="D16" s="1821"/>
      <c r="E16" s="79"/>
      <c r="F16" s="167"/>
      <c r="G16" s="97"/>
      <c r="J16" s="79"/>
      <c r="K16" s="79"/>
      <c r="L16" s="79"/>
      <c r="M16" s="1681"/>
      <c r="N16" s="1681"/>
      <c r="O16" s="1681"/>
      <c r="P16" s="1681"/>
      <c r="Q16" s="1681"/>
      <c r="R16" s="1681"/>
      <c r="S16" s="1681"/>
      <c r="T16" s="1681"/>
      <c r="U16" s="1681"/>
      <c r="V16" s="1681"/>
      <c r="W16" s="1681"/>
      <c r="X16" s="1681"/>
      <c r="Y16" s="1681"/>
      <c r="Z16" s="1681"/>
      <c r="AA16" s="1681"/>
      <c r="AB16" s="1681"/>
      <c r="AC16" s="1681"/>
      <c r="AD16" s="1681"/>
      <c r="AE16" s="1681"/>
      <c r="AF16" s="1681"/>
      <c r="AG16" s="1681"/>
      <c r="AH16" s="1681"/>
      <c r="AI16" s="1681"/>
      <c r="AJ16" s="1681"/>
      <c r="AK16" s="1681"/>
      <c r="AL16" s="1681"/>
      <c r="AM16" s="1681"/>
      <c r="AN16" s="1681"/>
      <c r="AO16" s="1681"/>
      <c r="AP16" s="1681"/>
      <c r="AQ16" s="1681"/>
      <c r="AR16" s="1681"/>
    </row>
    <row r="17" spans="1:44" ht="18" customHeight="1" thickBot="1">
      <c r="A17" s="471"/>
      <c r="B17" s="471"/>
      <c r="C17" s="471"/>
      <c r="D17" s="471"/>
      <c r="E17" s="97"/>
      <c r="F17" s="77"/>
      <c r="G17" s="174"/>
      <c r="I17" s="472"/>
      <c r="J17" s="170"/>
      <c r="M17" s="1681"/>
      <c r="N17" s="1681"/>
      <c r="O17" s="1681"/>
      <c r="P17" s="1681"/>
      <c r="Q17" s="1681"/>
      <c r="R17" s="1681"/>
      <c r="S17" s="1681"/>
      <c r="T17" s="1681"/>
      <c r="U17" s="1681"/>
      <c r="V17" s="1681"/>
      <c r="W17" s="1681"/>
      <c r="X17" s="1681"/>
      <c r="Y17" s="1681"/>
      <c r="Z17" s="1681"/>
      <c r="AA17" s="1681"/>
      <c r="AB17" s="1681"/>
      <c r="AC17" s="1681"/>
      <c r="AD17" s="1681"/>
      <c r="AE17" s="1681"/>
      <c r="AF17" s="1681"/>
      <c r="AG17" s="1681"/>
      <c r="AH17" s="1681"/>
      <c r="AI17" s="1681"/>
      <c r="AJ17" s="1681"/>
      <c r="AK17" s="1681"/>
      <c r="AL17" s="1681"/>
      <c r="AM17" s="1681"/>
      <c r="AN17" s="1681"/>
      <c r="AO17" s="1681"/>
      <c r="AP17" s="1681"/>
      <c r="AQ17" s="1681"/>
      <c r="AR17" s="1681"/>
    </row>
    <row r="18" spans="1:44" ht="25.5" customHeight="1" thickBot="1">
      <c r="A18" s="3358" t="s">
        <v>131</v>
      </c>
      <c r="B18" s="3360" t="s">
        <v>110</v>
      </c>
      <c r="C18" s="3360" t="s">
        <v>111</v>
      </c>
      <c r="D18" s="3360" t="s">
        <v>112</v>
      </c>
      <c r="E18" s="3360" t="s">
        <v>198</v>
      </c>
      <c r="F18" s="3379" t="s">
        <v>198</v>
      </c>
      <c r="G18" s="3377" t="s">
        <v>511</v>
      </c>
      <c r="H18" s="3379" t="s">
        <v>132</v>
      </c>
      <c r="I18" s="3376" t="s">
        <v>197</v>
      </c>
      <c r="J18" s="3375" t="s">
        <v>1276</v>
      </c>
      <c r="K18" s="3266"/>
      <c r="L18" s="2127" t="s">
        <v>59</v>
      </c>
    </row>
    <row r="19" spans="1:44" s="87" customFormat="1" ht="51.75" thickBot="1">
      <c r="A19" s="3359"/>
      <c r="B19" s="3348"/>
      <c r="C19" s="3348"/>
      <c r="D19" s="3348"/>
      <c r="E19" s="3348"/>
      <c r="F19" s="3378"/>
      <c r="G19" s="3378"/>
      <c r="H19" s="3378"/>
      <c r="I19" s="3350"/>
      <c r="J19" s="546" t="s">
        <v>509</v>
      </c>
      <c r="K19" s="558" t="s">
        <v>510</v>
      </c>
      <c r="L19" s="2122" t="s">
        <v>1410</v>
      </c>
      <c r="M19" s="1290"/>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4"/>
      <c r="AL19" s="484"/>
      <c r="AM19" s="484"/>
      <c r="AN19" s="484"/>
      <c r="AO19" s="484"/>
      <c r="AP19" s="484"/>
      <c r="AQ19" s="484"/>
      <c r="AR19" s="484"/>
    </row>
    <row r="20" spans="1:44" ht="18" customHeight="1">
      <c r="A20" s="88" t="s">
        <v>133</v>
      </c>
      <c r="B20" s="90">
        <v>45761</v>
      </c>
      <c r="C20" s="115">
        <v>0.50694444444444442</v>
      </c>
      <c r="D20" s="90">
        <v>45767</v>
      </c>
      <c r="E20" s="115">
        <v>0.95833333333333337</v>
      </c>
      <c r="F20" s="1502">
        <f t="shared" ref="F20:F25" si="0">($D20+$E20)-($B20+$C20)</f>
        <v>6.4513888888905058</v>
      </c>
      <c r="G20" s="1504">
        <v>2</v>
      </c>
      <c r="H20" s="235" t="s">
        <v>134</v>
      </c>
      <c r="I20" s="236">
        <v>1</v>
      </c>
      <c r="J20" s="171">
        <f t="shared" ref="J20:J25" si="1">IF(OR($I20=1,$I20=3),IF(($D20-$B20-G20-1)&lt;0,0,($D20-$B20-G20-1)),"")</f>
        <v>3</v>
      </c>
      <c r="K20" s="2119" t="str">
        <f t="shared" ref="K20:K25" si="2">IF($I20=2,IF(($D20-$B20-G20-5)&lt;0,0,($D20-$B20-G20-5)),"")</f>
        <v/>
      </c>
      <c r="L20" s="2471">
        <v>9</v>
      </c>
      <c r="M20" s="206" t="s">
        <v>1415</v>
      </c>
      <c r="N20" s="918" t="s">
        <v>1419</v>
      </c>
    </row>
    <row r="21" spans="1:44" ht="18" customHeight="1">
      <c r="A21" s="88" t="s">
        <v>133</v>
      </c>
      <c r="B21" s="91">
        <v>45768</v>
      </c>
      <c r="C21" s="117">
        <v>0.34791666666666665</v>
      </c>
      <c r="D21" s="91">
        <v>45774</v>
      </c>
      <c r="E21" s="117">
        <v>0.5</v>
      </c>
      <c r="F21" s="1502">
        <f t="shared" si="0"/>
        <v>6.1520833333343035</v>
      </c>
      <c r="G21" s="1504">
        <v>0</v>
      </c>
      <c r="H21" s="237" t="s">
        <v>508</v>
      </c>
      <c r="I21" s="238">
        <v>2</v>
      </c>
      <c r="J21" s="171" t="str">
        <f t="shared" si="1"/>
        <v/>
      </c>
      <c r="K21" s="2120">
        <f t="shared" si="2"/>
        <v>1</v>
      </c>
      <c r="L21" s="2472"/>
    </row>
    <row r="22" spans="1:44" ht="18" customHeight="1">
      <c r="A22" s="88" t="s">
        <v>133</v>
      </c>
      <c r="B22" s="91">
        <v>45752</v>
      </c>
      <c r="C22" s="117">
        <v>0.26041666666666669</v>
      </c>
      <c r="D22" s="91">
        <v>45754</v>
      </c>
      <c r="E22" s="117">
        <v>0.68333333333333324</v>
      </c>
      <c r="F22" s="1502">
        <f t="shared" si="0"/>
        <v>2.4229166666700621</v>
      </c>
      <c r="G22" s="1504">
        <v>2</v>
      </c>
      <c r="H22" s="237" t="s">
        <v>507</v>
      </c>
      <c r="I22" s="238">
        <v>1</v>
      </c>
      <c r="J22" s="171">
        <f t="shared" si="1"/>
        <v>0</v>
      </c>
      <c r="K22" s="2120" t="str">
        <f t="shared" si="2"/>
        <v/>
      </c>
      <c r="L22" s="2472"/>
      <c r="M22" s="484"/>
      <c r="N22" s="484"/>
    </row>
    <row r="23" spans="1:44" ht="18" customHeight="1">
      <c r="A23" s="116" t="s">
        <v>133</v>
      </c>
      <c r="B23" s="2099">
        <v>45770</v>
      </c>
      <c r="C23" s="2100">
        <v>0.26458333333333334</v>
      </c>
      <c r="D23" s="2099">
        <v>45773</v>
      </c>
      <c r="E23" s="2100">
        <v>0.60069444444444442</v>
      </c>
      <c r="F23" s="1503">
        <f t="shared" si="0"/>
        <v>3.336111111115315</v>
      </c>
      <c r="G23" s="1505">
        <v>1</v>
      </c>
      <c r="H23" s="2101" t="s">
        <v>194</v>
      </c>
      <c r="I23" s="2102">
        <v>2</v>
      </c>
      <c r="J23" s="2054" t="str">
        <f t="shared" si="1"/>
        <v/>
      </c>
      <c r="K23" s="2054">
        <f t="shared" si="2"/>
        <v>0</v>
      </c>
      <c r="L23" s="2472"/>
    </row>
    <row r="24" spans="1:44" ht="18" customHeight="1">
      <c r="A24" s="2111" t="s">
        <v>133</v>
      </c>
      <c r="B24" s="2099">
        <v>45774</v>
      </c>
      <c r="C24" s="2100">
        <v>0.22291666666666665</v>
      </c>
      <c r="D24" s="2099">
        <v>45774</v>
      </c>
      <c r="E24" s="2113">
        <v>0.51736111111111105</v>
      </c>
      <c r="F24" s="2114">
        <f t="shared" si="0"/>
        <v>0.29444444444379769</v>
      </c>
      <c r="G24" s="2115">
        <v>0</v>
      </c>
      <c r="H24" s="2126" t="s">
        <v>1414</v>
      </c>
      <c r="I24" s="2117">
        <v>3</v>
      </c>
      <c r="J24" s="2118">
        <f t="shared" si="1"/>
        <v>0</v>
      </c>
      <c r="K24" s="2118" t="str">
        <f t="shared" si="2"/>
        <v/>
      </c>
      <c r="L24" s="2472">
        <v>5</v>
      </c>
      <c r="M24" s="1333" t="s">
        <v>18</v>
      </c>
      <c r="N24" s="3374" t="s">
        <v>1412</v>
      </c>
      <c r="O24" s="3242"/>
      <c r="P24" s="3242"/>
      <c r="Q24" s="3242"/>
      <c r="R24" s="3242"/>
      <c r="S24" s="3242"/>
      <c r="T24" s="3242"/>
      <c r="U24" s="3242"/>
      <c r="V24" s="3242"/>
      <c r="W24" s="3242"/>
    </row>
    <row r="25" spans="1:44" ht="18" customHeight="1">
      <c r="A25" s="2111" t="s">
        <v>133</v>
      </c>
      <c r="B25" s="2112">
        <v>45776</v>
      </c>
      <c r="C25" s="2113">
        <v>0.26458333333333334</v>
      </c>
      <c r="D25" s="2112">
        <v>45776</v>
      </c>
      <c r="E25" s="2113">
        <v>0.64236111111111105</v>
      </c>
      <c r="F25" s="2114">
        <f t="shared" si="0"/>
        <v>0.37777777777955635</v>
      </c>
      <c r="G25" s="2115">
        <v>0</v>
      </c>
      <c r="H25" s="2116" t="s">
        <v>134</v>
      </c>
      <c r="I25" s="2117">
        <v>3</v>
      </c>
      <c r="J25" s="2118">
        <f t="shared" si="1"/>
        <v>0</v>
      </c>
      <c r="K25" s="2118" t="str">
        <f t="shared" si="2"/>
        <v/>
      </c>
      <c r="L25" s="2472">
        <v>7</v>
      </c>
      <c r="M25" s="1333" t="s">
        <v>18</v>
      </c>
      <c r="N25" s="3374" t="s">
        <v>1413</v>
      </c>
      <c r="O25" s="3242"/>
      <c r="P25" s="3242"/>
      <c r="Q25" s="3242"/>
      <c r="R25" s="3242"/>
      <c r="S25" s="3242"/>
      <c r="T25" s="3242"/>
      <c r="U25" s="3242"/>
      <c r="V25" s="3242"/>
      <c r="W25" s="3242"/>
    </row>
    <row r="26" spans="1:44" ht="18" customHeight="1" thickBot="1">
      <c r="A26" s="2103" t="s">
        <v>792</v>
      </c>
      <c r="B26" s="2104"/>
      <c r="C26" s="2105"/>
      <c r="D26" s="2104"/>
      <c r="E26" s="2105"/>
      <c r="F26" s="2106"/>
      <c r="G26" s="2107"/>
      <c r="H26" s="2108"/>
      <c r="I26" s="2109"/>
      <c r="J26" s="2110"/>
      <c r="K26" s="2054"/>
      <c r="L26" s="2473"/>
    </row>
    <row r="27" spans="1:44" s="87" customFormat="1" ht="19.5" customHeight="1" thickBot="1">
      <c r="A27" s="3343" t="s">
        <v>35</v>
      </c>
      <c r="B27" s="3345"/>
      <c r="C27" s="3345"/>
      <c r="D27" s="3345"/>
      <c r="E27" s="3345"/>
      <c r="F27" s="3345"/>
      <c r="G27" s="3345"/>
      <c r="H27" s="3345"/>
      <c r="I27" s="172"/>
      <c r="J27" s="100">
        <f>SUM(J20:J25)</f>
        <v>3</v>
      </c>
      <c r="K27" s="2121">
        <f>SUM(K20:K25)</f>
        <v>1</v>
      </c>
      <c r="L27" s="2123">
        <f>SUM(L20:L26)</f>
        <v>21</v>
      </c>
      <c r="M27" s="79"/>
      <c r="N27" s="79"/>
      <c r="O27" s="484"/>
      <c r="P27" s="484"/>
      <c r="Q27" s="484"/>
      <c r="R27" s="484"/>
      <c r="S27" s="484"/>
      <c r="T27" s="484"/>
      <c r="U27" s="484"/>
      <c r="V27" s="484"/>
      <c r="W27" s="484"/>
      <c r="X27" s="484"/>
      <c r="Y27" s="484"/>
      <c r="Z27" s="484"/>
      <c r="AA27" s="484"/>
      <c r="AB27" s="484"/>
      <c r="AC27" s="484"/>
      <c r="AD27" s="484"/>
      <c r="AE27" s="484"/>
      <c r="AF27" s="484"/>
      <c r="AG27" s="484"/>
      <c r="AH27" s="484"/>
      <c r="AI27" s="484"/>
      <c r="AJ27" s="484"/>
      <c r="AK27" s="484"/>
      <c r="AL27" s="484"/>
      <c r="AM27" s="484"/>
      <c r="AN27" s="484"/>
      <c r="AO27" s="484"/>
      <c r="AP27" s="484"/>
      <c r="AQ27" s="484"/>
      <c r="AR27" s="484"/>
    </row>
    <row r="29" spans="1:44" ht="18" customHeight="1">
      <c r="A29" s="3346" t="s">
        <v>239</v>
      </c>
      <c r="B29" s="3346"/>
      <c r="C29" s="3346"/>
      <c r="D29" s="3346"/>
      <c r="E29" s="3346"/>
      <c r="F29" s="173"/>
      <c r="H29" s="3229" t="s">
        <v>1136</v>
      </c>
      <c r="I29" s="3230"/>
    </row>
    <row r="30" spans="1:44" ht="18" customHeight="1">
      <c r="A30" s="3346"/>
      <c r="B30" s="3346"/>
      <c r="C30" s="3346"/>
      <c r="D30" s="3346"/>
      <c r="E30" s="3346"/>
      <c r="H30" s="3230"/>
      <c r="I30" s="3230"/>
    </row>
    <row r="31" spans="1:44" ht="18" customHeight="1">
      <c r="A31" s="3346"/>
      <c r="B31" s="3346"/>
      <c r="C31" s="3346"/>
      <c r="D31" s="3346"/>
      <c r="E31" s="3346"/>
      <c r="H31" s="3230"/>
      <c r="I31" s="3230"/>
    </row>
    <row r="33" spans="1:9" ht="18" customHeight="1">
      <c r="A33" s="194" t="s">
        <v>219</v>
      </c>
      <c r="B33" s="195" t="s">
        <v>224</v>
      </c>
      <c r="C33" s="388"/>
      <c r="D33" s="388"/>
      <c r="E33" s="388"/>
      <c r="F33" s="7"/>
      <c r="G33" s="7"/>
    </row>
    <row r="34" spans="1:9" ht="18" customHeight="1">
      <c r="A34" s="245"/>
      <c r="B34" s="195" t="s">
        <v>1645</v>
      </c>
    </row>
    <row r="35" spans="1:9" ht="18" customHeight="1">
      <c r="A35" s="245"/>
      <c r="B35" s="195"/>
      <c r="F35" s="472"/>
      <c r="G35" s="472"/>
      <c r="I35" s="472"/>
    </row>
    <row r="36" spans="1:9" ht="18" customHeight="1">
      <c r="A36" s="335" t="s">
        <v>1434</v>
      </c>
      <c r="B36" s="335" t="s">
        <v>1435</v>
      </c>
      <c r="C36" s="167"/>
    </row>
    <row r="37" spans="1:9" ht="18" customHeight="1">
      <c r="A37" s="335" t="s">
        <v>1554</v>
      </c>
      <c r="B37" s="335" t="s">
        <v>1550</v>
      </c>
      <c r="C37" s="2196" t="s">
        <v>1442</v>
      </c>
    </row>
  </sheetData>
  <sheetProtection algorithmName="SHA-512" hashValue="d0hPqwMSK1v3lW4ADnWy+q3mlVi0/Xe8nYnTlS3X8sLKkJn+3L2PAnqvKfDVqu/tCmk3JEcL9aI+2J5bubTzYA==" saltValue="cGhjaIoL3GfCHor1g17gpA==" spinCount="100000" sheet="1" objects="1" scenarios="1"/>
  <mergeCells count="28">
    <mergeCell ref="A29:E31"/>
    <mergeCell ref="A15:D15"/>
    <mergeCell ref="G18:G19"/>
    <mergeCell ref="A27:H27"/>
    <mergeCell ref="D18:D19"/>
    <mergeCell ref="E18:E19"/>
    <mergeCell ref="F18:F19"/>
    <mergeCell ref="H18:H19"/>
    <mergeCell ref="A18:A19"/>
    <mergeCell ref="B18:B19"/>
    <mergeCell ref="C18:C19"/>
    <mergeCell ref="H29:I31"/>
    <mergeCell ref="N24:W24"/>
    <mergeCell ref="N25:W25"/>
    <mergeCell ref="J18:K18"/>
    <mergeCell ref="I18:I19"/>
    <mergeCell ref="A1:L1"/>
    <mergeCell ref="A2:L2"/>
    <mergeCell ref="A5:C5"/>
    <mergeCell ref="A6:C6"/>
    <mergeCell ref="A8:C8"/>
    <mergeCell ref="A9:C9"/>
    <mergeCell ref="A14:C14"/>
    <mergeCell ref="A7:C7"/>
    <mergeCell ref="A10:C10"/>
    <mergeCell ref="A11:C11"/>
    <mergeCell ref="A12:C12"/>
    <mergeCell ref="A13:C13"/>
  </mergeCells>
  <phoneticPr fontId="19" type="noConversion"/>
  <conditionalFormatting sqref="AE2 AE4:AE17 N2:AD17 AF2:AR17">
    <cfRule type="cellIs" dxfId="19" priority="4" stopIfTrue="1" operator="equal">
      <formula>"F"</formula>
    </cfRule>
  </conditionalFormatting>
  <conditionalFormatting sqref="M20">
    <cfRule type="cellIs" dxfId="18" priority="2" stopIfTrue="1" operator="equal">
      <formula>"F"</formula>
    </cfRule>
  </conditionalFormatting>
  <pageMargins left="0.7" right="0.7" top="0.78740157499999996" bottom="0.78740157499999996" header="0.3" footer="0.3"/>
  <pageSetup paperSize="9" scale="58" fitToHeight="0" orientation="landscape" r:id="rId1"/>
  <headerFooter>
    <oddHeader>&amp;LVDV SUN Jahresschlussrechnung JJJJ&amp;R&amp;F</oddHeader>
    <oddFooter>&amp;C&amp;P&amp;R&amp;A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5A778-F7E2-4CBB-98BC-F1CA2A78B747}">
  <dimension ref="A1:BC34"/>
  <sheetViews>
    <sheetView view="pageLayout" zoomScale="80" zoomScaleNormal="100" zoomScaleSheetLayoutView="90" zoomScalePageLayoutView="80" workbookViewId="0">
      <selection activeCell="B85" sqref="B85"/>
    </sheetView>
  </sheetViews>
  <sheetFormatPr baseColWidth="10" defaultColWidth="11.42578125" defaultRowHeight="12.75"/>
  <cols>
    <col min="1" max="1" width="22.7109375" style="74" bestFit="1" customWidth="1"/>
    <col min="2" max="2" width="8.42578125" style="74" customWidth="1"/>
    <col min="3" max="32" width="3.85546875" style="74" customWidth="1"/>
    <col min="33" max="33" width="8.28515625" style="1460" customWidth="1"/>
    <col min="34" max="34" width="9.5703125" style="1460" customWidth="1"/>
    <col min="35" max="35" width="29.7109375" style="1460" bestFit="1" customWidth="1"/>
    <col min="36" max="36" width="13.140625" style="1460" bestFit="1" customWidth="1"/>
    <col min="37" max="37" width="61.7109375" style="1460" bestFit="1" customWidth="1"/>
    <col min="38" max="38" width="11.42578125" style="1460"/>
    <col min="39" max="39" width="11.5703125" style="1460" bestFit="1" customWidth="1"/>
    <col min="40" max="40" width="11.42578125" style="1460"/>
    <col min="41" max="42" width="11.5703125" style="1460" bestFit="1" customWidth="1"/>
    <col min="43" max="43" width="11.28515625" style="1460" bestFit="1" customWidth="1"/>
    <col min="44" max="44" width="8.140625" style="1460" bestFit="1" customWidth="1"/>
    <col min="45" max="45" width="6.5703125" style="1460" customWidth="1"/>
    <col min="46" max="46" width="8.42578125" style="1460" bestFit="1" customWidth="1"/>
    <col min="47" max="47" width="9.140625" style="1460" bestFit="1" customWidth="1"/>
    <col min="48" max="48" width="6.140625" style="1460" bestFit="1" customWidth="1"/>
    <col min="49" max="49" width="4.7109375" style="1460" customWidth="1"/>
    <col min="50" max="51" width="3.28515625" style="1460" customWidth="1"/>
    <col min="52" max="52" width="4" style="1460" bestFit="1" customWidth="1"/>
    <col min="53" max="53" width="3.28515625" style="1460" customWidth="1"/>
    <col min="54" max="54" width="4.85546875" style="1460" bestFit="1" customWidth="1"/>
    <col min="55" max="55" width="4.7109375" style="1460" bestFit="1" customWidth="1"/>
    <col min="56" max="64" width="3.28515625" style="1460" customWidth="1"/>
    <col min="65" max="16384" width="11.42578125" style="1460"/>
  </cols>
  <sheetData>
    <row r="1" spans="1:55" ht="18">
      <c r="B1" s="3233" t="s">
        <v>1498</v>
      </c>
      <c r="C1" s="3090"/>
      <c r="D1" s="3090"/>
      <c r="E1" s="3090"/>
      <c r="F1" s="3090"/>
      <c r="G1" s="3090"/>
      <c r="H1" s="3090"/>
      <c r="I1" s="3090"/>
      <c r="J1" s="3090"/>
      <c r="K1" s="3090"/>
      <c r="L1" s="3090"/>
      <c r="M1" s="3090"/>
      <c r="N1" s="3090"/>
      <c r="O1" s="3090"/>
      <c r="P1" s="3090"/>
      <c r="Q1" s="3090"/>
      <c r="R1" s="3090"/>
      <c r="S1" s="3090"/>
      <c r="T1" s="3090"/>
      <c r="U1" s="3090"/>
      <c r="V1" s="3090"/>
      <c r="W1" s="3090"/>
      <c r="X1" s="3090"/>
      <c r="Y1" s="3090"/>
      <c r="Z1" s="3090"/>
      <c r="AA1" s="3090"/>
      <c r="AB1" s="3090"/>
      <c r="AC1" s="3090"/>
      <c r="AD1" s="3090"/>
      <c r="AE1" s="3090"/>
      <c r="AF1" s="3090"/>
      <c r="AG1" s="3090"/>
      <c r="AH1" s="3090"/>
      <c r="AI1" s="3090"/>
      <c r="AJ1" s="3090"/>
      <c r="AK1" s="1662"/>
      <c r="AL1" s="1662"/>
      <c r="AM1" s="1662"/>
      <c r="AN1" s="1632"/>
    </row>
    <row r="2" spans="1:55" ht="18">
      <c r="B2" s="3233" t="s">
        <v>748</v>
      </c>
      <c r="C2" s="3090"/>
      <c r="D2" s="3090"/>
      <c r="E2" s="3090"/>
      <c r="F2" s="3090"/>
      <c r="G2" s="3090"/>
      <c r="H2" s="3090"/>
      <c r="I2" s="3090"/>
      <c r="J2" s="3090"/>
      <c r="K2" s="3090"/>
      <c r="L2" s="3090"/>
      <c r="M2" s="3090"/>
      <c r="N2" s="3090"/>
      <c r="O2" s="3090"/>
      <c r="P2" s="3090"/>
      <c r="Q2" s="3090"/>
      <c r="R2" s="3090"/>
      <c r="S2" s="3090"/>
      <c r="T2" s="3090"/>
      <c r="U2" s="3090"/>
      <c r="V2" s="3090"/>
      <c r="W2" s="3090"/>
      <c r="X2" s="3090"/>
      <c r="Y2" s="3090"/>
      <c r="Z2" s="3090"/>
      <c r="AA2" s="3090"/>
      <c r="AB2" s="3090"/>
      <c r="AC2" s="3090"/>
      <c r="AD2" s="3090"/>
      <c r="AE2" s="3090"/>
      <c r="AF2" s="3090"/>
      <c r="AG2" s="3090"/>
      <c r="AH2" s="3090"/>
      <c r="AI2" s="3090"/>
      <c r="AJ2" s="3090"/>
      <c r="AK2" s="1662"/>
      <c r="AL2" s="1662"/>
      <c r="AM2" s="1662"/>
      <c r="AN2" s="1633"/>
      <c r="AO2" s="1634"/>
      <c r="AP2" s="1634"/>
      <c r="AQ2" s="1634"/>
      <c r="AR2" s="1634"/>
      <c r="AS2" s="1634"/>
      <c r="AT2" s="1634"/>
      <c r="AU2" s="1634"/>
      <c r="AV2" s="1634"/>
      <c r="AW2" s="1634"/>
      <c r="AX2" s="1634"/>
      <c r="AY2" s="1634"/>
      <c r="AZ2" s="1634"/>
      <c r="BA2" s="1634"/>
      <c r="BB2" s="1634"/>
    </row>
    <row r="3" spans="1:55" ht="18.75">
      <c r="AG3" s="3381"/>
      <c r="AH3" s="3382"/>
      <c r="AI3" s="3382"/>
      <c r="AJ3" s="3382"/>
      <c r="AK3" s="3382"/>
      <c r="AL3" s="3382"/>
      <c r="AM3" s="3382"/>
      <c r="AN3" s="3382"/>
      <c r="AO3" s="3382"/>
      <c r="AP3" s="3382"/>
      <c r="AQ3" s="3382"/>
      <c r="AR3" s="3382"/>
      <c r="AS3" s="3382"/>
      <c r="AT3" s="3382"/>
      <c r="AU3" s="3382"/>
      <c r="AV3" s="3382"/>
      <c r="AW3" s="3382"/>
      <c r="AX3" s="3382"/>
    </row>
    <row r="4" spans="1:55" ht="19.5" thickBot="1">
      <c r="B4" s="3383" t="s">
        <v>748</v>
      </c>
      <c r="C4" s="3384"/>
      <c r="D4" s="3384"/>
      <c r="AG4" s="1635"/>
      <c r="AH4" s="1635"/>
      <c r="AI4" s="1635"/>
      <c r="AJ4" s="1635"/>
      <c r="AK4" s="1635"/>
      <c r="AL4" s="1635"/>
      <c r="AM4" s="1635"/>
      <c r="AN4" s="1635"/>
      <c r="AO4" s="1635"/>
      <c r="AP4" s="1635"/>
      <c r="AQ4" s="1635"/>
      <c r="AR4" s="1635"/>
      <c r="AS4" s="1635"/>
    </row>
    <row r="5" spans="1:55" s="1671" customFormat="1" ht="50.25" customHeight="1" thickBot="1">
      <c r="A5" s="394" t="s">
        <v>1253</v>
      </c>
      <c r="B5" s="624" t="s">
        <v>79</v>
      </c>
      <c r="C5" s="572" t="s">
        <v>80</v>
      </c>
      <c r="D5" s="572" t="s">
        <v>81</v>
      </c>
      <c r="E5" s="572" t="s">
        <v>82</v>
      </c>
      <c r="F5" s="572" t="s">
        <v>83</v>
      </c>
      <c r="G5" s="572" t="s">
        <v>84</v>
      </c>
      <c r="H5" s="572" t="s">
        <v>85</v>
      </c>
      <c r="I5" s="572" t="s">
        <v>86</v>
      </c>
      <c r="J5" s="572" t="s">
        <v>87</v>
      </c>
      <c r="K5" s="572" t="s">
        <v>88</v>
      </c>
      <c r="L5" s="572" t="s">
        <v>89</v>
      </c>
      <c r="M5" s="572" t="s">
        <v>90</v>
      </c>
      <c r="N5" s="572" t="s">
        <v>91</v>
      </c>
      <c r="O5" s="572" t="s">
        <v>92</v>
      </c>
      <c r="P5" s="572" t="s">
        <v>93</v>
      </c>
      <c r="Q5" s="572" t="s">
        <v>94</v>
      </c>
      <c r="R5" s="572" t="s">
        <v>95</v>
      </c>
      <c r="S5" s="572" t="s">
        <v>96</v>
      </c>
      <c r="T5" s="572" t="s">
        <v>97</v>
      </c>
      <c r="U5" s="572" t="s">
        <v>98</v>
      </c>
      <c r="V5" s="572" t="s">
        <v>99</v>
      </c>
      <c r="W5" s="572" t="s">
        <v>100</v>
      </c>
      <c r="X5" s="572" t="s">
        <v>101</v>
      </c>
      <c r="Y5" s="572" t="s">
        <v>102</v>
      </c>
      <c r="Z5" s="572" t="s">
        <v>103</v>
      </c>
      <c r="AA5" s="572" t="s">
        <v>104</v>
      </c>
      <c r="AB5" s="572" t="s">
        <v>105</v>
      </c>
      <c r="AC5" s="572" t="s">
        <v>106</v>
      </c>
      <c r="AD5" s="572" t="s">
        <v>107</v>
      </c>
      <c r="AE5" s="572" t="s">
        <v>108</v>
      </c>
      <c r="AF5" s="1670" t="s">
        <v>434</v>
      </c>
      <c r="AG5" s="1466" t="s">
        <v>1254</v>
      </c>
      <c r="AH5" s="1466" t="s">
        <v>1255</v>
      </c>
      <c r="AI5" s="1672" t="s">
        <v>132</v>
      </c>
      <c r="AJ5" s="1678" t="s">
        <v>686</v>
      </c>
    </row>
    <row r="6" spans="1:55">
      <c r="A6" s="414" t="s">
        <v>1268</v>
      </c>
      <c r="B6" s="1354" t="s">
        <v>109</v>
      </c>
      <c r="C6" s="1354" t="s">
        <v>109</v>
      </c>
      <c r="D6" s="1354" t="s">
        <v>109</v>
      </c>
      <c r="E6" s="1354" t="s">
        <v>109</v>
      </c>
      <c r="F6" s="1354" t="s">
        <v>109</v>
      </c>
      <c r="G6" s="1354" t="s">
        <v>109</v>
      </c>
      <c r="H6" s="1354" t="s">
        <v>109</v>
      </c>
      <c r="I6" s="1354" t="s">
        <v>109</v>
      </c>
      <c r="J6" s="1354" t="s">
        <v>109</v>
      </c>
      <c r="K6" s="1354" t="s">
        <v>109</v>
      </c>
      <c r="L6" s="1354" t="s">
        <v>109</v>
      </c>
      <c r="M6" s="1354" t="s">
        <v>109</v>
      </c>
      <c r="N6" s="1354" t="s">
        <v>109</v>
      </c>
      <c r="O6" s="1354" t="s">
        <v>109</v>
      </c>
      <c r="P6" s="1354" t="s">
        <v>109</v>
      </c>
      <c r="Q6" s="1354" t="s">
        <v>109</v>
      </c>
      <c r="R6" s="1354" t="s">
        <v>109</v>
      </c>
      <c r="S6" s="1354" t="s">
        <v>109</v>
      </c>
      <c r="T6" s="1354" t="s">
        <v>109</v>
      </c>
      <c r="U6" s="1354" t="s">
        <v>109</v>
      </c>
      <c r="V6" s="1354" t="s">
        <v>109</v>
      </c>
      <c r="W6" s="1354" t="s">
        <v>109</v>
      </c>
      <c r="X6" s="1354" t="s">
        <v>109</v>
      </c>
      <c r="Y6" s="1354" t="s">
        <v>109</v>
      </c>
      <c r="Z6" s="1354" t="s">
        <v>109</v>
      </c>
      <c r="AA6" s="1354" t="s">
        <v>109</v>
      </c>
      <c r="AB6" s="1354" t="s">
        <v>109</v>
      </c>
      <c r="AC6" s="1354" t="s">
        <v>109</v>
      </c>
      <c r="AD6" s="1354" t="s">
        <v>109</v>
      </c>
      <c r="AE6" s="1354" t="s">
        <v>109</v>
      </c>
      <c r="AF6" s="1354" t="s">
        <v>109</v>
      </c>
      <c r="AG6" s="1639">
        <v>0</v>
      </c>
      <c r="AH6" s="1639">
        <v>0</v>
      </c>
      <c r="AI6" s="1673"/>
      <c r="AJ6" s="1677" t="s">
        <v>811</v>
      </c>
    </row>
    <row r="7" spans="1:55">
      <c r="A7" s="415" t="s">
        <v>1268</v>
      </c>
      <c r="B7" s="460"/>
      <c r="C7" s="80"/>
      <c r="D7" s="80"/>
      <c r="E7" s="1354" t="s">
        <v>109</v>
      </c>
      <c r="F7" s="80"/>
      <c r="G7" s="80"/>
      <c r="H7" s="560"/>
      <c r="I7" s="560"/>
      <c r="J7" s="80"/>
      <c r="K7" s="80"/>
      <c r="L7" s="94"/>
      <c r="M7" s="80"/>
      <c r="N7" s="80"/>
      <c r="O7" s="80"/>
      <c r="P7" s="80"/>
      <c r="Q7" s="80"/>
      <c r="R7" s="80"/>
      <c r="S7" s="560"/>
      <c r="T7" s="560"/>
      <c r="U7" s="80"/>
      <c r="V7" s="80"/>
      <c r="W7" s="1354" t="s">
        <v>109</v>
      </c>
      <c r="X7" s="80"/>
      <c r="Y7" s="80"/>
      <c r="Z7" s="80"/>
      <c r="AA7" s="80"/>
      <c r="AB7" s="80"/>
      <c r="AC7" s="80"/>
      <c r="AD7" s="80"/>
      <c r="AE7" s="80"/>
      <c r="AF7" s="463"/>
      <c r="AG7" s="1640">
        <v>1</v>
      </c>
      <c r="AH7" s="1640">
        <v>1</v>
      </c>
      <c r="AI7" s="1674"/>
      <c r="AJ7" s="1666"/>
      <c r="AL7" s="1636"/>
      <c r="BA7" s="1636"/>
    </row>
    <row r="8" spans="1:55">
      <c r="A8" s="415" t="s">
        <v>1268</v>
      </c>
      <c r="B8" s="561"/>
      <c r="C8" s="560"/>
      <c r="D8" s="560"/>
      <c r="E8" s="560"/>
      <c r="F8" s="80"/>
      <c r="G8" s="80"/>
      <c r="H8" s="80"/>
      <c r="I8" s="80"/>
      <c r="J8" s="80"/>
      <c r="K8" s="80"/>
      <c r="L8" s="1354" t="s">
        <v>109</v>
      </c>
      <c r="M8" s="1354" t="s">
        <v>109</v>
      </c>
      <c r="N8" s="1354" t="s">
        <v>109</v>
      </c>
      <c r="O8" s="1354" t="s">
        <v>109</v>
      </c>
      <c r="P8" s="1354" t="s">
        <v>109</v>
      </c>
      <c r="Q8" s="80"/>
      <c r="R8" s="80"/>
      <c r="S8" s="80"/>
      <c r="T8" s="80"/>
      <c r="U8" s="80"/>
      <c r="V8" s="80"/>
      <c r="W8" s="80"/>
      <c r="X8" s="80"/>
      <c r="Y8" s="1354" t="s">
        <v>109</v>
      </c>
      <c r="Z8" s="80"/>
      <c r="AA8" s="80"/>
      <c r="AB8" s="80"/>
      <c r="AC8" s="80"/>
      <c r="AD8" s="80"/>
      <c r="AE8" s="80"/>
      <c r="AF8" s="463"/>
      <c r="AG8" s="1640">
        <v>0</v>
      </c>
      <c r="AH8" s="1640">
        <v>1</v>
      </c>
      <c r="AI8" s="1674" t="s">
        <v>1257</v>
      </c>
      <c r="AJ8" s="1666"/>
      <c r="AL8" s="1636"/>
      <c r="BA8" s="1636"/>
    </row>
    <row r="9" spans="1:55">
      <c r="A9" s="415" t="s">
        <v>1268</v>
      </c>
      <c r="B9" s="1354" t="s">
        <v>109</v>
      </c>
      <c r="C9" s="1354" t="s">
        <v>109</v>
      </c>
      <c r="D9" s="1354" t="s">
        <v>109</v>
      </c>
      <c r="E9" s="1354" t="s">
        <v>109</v>
      </c>
      <c r="F9" s="1354" t="s">
        <v>109</v>
      </c>
      <c r="G9" s="1354" t="s">
        <v>109</v>
      </c>
      <c r="H9" s="1354" t="s">
        <v>109</v>
      </c>
      <c r="I9" s="1354" t="s">
        <v>109</v>
      </c>
      <c r="J9" s="1354" t="s">
        <v>109</v>
      </c>
      <c r="K9" s="1354" t="s">
        <v>109</v>
      </c>
      <c r="L9" s="1354" t="s">
        <v>109</v>
      </c>
      <c r="M9" s="1354" t="s">
        <v>109</v>
      </c>
      <c r="N9" s="1354" t="s">
        <v>109</v>
      </c>
      <c r="O9" s="1354" t="s">
        <v>109</v>
      </c>
      <c r="P9" s="1354" t="s">
        <v>109</v>
      </c>
      <c r="Q9" s="1354" t="s">
        <v>109</v>
      </c>
      <c r="R9" s="1354" t="s">
        <v>109</v>
      </c>
      <c r="S9" s="1354" t="s">
        <v>109</v>
      </c>
      <c r="T9" s="1354" t="s">
        <v>109</v>
      </c>
      <c r="U9" s="1354" t="s">
        <v>109</v>
      </c>
      <c r="V9" s="1354" t="s">
        <v>109</v>
      </c>
      <c r="W9" s="1354" t="s">
        <v>109</v>
      </c>
      <c r="X9" s="1354" t="s">
        <v>109</v>
      </c>
      <c r="Y9" s="1354" t="s">
        <v>109</v>
      </c>
      <c r="Z9" s="1354" t="s">
        <v>109</v>
      </c>
      <c r="AA9" s="1354" t="s">
        <v>109</v>
      </c>
      <c r="AB9" s="1354" t="s">
        <v>109</v>
      </c>
      <c r="AC9" s="1354" t="s">
        <v>109</v>
      </c>
      <c r="AD9" s="1354" t="s">
        <v>109</v>
      </c>
      <c r="AE9" s="1354" t="s">
        <v>109</v>
      </c>
      <c r="AF9" s="1354" t="s">
        <v>109</v>
      </c>
      <c r="AG9" s="1640">
        <v>3</v>
      </c>
      <c r="AH9" s="1640">
        <v>1</v>
      </c>
      <c r="AI9" s="1674" t="s">
        <v>1247</v>
      </c>
      <c r="AJ9" s="1666"/>
    </row>
    <row r="10" spans="1:55">
      <c r="A10" s="415" t="s">
        <v>1268</v>
      </c>
      <c r="B10" s="460"/>
      <c r="C10" s="80"/>
      <c r="D10" s="80"/>
      <c r="E10" s="1354" t="s">
        <v>109</v>
      </c>
      <c r="F10" s="1354" t="s">
        <v>109</v>
      </c>
      <c r="G10" s="1354" t="s">
        <v>109</v>
      </c>
      <c r="H10" s="1354" t="s">
        <v>109</v>
      </c>
      <c r="I10" s="80"/>
      <c r="J10" s="80"/>
      <c r="K10" s="80"/>
      <c r="L10" s="80"/>
      <c r="M10" s="80"/>
      <c r="N10" s="80"/>
      <c r="O10" s="80"/>
      <c r="P10" s="80"/>
      <c r="Q10" s="80"/>
      <c r="R10" s="80"/>
      <c r="S10" s="80"/>
      <c r="T10" s="80"/>
      <c r="U10" s="95"/>
      <c r="V10" s="80"/>
      <c r="W10" s="560"/>
      <c r="X10" s="1354" t="s">
        <v>109</v>
      </c>
      <c r="Y10" s="80"/>
      <c r="Z10" s="80"/>
      <c r="AA10" s="80"/>
      <c r="AB10" s="80"/>
      <c r="AC10" s="80"/>
      <c r="AD10" s="80"/>
      <c r="AE10" s="80"/>
      <c r="AF10" s="463"/>
      <c r="AG10" s="1640">
        <v>0</v>
      </c>
      <c r="AH10" s="1640">
        <v>1</v>
      </c>
      <c r="AI10" s="1674" t="s">
        <v>1258</v>
      </c>
      <c r="AJ10" s="1666"/>
    </row>
    <row r="11" spans="1:55">
      <c r="A11" s="415" t="s">
        <v>1268</v>
      </c>
      <c r="B11" s="561"/>
      <c r="C11" s="80"/>
      <c r="D11" s="1354" t="s">
        <v>109</v>
      </c>
      <c r="E11" s="80"/>
      <c r="F11" s="80"/>
      <c r="G11" s="80"/>
      <c r="H11" s="80"/>
      <c r="I11" s="80"/>
      <c r="J11" s="80"/>
      <c r="K11" s="80"/>
      <c r="L11" s="80"/>
      <c r="M11" s="80"/>
      <c r="N11" s="80"/>
      <c r="O11" s="95"/>
      <c r="P11" s="80"/>
      <c r="Q11" s="80"/>
      <c r="R11" s="80"/>
      <c r="S11" s="80"/>
      <c r="T11" s="80"/>
      <c r="U11" s="80"/>
      <c r="V11" s="80"/>
      <c r="W11" s="80"/>
      <c r="X11" s="80"/>
      <c r="Y11" s="80"/>
      <c r="Z11" s="1354" t="s">
        <v>109</v>
      </c>
      <c r="AA11" s="1354" t="s">
        <v>109</v>
      </c>
      <c r="AB11" s="1354" t="s">
        <v>109</v>
      </c>
      <c r="AC11" s="1354" t="s">
        <v>109</v>
      </c>
      <c r="AD11" s="1354" t="s">
        <v>109</v>
      </c>
      <c r="AE11" s="1354" t="s">
        <v>109</v>
      </c>
      <c r="AF11" s="1354" t="s">
        <v>109</v>
      </c>
      <c r="AG11" s="1640">
        <v>2</v>
      </c>
      <c r="AH11" s="1640">
        <v>0</v>
      </c>
      <c r="AI11" s="1674" t="s">
        <v>1270</v>
      </c>
      <c r="AJ11" s="1666" t="s">
        <v>1275</v>
      </c>
      <c r="AL11" s="1637"/>
      <c r="AM11" s="1638"/>
      <c r="AN11" s="1638"/>
      <c r="AO11" s="1638"/>
      <c r="AP11" s="1638"/>
      <c r="AQ11" s="1638"/>
      <c r="AR11" s="1638"/>
      <c r="AS11" s="1638"/>
      <c r="AT11" s="1638"/>
      <c r="AU11" s="1638"/>
      <c r="AV11" s="1638"/>
      <c r="AW11" s="1638"/>
      <c r="AX11" s="1638"/>
      <c r="AY11" s="1638"/>
      <c r="AZ11" s="1638"/>
      <c r="BA11" s="1638"/>
      <c r="BB11" s="1638"/>
      <c r="BC11" s="1638"/>
    </row>
    <row r="12" spans="1:55">
      <c r="A12" s="415" t="s">
        <v>1268</v>
      </c>
      <c r="B12" s="460"/>
      <c r="C12" s="80"/>
      <c r="D12" s="80"/>
      <c r="E12" s="80"/>
      <c r="F12" s="80"/>
      <c r="G12" s="80"/>
      <c r="H12" s="80"/>
      <c r="I12" s="80"/>
      <c r="J12" s="80"/>
      <c r="K12" s="80"/>
      <c r="L12" s="80"/>
      <c r="M12" s="80"/>
      <c r="N12" s="80"/>
      <c r="O12" s="80"/>
      <c r="P12" s="80"/>
      <c r="Q12" s="1354" t="s">
        <v>109</v>
      </c>
      <c r="R12" s="1354" t="s">
        <v>109</v>
      </c>
      <c r="S12" s="1354" t="s">
        <v>109</v>
      </c>
      <c r="T12" s="1354" t="s">
        <v>109</v>
      </c>
      <c r="U12" s="80"/>
      <c r="V12" s="80"/>
      <c r="W12" s="80"/>
      <c r="X12" s="80"/>
      <c r="Y12" s="80"/>
      <c r="Z12" s="80"/>
      <c r="AA12" s="80"/>
      <c r="AB12" s="80"/>
      <c r="AC12" s="80"/>
      <c r="AD12" s="80"/>
      <c r="AE12" s="80"/>
      <c r="AF12" s="463"/>
      <c r="AG12" s="1663">
        <v>1</v>
      </c>
      <c r="AH12" s="1640">
        <v>1</v>
      </c>
      <c r="AI12" s="1674" t="s">
        <v>1259</v>
      </c>
      <c r="AJ12" s="1666"/>
    </row>
    <row r="13" spans="1:55">
      <c r="A13" s="415" t="s">
        <v>1268</v>
      </c>
      <c r="B13" s="1354" t="s">
        <v>109</v>
      </c>
      <c r="C13" s="1354" t="s">
        <v>109</v>
      </c>
      <c r="D13" s="1354" t="s">
        <v>109</v>
      </c>
      <c r="E13" s="1354" t="s">
        <v>109</v>
      </c>
      <c r="F13" s="1354" t="s">
        <v>109</v>
      </c>
      <c r="G13" s="1354" t="s">
        <v>109</v>
      </c>
      <c r="H13" s="1354" t="s">
        <v>109</v>
      </c>
      <c r="I13" s="1354" t="s">
        <v>109</v>
      </c>
      <c r="J13" s="1354" t="s">
        <v>109</v>
      </c>
      <c r="K13" s="1354" t="s">
        <v>109</v>
      </c>
      <c r="L13" s="80"/>
      <c r="M13" s="80"/>
      <c r="N13" s="80"/>
      <c r="O13" s="80"/>
      <c r="P13" s="80"/>
      <c r="Q13" s="80"/>
      <c r="R13" s="80"/>
      <c r="S13" s="80"/>
      <c r="T13" s="80"/>
      <c r="U13" s="80"/>
      <c r="V13" s="80"/>
      <c r="W13" s="80"/>
      <c r="X13" s="80"/>
      <c r="Y13" s="80"/>
      <c r="Z13" s="80"/>
      <c r="AA13" s="80"/>
      <c r="AB13" s="80"/>
      <c r="AC13" s="80"/>
      <c r="AD13" s="80"/>
      <c r="AE13" s="80"/>
      <c r="AF13" s="463"/>
      <c r="AG13" s="1663">
        <v>1</v>
      </c>
      <c r="AH13" s="1640">
        <v>1</v>
      </c>
      <c r="AI13" s="1675" t="s">
        <v>1337</v>
      </c>
      <c r="AJ13" s="1666" t="s">
        <v>1336</v>
      </c>
    </row>
    <row r="14" spans="1:55">
      <c r="A14" s="462"/>
      <c r="B14" s="460"/>
      <c r="C14" s="80"/>
      <c r="D14" s="80"/>
      <c r="E14" s="80"/>
      <c r="F14" s="80"/>
      <c r="G14" s="80"/>
      <c r="H14" s="95"/>
      <c r="I14" s="80"/>
      <c r="J14" s="80"/>
      <c r="K14" s="80"/>
      <c r="L14" s="80"/>
      <c r="M14" s="80"/>
      <c r="N14" s="80"/>
      <c r="O14" s="80"/>
      <c r="P14" s="80"/>
      <c r="Q14" s="95"/>
      <c r="R14" s="80"/>
      <c r="S14" s="80"/>
      <c r="T14" s="80"/>
      <c r="U14" s="80"/>
      <c r="V14" s="80"/>
      <c r="W14" s="80"/>
      <c r="X14" s="80"/>
      <c r="Y14" s="80"/>
      <c r="Z14" s="80"/>
      <c r="AA14" s="80"/>
      <c r="AB14" s="80"/>
      <c r="AC14" s="80"/>
      <c r="AD14" s="80"/>
      <c r="AE14" s="80"/>
      <c r="AF14" s="463"/>
      <c r="AG14" s="1664"/>
      <c r="AH14" s="1665"/>
      <c r="AI14" s="1675"/>
      <c r="AJ14" s="1666"/>
    </row>
    <row r="15" spans="1:55">
      <c r="A15" s="462"/>
      <c r="B15" s="460"/>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463"/>
      <c r="AG15" s="1664"/>
      <c r="AH15" s="1665"/>
      <c r="AI15" s="1675"/>
      <c r="AJ15" s="1666"/>
    </row>
    <row r="16" spans="1:55" ht="13.5" thickBot="1">
      <c r="A16" s="2058" t="s">
        <v>792</v>
      </c>
      <c r="B16" s="461"/>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464"/>
      <c r="AG16" s="1667"/>
      <c r="AH16" s="1668"/>
      <c r="AI16" s="1676"/>
      <c r="AJ16" s="1669"/>
    </row>
    <row r="17" spans="1:37">
      <c r="A17" s="194" t="s">
        <v>219</v>
      </c>
      <c r="B17" s="195" t="s">
        <v>224</v>
      </c>
    </row>
    <row r="18" spans="1:37">
      <c r="B18" s="195" t="s">
        <v>1645</v>
      </c>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1484"/>
      <c r="AH18" s="1476"/>
      <c r="AI18" s="1476"/>
      <c r="AJ18" s="1476"/>
      <c r="AK18" s="1476"/>
    </row>
    <row r="19" spans="1:37">
      <c r="A19" s="559" t="s">
        <v>512</v>
      </c>
      <c r="B19" s="87"/>
      <c r="C19" s="87"/>
      <c r="D19" s="87"/>
      <c r="E19" s="87"/>
      <c r="F19" s="87"/>
      <c r="G19" s="87"/>
      <c r="AG19" s="1476"/>
      <c r="AH19" s="1476"/>
      <c r="AI19" s="1476"/>
      <c r="AJ19" s="1476"/>
      <c r="AK19" s="1476"/>
    </row>
    <row r="20" spans="1:37">
      <c r="A20" s="1354" t="s">
        <v>109</v>
      </c>
      <c r="B20" s="473" t="s">
        <v>513</v>
      </c>
      <c r="AG20" s="1476"/>
      <c r="AH20" s="1476"/>
      <c r="AI20" s="1476"/>
    </row>
    <row r="22" spans="1:37">
      <c r="A22" s="1476" t="s">
        <v>1273</v>
      </c>
      <c r="B22" s="1476" t="s">
        <v>1248</v>
      </c>
    </row>
    <row r="23" spans="1:37">
      <c r="A23" s="1460"/>
      <c r="B23" s="1460" t="s">
        <v>1249</v>
      </c>
    </row>
    <row r="24" spans="1:37">
      <c r="A24" s="1460"/>
      <c r="B24" s="1460" t="s">
        <v>1269</v>
      </c>
    </row>
    <row r="25" spans="1:37">
      <c r="A25" s="1460"/>
      <c r="B25" s="1460" t="s">
        <v>1250</v>
      </c>
    </row>
    <row r="26" spans="1:37">
      <c r="A26" s="1460"/>
      <c r="B26" s="1460" t="s">
        <v>1256</v>
      </c>
    </row>
    <row r="27" spans="1:37">
      <c r="A27" s="1460"/>
      <c r="B27" s="1460"/>
    </row>
    <row r="28" spans="1:37">
      <c r="A28" s="1460" t="s">
        <v>1255</v>
      </c>
      <c r="B28" s="1460" t="s">
        <v>1251</v>
      </c>
    </row>
    <row r="29" spans="1:37">
      <c r="A29" s="1460"/>
      <c r="B29" s="1460" t="s">
        <v>1252</v>
      </c>
    </row>
    <row r="30" spans="1:37">
      <c r="A30" s="1460"/>
      <c r="B30" s="1460"/>
    </row>
    <row r="31" spans="1:37">
      <c r="A31" s="1460"/>
      <c r="B31" s="1460"/>
    </row>
    <row r="32" spans="1:37">
      <c r="A32" s="1460" t="s">
        <v>132</v>
      </c>
      <c r="B32" s="1460" t="s">
        <v>1335</v>
      </c>
    </row>
    <row r="34" spans="1:17">
      <c r="A34" s="1334" t="s">
        <v>1172</v>
      </c>
      <c r="B34" s="3380" t="s">
        <v>1274</v>
      </c>
      <c r="C34" s="3242"/>
      <c r="D34" s="3242"/>
      <c r="E34" s="3242"/>
      <c r="F34" s="3242"/>
      <c r="G34" s="3242"/>
      <c r="H34" s="3242"/>
      <c r="I34" s="3242"/>
      <c r="J34" s="3242"/>
      <c r="K34" s="3242"/>
      <c r="L34" s="3242"/>
      <c r="M34" s="3242"/>
      <c r="N34" s="3242"/>
      <c r="O34" s="3242"/>
      <c r="P34" s="3242"/>
      <c r="Q34" s="3242"/>
    </row>
  </sheetData>
  <sheetProtection algorithmName="SHA-512" hashValue="ojSmecgtPmigBVwbsxg1V4ArDQAqRP4ZJHwFV3xAG0VYy9eUEBXImVVNH0ZzxNGTfFHoqA+5mZEf7IXNdUFR5w==" saltValue="VGW2mDcK/xXUe0K2DHzgTQ==" spinCount="100000" sheet="1" objects="1" scenarios="1"/>
  <mergeCells count="5">
    <mergeCell ref="B34:Q34"/>
    <mergeCell ref="AG3:AX3"/>
    <mergeCell ref="B4:D4"/>
    <mergeCell ref="B1:AJ1"/>
    <mergeCell ref="B2:AJ2"/>
  </mergeCells>
  <conditionalFormatting sqref="S8 T7:AF8 B9:P9 B7:R8 B6:C6 U6:AF6 B10:AF12 B14:AF16 L13:AF13">
    <cfRule type="cellIs" dxfId="17" priority="5" stopIfTrue="1" operator="equal">
      <formula>"F"</formula>
    </cfRule>
  </conditionalFormatting>
  <conditionalFormatting sqref="A20">
    <cfRule type="cellIs" dxfId="16" priority="4" stopIfTrue="1" operator="equal">
      <formula>"F"</formula>
    </cfRule>
  </conditionalFormatting>
  <conditionalFormatting sqref="Q9:AF9">
    <cfRule type="cellIs" dxfId="15" priority="3" stopIfTrue="1" operator="equal">
      <formula>"F"</formula>
    </cfRule>
  </conditionalFormatting>
  <conditionalFormatting sqref="D6:T6">
    <cfRule type="cellIs" dxfId="14" priority="2" stopIfTrue="1" operator="equal">
      <formula>"F"</formula>
    </cfRule>
  </conditionalFormatting>
  <conditionalFormatting sqref="B13:K13">
    <cfRule type="cellIs" dxfId="13" priority="1" stopIfTrue="1" operator="equal">
      <formula>"F"</formula>
    </cfRule>
  </conditionalFormatting>
  <printOptions horizontalCentered="1"/>
  <pageMargins left="0.7" right="0.7" top="0.78740157499999996" bottom="0.78740157499999996" header="0.3" footer="0.3"/>
  <pageSetup paperSize="9" scale="63" orientation="landscape" r:id="rId1"/>
  <headerFooter>
    <oddHeader>&amp;LVDV SUN Jahresschlussrechnung JJJJ&amp;R&amp;F</oddHeader>
    <oddFooter>&amp;C&amp;P&amp;R&amp;A</oddFooter>
  </headerFooter>
  <colBreaks count="1" manualBreakCount="1">
    <brk id="36"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63A9B-BCA9-43BB-9A26-F2D1A01931AD}">
  <sheetPr>
    <tabColor rgb="FF0070C0"/>
  </sheetPr>
  <dimension ref="A1:AI100"/>
  <sheetViews>
    <sheetView view="pageLayout" zoomScale="80" zoomScaleNormal="80" zoomScaleSheetLayoutView="80" zoomScalePageLayoutView="80" workbookViewId="0">
      <selection activeCell="T5" sqref="T5"/>
    </sheetView>
  </sheetViews>
  <sheetFormatPr baseColWidth="10" defaultRowHeight="14.25"/>
  <cols>
    <col min="1" max="1" width="13.140625" style="1136" bestFit="1" customWidth="1"/>
    <col min="2" max="2" width="12.42578125" style="1140" customWidth="1"/>
    <col min="3" max="5" width="5.7109375" style="1136" customWidth="1"/>
    <col min="6" max="8" width="2.7109375" style="1136" customWidth="1"/>
    <col min="9" max="9" width="11.28515625" style="1136" bestFit="1" customWidth="1"/>
    <col min="10" max="10" width="11.5703125" style="1136" bestFit="1" customWidth="1"/>
    <col min="11" max="11" width="10.7109375" style="1136" customWidth="1"/>
    <col min="12" max="12" width="10" style="1136" customWidth="1"/>
    <col min="13" max="15" width="11.28515625" style="1136" bestFit="1" customWidth="1"/>
    <col min="16" max="16" width="8.28515625" style="1136" customWidth="1"/>
    <col min="17" max="24" width="5.7109375" style="1136" customWidth="1"/>
    <col min="25" max="25" width="6.85546875" style="1136" customWidth="1"/>
    <col min="26" max="27" width="5.7109375" style="1136" customWidth="1"/>
    <col min="28" max="28" width="8.28515625" style="1136" customWidth="1"/>
    <col min="29" max="33" width="5.7109375" style="1136" customWidth="1"/>
    <col min="34" max="34" width="11.5703125" style="1136" bestFit="1" customWidth="1"/>
    <col min="35" max="16384" width="11.42578125" style="1136"/>
  </cols>
  <sheetData>
    <row r="1" spans="1:35" ht="18" customHeight="1">
      <c r="A1" s="3386" t="s">
        <v>1499</v>
      </c>
      <c r="B1" s="3386"/>
      <c r="C1" s="3386"/>
      <c r="D1" s="3386"/>
      <c r="E1" s="3386"/>
      <c r="F1" s="3386"/>
      <c r="G1" s="3386"/>
      <c r="H1" s="3386"/>
      <c r="I1" s="3386"/>
      <c r="J1" s="3386"/>
      <c r="K1" s="3386"/>
      <c r="L1" s="3386"/>
      <c r="M1" s="3386"/>
      <c r="N1" s="3386"/>
      <c r="O1" s="3386"/>
      <c r="P1" s="3386"/>
      <c r="Q1" s="3386"/>
      <c r="R1" s="3386"/>
      <c r="S1" s="3386"/>
      <c r="T1" s="3386"/>
      <c r="U1" s="3386"/>
      <c r="V1" s="3386"/>
      <c r="W1" s="3386"/>
      <c r="X1" s="3386"/>
      <c r="Y1" s="3386"/>
      <c r="Z1" s="3386"/>
      <c r="AA1" s="3386"/>
      <c r="AB1" s="3386"/>
      <c r="AC1" s="3386"/>
      <c r="AD1" s="3386"/>
      <c r="AE1" s="1620"/>
      <c r="AF1" s="1620"/>
      <c r="AG1" s="1620"/>
      <c r="AH1" s="750"/>
    </row>
    <row r="2" spans="1:35" ht="18.75" customHeight="1">
      <c r="A2" s="3387" t="s">
        <v>748</v>
      </c>
      <c r="B2" s="3387"/>
      <c r="C2" s="3387"/>
      <c r="D2" s="3387"/>
      <c r="E2" s="3387"/>
      <c r="F2" s="3387"/>
      <c r="G2" s="3387"/>
      <c r="H2" s="3387"/>
      <c r="I2" s="3387"/>
      <c r="J2" s="3387"/>
      <c r="K2" s="3387"/>
      <c r="L2" s="3387"/>
      <c r="M2" s="3387"/>
      <c r="N2" s="3387"/>
      <c r="O2" s="3387"/>
      <c r="P2" s="3387"/>
      <c r="Q2" s="3387"/>
      <c r="R2" s="3387"/>
      <c r="S2" s="3387"/>
      <c r="T2" s="3387"/>
      <c r="U2" s="3387"/>
      <c r="V2" s="3387"/>
      <c r="W2" s="3387"/>
      <c r="X2" s="3387"/>
      <c r="Y2" s="3387"/>
      <c r="Z2" s="3387"/>
      <c r="AA2" s="3387"/>
      <c r="AB2" s="3387"/>
      <c r="AC2" s="3387"/>
      <c r="AD2" s="3387"/>
      <c r="AE2" s="1621"/>
      <c r="AF2" s="1621"/>
      <c r="AG2" s="1621"/>
      <c r="AH2" s="753"/>
    </row>
    <row r="3" spans="1:35" ht="9.75" customHeight="1" thickBot="1">
      <c r="A3" s="1622"/>
      <c r="B3" s="1622"/>
      <c r="C3" s="1622"/>
      <c r="D3" s="1622"/>
      <c r="E3" s="1622"/>
      <c r="F3" s="1622"/>
      <c r="G3" s="1622"/>
      <c r="H3" s="1622"/>
      <c r="I3" s="1622"/>
      <c r="J3" s="1622"/>
      <c r="K3" s="1622"/>
      <c r="L3" s="1622"/>
      <c r="M3" s="1622"/>
      <c r="N3" s="1622"/>
      <c r="O3" s="1622"/>
      <c r="P3" s="1622"/>
      <c r="Q3" s="1622"/>
      <c r="R3" s="1622"/>
      <c r="S3" s="1622"/>
      <c r="T3" s="1622"/>
      <c r="U3" s="1622"/>
      <c r="V3" s="1622"/>
      <c r="W3" s="1622"/>
      <c r="X3" s="1622"/>
      <c r="Y3" s="1622"/>
      <c r="Z3" s="1622"/>
      <c r="AA3" s="1622"/>
      <c r="AB3" s="1622"/>
      <c r="AC3" s="1622"/>
      <c r="AD3" s="1622"/>
      <c r="AE3" s="1622"/>
      <c r="AF3" s="1622"/>
      <c r="AG3" s="1622"/>
      <c r="AH3" s="753"/>
    </row>
    <row r="4" spans="1:35" ht="30" customHeight="1" thickBot="1">
      <c r="A4" s="755"/>
      <c r="B4" s="756"/>
      <c r="C4" s="757"/>
      <c r="D4" s="868"/>
      <c r="E4" s="868"/>
      <c r="F4" s="3388" t="s">
        <v>743</v>
      </c>
      <c r="G4" s="3389"/>
      <c r="H4" s="3389"/>
      <c r="I4" s="3390"/>
      <c r="J4" s="1884" t="s">
        <v>1526</v>
      </c>
      <c r="K4" s="1513" t="s">
        <v>1527</v>
      </c>
      <c r="L4" s="1513" t="s">
        <v>1552</v>
      </c>
      <c r="M4" s="1513" t="s">
        <v>1551</v>
      </c>
      <c r="N4" s="1513" t="s">
        <v>1528</v>
      </c>
      <c r="O4" s="1513" t="s">
        <v>1666</v>
      </c>
      <c r="P4" s="1513" t="s">
        <v>1553</v>
      </c>
      <c r="Q4" s="1419"/>
      <c r="R4" s="1418"/>
      <c r="S4" s="1418"/>
      <c r="T4" s="758"/>
      <c r="U4" s="758"/>
      <c r="V4" s="758"/>
    </row>
    <row r="5" spans="1:35">
      <c r="A5" s="758"/>
      <c r="B5" s="758"/>
      <c r="C5" s="758"/>
      <c r="D5" s="759"/>
      <c r="E5" s="760"/>
      <c r="F5" s="3391">
        <f>SUM($J$5:$P$5)</f>
        <v>1.0000001000000001</v>
      </c>
      <c r="G5" s="3392"/>
      <c r="H5" s="3392"/>
      <c r="I5" s="3393"/>
      <c r="J5" s="3021">
        <f>'1a_Leistungsvolumen'!$C$93</f>
        <v>9.7772999999999992E-3</v>
      </c>
      <c r="K5" s="3024">
        <f>'1a_Leistungsvolumen'!$D$93</f>
        <v>0.1214701</v>
      </c>
      <c r="L5" s="3024">
        <f>'1a_Leistungsvolumen'!$E$93</f>
        <v>6.2115400000000001E-2</v>
      </c>
      <c r="M5" s="3024">
        <f>'1a_Leistungsvolumen'!$F$93</f>
        <v>0.54540759999999999</v>
      </c>
      <c r="N5" s="3024">
        <f>'1a_Leistungsvolumen'!$G$93</f>
        <v>0.22948180000000001</v>
      </c>
      <c r="O5" s="3024">
        <f>'1a_Leistungsvolumen'!$H$93</f>
        <v>2.9332299999999999E-2</v>
      </c>
      <c r="P5" s="3025">
        <f>'1a_Leistungsvolumen'!$I$93</f>
        <v>2.4156E-3</v>
      </c>
      <c r="Q5" s="1641"/>
      <c r="R5" s="1641"/>
      <c r="S5" s="1641"/>
      <c r="T5" s="3023" t="s">
        <v>1706</v>
      </c>
      <c r="U5" s="758"/>
      <c r="V5" s="758"/>
      <c r="Y5" s="1642"/>
    </row>
    <row r="6" spans="1:35">
      <c r="A6" s="3309" t="s">
        <v>1051</v>
      </c>
      <c r="B6" s="3396"/>
      <c r="C6" s="3396"/>
      <c r="D6" s="3396"/>
      <c r="E6" s="761"/>
      <c r="F6" s="3394">
        <v>300</v>
      </c>
      <c r="G6" s="3395"/>
      <c r="H6" s="3395"/>
      <c r="I6" s="3395"/>
      <c r="J6" s="1934"/>
      <c r="K6" s="1936"/>
      <c r="L6" s="1936"/>
      <c r="M6" s="1936"/>
      <c r="N6" s="1936"/>
      <c r="O6" s="1936"/>
      <c r="P6" s="1936"/>
      <c r="Q6" s="1418"/>
      <c r="R6" s="1418"/>
      <c r="S6" s="1418"/>
      <c r="T6" s="758"/>
      <c r="U6" s="758"/>
      <c r="V6" s="758"/>
    </row>
    <row r="7" spans="1:35" ht="15" thickBot="1">
      <c r="A7" s="3309" t="s">
        <v>1049</v>
      </c>
      <c r="B7" s="3396"/>
      <c r="C7" s="3396"/>
      <c r="D7" s="3396"/>
      <c r="E7" s="762"/>
      <c r="F7" s="3403">
        <f>$AH$17</f>
        <v>4</v>
      </c>
      <c r="G7" s="3404"/>
      <c r="H7" s="3404"/>
      <c r="I7" s="3404"/>
      <c r="J7" s="1935"/>
      <c r="K7" s="1937"/>
      <c r="L7" s="1937"/>
      <c r="M7" s="1937"/>
      <c r="N7" s="1937"/>
      <c r="O7" s="1937"/>
      <c r="P7" s="1937"/>
      <c r="Q7" s="1418"/>
      <c r="R7" s="1418"/>
      <c r="S7" s="1418"/>
      <c r="T7" s="758"/>
      <c r="U7" s="758"/>
      <c r="V7" s="758"/>
    </row>
    <row r="8" spans="1:35" ht="15" thickBot="1">
      <c r="A8" s="3399" t="s">
        <v>744</v>
      </c>
      <c r="B8" s="3399"/>
      <c r="C8" s="3399"/>
      <c r="F8" s="3400">
        <f>$F$6*$F$7</f>
        <v>1200</v>
      </c>
      <c r="G8" s="3401"/>
      <c r="H8" s="3401"/>
      <c r="I8" s="3402"/>
      <c r="J8" s="1967">
        <f>$J$5*$F$8</f>
        <v>11.732759999999999</v>
      </c>
      <c r="K8" s="1968">
        <f>$K$5*$F$8</f>
        <v>145.76411999999999</v>
      </c>
      <c r="L8" s="1968">
        <f>$L$5*$F$8</f>
        <v>74.538480000000007</v>
      </c>
      <c r="M8" s="1968">
        <f>$M$5*$F$8</f>
        <v>654.48911999999996</v>
      </c>
      <c r="N8" s="1968">
        <f>$N$5*$F$8</f>
        <v>275.37816000000004</v>
      </c>
      <c r="O8" s="1968">
        <f>$O$5*$F$8</f>
        <v>35.19876</v>
      </c>
      <c r="P8" s="1968">
        <f>$P$5*$F$8</f>
        <v>2.89872</v>
      </c>
      <c r="Q8" s="1420"/>
      <c r="R8" s="1420"/>
      <c r="S8" s="1420"/>
    </row>
    <row r="9" spans="1:35" ht="15" thickBot="1">
      <c r="A9" s="1139"/>
    </row>
    <row r="10" spans="1:35" ht="57.75" customHeight="1" thickBot="1">
      <c r="A10" s="763" t="s">
        <v>151</v>
      </c>
      <c r="B10" s="763" t="s">
        <v>745</v>
      </c>
      <c r="C10" s="764">
        <v>45658</v>
      </c>
      <c r="D10" s="764">
        <v>45659</v>
      </c>
      <c r="E10" s="764">
        <v>45660</v>
      </c>
      <c r="F10" s="764">
        <v>45661</v>
      </c>
      <c r="G10" s="764">
        <v>45662</v>
      </c>
      <c r="H10" s="764">
        <v>45663</v>
      </c>
      <c r="I10" s="764">
        <v>45664</v>
      </c>
      <c r="J10" s="764">
        <v>45665</v>
      </c>
      <c r="K10" s="764">
        <v>45666</v>
      </c>
      <c r="L10" s="764">
        <v>45667</v>
      </c>
      <c r="M10" s="764">
        <v>45668</v>
      </c>
      <c r="N10" s="764">
        <v>45669</v>
      </c>
      <c r="O10" s="764">
        <v>45670</v>
      </c>
      <c r="P10" s="764">
        <v>45671</v>
      </c>
      <c r="Q10" s="764">
        <v>45672</v>
      </c>
      <c r="R10" s="764">
        <v>45673</v>
      </c>
      <c r="S10" s="764">
        <v>45674</v>
      </c>
      <c r="T10" s="764">
        <v>45675</v>
      </c>
      <c r="U10" s="764">
        <v>45676</v>
      </c>
      <c r="V10" s="764">
        <v>45677</v>
      </c>
      <c r="W10" s="764">
        <v>45678</v>
      </c>
      <c r="X10" s="764">
        <v>45679</v>
      </c>
      <c r="Y10" s="764">
        <v>45680</v>
      </c>
      <c r="Z10" s="764">
        <v>45681</v>
      </c>
      <c r="AA10" s="764">
        <v>45682</v>
      </c>
      <c r="AB10" s="764">
        <v>45683</v>
      </c>
      <c r="AC10" s="764">
        <v>45684</v>
      </c>
      <c r="AD10" s="764">
        <v>45685</v>
      </c>
      <c r="AE10" s="764">
        <v>45686</v>
      </c>
      <c r="AF10" s="764">
        <v>45687</v>
      </c>
      <c r="AG10" s="764">
        <v>45688</v>
      </c>
      <c r="AH10" s="765" t="s">
        <v>746</v>
      </c>
    </row>
    <row r="11" spans="1:35">
      <c r="A11" s="1144" t="s">
        <v>133</v>
      </c>
      <c r="B11" s="1156">
        <v>45686</v>
      </c>
      <c r="C11" s="1145">
        <v>0</v>
      </c>
      <c r="D11" s="1145">
        <v>0</v>
      </c>
      <c r="E11" s="1145">
        <v>1</v>
      </c>
      <c r="F11" s="1511">
        <v>0</v>
      </c>
      <c r="G11" s="1511">
        <v>0</v>
      </c>
      <c r="H11" s="1145">
        <v>0</v>
      </c>
      <c r="I11" s="1145">
        <v>0</v>
      </c>
      <c r="J11" s="1145">
        <v>0</v>
      </c>
      <c r="K11" s="1145">
        <v>0</v>
      </c>
      <c r="L11" s="1145">
        <v>1</v>
      </c>
      <c r="M11" s="1145">
        <v>0</v>
      </c>
      <c r="N11" s="1145">
        <v>0</v>
      </c>
      <c r="O11" s="1145">
        <v>0</v>
      </c>
      <c r="P11" s="1145">
        <v>1</v>
      </c>
      <c r="Q11" s="1145">
        <v>0</v>
      </c>
      <c r="R11" s="1145">
        <v>0</v>
      </c>
      <c r="S11" s="1145">
        <v>0</v>
      </c>
      <c r="T11" s="1145">
        <v>0</v>
      </c>
      <c r="U11" s="1145">
        <v>0</v>
      </c>
      <c r="V11" s="1145">
        <v>0</v>
      </c>
      <c r="W11" s="1145">
        <v>0</v>
      </c>
      <c r="X11" s="1145">
        <v>0</v>
      </c>
      <c r="Y11" s="1145">
        <v>1</v>
      </c>
      <c r="Z11" s="1145">
        <v>0</v>
      </c>
      <c r="AA11" s="1145">
        <v>0</v>
      </c>
      <c r="AB11" s="1145">
        <v>0</v>
      </c>
      <c r="AC11" s="1145">
        <v>0</v>
      </c>
      <c r="AD11" s="1145">
        <v>0</v>
      </c>
      <c r="AE11" s="1145">
        <v>1</v>
      </c>
      <c r="AF11" s="1145">
        <v>0</v>
      </c>
      <c r="AG11" s="1145">
        <v>0</v>
      </c>
      <c r="AH11" s="1158">
        <f>COUNTIF(C11:AG11,"P")</f>
        <v>0</v>
      </c>
      <c r="AI11" s="1141"/>
    </row>
    <row r="12" spans="1:35">
      <c r="A12" s="1146" t="s">
        <v>133</v>
      </c>
      <c r="B12" s="1157">
        <v>45679</v>
      </c>
      <c r="C12" s="1145" t="s">
        <v>199</v>
      </c>
      <c r="D12" s="1145" t="s">
        <v>199</v>
      </c>
      <c r="E12" s="1645" t="s">
        <v>199</v>
      </c>
      <c r="F12" s="1648" t="s">
        <v>606</v>
      </c>
      <c r="G12" s="1649" t="s">
        <v>606</v>
      </c>
      <c r="H12" s="1646">
        <v>1</v>
      </c>
      <c r="I12" s="1145">
        <v>0</v>
      </c>
      <c r="J12" s="1145">
        <v>0</v>
      </c>
      <c r="K12" s="1145">
        <v>1</v>
      </c>
      <c r="L12" s="1147">
        <v>0</v>
      </c>
      <c r="M12" s="1145">
        <v>0</v>
      </c>
      <c r="N12" s="1145">
        <v>0</v>
      </c>
      <c r="O12" s="1145">
        <v>0</v>
      </c>
      <c r="P12" s="1145">
        <v>0</v>
      </c>
      <c r="Q12" s="1145">
        <v>0</v>
      </c>
      <c r="R12" s="1145">
        <v>0</v>
      </c>
      <c r="S12" s="1145">
        <v>0</v>
      </c>
      <c r="T12" s="1145" t="s">
        <v>199</v>
      </c>
      <c r="U12" s="1145">
        <v>1</v>
      </c>
      <c r="V12" s="1145">
        <v>0</v>
      </c>
      <c r="W12" s="1145">
        <v>0</v>
      </c>
      <c r="X12" s="1145">
        <v>0</v>
      </c>
      <c r="Y12" s="1145">
        <v>0</v>
      </c>
      <c r="Z12" s="1145">
        <v>1</v>
      </c>
      <c r="AA12" s="1145">
        <v>0</v>
      </c>
      <c r="AB12" s="1145">
        <v>0</v>
      </c>
      <c r="AC12" s="1145">
        <v>0</v>
      </c>
      <c r="AD12" s="1145">
        <v>0</v>
      </c>
      <c r="AE12" s="1145">
        <v>0</v>
      </c>
      <c r="AF12" s="1145">
        <v>0</v>
      </c>
      <c r="AG12" s="1145">
        <v>0</v>
      </c>
      <c r="AH12" s="1159">
        <f>COUNTIF(C12:AG12,"P")</f>
        <v>4</v>
      </c>
      <c r="AI12" s="1141"/>
    </row>
    <row r="13" spans="1:35">
      <c r="A13" s="1146" t="s">
        <v>133</v>
      </c>
      <c r="B13" s="1157">
        <v>45681</v>
      </c>
      <c r="C13" s="1145">
        <v>1</v>
      </c>
      <c r="D13" s="1145">
        <v>0</v>
      </c>
      <c r="E13" s="1145">
        <v>0</v>
      </c>
      <c r="F13" s="1647">
        <v>0</v>
      </c>
      <c r="G13" s="1647">
        <v>0</v>
      </c>
      <c r="H13" s="1145">
        <v>1</v>
      </c>
      <c r="I13" s="1145">
        <v>0</v>
      </c>
      <c r="J13" s="1145">
        <v>0</v>
      </c>
      <c r="K13" s="1145">
        <v>0</v>
      </c>
      <c r="L13" s="1145">
        <v>0</v>
      </c>
      <c r="M13" s="1145">
        <v>0</v>
      </c>
      <c r="N13" s="1145">
        <v>1</v>
      </c>
      <c r="O13" s="1145">
        <v>0</v>
      </c>
      <c r="P13" s="1145">
        <v>0</v>
      </c>
      <c r="Q13" s="1145">
        <v>0</v>
      </c>
      <c r="R13" s="1145">
        <v>1</v>
      </c>
      <c r="S13" s="1145">
        <v>0</v>
      </c>
      <c r="T13" s="1145">
        <v>0</v>
      </c>
      <c r="U13" s="1145">
        <v>1</v>
      </c>
      <c r="V13" s="1145">
        <v>0</v>
      </c>
      <c r="W13" s="1145">
        <v>0</v>
      </c>
      <c r="X13" s="1145">
        <v>0</v>
      </c>
      <c r="Y13" s="1145">
        <v>0</v>
      </c>
      <c r="Z13" s="1145">
        <v>0</v>
      </c>
      <c r="AA13" s="1145">
        <v>1</v>
      </c>
      <c r="AB13" s="1145">
        <v>0</v>
      </c>
      <c r="AC13" s="1145">
        <v>0</v>
      </c>
      <c r="AD13" s="1145">
        <v>0</v>
      </c>
      <c r="AE13" s="1145">
        <v>0</v>
      </c>
      <c r="AF13" s="1145">
        <v>0</v>
      </c>
      <c r="AG13" s="1145">
        <v>0</v>
      </c>
      <c r="AH13" s="1159">
        <f>COUNTIF(C13:AG13,"P")</f>
        <v>0</v>
      </c>
      <c r="AI13" s="1141"/>
    </row>
    <row r="14" spans="1:35">
      <c r="A14" s="1146" t="s">
        <v>133</v>
      </c>
      <c r="B14" s="1157">
        <v>45685</v>
      </c>
      <c r="C14" s="1352" t="s">
        <v>109</v>
      </c>
      <c r="D14" s="1352" t="s">
        <v>109</v>
      </c>
      <c r="E14" s="1352" t="s">
        <v>109</v>
      </c>
      <c r="F14" s="1352" t="s">
        <v>109</v>
      </c>
      <c r="G14" s="1352" t="s">
        <v>109</v>
      </c>
      <c r="H14" s="1352" t="s">
        <v>109</v>
      </c>
      <c r="I14" s="1352" t="s">
        <v>109</v>
      </c>
      <c r="J14" s="1352" t="s">
        <v>109</v>
      </c>
      <c r="K14" s="1352" t="s">
        <v>109</v>
      </c>
      <c r="L14" s="1353" t="s">
        <v>109</v>
      </c>
      <c r="M14" s="1352" t="s">
        <v>109</v>
      </c>
      <c r="N14" s="1352" t="s">
        <v>109</v>
      </c>
      <c r="O14" s="1352" t="s">
        <v>109</v>
      </c>
      <c r="P14" s="1352" t="s">
        <v>109</v>
      </c>
      <c r="Q14" s="1352" t="s">
        <v>109</v>
      </c>
      <c r="R14" s="1352" t="s">
        <v>109</v>
      </c>
      <c r="S14" s="1352" t="s">
        <v>109</v>
      </c>
      <c r="T14" s="1352" t="s">
        <v>109</v>
      </c>
      <c r="U14" s="1352" t="s">
        <v>109</v>
      </c>
      <c r="V14" s="1352" t="s">
        <v>109</v>
      </c>
      <c r="W14" s="1352" t="s">
        <v>109</v>
      </c>
      <c r="X14" s="1352" t="s">
        <v>109</v>
      </c>
      <c r="Y14" s="1352" t="s">
        <v>109</v>
      </c>
      <c r="Z14" s="1352" t="s">
        <v>109</v>
      </c>
      <c r="AA14" s="1352" t="s">
        <v>109</v>
      </c>
      <c r="AB14" s="1352" t="s">
        <v>109</v>
      </c>
      <c r="AC14" s="1352" t="s">
        <v>109</v>
      </c>
      <c r="AD14" s="1352" t="s">
        <v>109</v>
      </c>
      <c r="AE14" s="1352" t="s">
        <v>109</v>
      </c>
      <c r="AF14" s="1352" t="s">
        <v>109</v>
      </c>
      <c r="AG14" s="1352" t="s">
        <v>109</v>
      </c>
      <c r="AH14" s="1159">
        <f>COUNTIF(C14:AG14,"P")</f>
        <v>0</v>
      </c>
      <c r="AI14" s="1141"/>
    </row>
    <row r="15" spans="1:35">
      <c r="A15" s="1509" t="s">
        <v>133</v>
      </c>
      <c r="B15" s="1510">
        <v>45686</v>
      </c>
      <c r="C15" s="1511">
        <v>0</v>
      </c>
      <c r="D15" s="1511">
        <v>0</v>
      </c>
      <c r="E15" s="1511">
        <v>0</v>
      </c>
      <c r="F15" s="1515" t="s">
        <v>606</v>
      </c>
      <c r="G15" s="1515" t="s">
        <v>606</v>
      </c>
      <c r="H15" s="1515" t="s">
        <v>606</v>
      </c>
      <c r="I15" s="1515" t="s">
        <v>606</v>
      </c>
      <c r="J15" s="1511">
        <v>1</v>
      </c>
      <c r="K15" s="1511">
        <v>0</v>
      </c>
      <c r="L15" s="1511">
        <v>0</v>
      </c>
      <c r="M15" s="1511">
        <v>1</v>
      </c>
      <c r="N15" s="1511">
        <v>0</v>
      </c>
      <c r="O15" s="1511">
        <v>0</v>
      </c>
      <c r="P15" s="1511">
        <v>0</v>
      </c>
      <c r="Q15" s="1511">
        <v>0</v>
      </c>
      <c r="R15" s="1511">
        <v>0</v>
      </c>
      <c r="S15" s="1511">
        <v>1</v>
      </c>
      <c r="T15" s="1511">
        <v>0</v>
      </c>
      <c r="U15" s="1511">
        <v>0</v>
      </c>
      <c r="V15" s="1511">
        <v>0</v>
      </c>
      <c r="W15" s="1511">
        <v>0</v>
      </c>
      <c r="X15" s="1511">
        <v>0</v>
      </c>
      <c r="Y15" s="1511">
        <v>0</v>
      </c>
      <c r="Z15" s="1511">
        <v>0</v>
      </c>
      <c r="AA15" s="1511">
        <v>0</v>
      </c>
      <c r="AB15" s="1511">
        <v>1</v>
      </c>
      <c r="AC15" s="1511">
        <v>0</v>
      </c>
      <c r="AD15" s="1511">
        <v>0</v>
      </c>
      <c r="AE15" s="1511">
        <v>0</v>
      </c>
      <c r="AF15" s="1511">
        <v>0</v>
      </c>
      <c r="AG15" s="1511">
        <v>1</v>
      </c>
      <c r="AH15" s="2055">
        <f>COUNTIF(C15:AG15,"P")</f>
        <v>0</v>
      </c>
      <c r="AI15" s="1141"/>
    </row>
    <row r="16" spans="1:35" ht="15" thickBot="1">
      <c r="A16" s="2056" t="s">
        <v>792</v>
      </c>
      <c r="B16" s="1510"/>
      <c r="C16" s="1511"/>
      <c r="D16" s="1511"/>
      <c r="E16" s="1511"/>
      <c r="F16" s="2057"/>
      <c r="G16" s="2057"/>
      <c r="H16" s="2057"/>
      <c r="I16" s="2057"/>
      <c r="J16" s="1511"/>
      <c r="K16" s="1511"/>
      <c r="L16" s="1511"/>
      <c r="M16" s="1511"/>
      <c r="N16" s="1511"/>
      <c r="O16" s="1511"/>
      <c r="P16" s="1511"/>
      <c r="Q16" s="1511"/>
      <c r="R16" s="1511"/>
      <c r="S16" s="1511"/>
      <c r="T16" s="1511"/>
      <c r="U16" s="1511"/>
      <c r="V16" s="1511"/>
      <c r="W16" s="1511"/>
      <c r="X16" s="1511"/>
      <c r="Y16" s="1511"/>
      <c r="Z16" s="1511"/>
      <c r="AA16" s="1511"/>
      <c r="AB16" s="1511"/>
      <c r="AC16" s="1511"/>
      <c r="AD16" s="1511"/>
      <c r="AE16" s="1145"/>
      <c r="AF16" s="1145"/>
      <c r="AG16" s="1145"/>
      <c r="AH16" s="1160"/>
      <c r="AI16" s="1141"/>
    </row>
    <row r="17" spans="1:34" ht="15" thickBot="1">
      <c r="A17" s="3397" t="s">
        <v>1048</v>
      </c>
      <c r="B17" s="3398"/>
      <c r="C17" s="3398"/>
      <c r="D17" s="3398"/>
      <c r="E17" s="3398"/>
      <c r="F17" s="3398"/>
      <c r="G17" s="3398"/>
      <c r="H17" s="3398"/>
      <c r="I17" s="3398"/>
      <c r="J17" s="3398"/>
      <c r="K17" s="3398"/>
      <c r="L17" s="3398"/>
      <c r="M17" s="3398"/>
      <c r="N17" s="3398"/>
      <c r="O17" s="3398"/>
      <c r="P17" s="3398"/>
      <c r="Q17" s="3398"/>
      <c r="R17" s="3398"/>
      <c r="S17" s="3398"/>
      <c r="T17" s="3398"/>
      <c r="U17" s="3398"/>
      <c r="V17" s="3398"/>
      <c r="W17" s="3398"/>
      <c r="X17" s="3398"/>
      <c r="Y17" s="3398"/>
      <c r="Z17" s="3398"/>
      <c r="AA17" s="3398"/>
      <c r="AB17" s="3398"/>
      <c r="AC17" s="3398"/>
      <c r="AD17" s="3398"/>
      <c r="AE17" s="1080"/>
      <c r="AF17" s="1080"/>
      <c r="AG17" s="1080"/>
      <c r="AH17" s="766">
        <f>SUM(AH11:AH15)</f>
        <v>4</v>
      </c>
    </row>
    <row r="18" spans="1:34">
      <c r="A18" s="1136" t="s">
        <v>1191</v>
      </c>
    </row>
    <row r="19" spans="1:34" ht="15" thickBot="1">
      <c r="Y19" s="3385" t="s">
        <v>1082</v>
      </c>
      <c r="Z19" s="3385"/>
      <c r="AA19" s="3385"/>
      <c r="AB19" s="3385"/>
      <c r="AC19" s="1508"/>
      <c r="AD19" s="1643"/>
      <c r="AE19" s="1643"/>
      <c r="AF19" s="1644"/>
    </row>
    <row r="20" spans="1:34" ht="15" thickBot="1">
      <c r="A20" s="1142">
        <v>1</v>
      </c>
      <c r="B20" s="1143" t="s">
        <v>747</v>
      </c>
      <c r="Y20" s="3385"/>
      <c r="Z20" s="3385"/>
      <c r="AA20" s="3385"/>
      <c r="AB20" s="3385"/>
      <c r="AC20" s="1643"/>
      <c r="AD20" s="1643"/>
      <c r="AE20" s="1643"/>
      <c r="AF20" s="1644"/>
    </row>
    <row r="21" spans="1:34" ht="15" thickBot="1">
      <c r="A21" s="1137" t="s">
        <v>199</v>
      </c>
      <c r="B21" s="1143" t="s">
        <v>1050</v>
      </c>
      <c r="Y21" s="3385"/>
      <c r="Z21" s="3385"/>
      <c r="AA21" s="3385"/>
      <c r="AB21" s="3385"/>
      <c r="AC21" s="1643"/>
      <c r="AD21" s="1643"/>
      <c r="AE21" s="1643"/>
      <c r="AF21" s="1644"/>
    </row>
    <row r="22" spans="1:34" ht="15" thickBot="1">
      <c r="A22" s="1138" t="s">
        <v>109</v>
      </c>
      <c r="B22" s="1143" t="s">
        <v>1283</v>
      </c>
      <c r="Y22" s="3385"/>
      <c r="Z22" s="3385"/>
      <c r="AA22" s="3385"/>
      <c r="AB22" s="3385"/>
      <c r="AC22" s="1643"/>
      <c r="AD22" s="1643"/>
      <c r="AE22" s="1643"/>
    </row>
    <row r="23" spans="1:34" ht="15" thickBot="1">
      <c r="A23" s="1514" t="s">
        <v>606</v>
      </c>
      <c r="B23" s="1143" t="s">
        <v>1241</v>
      </c>
    </row>
    <row r="25" spans="1:34">
      <c r="B25" s="1136"/>
    </row>
    <row r="26" spans="1:34">
      <c r="A26" s="985" t="s">
        <v>219</v>
      </c>
      <c r="B26" s="195" t="s">
        <v>224</v>
      </c>
      <c r="C26" s="388"/>
      <c r="D26" s="388"/>
      <c r="E26" s="388"/>
      <c r="F26" s="197"/>
      <c r="G26" s="197"/>
    </row>
    <row r="27" spans="1:34">
      <c r="B27" s="195" t="s">
        <v>1645</v>
      </c>
    </row>
    <row r="29" spans="1:34">
      <c r="A29" s="335" t="s">
        <v>1434</v>
      </c>
      <c r="B29" s="335" t="s">
        <v>1435</v>
      </c>
    </row>
    <row r="30" spans="1:34">
      <c r="A30" s="335" t="s">
        <v>1554</v>
      </c>
      <c r="B30" s="335" t="s">
        <v>1550</v>
      </c>
      <c r="D30" s="2196" t="s">
        <v>1442</v>
      </c>
    </row>
    <row r="31" spans="1:34">
      <c r="B31" s="1136"/>
    </row>
    <row r="32" spans="1:34">
      <c r="B32" s="1136"/>
    </row>
    <row r="33" spans="2:2">
      <c r="B33" s="1136"/>
    </row>
    <row r="34" spans="2:2">
      <c r="B34" s="1136"/>
    </row>
    <row r="35" spans="2:2">
      <c r="B35" s="1136"/>
    </row>
    <row r="36" spans="2:2">
      <c r="B36" s="1136"/>
    </row>
    <row r="37" spans="2:2">
      <c r="B37" s="1136"/>
    </row>
    <row r="38" spans="2:2">
      <c r="B38" s="1136"/>
    </row>
    <row r="39" spans="2:2">
      <c r="B39" s="1136"/>
    </row>
    <row r="40" spans="2:2">
      <c r="B40" s="1136"/>
    </row>
    <row r="41" spans="2:2">
      <c r="B41" s="1136"/>
    </row>
    <row r="42" spans="2:2">
      <c r="B42" s="1136"/>
    </row>
    <row r="43" spans="2:2">
      <c r="B43" s="1136"/>
    </row>
    <row r="44" spans="2:2">
      <c r="B44" s="1136"/>
    </row>
    <row r="45" spans="2:2">
      <c r="B45" s="1136"/>
    </row>
    <row r="46" spans="2:2">
      <c r="B46" s="1136"/>
    </row>
    <row r="47" spans="2:2">
      <c r="B47" s="1136"/>
    </row>
    <row r="48" spans="2:2">
      <c r="B48" s="1136"/>
    </row>
    <row r="49" spans="2:2">
      <c r="B49" s="1136"/>
    </row>
    <row r="50" spans="2:2">
      <c r="B50" s="1136"/>
    </row>
    <row r="51" spans="2:2">
      <c r="B51" s="1136"/>
    </row>
    <row r="52" spans="2:2">
      <c r="B52" s="1136"/>
    </row>
    <row r="53" spans="2:2">
      <c r="B53" s="1136"/>
    </row>
    <row r="54" spans="2:2">
      <c r="B54" s="1136"/>
    </row>
    <row r="55" spans="2:2">
      <c r="B55" s="1136"/>
    </row>
    <row r="56" spans="2:2">
      <c r="B56" s="1136"/>
    </row>
    <row r="57" spans="2:2">
      <c r="B57" s="1136"/>
    </row>
    <row r="58" spans="2:2">
      <c r="B58" s="1136"/>
    </row>
    <row r="59" spans="2:2">
      <c r="B59" s="1136"/>
    </row>
    <row r="60" spans="2:2">
      <c r="B60" s="1136"/>
    </row>
    <row r="61" spans="2:2">
      <c r="B61" s="1136"/>
    </row>
    <row r="62" spans="2:2">
      <c r="B62" s="1136"/>
    </row>
    <row r="63" spans="2:2">
      <c r="B63" s="1136"/>
    </row>
    <row r="64" spans="2:2">
      <c r="B64" s="1136"/>
    </row>
    <row r="65" spans="2:2">
      <c r="B65" s="1136"/>
    </row>
    <row r="66" spans="2:2">
      <c r="B66" s="1136"/>
    </row>
    <row r="67" spans="2:2">
      <c r="B67" s="1136"/>
    </row>
    <row r="68" spans="2:2">
      <c r="B68" s="1136"/>
    </row>
    <row r="69" spans="2:2">
      <c r="B69" s="1136"/>
    </row>
    <row r="70" spans="2:2">
      <c r="B70" s="1136"/>
    </row>
    <row r="71" spans="2:2">
      <c r="B71" s="1136"/>
    </row>
    <row r="72" spans="2:2">
      <c r="B72" s="1136"/>
    </row>
    <row r="73" spans="2:2">
      <c r="B73" s="1136"/>
    </row>
    <row r="74" spans="2:2">
      <c r="B74" s="1136"/>
    </row>
    <row r="75" spans="2:2">
      <c r="B75" s="1136"/>
    </row>
    <row r="76" spans="2:2">
      <c r="B76" s="1136"/>
    </row>
    <row r="77" spans="2:2">
      <c r="B77" s="1136"/>
    </row>
    <row r="78" spans="2:2">
      <c r="B78" s="1136"/>
    </row>
    <row r="79" spans="2:2">
      <c r="B79" s="1136"/>
    </row>
    <row r="80" spans="2:2">
      <c r="B80" s="1136"/>
    </row>
    <row r="81" spans="2:2">
      <c r="B81" s="1136"/>
    </row>
    <row r="82" spans="2:2">
      <c r="B82" s="1136"/>
    </row>
    <row r="83" spans="2:2">
      <c r="B83" s="1136"/>
    </row>
    <row r="84" spans="2:2">
      <c r="B84" s="1136"/>
    </row>
    <row r="85" spans="2:2">
      <c r="B85" s="1136"/>
    </row>
    <row r="86" spans="2:2">
      <c r="B86" s="1136"/>
    </row>
    <row r="87" spans="2:2">
      <c r="B87" s="1136"/>
    </row>
    <row r="88" spans="2:2">
      <c r="B88" s="1136"/>
    </row>
    <row r="89" spans="2:2">
      <c r="B89" s="1136"/>
    </row>
    <row r="90" spans="2:2">
      <c r="B90" s="1136"/>
    </row>
    <row r="91" spans="2:2">
      <c r="B91" s="1136"/>
    </row>
    <row r="92" spans="2:2">
      <c r="B92" s="1136"/>
    </row>
    <row r="93" spans="2:2">
      <c r="B93" s="1136"/>
    </row>
    <row r="94" spans="2:2">
      <c r="B94" s="1136"/>
    </row>
    <row r="95" spans="2:2">
      <c r="B95" s="1136"/>
    </row>
    <row r="96" spans="2:2">
      <c r="B96" s="1136"/>
    </row>
    <row r="97" spans="2:2">
      <c r="B97" s="1136"/>
    </row>
    <row r="98" spans="2:2">
      <c r="B98" s="1136"/>
    </row>
    <row r="99" spans="2:2">
      <c r="B99" s="1136"/>
    </row>
    <row r="100" spans="2:2">
      <c r="B100" s="1136"/>
    </row>
  </sheetData>
  <sheetProtection algorithmName="SHA-512" hashValue="WasX3i2s5HlSamMchWISIShlhSORArXELMpYz3DjEAskKYmRw3i0rASnzeXIxwsgDgIsltZF3FA8vcQnyvKLXQ==" saltValue="jYxyGsVgHGy07nX15HG4RQ==" spinCount="100000" sheet="1" objects="1" scenarios="1"/>
  <mergeCells count="12">
    <mergeCell ref="Y19:AB22"/>
    <mergeCell ref="A1:AD1"/>
    <mergeCell ref="A2:AD2"/>
    <mergeCell ref="F4:I4"/>
    <mergeCell ref="F5:I5"/>
    <mergeCell ref="F6:I6"/>
    <mergeCell ref="A6:D6"/>
    <mergeCell ref="A7:D7"/>
    <mergeCell ref="A17:AD17"/>
    <mergeCell ref="A8:C8"/>
    <mergeCell ref="F8:I8"/>
    <mergeCell ref="F7:I7"/>
  </mergeCells>
  <conditionalFormatting sqref="C11:AG11 C13:AG16 C12:E12 H12:AG12">
    <cfRule type="cellIs" dxfId="12" priority="1" operator="equal">
      <formula>"W"</formula>
    </cfRule>
    <cfRule type="cellIs" dxfId="11" priority="2" operator="equal">
      <formula>1</formula>
    </cfRule>
    <cfRule type="cellIs" dxfId="10" priority="3" operator="equal">
      <formula>"P"</formula>
    </cfRule>
  </conditionalFormatting>
  <pageMargins left="0.7" right="0.7" top="0.78740157499999996" bottom="0.78740157499999996" header="0.3" footer="0.3"/>
  <pageSetup paperSize="9" scale="54" orientation="landscape" r:id="rId1"/>
  <headerFooter>
    <oddHeader>&amp;LVDV SUN Jahresschlussrechnung JJJJ&amp;R&amp;F</oddHeader>
    <oddFooter>&amp;C&amp;P&amp;R&amp;A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BE6B7-B321-4CA3-B556-C3A571CB58BC}">
  <sheetPr>
    <tabColor rgb="FF0070C0"/>
  </sheetPr>
  <dimension ref="A1:AG36"/>
  <sheetViews>
    <sheetView view="pageLayout" zoomScale="80" zoomScaleNormal="100" zoomScaleSheetLayoutView="80" zoomScalePageLayoutView="80" workbookViewId="0">
      <selection activeCell="Y32" sqref="Y32"/>
    </sheetView>
  </sheetViews>
  <sheetFormatPr baseColWidth="10" defaultColWidth="11.42578125" defaultRowHeight="12.75"/>
  <cols>
    <col min="1" max="1" width="15" style="768" customWidth="1"/>
    <col min="2" max="2" width="12.5703125" style="769" customWidth="1"/>
    <col min="3" max="6" width="3.85546875" style="769" bestFit="1" customWidth="1"/>
    <col min="7" max="7" width="3.85546875" style="769" customWidth="1"/>
    <col min="8" max="8" width="3.85546875" style="769" bestFit="1" customWidth="1"/>
    <col min="9" max="9" width="10.28515625" style="769" bestFit="1" customWidth="1"/>
    <col min="10" max="10" width="11.28515625" style="769" customWidth="1"/>
    <col min="11" max="11" width="10" style="769" customWidth="1"/>
    <col min="12" max="12" width="8.7109375" style="769" bestFit="1" customWidth="1"/>
    <col min="13" max="13" width="7.85546875" style="769" bestFit="1" customWidth="1"/>
    <col min="14" max="14" width="8.85546875" style="769" bestFit="1" customWidth="1"/>
    <col min="15" max="15" width="7.7109375" style="769" bestFit="1" customWidth="1"/>
    <col min="16" max="32" width="3.85546875" style="769" bestFit="1" customWidth="1"/>
    <col min="33" max="16384" width="11.42578125" style="769"/>
  </cols>
  <sheetData>
    <row r="1" spans="1:33" s="758" customFormat="1" ht="18">
      <c r="A1" s="3386" t="s">
        <v>1500</v>
      </c>
      <c r="B1" s="3386"/>
      <c r="C1" s="3386"/>
      <c r="D1" s="3386"/>
      <c r="E1" s="3386"/>
      <c r="F1" s="3386"/>
      <c r="G1" s="3386"/>
      <c r="H1" s="3386"/>
      <c r="I1" s="3386"/>
      <c r="J1" s="3386"/>
      <c r="K1" s="3386"/>
      <c r="L1" s="3386"/>
      <c r="M1" s="3386"/>
      <c r="N1" s="3386"/>
      <c r="O1" s="3386"/>
      <c r="P1" s="3386"/>
      <c r="Q1" s="3386"/>
      <c r="R1" s="3386"/>
      <c r="S1" s="3386"/>
      <c r="T1" s="3386"/>
      <c r="U1" s="3386"/>
      <c r="V1" s="3386"/>
      <c r="W1" s="3386"/>
      <c r="X1" s="3386"/>
      <c r="Y1" s="3386"/>
      <c r="Z1" s="3386"/>
      <c r="AA1" s="3386"/>
      <c r="AB1" s="3386"/>
      <c r="AC1" s="3386"/>
      <c r="AD1" s="3386"/>
      <c r="AE1" s="3386"/>
      <c r="AF1" s="749"/>
    </row>
    <row r="2" spans="1:33" s="767" customFormat="1" ht="18">
      <c r="A2" s="3387" t="s">
        <v>748</v>
      </c>
      <c r="B2" s="3387"/>
      <c r="C2" s="3387"/>
      <c r="D2" s="3387"/>
      <c r="E2" s="3387"/>
      <c r="F2" s="3387"/>
      <c r="G2" s="3387"/>
      <c r="H2" s="3387"/>
      <c r="I2" s="3387"/>
      <c r="J2" s="3387"/>
      <c r="K2" s="3387"/>
      <c r="L2" s="3387"/>
      <c r="M2" s="3387"/>
      <c r="N2" s="3387"/>
      <c r="O2" s="3387"/>
      <c r="P2" s="3387"/>
      <c r="Q2" s="3387"/>
      <c r="R2" s="3387"/>
      <c r="S2" s="3387"/>
      <c r="T2" s="3387"/>
      <c r="U2" s="3387"/>
      <c r="V2" s="3387"/>
      <c r="W2" s="3387"/>
      <c r="X2" s="3387"/>
      <c r="Y2" s="3387"/>
      <c r="Z2" s="3387"/>
      <c r="AA2" s="3387"/>
      <c r="AB2" s="3387"/>
      <c r="AC2" s="3387"/>
      <c r="AD2" s="3387"/>
      <c r="AE2" s="3387"/>
      <c r="AF2" s="752"/>
    </row>
    <row r="3" spans="1:33" s="767" customFormat="1" ht="18.75" thickBot="1">
      <c r="A3" s="754"/>
      <c r="B3" s="754"/>
      <c r="C3" s="754"/>
      <c r="D3" s="754"/>
      <c r="E3" s="754"/>
      <c r="F3" s="754"/>
      <c r="G3" s="754"/>
      <c r="H3" s="754"/>
      <c r="I3" s="754"/>
      <c r="J3" s="754"/>
      <c r="K3" s="754"/>
      <c r="L3" s="754"/>
      <c r="M3" s="754"/>
      <c r="N3" s="754"/>
      <c r="O3" s="754"/>
      <c r="P3" s="754"/>
      <c r="Q3" s="754"/>
      <c r="R3" s="754"/>
      <c r="S3" s="754"/>
      <c r="T3" s="754"/>
      <c r="U3" s="754"/>
      <c r="V3" s="754"/>
      <c r="W3" s="751"/>
      <c r="X3" s="751"/>
      <c r="Y3" s="754"/>
      <c r="Z3" s="754"/>
      <c r="AA3" s="754"/>
      <c r="AB3" s="754"/>
      <c r="AC3" s="754"/>
      <c r="AD3" s="754"/>
      <c r="AE3" s="754"/>
      <c r="AF3" s="754"/>
    </row>
    <row r="4" spans="1:33" s="767" customFormat="1" ht="45.75" customHeight="1" thickBot="1">
      <c r="A4" s="754"/>
      <c r="B4" s="754"/>
      <c r="C4" s="754"/>
      <c r="D4" s="754"/>
      <c r="E4" s="3405" t="s">
        <v>743</v>
      </c>
      <c r="F4" s="3406"/>
      <c r="G4" s="3406"/>
      <c r="H4" s="3407"/>
      <c r="I4" s="1884" t="s">
        <v>1526</v>
      </c>
      <c r="J4" s="1884" t="s">
        <v>1527</v>
      </c>
      <c r="K4" s="1884" t="s">
        <v>1552</v>
      </c>
      <c r="L4" s="1884" t="s">
        <v>1551</v>
      </c>
      <c r="M4" s="1884" t="s">
        <v>1528</v>
      </c>
      <c r="N4" s="1884" t="s">
        <v>1666</v>
      </c>
      <c r="O4" s="1884" t="s">
        <v>1553</v>
      </c>
      <c r="P4" s="1422"/>
      <c r="Q4" s="1421"/>
      <c r="R4" s="1421"/>
      <c r="S4" s="754"/>
      <c r="T4" s="751"/>
      <c r="U4" s="751"/>
      <c r="V4" s="754"/>
      <c r="W4" s="754"/>
      <c r="X4" s="754"/>
      <c r="Y4" s="754"/>
      <c r="Z4" s="754"/>
      <c r="AA4" s="754"/>
      <c r="AB4" s="754"/>
      <c r="AC4" s="754"/>
      <c r="AD4" s="754"/>
      <c r="AE4" s="754"/>
      <c r="AF4" s="754"/>
    </row>
    <row r="5" spans="1:33" s="758" customFormat="1" ht="15">
      <c r="A5" s="755"/>
      <c r="B5" s="757"/>
      <c r="C5" s="755"/>
      <c r="D5" s="757"/>
      <c r="E5" s="3408">
        <f>SUM($I$5:$O$5)</f>
        <v>1.0000001000000001</v>
      </c>
      <c r="F5" s="3409"/>
      <c r="G5" s="3409"/>
      <c r="H5" s="3410"/>
      <c r="I5" s="3021">
        <f>'1a_Leistungsvolumen'!$C$93</f>
        <v>9.7772999999999992E-3</v>
      </c>
      <c r="J5" s="3021">
        <f>'1a_Leistungsvolumen'!$D$93</f>
        <v>0.1214701</v>
      </c>
      <c r="K5" s="3021">
        <f>'1a_Leistungsvolumen'!$E$93</f>
        <v>6.2115400000000001E-2</v>
      </c>
      <c r="L5" s="3021">
        <f>'1a_Leistungsvolumen'!$F$93</f>
        <v>0.54540759999999999</v>
      </c>
      <c r="M5" s="3021">
        <f>'1a_Leistungsvolumen'!$G$93</f>
        <v>0.22948180000000001</v>
      </c>
      <c r="N5" s="3021">
        <f>'1a_Leistungsvolumen'!$H$93</f>
        <v>2.9332299999999999E-2</v>
      </c>
      <c r="O5" s="3022">
        <f>'1a_Leistungsvolumen'!$I$93</f>
        <v>2.4156E-3</v>
      </c>
      <c r="P5" s="1417"/>
      <c r="Q5" s="1417"/>
      <c r="R5" s="1417"/>
      <c r="T5" s="751"/>
      <c r="U5" s="751"/>
      <c r="AG5" s="3023" t="s">
        <v>1706</v>
      </c>
    </row>
    <row r="6" spans="1:33" s="758" customFormat="1" ht="31.5" customHeight="1">
      <c r="A6" s="3309" t="s">
        <v>1052</v>
      </c>
      <c r="B6" s="3309"/>
      <c r="C6" s="3309"/>
      <c r="D6" s="3309"/>
      <c r="E6" s="3411">
        <v>300</v>
      </c>
      <c r="F6" s="3412"/>
      <c r="G6" s="3412"/>
      <c r="H6" s="3413"/>
      <c r="I6" s="1934"/>
      <c r="J6" s="1934"/>
      <c r="K6" s="1934"/>
      <c r="L6" s="1934"/>
      <c r="M6" s="1934"/>
      <c r="N6" s="1934"/>
      <c r="O6" s="1934"/>
      <c r="P6" s="1418"/>
      <c r="Q6" s="1418"/>
      <c r="R6" s="1418"/>
      <c r="T6" s="751"/>
      <c r="U6" s="751"/>
    </row>
    <row r="7" spans="1:33" s="758" customFormat="1" ht="15.75" thickBot="1">
      <c r="A7" s="3309" t="s">
        <v>1049</v>
      </c>
      <c r="B7" s="3309"/>
      <c r="C7" s="3309"/>
      <c r="D7" s="3309"/>
      <c r="E7" s="3414">
        <f>$AG$19</f>
        <v>1</v>
      </c>
      <c r="F7" s="3415"/>
      <c r="G7" s="3415"/>
      <c r="H7" s="3416"/>
      <c r="I7" s="1935"/>
      <c r="J7" s="1935"/>
      <c r="K7" s="1935"/>
      <c r="L7" s="1935"/>
      <c r="M7" s="1935"/>
      <c r="N7" s="1935"/>
      <c r="O7" s="1935"/>
      <c r="P7" s="1418"/>
      <c r="Q7" s="1418"/>
      <c r="R7" s="1418"/>
      <c r="T7" s="751"/>
      <c r="U7" s="751"/>
    </row>
    <row r="8" spans="1:33" s="758" customFormat="1" ht="15.75" thickBot="1">
      <c r="A8" s="3399" t="s">
        <v>744</v>
      </c>
      <c r="B8" s="3399"/>
      <c r="C8" s="3399"/>
      <c r="D8" s="3399"/>
      <c r="E8" s="3417">
        <f>$E$6*$E$7</f>
        <v>300</v>
      </c>
      <c r="F8" s="3418"/>
      <c r="G8" s="3418"/>
      <c r="H8" s="3419"/>
      <c r="I8" s="1845">
        <f>$I$5*$E$8</f>
        <v>2.9331899999999997</v>
      </c>
      <c r="J8" s="1845">
        <f>$J$5*$E$8</f>
        <v>36.441029999999998</v>
      </c>
      <c r="K8" s="1845">
        <f>$K$5*$E$8</f>
        <v>18.634620000000002</v>
      </c>
      <c r="L8" s="1845">
        <f>$L$5*$E$8</f>
        <v>163.62227999999999</v>
      </c>
      <c r="M8" s="1845">
        <f>$M$5*$E$8</f>
        <v>68.844540000000009</v>
      </c>
      <c r="N8" s="1845">
        <f>$N$5*$E$8</f>
        <v>8.79969</v>
      </c>
      <c r="O8" s="1845">
        <f>$O$5*$E$8</f>
        <v>0.72467999999999999</v>
      </c>
      <c r="P8" s="1423"/>
      <c r="Q8" s="1423"/>
      <c r="R8" s="1423"/>
      <c r="T8" s="751"/>
      <c r="U8" s="751"/>
    </row>
    <row r="9" spans="1:33" ht="15.75" thickBot="1">
      <c r="W9" s="751"/>
      <c r="X9" s="751"/>
    </row>
    <row r="10" spans="1:33" ht="60" customHeight="1" thickBot="1">
      <c r="A10" s="763" t="s">
        <v>151</v>
      </c>
      <c r="B10" s="1155">
        <v>45658</v>
      </c>
      <c r="C10" s="1155">
        <v>45659</v>
      </c>
      <c r="D10" s="1155">
        <v>45660</v>
      </c>
      <c r="E10" s="1155">
        <v>45661</v>
      </c>
      <c r="F10" s="1155">
        <v>45662</v>
      </c>
      <c r="G10" s="1155">
        <v>45663</v>
      </c>
      <c r="H10" s="1155">
        <v>45664</v>
      </c>
      <c r="I10" s="1155">
        <v>45665</v>
      </c>
      <c r="J10" s="1155">
        <v>45666</v>
      </c>
      <c r="K10" s="1155">
        <v>45667</v>
      </c>
      <c r="L10" s="1155">
        <v>45668</v>
      </c>
      <c r="M10" s="1155">
        <v>45669</v>
      </c>
      <c r="N10" s="1155">
        <v>45670</v>
      </c>
      <c r="O10" s="1155">
        <v>45671</v>
      </c>
      <c r="P10" s="1155">
        <v>45672</v>
      </c>
      <c r="Q10" s="1155">
        <v>45673</v>
      </c>
      <c r="R10" s="1155">
        <v>45674</v>
      </c>
      <c r="S10" s="1155">
        <v>45675</v>
      </c>
      <c r="T10" s="1155">
        <v>45676</v>
      </c>
      <c r="U10" s="1155">
        <v>45677</v>
      </c>
      <c r="V10" s="1155">
        <v>45678</v>
      </c>
      <c r="W10" s="1155">
        <v>45679</v>
      </c>
      <c r="X10" s="1155">
        <v>45680</v>
      </c>
      <c r="Y10" s="1155">
        <v>45681</v>
      </c>
      <c r="Z10" s="1155">
        <v>45682</v>
      </c>
      <c r="AA10" s="1155">
        <v>45683</v>
      </c>
      <c r="AB10" s="1155">
        <v>45684</v>
      </c>
      <c r="AC10" s="1155">
        <v>45685</v>
      </c>
      <c r="AD10" s="1155">
        <v>45686</v>
      </c>
      <c r="AE10" s="1155">
        <v>45687</v>
      </c>
      <c r="AF10" s="1155">
        <v>45688</v>
      </c>
      <c r="AG10" s="770" t="s">
        <v>1441</v>
      </c>
    </row>
    <row r="11" spans="1:33">
      <c r="A11" s="2059" t="s">
        <v>133</v>
      </c>
      <c r="B11" s="2064">
        <v>1</v>
      </c>
      <c r="C11" s="2064">
        <v>1</v>
      </c>
      <c r="D11" s="2064">
        <v>1</v>
      </c>
      <c r="E11" s="2064">
        <v>1</v>
      </c>
      <c r="F11" s="2064">
        <v>1</v>
      </c>
      <c r="G11" s="2064">
        <v>1</v>
      </c>
      <c r="H11" s="2064">
        <v>1</v>
      </c>
      <c r="I11" s="2064">
        <v>1</v>
      </c>
      <c r="J11" s="2064">
        <v>1</v>
      </c>
      <c r="K11" s="2064">
        <v>1</v>
      </c>
      <c r="L11" s="2064">
        <v>1</v>
      </c>
      <c r="M11" s="2064">
        <v>1</v>
      </c>
      <c r="N11" s="2064">
        <v>1</v>
      </c>
      <c r="O11" s="2064">
        <v>1</v>
      </c>
      <c r="P11" s="2064">
        <v>1</v>
      </c>
      <c r="Q11" s="2064">
        <v>1</v>
      </c>
      <c r="R11" s="2064">
        <v>1</v>
      </c>
      <c r="S11" s="2064">
        <v>1</v>
      </c>
      <c r="T11" s="2064">
        <v>1</v>
      </c>
      <c r="U11" s="2064">
        <v>1</v>
      </c>
      <c r="V11" s="2064">
        <v>1</v>
      </c>
      <c r="W11" s="2064">
        <v>1</v>
      </c>
      <c r="X11" s="2064">
        <v>1</v>
      </c>
      <c r="Y11" s="2064">
        <v>1</v>
      </c>
      <c r="Z11" s="2064">
        <v>1</v>
      </c>
      <c r="AA11" s="2064">
        <v>1</v>
      </c>
      <c r="AB11" s="2064">
        <v>1</v>
      </c>
      <c r="AC11" s="2064">
        <v>1</v>
      </c>
      <c r="AD11" s="2064">
        <v>1</v>
      </c>
      <c r="AE11" s="2064">
        <v>1</v>
      </c>
      <c r="AF11" s="2064">
        <v>1</v>
      </c>
      <c r="AG11" s="2064">
        <v>0</v>
      </c>
    </row>
    <row r="12" spans="1:33">
      <c r="A12" s="2060" t="s">
        <v>133</v>
      </c>
      <c r="B12" s="1161">
        <v>1</v>
      </c>
      <c r="C12" s="1161">
        <v>1</v>
      </c>
      <c r="D12" s="1161">
        <v>1</v>
      </c>
      <c r="E12" s="1161">
        <v>1</v>
      </c>
      <c r="F12" s="1161">
        <v>1</v>
      </c>
      <c r="G12" s="1161">
        <v>1</v>
      </c>
      <c r="H12" s="1161">
        <v>1</v>
      </c>
      <c r="I12" s="1161">
        <v>1</v>
      </c>
      <c r="J12" s="1161">
        <v>1</v>
      </c>
      <c r="K12" s="1161">
        <v>1</v>
      </c>
      <c r="L12" s="1161">
        <v>1</v>
      </c>
      <c r="M12" s="1161">
        <v>1</v>
      </c>
      <c r="N12" s="1161">
        <v>1</v>
      </c>
      <c r="O12" s="1161">
        <v>1</v>
      </c>
      <c r="P12" s="1161">
        <v>1</v>
      </c>
      <c r="Q12" s="1161">
        <v>1</v>
      </c>
      <c r="R12" s="1161">
        <v>1</v>
      </c>
      <c r="S12" s="1161">
        <v>1</v>
      </c>
      <c r="T12" s="1161">
        <v>1</v>
      </c>
      <c r="U12" s="1161">
        <v>1</v>
      </c>
      <c r="V12" s="1161">
        <v>1</v>
      </c>
      <c r="W12" s="1161">
        <v>1</v>
      </c>
      <c r="X12" s="1161">
        <v>1</v>
      </c>
      <c r="Y12" s="1161">
        <v>1</v>
      </c>
      <c r="Z12" s="1161">
        <v>1</v>
      </c>
      <c r="AA12" s="1161">
        <v>1</v>
      </c>
      <c r="AB12" s="1161">
        <v>1</v>
      </c>
      <c r="AC12" s="1161">
        <v>1</v>
      </c>
      <c r="AD12" s="1161">
        <v>1</v>
      </c>
      <c r="AE12" s="1161">
        <v>1</v>
      </c>
      <c r="AF12" s="1161">
        <v>1</v>
      </c>
      <c r="AG12" s="1161">
        <v>0</v>
      </c>
    </row>
    <row r="13" spans="1:33">
      <c r="A13" s="2060" t="s">
        <v>133</v>
      </c>
      <c r="B13" s="1161">
        <v>1</v>
      </c>
      <c r="C13" s="1161">
        <v>1</v>
      </c>
      <c r="D13" s="1161">
        <v>1</v>
      </c>
      <c r="E13" s="1161">
        <v>1</v>
      </c>
      <c r="F13" s="1161">
        <v>1</v>
      </c>
      <c r="G13" s="1161">
        <v>1</v>
      </c>
      <c r="H13" s="1161">
        <v>1</v>
      </c>
      <c r="I13" s="1161">
        <v>1</v>
      </c>
      <c r="J13" s="1161">
        <v>1</v>
      </c>
      <c r="K13" s="1161">
        <v>1</v>
      </c>
      <c r="L13" s="1161">
        <v>1</v>
      </c>
      <c r="M13" s="1161">
        <v>1</v>
      </c>
      <c r="N13" s="1161">
        <v>1</v>
      </c>
      <c r="O13" s="1161">
        <v>1</v>
      </c>
      <c r="P13" s="1161">
        <v>1</v>
      </c>
      <c r="Q13" s="1161">
        <v>1</v>
      </c>
      <c r="R13" s="1161">
        <v>1</v>
      </c>
      <c r="S13" s="1161">
        <v>1</v>
      </c>
      <c r="T13" s="1161">
        <v>1</v>
      </c>
      <c r="U13" s="1161">
        <v>1</v>
      </c>
      <c r="V13" s="1161">
        <v>1</v>
      </c>
      <c r="W13" s="1161">
        <v>1</v>
      </c>
      <c r="X13" s="1161">
        <v>1</v>
      </c>
      <c r="Y13" s="1161">
        <v>1</v>
      </c>
      <c r="Z13" s="1161">
        <v>1</v>
      </c>
      <c r="AA13" s="1161">
        <v>1</v>
      </c>
      <c r="AB13" s="1161">
        <v>1</v>
      </c>
      <c r="AC13" s="1161">
        <v>1</v>
      </c>
      <c r="AD13" s="1161">
        <v>1</v>
      </c>
      <c r="AE13" s="1161">
        <v>1</v>
      </c>
      <c r="AF13" s="1161">
        <v>1</v>
      </c>
      <c r="AG13" s="1161">
        <v>0</v>
      </c>
    </row>
    <row r="14" spans="1:33">
      <c r="A14" s="2061" t="s">
        <v>133</v>
      </c>
      <c r="B14" s="1161" t="s">
        <v>109</v>
      </c>
      <c r="C14" s="1161" t="s">
        <v>109</v>
      </c>
      <c r="D14" s="1161" t="s">
        <v>109</v>
      </c>
      <c r="E14" s="1161" t="s">
        <v>109</v>
      </c>
      <c r="F14" s="1161" t="s">
        <v>109</v>
      </c>
      <c r="G14" s="1161" t="s">
        <v>109</v>
      </c>
      <c r="H14" s="1161" t="s">
        <v>109</v>
      </c>
      <c r="I14" s="1161" t="s">
        <v>109</v>
      </c>
      <c r="J14" s="1161" t="s">
        <v>109</v>
      </c>
      <c r="K14" s="1161" t="s">
        <v>109</v>
      </c>
      <c r="L14" s="1161" t="s">
        <v>109</v>
      </c>
      <c r="M14" s="1161" t="s">
        <v>109</v>
      </c>
      <c r="N14" s="1161" t="s">
        <v>109</v>
      </c>
      <c r="O14" s="1161" t="s">
        <v>109</v>
      </c>
      <c r="P14" s="1161" t="s">
        <v>109</v>
      </c>
      <c r="Q14" s="1161" t="s">
        <v>109</v>
      </c>
      <c r="R14" s="1161" t="s">
        <v>109</v>
      </c>
      <c r="S14" s="1161" t="s">
        <v>109</v>
      </c>
      <c r="T14" s="1161" t="s">
        <v>109</v>
      </c>
      <c r="U14" s="1161" t="s">
        <v>109</v>
      </c>
      <c r="V14" s="1161" t="s">
        <v>109</v>
      </c>
      <c r="W14" s="1161" t="s">
        <v>109</v>
      </c>
      <c r="X14" s="1161" t="s">
        <v>109</v>
      </c>
      <c r="Y14" s="1161" t="s">
        <v>109</v>
      </c>
      <c r="Z14" s="1161" t="s">
        <v>109</v>
      </c>
      <c r="AA14" s="1161" t="s">
        <v>109</v>
      </c>
      <c r="AB14" s="1161" t="s">
        <v>109</v>
      </c>
      <c r="AC14" s="1161" t="s">
        <v>109</v>
      </c>
      <c r="AD14" s="1161" t="s">
        <v>109</v>
      </c>
      <c r="AE14" s="1161" t="s">
        <v>109</v>
      </c>
      <c r="AF14" s="1161" t="s">
        <v>109</v>
      </c>
      <c r="AG14" s="1161">
        <v>0</v>
      </c>
    </row>
    <row r="15" spans="1:33">
      <c r="A15" s="2060" t="s">
        <v>133</v>
      </c>
      <c r="B15" s="1161">
        <v>1</v>
      </c>
      <c r="C15" s="1161">
        <v>1</v>
      </c>
      <c r="D15" s="1161">
        <v>1</v>
      </c>
      <c r="E15" s="1161">
        <v>1</v>
      </c>
      <c r="F15" s="1161">
        <v>1</v>
      </c>
      <c r="G15" s="1161" t="s">
        <v>199</v>
      </c>
      <c r="H15" s="1161">
        <v>1</v>
      </c>
      <c r="I15" s="1161">
        <v>1</v>
      </c>
      <c r="J15" s="1161">
        <v>1</v>
      </c>
      <c r="K15" s="1161">
        <v>1</v>
      </c>
      <c r="L15" s="1161">
        <v>1</v>
      </c>
      <c r="M15" s="1161">
        <v>1</v>
      </c>
      <c r="N15" s="1161">
        <v>1</v>
      </c>
      <c r="O15" s="1161">
        <v>1</v>
      </c>
      <c r="P15" s="1161">
        <v>1</v>
      </c>
      <c r="Q15" s="1161">
        <v>1</v>
      </c>
      <c r="R15" s="1161">
        <v>1</v>
      </c>
      <c r="S15" s="1161">
        <v>1</v>
      </c>
      <c r="T15" s="1161">
        <v>1</v>
      </c>
      <c r="U15" s="1161">
        <v>1</v>
      </c>
      <c r="V15" s="1161">
        <v>1</v>
      </c>
      <c r="W15" s="1161">
        <v>1</v>
      </c>
      <c r="X15" s="1161">
        <v>1</v>
      </c>
      <c r="Y15" s="1161">
        <v>1</v>
      </c>
      <c r="Z15" s="1161">
        <v>1</v>
      </c>
      <c r="AA15" s="1161">
        <v>1</v>
      </c>
      <c r="AB15" s="1161">
        <v>1</v>
      </c>
      <c r="AC15" s="1161">
        <v>1</v>
      </c>
      <c r="AD15" s="1161">
        <v>1</v>
      </c>
      <c r="AE15" s="1161">
        <v>1</v>
      </c>
      <c r="AF15" s="1161">
        <v>1</v>
      </c>
      <c r="AG15" s="1161">
        <v>1</v>
      </c>
    </row>
    <row r="16" spans="1:33">
      <c r="A16" s="2060" t="s">
        <v>133</v>
      </c>
      <c r="B16" s="1161">
        <v>1</v>
      </c>
      <c r="C16" s="1161">
        <v>1</v>
      </c>
      <c r="D16" s="1161">
        <v>1</v>
      </c>
      <c r="E16" s="1161">
        <v>1</v>
      </c>
      <c r="F16" s="1161">
        <v>1</v>
      </c>
      <c r="G16" s="1161">
        <v>1</v>
      </c>
      <c r="H16" s="1161">
        <v>1</v>
      </c>
      <c r="I16" s="1161">
        <v>1</v>
      </c>
      <c r="J16" s="1161">
        <v>1</v>
      </c>
      <c r="K16" s="1161">
        <v>1</v>
      </c>
      <c r="L16" s="1161">
        <v>1</v>
      </c>
      <c r="M16" s="1161">
        <v>1</v>
      </c>
      <c r="N16" s="1161">
        <v>1</v>
      </c>
      <c r="O16" s="1161">
        <v>1</v>
      </c>
      <c r="P16" s="1161">
        <v>1</v>
      </c>
      <c r="Q16" s="1161">
        <v>1</v>
      </c>
      <c r="R16" s="1161">
        <v>1</v>
      </c>
      <c r="S16" s="1161">
        <v>1</v>
      </c>
      <c r="T16" s="1161">
        <v>1</v>
      </c>
      <c r="U16" s="1161">
        <v>1</v>
      </c>
      <c r="V16" s="1161">
        <v>1</v>
      </c>
      <c r="W16" s="1161">
        <v>1</v>
      </c>
      <c r="X16" s="1161">
        <v>1</v>
      </c>
      <c r="Y16" s="1161">
        <v>1</v>
      </c>
      <c r="Z16" s="1161">
        <v>1</v>
      </c>
      <c r="AA16" s="1161">
        <v>1</v>
      </c>
      <c r="AB16" s="1161">
        <v>1</v>
      </c>
      <c r="AC16" s="1161">
        <v>1</v>
      </c>
      <c r="AD16" s="1161">
        <v>1</v>
      </c>
      <c r="AE16" s="1161">
        <v>1</v>
      </c>
      <c r="AF16" s="1161">
        <v>1</v>
      </c>
      <c r="AG16" s="1161">
        <v>0</v>
      </c>
    </row>
    <row r="17" spans="1:33">
      <c r="A17" s="2062" t="s">
        <v>133</v>
      </c>
      <c r="B17" s="1161">
        <v>1</v>
      </c>
      <c r="C17" s="1161">
        <v>1</v>
      </c>
      <c r="D17" s="1161">
        <v>1</v>
      </c>
      <c r="E17" s="1161">
        <v>1</v>
      </c>
      <c r="F17" s="1161" t="s">
        <v>109</v>
      </c>
      <c r="G17" s="1161">
        <v>1</v>
      </c>
      <c r="H17" s="1161">
        <v>1</v>
      </c>
      <c r="I17" s="1161">
        <v>1</v>
      </c>
      <c r="J17" s="1161">
        <v>1</v>
      </c>
      <c r="K17" s="1161">
        <v>1</v>
      </c>
      <c r="L17" s="1161">
        <v>1</v>
      </c>
      <c r="M17" s="1161">
        <v>1</v>
      </c>
      <c r="N17" s="1161">
        <v>1</v>
      </c>
      <c r="O17" s="1161">
        <v>1</v>
      </c>
      <c r="P17" s="1161">
        <v>1</v>
      </c>
      <c r="Q17" s="1161">
        <v>1</v>
      </c>
      <c r="R17" s="1161">
        <v>1</v>
      </c>
      <c r="S17" s="1161">
        <v>1</v>
      </c>
      <c r="T17" s="1161">
        <v>1</v>
      </c>
      <c r="U17" s="1161">
        <v>1</v>
      </c>
      <c r="V17" s="1161">
        <v>1</v>
      </c>
      <c r="W17" s="1161">
        <v>1</v>
      </c>
      <c r="X17" s="1161">
        <v>1</v>
      </c>
      <c r="Y17" s="1161">
        <v>1</v>
      </c>
      <c r="Z17" s="1161">
        <v>1</v>
      </c>
      <c r="AA17" s="1161">
        <v>1</v>
      </c>
      <c r="AB17" s="1161">
        <v>1</v>
      </c>
      <c r="AC17" s="1161">
        <v>1</v>
      </c>
      <c r="AD17" s="1161">
        <v>1</v>
      </c>
      <c r="AE17" s="1161">
        <v>1</v>
      </c>
      <c r="AF17" s="1161">
        <v>1</v>
      </c>
      <c r="AG17" s="1161">
        <v>0</v>
      </c>
    </row>
    <row r="18" spans="1:33" ht="13.5" thickBot="1">
      <c r="A18" s="2063" t="s">
        <v>792</v>
      </c>
      <c r="B18" s="1161"/>
      <c r="C18" s="1161"/>
      <c r="D18" s="1161"/>
      <c r="E18" s="1161"/>
      <c r="F18" s="1161"/>
      <c r="G18" s="1161"/>
      <c r="H18" s="1161"/>
      <c r="I18" s="1161"/>
      <c r="J18" s="1161"/>
      <c r="K18" s="1161"/>
      <c r="L18" s="1161"/>
      <c r="M18" s="1161"/>
      <c r="N18" s="1161"/>
      <c r="O18" s="1161"/>
      <c r="P18" s="1161"/>
      <c r="Q18" s="1161"/>
      <c r="R18" s="1161"/>
      <c r="S18" s="1161"/>
      <c r="T18" s="1161"/>
      <c r="U18" s="1161"/>
      <c r="V18" s="1161"/>
      <c r="W18" s="1161"/>
      <c r="X18" s="1161"/>
      <c r="Y18" s="1161"/>
      <c r="Z18" s="1161"/>
      <c r="AA18" s="1161"/>
      <c r="AB18" s="1161"/>
      <c r="AC18" s="1161"/>
      <c r="AD18" s="1161"/>
      <c r="AE18" s="1161"/>
      <c r="AF18" s="1161"/>
      <c r="AG18" s="2474"/>
    </row>
    <row r="19" spans="1:33" ht="15" thickBot="1">
      <c r="A19" s="2065" t="s">
        <v>35</v>
      </c>
      <c r="B19" s="1512"/>
      <c r="C19" s="1512"/>
      <c r="D19" s="1512"/>
      <c r="E19" s="1512"/>
      <c r="F19" s="1512"/>
      <c r="G19" s="1512"/>
      <c r="H19" s="1512"/>
      <c r="I19" s="1512"/>
      <c r="J19" s="1512"/>
      <c r="K19" s="1512"/>
      <c r="L19" s="1512"/>
      <c r="M19" s="1512"/>
      <c r="N19" s="1512"/>
      <c r="O19" s="1512"/>
      <c r="P19" s="1512"/>
      <c r="Q19" s="1512"/>
      <c r="R19" s="1512"/>
      <c r="S19" s="1512"/>
      <c r="T19" s="1512"/>
      <c r="U19" s="1512"/>
      <c r="V19" s="1512"/>
      <c r="W19" s="1512"/>
      <c r="X19" s="1512"/>
      <c r="Y19" s="1512"/>
      <c r="Z19" s="1512"/>
      <c r="AA19" s="1512"/>
      <c r="AB19" s="1512"/>
      <c r="AC19" s="1512"/>
      <c r="AD19" s="1512"/>
      <c r="AE19" s="1512"/>
      <c r="AF19" s="1512"/>
      <c r="AG19" s="2475">
        <f>SUM(AG11:AG18)</f>
        <v>1</v>
      </c>
    </row>
    <row r="20" spans="1:33" ht="14.25">
      <c r="A20" s="1136" t="s">
        <v>1280</v>
      </c>
    </row>
    <row r="21" spans="1:33" ht="13.5" thickBot="1">
      <c r="AA21" s="1506"/>
      <c r="AB21" s="3385" t="s">
        <v>1082</v>
      </c>
      <c r="AC21" s="3042"/>
      <c r="AD21" s="3042"/>
      <c r="AE21" s="3042"/>
      <c r="AF21" s="3042"/>
      <c r="AG21" s="3042"/>
    </row>
    <row r="22" spans="1:33" ht="15" thickBot="1">
      <c r="A22" s="1135">
        <v>1</v>
      </c>
      <c r="B22" s="1136" t="s">
        <v>747</v>
      </c>
      <c r="AA22" s="1507"/>
      <c r="AB22" s="3042"/>
      <c r="AC22" s="3042"/>
      <c r="AD22" s="3042"/>
      <c r="AE22" s="3042"/>
      <c r="AF22" s="3042"/>
      <c r="AG22" s="3042"/>
    </row>
    <row r="23" spans="1:33" ht="15" thickBot="1">
      <c r="A23" s="1137" t="s">
        <v>199</v>
      </c>
      <c r="B23" s="1136" t="s">
        <v>1050</v>
      </c>
      <c r="AA23" s="1507"/>
      <c r="AB23" s="3042"/>
      <c r="AC23" s="3042"/>
      <c r="AD23" s="3042"/>
      <c r="AE23" s="3042"/>
      <c r="AF23" s="3042"/>
      <c r="AG23" s="3042"/>
    </row>
    <row r="24" spans="1:33" ht="15" thickBot="1">
      <c r="A24" s="1138" t="s">
        <v>109</v>
      </c>
      <c r="B24" s="1136" t="s">
        <v>1279</v>
      </c>
      <c r="AB24" s="3042"/>
      <c r="AC24" s="3042"/>
      <c r="AD24" s="3042"/>
      <c r="AE24" s="3042"/>
      <c r="AF24" s="3042"/>
      <c r="AG24" s="3042"/>
    </row>
    <row r="26" spans="1:33" s="751" customFormat="1" ht="15">
      <c r="A26" s="194" t="s">
        <v>219</v>
      </c>
      <c r="B26" s="195" t="s">
        <v>224</v>
      </c>
      <c r="C26" s="388"/>
      <c r="D26" s="388"/>
      <c r="E26" s="388"/>
      <c r="F26" s="7"/>
      <c r="G26" s="7"/>
    </row>
    <row r="27" spans="1:33" s="751" customFormat="1" ht="15">
      <c r="A27" s="1136"/>
      <c r="B27" s="195" t="s">
        <v>1645</v>
      </c>
      <c r="C27" s="1136"/>
      <c r="D27" s="1136"/>
      <c r="E27" s="1136"/>
      <c r="F27" s="1136"/>
      <c r="G27" s="1136"/>
      <c r="H27" s="1136"/>
      <c r="I27" s="1136"/>
      <c r="J27" s="1136"/>
      <c r="K27" s="1136"/>
      <c r="L27" s="1136"/>
      <c r="M27" s="1136"/>
      <c r="N27" s="1136"/>
      <c r="O27" s="1136"/>
      <c r="P27" s="1136"/>
      <c r="Q27" s="1136"/>
      <c r="R27" s="1136"/>
      <c r="S27" s="1136"/>
      <c r="T27" s="1136"/>
      <c r="U27" s="1136"/>
      <c r="V27" s="1136"/>
      <c r="W27" s="1136"/>
      <c r="X27" s="1136"/>
      <c r="Y27" s="1136"/>
      <c r="Z27" s="1136"/>
      <c r="AA27" s="1136"/>
      <c r="AB27" s="1136"/>
      <c r="AC27" s="1136"/>
      <c r="AD27" s="1136"/>
      <c r="AE27" s="1136"/>
      <c r="AF27" s="1136"/>
      <c r="AG27" s="1136"/>
    </row>
    <row r="28" spans="1:33" s="751" customFormat="1" ht="15">
      <c r="A28" s="1136"/>
      <c r="B28" s="195"/>
      <c r="C28" s="1136"/>
      <c r="D28" s="1136"/>
      <c r="E28" s="1136"/>
      <c r="F28" s="1136"/>
      <c r="G28" s="1136"/>
      <c r="H28" s="1136"/>
      <c r="I28" s="1136"/>
      <c r="J28" s="1136"/>
      <c r="K28" s="1136"/>
      <c r="L28" s="1136"/>
      <c r="M28" s="1136"/>
      <c r="N28" s="1136"/>
      <c r="O28" s="1136"/>
      <c r="P28" s="1136"/>
      <c r="Q28" s="1136"/>
      <c r="R28" s="1136"/>
      <c r="S28" s="1136"/>
      <c r="T28" s="1136"/>
      <c r="U28" s="1136"/>
      <c r="V28" s="1136"/>
      <c r="W28" s="1136"/>
      <c r="X28" s="1136"/>
      <c r="Y28" s="1136"/>
      <c r="Z28" s="1136"/>
      <c r="AA28" s="1136"/>
      <c r="AB28" s="1136"/>
      <c r="AC28" s="1136"/>
      <c r="AD28" s="1136"/>
      <c r="AE28" s="1136"/>
      <c r="AF28" s="1136"/>
      <c r="AG28" s="1136"/>
    </row>
    <row r="29" spans="1:33" s="751" customFormat="1" ht="15">
      <c r="A29" s="335" t="s">
        <v>1434</v>
      </c>
      <c r="B29" s="335" t="s">
        <v>1435</v>
      </c>
      <c r="C29" s="2476"/>
      <c r="D29" s="1136"/>
      <c r="E29" s="1136"/>
      <c r="F29" s="1136"/>
      <c r="G29" s="1136"/>
      <c r="H29" s="1136"/>
      <c r="I29" s="1136"/>
      <c r="J29" s="1136"/>
      <c r="K29" s="1136"/>
      <c r="L29" s="1136"/>
      <c r="M29" s="1136"/>
      <c r="N29" s="1136"/>
      <c r="O29" s="1136"/>
      <c r="P29" s="1136"/>
      <c r="Q29" s="1136"/>
      <c r="R29" s="1136"/>
      <c r="S29" s="1136"/>
      <c r="T29" s="1136"/>
      <c r="U29" s="1136"/>
      <c r="V29" s="1136"/>
      <c r="W29" s="1136"/>
      <c r="X29" s="1136"/>
      <c r="Y29" s="1136"/>
      <c r="Z29" s="1136"/>
      <c r="AA29" s="1136"/>
      <c r="AB29" s="1136"/>
      <c r="AC29" s="1136"/>
      <c r="AD29" s="1136"/>
      <c r="AE29" s="1136"/>
      <c r="AF29" s="1136"/>
      <c r="AG29" s="1136"/>
    </row>
    <row r="30" spans="1:33" s="751" customFormat="1" ht="15">
      <c r="A30" s="335" t="s">
        <v>1554</v>
      </c>
      <c r="B30" s="335" t="s">
        <v>1550</v>
      </c>
      <c r="C30" s="2196" t="s">
        <v>1442</v>
      </c>
      <c r="D30" s="1136"/>
      <c r="F30" s="1136"/>
      <c r="G30" s="1136"/>
      <c r="H30" s="1136"/>
      <c r="I30" s="1136"/>
      <c r="J30" s="1136"/>
      <c r="K30" s="1136"/>
      <c r="L30" s="1136"/>
      <c r="M30" s="1136"/>
      <c r="N30" s="1136"/>
      <c r="O30" s="1136"/>
      <c r="P30" s="1136"/>
      <c r="Q30" s="1136"/>
      <c r="R30" s="1136"/>
      <c r="S30" s="1136"/>
      <c r="T30" s="1136"/>
      <c r="U30" s="1136"/>
      <c r="V30" s="1136"/>
      <c r="W30" s="1136"/>
      <c r="X30" s="1136"/>
      <c r="Y30" s="1136"/>
      <c r="Z30" s="1136"/>
      <c r="AA30" s="1136"/>
      <c r="AB30" s="1136"/>
      <c r="AC30" s="1136"/>
      <c r="AD30" s="1136"/>
      <c r="AE30" s="1136"/>
      <c r="AF30" s="1136"/>
      <c r="AG30" s="1136"/>
    </row>
    <row r="31" spans="1:33" s="751" customFormat="1" ht="15">
      <c r="A31" s="1136"/>
      <c r="B31" s="1136"/>
      <c r="C31" s="1136"/>
      <c r="D31" s="1136"/>
      <c r="E31" s="1136"/>
      <c r="F31" s="1136"/>
      <c r="G31" s="1136"/>
      <c r="H31" s="1136"/>
      <c r="I31" s="1136"/>
      <c r="J31" s="1136"/>
      <c r="K31" s="1136"/>
      <c r="L31" s="1136"/>
      <c r="M31" s="1136"/>
      <c r="N31" s="1136"/>
      <c r="O31" s="1136"/>
      <c r="P31" s="1136"/>
      <c r="Q31" s="1136"/>
      <c r="R31" s="1136"/>
      <c r="S31" s="1136"/>
      <c r="T31" s="1136"/>
      <c r="U31" s="1136"/>
      <c r="V31" s="1136"/>
      <c r="W31" s="1136"/>
      <c r="X31" s="1136"/>
      <c r="Y31" s="1136"/>
      <c r="Z31" s="1136"/>
      <c r="AA31" s="1136"/>
      <c r="AB31" s="1136"/>
      <c r="AC31" s="1136"/>
      <c r="AD31" s="1136"/>
      <c r="AE31" s="1136"/>
      <c r="AF31" s="1136"/>
      <c r="AG31" s="1136"/>
    </row>
    <row r="32" spans="1:33" s="751" customFormat="1" ht="15">
      <c r="A32" s="1136"/>
      <c r="B32" s="1136"/>
      <c r="C32" s="1136"/>
      <c r="D32" s="1136"/>
      <c r="E32" s="1136"/>
      <c r="F32" s="1136"/>
      <c r="G32" s="1136"/>
      <c r="H32" s="1136"/>
      <c r="I32" s="1136"/>
      <c r="J32" s="1136"/>
      <c r="K32" s="1136"/>
      <c r="L32" s="1136"/>
      <c r="M32" s="1136"/>
      <c r="N32" s="1136"/>
      <c r="O32" s="1136"/>
      <c r="P32" s="1136"/>
      <c r="Q32" s="1136"/>
      <c r="R32" s="1136"/>
      <c r="S32" s="1136"/>
      <c r="T32" s="1136"/>
      <c r="U32" s="1136"/>
      <c r="V32" s="1136"/>
      <c r="W32" s="1136"/>
      <c r="X32" s="1136"/>
      <c r="Y32" s="1136"/>
      <c r="Z32" s="1136"/>
      <c r="AA32" s="1136"/>
      <c r="AB32" s="1136"/>
      <c r="AC32" s="1136"/>
      <c r="AD32" s="1136"/>
      <c r="AE32" s="1136"/>
      <c r="AF32" s="1136"/>
      <c r="AG32" s="1136"/>
    </row>
    <row r="33" spans="1:33" s="751" customFormat="1" ht="15">
      <c r="A33" s="1136"/>
      <c r="B33" s="1136"/>
      <c r="C33" s="1136"/>
      <c r="D33" s="1136"/>
      <c r="E33" s="1136"/>
      <c r="F33" s="1136"/>
      <c r="G33" s="1136"/>
      <c r="H33" s="1136"/>
      <c r="I33" s="1136"/>
      <c r="J33" s="1136"/>
      <c r="K33" s="1136"/>
      <c r="L33" s="1136"/>
      <c r="M33" s="1136"/>
      <c r="N33" s="1136"/>
      <c r="O33" s="1136"/>
      <c r="P33" s="1136"/>
      <c r="Q33" s="1136"/>
      <c r="R33" s="1136"/>
      <c r="S33" s="1136"/>
      <c r="T33" s="1136"/>
      <c r="U33" s="1136"/>
      <c r="V33" s="1136"/>
      <c r="W33" s="1136"/>
      <c r="X33" s="1136"/>
      <c r="Y33" s="1136"/>
      <c r="Z33" s="1136"/>
      <c r="AA33" s="1136"/>
      <c r="AB33" s="1136"/>
      <c r="AC33" s="1136"/>
      <c r="AD33" s="1136"/>
      <c r="AE33" s="1136"/>
      <c r="AF33" s="1136"/>
      <c r="AG33" s="1136"/>
    </row>
    <row r="34" spans="1:33" s="751" customFormat="1" ht="15">
      <c r="A34" s="1136"/>
      <c r="B34" s="1136"/>
      <c r="C34" s="1136"/>
      <c r="D34" s="1136"/>
      <c r="E34" s="1136"/>
      <c r="F34" s="1136"/>
      <c r="G34" s="1136"/>
      <c r="H34" s="1136"/>
      <c r="I34" s="1136"/>
      <c r="J34" s="1136"/>
      <c r="K34" s="1136"/>
      <c r="L34" s="1136"/>
      <c r="M34" s="1136"/>
      <c r="N34" s="1136"/>
      <c r="O34" s="1136"/>
      <c r="P34" s="1136"/>
      <c r="Q34" s="1136"/>
      <c r="R34" s="1136"/>
      <c r="S34" s="1136"/>
      <c r="T34" s="1136"/>
      <c r="U34" s="1136"/>
      <c r="V34" s="1136"/>
      <c r="W34" s="1136"/>
      <c r="X34" s="1136"/>
      <c r="Y34" s="1136"/>
      <c r="Z34" s="1136"/>
      <c r="AA34" s="1136"/>
      <c r="AB34" s="1136"/>
      <c r="AC34" s="1136"/>
      <c r="AD34" s="1136"/>
      <c r="AE34" s="1136"/>
      <c r="AF34" s="1136"/>
      <c r="AG34" s="1136"/>
    </row>
    <row r="35" spans="1:33" s="751" customFormat="1" ht="15">
      <c r="A35" s="1136"/>
      <c r="B35" s="1136"/>
      <c r="C35" s="1136"/>
      <c r="D35" s="1136"/>
      <c r="E35" s="1136"/>
      <c r="F35" s="1136"/>
      <c r="G35" s="1136"/>
      <c r="H35" s="1136"/>
      <c r="I35" s="1136"/>
      <c r="J35" s="1136"/>
      <c r="K35" s="1136"/>
      <c r="L35" s="1136"/>
      <c r="M35" s="1136"/>
      <c r="N35" s="1136"/>
      <c r="O35" s="1136"/>
      <c r="P35" s="1136"/>
      <c r="Q35" s="1136"/>
      <c r="R35" s="1136"/>
      <c r="S35" s="1136"/>
      <c r="T35" s="1136"/>
      <c r="U35" s="1136"/>
      <c r="V35" s="1136"/>
      <c r="W35" s="1136"/>
      <c r="X35" s="1136"/>
      <c r="Y35" s="1136"/>
      <c r="Z35" s="1136"/>
      <c r="AA35" s="1136"/>
      <c r="AB35" s="1136"/>
      <c r="AC35" s="1136"/>
      <c r="AD35" s="1136"/>
      <c r="AE35" s="1136"/>
      <c r="AF35" s="1136"/>
      <c r="AG35" s="1136"/>
    </row>
    <row r="36" spans="1:33" s="751" customFormat="1" ht="15">
      <c r="A36" s="1136"/>
      <c r="B36" s="1136"/>
      <c r="C36" s="1136"/>
      <c r="D36" s="1136"/>
      <c r="E36" s="1136"/>
      <c r="F36" s="1136"/>
      <c r="G36" s="1136"/>
      <c r="H36" s="1136"/>
      <c r="I36" s="1136"/>
      <c r="J36" s="1136"/>
      <c r="K36" s="1136"/>
      <c r="L36" s="1136"/>
      <c r="M36" s="1136"/>
      <c r="N36" s="1136"/>
      <c r="O36" s="1136"/>
      <c r="P36" s="1136"/>
      <c r="Q36" s="1136"/>
      <c r="R36" s="1136"/>
      <c r="S36" s="1136"/>
      <c r="T36" s="1136"/>
      <c r="U36" s="1136"/>
      <c r="V36" s="1136"/>
      <c r="W36" s="1136"/>
      <c r="X36" s="1136"/>
      <c r="Y36" s="1136"/>
      <c r="Z36" s="1136"/>
      <c r="AA36" s="1136"/>
      <c r="AB36" s="1136"/>
      <c r="AC36" s="1136"/>
      <c r="AD36" s="1136"/>
      <c r="AE36" s="1136"/>
      <c r="AF36" s="1136"/>
      <c r="AG36" s="1136"/>
    </row>
  </sheetData>
  <sheetProtection algorithmName="SHA-512" hashValue="mr0XDkv26D4/EWCzpGCZsjcRd+T1ceYks7kC2d0744/eCJjggUPAP2n92qmq3teh0J0G2pitMySS/xZ60wiguA==" saltValue="nw0Uhr7HA066rBagJhNZxg==" spinCount="100000" sheet="1" objects="1" scenarios="1"/>
  <mergeCells count="11">
    <mergeCell ref="AB21:AG24"/>
    <mergeCell ref="A1:AE1"/>
    <mergeCell ref="A2:AE2"/>
    <mergeCell ref="E4:H4"/>
    <mergeCell ref="E5:H5"/>
    <mergeCell ref="A6:D6"/>
    <mergeCell ref="E6:H6"/>
    <mergeCell ref="A7:D7"/>
    <mergeCell ref="E7:H7"/>
    <mergeCell ref="A8:D8"/>
    <mergeCell ref="E8:H8"/>
  </mergeCells>
  <conditionalFormatting sqref="B11:AF18">
    <cfRule type="cellIs" dxfId="9" priority="1" operator="equal">
      <formula>"P"</formula>
    </cfRule>
    <cfRule type="cellIs" dxfId="8" priority="2" operator="equal">
      <formula>"W"</formula>
    </cfRule>
  </conditionalFormatting>
  <printOptions horizontalCentered="1" verticalCentered="1"/>
  <pageMargins left="0.7" right="0.7" top="0.78740157499999996" bottom="0.78740157499999996" header="0.3" footer="0.3"/>
  <pageSetup paperSize="8" scale="63" orientation="landscape" r:id="rId1"/>
  <headerFooter>
    <oddHeader>&amp;LVDV SUN Jahresschlussrechnung JJJJ&amp;R&amp;F</oddHeader>
    <oddFooter>&amp;C&amp;P&amp;R&amp;A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3A230-ACD5-4784-8F4E-0E9ACB064FC7}">
  <sheetPr>
    <tabColor rgb="FF0070C0"/>
  </sheetPr>
  <dimension ref="A1:U45"/>
  <sheetViews>
    <sheetView view="pageLayout" zoomScale="80" zoomScaleNormal="100" zoomScaleSheetLayoutView="80" zoomScalePageLayoutView="80" workbookViewId="0">
      <selection activeCell="N23" sqref="N23"/>
    </sheetView>
  </sheetViews>
  <sheetFormatPr baseColWidth="10" defaultColWidth="9.140625" defaultRowHeight="18" customHeight="1"/>
  <cols>
    <col min="1" max="1" width="47.28515625" style="755" customWidth="1"/>
    <col min="2" max="2" width="17.5703125" style="757" customWidth="1"/>
    <col min="3" max="3" width="16.28515625" style="757" customWidth="1"/>
    <col min="4" max="4" width="10.7109375" style="757" customWidth="1"/>
    <col min="5" max="5" width="10.85546875" style="757" customWidth="1"/>
    <col min="6" max="6" width="20.42578125" style="755" customWidth="1"/>
    <col min="7" max="7" width="12.28515625" style="757" customWidth="1"/>
    <col min="8" max="8" width="13.85546875" style="757" customWidth="1"/>
    <col min="9" max="9" width="10.28515625" style="757" bestFit="1" customWidth="1"/>
    <col min="10" max="10" width="5.7109375" style="868" bestFit="1" customWidth="1"/>
    <col min="11" max="13" width="5.7109375" style="868" customWidth="1"/>
    <col min="14" max="14" width="20.7109375" style="758" customWidth="1"/>
    <col min="15" max="16384" width="9.140625" style="758"/>
  </cols>
  <sheetData>
    <row r="1" spans="1:21" ht="17.45" customHeight="1">
      <c r="A1" s="3386" t="s">
        <v>1501</v>
      </c>
      <c r="B1" s="3431"/>
      <c r="C1" s="3431"/>
      <c r="D1" s="3431"/>
      <c r="E1" s="3431"/>
      <c r="F1" s="3431"/>
      <c r="G1" s="3431"/>
      <c r="H1" s="3431"/>
      <c r="I1" s="3431"/>
      <c r="J1" s="3431"/>
      <c r="K1" s="3431"/>
      <c r="L1" s="3431"/>
      <c r="M1" s="3431"/>
      <c r="N1" s="3431"/>
      <c r="O1" s="1171"/>
      <c r="P1" s="1171"/>
      <c r="Q1" s="1171"/>
      <c r="R1" s="1171"/>
      <c r="S1" s="1171"/>
      <c r="T1" s="1171"/>
      <c r="U1" s="1171"/>
    </row>
    <row r="2" spans="1:21" ht="17.45" customHeight="1">
      <c r="A2" s="3432" t="s">
        <v>748</v>
      </c>
      <c r="B2" s="3431"/>
      <c r="C2" s="3431"/>
      <c r="D2" s="3431"/>
      <c r="E2" s="3431"/>
      <c r="F2" s="3431"/>
      <c r="G2" s="3431"/>
      <c r="H2" s="3431"/>
      <c r="I2" s="3431"/>
      <c r="J2" s="3431"/>
      <c r="K2" s="3431"/>
      <c r="L2" s="3431"/>
      <c r="M2" s="3431"/>
      <c r="N2" s="3431"/>
      <c r="O2" s="754"/>
      <c r="P2" s="754"/>
      <c r="Q2" s="754"/>
      <c r="R2" s="754"/>
      <c r="S2" s="754"/>
      <c r="T2" s="754"/>
      <c r="U2" s="754"/>
    </row>
    <row r="3" spans="1:21" ht="18" customHeight="1" thickBot="1">
      <c r="A3" s="1221" t="s">
        <v>1090</v>
      </c>
    </row>
    <row r="4" spans="1:21" ht="35.25" customHeight="1" thickBot="1">
      <c r="A4" s="1187"/>
      <c r="B4" s="2487" t="s">
        <v>743</v>
      </c>
      <c r="C4" s="2488" t="s">
        <v>1526</v>
      </c>
      <c r="D4" s="1884" t="s">
        <v>1527</v>
      </c>
      <c r="E4" s="1884" t="s">
        <v>1552</v>
      </c>
      <c r="F4" s="1884" t="s">
        <v>1551</v>
      </c>
      <c r="G4" s="1884" t="s">
        <v>1528</v>
      </c>
      <c r="H4" s="1884" t="s">
        <v>1666</v>
      </c>
      <c r="I4" s="1884" t="s">
        <v>1553</v>
      </c>
      <c r="J4" s="758"/>
      <c r="K4" s="758"/>
      <c r="L4" s="758"/>
      <c r="M4" s="758"/>
    </row>
    <row r="5" spans="1:21" ht="12.75">
      <c r="A5" s="1188" t="s">
        <v>1072</v>
      </c>
      <c r="B5" s="2485">
        <v>100</v>
      </c>
      <c r="C5" s="2486"/>
      <c r="D5" s="2478"/>
      <c r="E5" s="2478"/>
      <c r="F5" s="2478"/>
      <c r="G5" s="2478"/>
      <c r="H5" s="2478"/>
      <c r="I5" s="2478"/>
      <c r="J5" s="758"/>
      <c r="K5" s="758"/>
      <c r="L5" s="758"/>
      <c r="M5" s="758"/>
    </row>
    <row r="6" spans="1:21" ht="23.25" thickBot="1">
      <c r="A6" s="1190" t="s">
        <v>1091</v>
      </c>
      <c r="B6" s="2066">
        <f>SUM(C6:I6)</f>
        <v>2</v>
      </c>
      <c r="C6" s="1230">
        <v>2</v>
      </c>
      <c r="D6" s="1230">
        <v>0</v>
      </c>
      <c r="E6" s="1230">
        <v>0</v>
      </c>
      <c r="F6" s="1230">
        <v>0</v>
      </c>
      <c r="G6" s="1230">
        <v>0</v>
      </c>
      <c r="H6" s="1230">
        <v>0</v>
      </c>
      <c r="I6" s="2479">
        <v>0</v>
      </c>
      <c r="J6" s="758"/>
      <c r="K6" s="758"/>
      <c r="L6" s="758"/>
      <c r="M6" s="758"/>
    </row>
    <row r="7" spans="1:21" ht="12.75">
      <c r="A7" s="1188" t="s">
        <v>1073</v>
      </c>
      <c r="B7" s="2477">
        <v>50</v>
      </c>
      <c r="C7" s="2478"/>
      <c r="D7" s="2478"/>
      <c r="E7" s="2478"/>
      <c r="F7" s="2478"/>
      <c r="G7" s="2478"/>
      <c r="H7" s="2478"/>
      <c r="I7" s="2478"/>
      <c r="J7" s="758"/>
      <c r="K7" s="758"/>
      <c r="L7" s="758"/>
      <c r="M7" s="758"/>
    </row>
    <row r="8" spans="1:21" ht="23.25" thickBot="1">
      <c r="A8" s="1190" t="s">
        <v>1092</v>
      </c>
      <c r="B8" s="2066">
        <f>SUM(C8:I8)</f>
        <v>0</v>
      </c>
      <c r="C8" s="1230">
        <v>0</v>
      </c>
      <c r="D8" s="1230">
        <v>0</v>
      </c>
      <c r="E8" s="1230">
        <v>0</v>
      </c>
      <c r="F8" s="1230">
        <v>0</v>
      </c>
      <c r="G8" s="1230">
        <v>0</v>
      </c>
      <c r="H8" s="1230">
        <v>0</v>
      </c>
      <c r="I8" s="2479">
        <v>0</v>
      </c>
      <c r="J8" s="758"/>
      <c r="K8" s="758"/>
      <c r="L8" s="758"/>
      <c r="M8" s="758"/>
    </row>
    <row r="9" spans="1:21" ht="12.75">
      <c r="A9" s="1188" t="s">
        <v>1072</v>
      </c>
      <c r="B9" s="2477">
        <v>100</v>
      </c>
      <c r="C9" s="2478"/>
      <c r="D9" s="2478"/>
      <c r="E9" s="2478"/>
      <c r="F9" s="2478"/>
      <c r="G9" s="2478"/>
      <c r="H9" s="2478"/>
      <c r="I9" s="2478"/>
      <c r="J9" s="758"/>
      <c r="K9" s="758"/>
      <c r="L9" s="758"/>
      <c r="M9" s="758"/>
    </row>
    <row r="10" spans="1:21" ht="33" customHeight="1" thickBot="1">
      <c r="A10" s="1190" t="s">
        <v>1093</v>
      </c>
      <c r="B10" s="2066">
        <f>SUM(C10:I10)</f>
        <v>9</v>
      </c>
      <c r="C10" s="1230">
        <v>9</v>
      </c>
      <c r="D10" s="1230">
        <v>0</v>
      </c>
      <c r="E10" s="1230">
        <v>0</v>
      </c>
      <c r="F10" s="1230">
        <v>0</v>
      </c>
      <c r="G10" s="1230">
        <v>0</v>
      </c>
      <c r="H10" s="1230">
        <v>0</v>
      </c>
      <c r="I10" s="2479">
        <v>0</v>
      </c>
      <c r="J10" s="758"/>
      <c r="K10" s="758"/>
      <c r="L10" s="758"/>
      <c r="M10" s="758"/>
    </row>
    <row r="11" spans="1:21" ht="13.5" thickBot="1">
      <c r="A11" s="1227" t="s">
        <v>1073</v>
      </c>
      <c r="B11" s="2477">
        <v>50</v>
      </c>
      <c r="C11" s="2478"/>
      <c r="D11" s="2478"/>
      <c r="E11" s="2478"/>
      <c r="F11" s="2478"/>
      <c r="G11" s="2478"/>
      <c r="H11" s="2478"/>
      <c r="I11" s="2478"/>
      <c r="J11" s="758"/>
      <c r="K11" s="758"/>
      <c r="L11" s="758"/>
      <c r="M11" s="758"/>
    </row>
    <row r="12" spans="1:21" ht="34.5" thickBot="1">
      <c r="A12" s="1228" t="s">
        <v>1094</v>
      </c>
      <c r="B12" s="2067">
        <f>SUM(C12:G12)</f>
        <v>0</v>
      </c>
      <c r="C12" s="1231">
        <v>0</v>
      </c>
      <c r="D12" s="1231">
        <v>0</v>
      </c>
      <c r="E12" s="1231">
        <v>0</v>
      </c>
      <c r="F12" s="1231">
        <v>0</v>
      </c>
      <c r="G12" s="1231">
        <v>0</v>
      </c>
      <c r="H12" s="1231">
        <v>0</v>
      </c>
      <c r="I12" s="2480">
        <v>0</v>
      </c>
      <c r="J12" s="758"/>
      <c r="K12" s="758"/>
      <c r="L12" s="758"/>
      <c r="M12" s="758"/>
    </row>
    <row r="13" spans="1:21" ht="13.5" thickBot="1">
      <c r="A13" s="1226" t="s">
        <v>1072</v>
      </c>
      <c r="B13" s="2477">
        <v>100</v>
      </c>
      <c r="C13" s="2478"/>
      <c r="D13" s="2478"/>
      <c r="E13" s="2478"/>
      <c r="F13" s="2478"/>
      <c r="G13" s="2478"/>
      <c r="H13" s="2478"/>
      <c r="I13" s="2478"/>
      <c r="J13" s="758"/>
      <c r="K13" s="758"/>
      <c r="L13" s="758"/>
      <c r="M13" s="758"/>
    </row>
    <row r="14" spans="1:21" ht="23.25" thickBot="1">
      <c r="A14" s="1228" t="s">
        <v>1095</v>
      </c>
      <c r="B14" s="1932">
        <f>SUM(C14:G14)</f>
        <v>3</v>
      </c>
      <c r="C14" s="1232">
        <v>0</v>
      </c>
      <c r="D14" s="1232">
        <v>0</v>
      </c>
      <c r="E14" s="1232">
        <v>0</v>
      </c>
      <c r="F14" s="1232">
        <v>0</v>
      </c>
      <c r="G14" s="1232">
        <v>3</v>
      </c>
      <c r="H14" s="1232">
        <v>0</v>
      </c>
      <c r="I14" s="2481">
        <v>0</v>
      </c>
      <c r="J14" s="758"/>
      <c r="K14" s="758"/>
      <c r="L14" s="758"/>
      <c r="M14" s="758"/>
    </row>
    <row r="15" spans="1:21" ht="13.5" thickBot="1">
      <c r="A15" s="1226" t="s">
        <v>1073</v>
      </c>
      <c r="B15" s="2477">
        <v>50</v>
      </c>
      <c r="C15" s="2478"/>
      <c r="D15" s="2478"/>
      <c r="E15" s="2478"/>
      <c r="F15" s="2478"/>
      <c r="G15" s="2478"/>
      <c r="H15" s="2478"/>
      <c r="I15" s="2478"/>
      <c r="J15" s="758"/>
      <c r="K15" s="758"/>
      <c r="L15" s="758"/>
      <c r="M15" s="758"/>
    </row>
    <row r="16" spans="1:21" ht="23.25" thickBot="1">
      <c r="A16" s="1228" t="s">
        <v>1096</v>
      </c>
      <c r="B16" s="1932">
        <f>SUM(C16:G16)</f>
        <v>0</v>
      </c>
      <c r="C16" s="1232">
        <v>0</v>
      </c>
      <c r="D16" s="1232">
        <v>0</v>
      </c>
      <c r="E16" s="1232">
        <v>0</v>
      </c>
      <c r="F16" s="1232">
        <v>0</v>
      </c>
      <c r="G16" s="1232">
        <v>0</v>
      </c>
      <c r="H16" s="1232">
        <v>0</v>
      </c>
      <c r="I16" s="2481">
        <v>0</v>
      </c>
      <c r="J16" s="758"/>
      <c r="K16" s="758"/>
      <c r="L16" s="758"/>
      <c r="M16" s="758"/>
    </row>
    <row r="17" spans="1:14" ht="13.5" thickBot="1">
      <c r="A17" s="1191" t="s">
        <v>1440</v>
      </c>
      <c r="B17" s="2077">
        <f>(B5*B6)+(B7*B8)+(B9*B10)+(B11*B12)+(B13*B14)+(B15*B16)</f>
        <v>1400</v>
      </c>
      <c r="C17" s="2078">
        <f>($B$5*C6)+($B$7*C8)+($B$9*C10)+($B$11*B12)+($B$13*C14)+($B$15*C16)</f>
        <v>1100</v>
      </c>
      <c r="D17" s="2078">
        <f t="shared" ref="D17:I17" si="0">($B$5*D6)+($B$7*D8)+($B$9*D10)+($B$11*D12)+($B$13*D14)+($B$15*D16)</f>
        <v>0</v>
      </c>
      <c r="E17" s="2078">
        <f t="shared" si="0"/>
        <v>0</v>
      </c>
      <c r="F17" s="2078">
        <f t="shared" si="0"/>
        <v>0</v>
      </c>
      <c r="G17" s="2078">
        <f t="shared" si="0"/>
        <v>300</v>
      </c>
      <c r="H17" s="2078">
        <f t="shared" si="0"/>
        <v>0</v>
      </c>
      <c r="I17" s="2078">
        <f t="shared" si="0"/>
        <v>0</v>
      </c>
      <c r="J17" s="758"/>
      <c r="K17" s="758"/>
      <c r="L17" s="758"/>
      <c r="M17" s="758"/>
    </row>
    <row r="18" spans="1:14" ht="13.5" thickBot="1">
      <c r="A18" s="1172"/>
      <c r="B18" s="1224"/>
      <c r="C18" s="1224"/>
      <c r="D18" s="1220"/>
      <c r="E18" s="1220"/>
      <c r="F18" s="1220"/>
      <c r="G18" s="1189"/>
      <c r="H18" s="1189"/>
      <c r="I18" s="1189"/>
      <c r="J18" s="757"/>
      <c r="K18" s="757"/>
      <c r="L18" s="757"/>
      <c r="M18" s="757"/>
    </row>
    <row r="19" spans="1:14" ht="26.25" thickBot="1">
      <c r="A19" s="1192"/>
      <c r="B19" s="1683" t="s">
        <v>1439</v>
      </c>
      <c r="C19" s="2488" t="s">
        <v>1526</v>
      </c>
      <c r="D19" s="1884" t="s">
        <v>1527</v>
      </c>
      <c r="E19" s="1884" t="s">
        <v>1552</v>
      </c>
      <c r="F19" s="1884" t="s">
        <v>1551</v>
      </c>
      <c r="G19" s="1884" t="s">
        <v>1528</v>
      </c>
      <c r="H19" s="1884" t="s">
        <v>1666</v>
      </c>
      <c r="I19" s="1884" t="s">
        <v>1553</v>
      </c>
      <c r="J19" s="757"/>
      <c r="K19" s="757"/>
      <c r="L19" s="757"/>
      <c r="M19" s="757"/>
    </row>
    <row r="20" spans="1:14" ht="13.5" customHeight="1">
      <c r="A20" s="2079" t="s">
        <v>1083</v>
      </c>
      <c r="B20" s="2249">
        <f>SUM(C20:I20)</f>
        <v>1.0000001000000001</v>
      </c>
      <c r="C20" s="3020">
        <f>'1a_Leistungsvolumen'!$C$93</f>
        <v>9.7772999999999992E-3</v>
      </c>
      <c r="D20" s="3021">
        <f>'1a_Leistungsvolumen'!$D$93</f>
        <v>0.1214701</v>
      </c>
      <c r="E20" s="3021">
        <f>'1a_Leistungsvolumen'!$E$93</f>
        <v>6.2115400000000001E-2</v>
      </c>
      <c r="F20" s="3021">
        <f>'1a_Leistungsvolumen'!$F$93</f>
        <v>0.54540759999999999</v>
      </c>
      <c r="G20" s="3021">
        <f>'1a_Leistungsvolumen'!$G$93</f>
        <v>0.22948180000000001</v>
      </c>
      <c r="H20" s="3021">
        <f>'1a_Leistungsvolumen'!$H$93</f>
        <v>2.9332299999999999E-2</v>
      </c>
      <c r="I20" s="3022">
        <f>'1a_Leistungsvolumen'!$I$93</f>
        <v>2.4156E-3</v>
      </c>
      <c r="J20" s="757"/>
      <c r="K20" s="757"/>
      <c r="L20" s="757"/>
      <c r="M20" s="757"/>
      <c r="N20" s="3023" t="s">
        <v>1706</v>
      </c>
    </row>
    <row r="21" spans="1:14" ht="13.5" thickBot="1">
      <c r="A21" s="2080" t="s">
        <v>1074</v>
      </c>
      <c r="B21" s="2083">
        <f>$B$17</f>
        <v>1400</v>
      </c>
      <c r="C21" s="2081">
        <f>$B$21*$C$20</f>
        <v>13.688219999999999</v>
      </c>
      <c r="D21" s="2082">
        <f>$B$21*$D$20</f>
        <v>170.05814000000001</v>
      </c>
      <c r="E21" s="2082">
        <f>$B$21*$E$20</f>
        <v>86.961560000000006</v>
      </c>
      <c r="F21" s="2082">
        <f>$B$21*$F$20</f>
        <v>763.57064000000003</v>
      </c>
      <c r="G21" s="2082">
        <f>$B$21*$G$20</f>
        <v>321.27452</v>
      </c>
      <c r="H21" s="2082">
        <f>$B$21*$H$20</f>
        <v>41.065219999999997</v>
      </c>
      <c r="I21" s="2082">
        <f>$B$21*$I$20</f>
        <v>3.38184</v>
      </c>
      <c r="J21" s="757"/>
      <c r="K21" s="757"/>
      <c r="L21" s="757"/>
      <c r="M21" s="757"/>
    </row>
    <row r="22" spans="1:14" ht="26.25" thickBot="1">
      <c r="A22" s="2072" t="s">
        <v>1407</v>
      </c>
      <c r="B22" s="2084">
        <v>3</v>
      </c>
      <c r="C22" s="2075">
        <f>C17</f>
        <v>1100</v>
      </c>
      <c r="D22" s="2076">
        <f>D17</f>
        <v>0</v>
      </c>
      <c r="E22" s="2076">
        <f>E17</f>
        <v>0</v>
      </c>
      <c r="F22" s="2076">
        <f t="shared" ref="F22" si="1">F17</f>
        <v>0</v>
      </c>
      <c r="G22" s="2076">
        <f>G17</f>
        <v>300</v>
      </c>
      <c r="H22" s="2076">
        <f>$H$17</f>
        <v>0</v>
      </c>
      <c r="I22" s="2076">
        <f>$I$17</f>
        <v>0</v>
      </c>
      <c r="J22" s="757"/>
      <c r="K22" s="757"/>
      <c r="L22" s="757"/>
      <c r="M22" s="757"/>
    </row>
    <row r="23" spans="1:14" ht="13.5" thickBot="1">
      <c r="A23" s="2072" t="s">
        <v>1103</v>
      </c>
      <c r="B23" s="2482"/>
      <c r="C23" s="2483">
        <v>0</v>
      </c>
      <c r="D23" s="2484">
        <v>0</v>
      </c>
      <c r="E23" s="2484">
        <v>0</v>
      </c>
      <c r="F23" s="2484">
        <v>0</v>
      </c>
      <c r="G23" s="2484">
        <v>3</v>
      </c>
      <c r="H23" s="2484">
        <v>0</v>
      </c>
      <c r="I23" s="2484">
        <v>0</v>
      </c>
      <c r="J23" s="757"/>
      <c r="K23" s="757"/>
      <c r="L23" s="757"/>
      <c r="M23" s="757"/>
    </row>
    <row r="24" spans="1:14" ht="13.5" thickBot="1">
      <c r="A24" s="2072" t="s">
        <v>1338</v>
      </c>
      <c r="B24" s="2085">
        <v>100</v>
      </c>
      <c r="C24" s="2075">
        <f t="shared" ref="C24:F24" si="2">$B$24*C23</f>
        <v>0</v>
      </c>
      <c r="D24" s="2076">
        <f t="shared" si="2"/>
        <v>0</v>
      </c>
      <c r="E24" s="2076">
        <f t="shared" si="2"/>
        <v>0</v>
      </c>
      <c r="F24" s="2076">
        <f t="shared" si="2"/>
        <v>0</v>
      </c>
      <c r="G24" s="2076">
        <f>$B$24*$G$23</f>
        <v>300</v>
      </c>
      <c r="H24" s="2076">
        <f>$B$24*$H$23</f>
        <v>0</v>
      </c>
      <c r="I24" s="2076">
        <f>$B$24*$I$23</f>
        <v>0</v>
      </c>
      <c r="J24" s="757"/>
      <c r="K24" s="757"/>
      <c r="L24" s="757"/>
      <c r="M24" s="757"/>
    </row>
    <row r="25" spans="1:14" ht="18" customHeight="1" thickBot="1">
      <c r="A25" s="2073" t="s">
        <v>1440</v>
      </c>
      <c r="B25" s="2086">
        <f>SUM($B$21,$C$22,$G$22,$D$22,$E$22,$F$22,$C$24,$D$24,$E$24,$F$24,$G$24,$H$22,$I$22,$H$24,$I$24)</f>
        <v>3100</v>
      </c>
      <c r="C25" s="2074">
        <f>$C$21+$C$22+$C$24</f>
        <v>1113.68822</v>
      </c>
      <c r="D25" s="1225">
        <f>$D$21+$D$22+$D$24</f>
        <v>170.05814000000001</v>
      </c>
      <c r="E25" s="1225">
        <f>$E$21+$E$22+$E$24</f>
        <v>86.961560000000006</v>
      </c>
      <c r="F25" s="1225">
        <f>$F$21+$F$22+$F$24</f>
        <v>763.57064000000003</v>
      </c>
      <c r="G25" s="1225">
        <f>$G$21+$G$22+$G$24</f>
        <v>921.27451999999994</v>
      </c>
      <c r="H25" s="1225">
        <f>$H$21+$H$22+$H$24</f>
        <v>41.065219999999997</v>
      </c>
      <c r="I25" s="1225">
        <f>$I$21+$I$22+$I$24</f>
        <v>3.38184</v>
      </c>
      <c r="J25" s="757"/>
      <c r="K25" s="757"/>
      <c r="L25" s="757"/>
      <c r="M25" s="757"/>
    </row>
    <row r="26" spans="1:14" ht="9" customHeight="1">
      <c r="A26" s="1172"/>
      <c r="B26" s="1172"/>
      <c r="C26" s="1172"/>
      <c r="D26" s="1172"/>
      <c r="E26" s="1172"/>
      <c r="F26" s="1172"/>
      <c r="G26" s="1189"/>
      <c r="H26" s="1189"/>
      <c r="I26" s="1189"/>
      <c r="J26" s="757"/>
      <c r="K26" s="757"/>
      <c r="L26" s="757"/>
      <c r="M26" s="757"/>
    </row>
    <row r="27" spans="1:14" ht="9.75" customHeight="1" thickBot="1">
      <c r="A27" s="1172"/>
      <c r="B27" s="1172"/>
      <c r="C27" s="1172"/>
      <c r="D27" s="1172"/>
      <c r="E27" s="1172"/>
      <c r="F27" s="1172"/>
      <c r="G27" s="1189"/>
      <c r="H27" s="1189"/>
      <c r="I27" s="1189"/>
      <c r="J27" s="757"/>
      <c r="K27" s="757"/>
      <c r="L27" s="757"/>
      <c r="M27" s="757"/>
    </row>
    <row r="28" spans="1:14" ht="18" customHeight="1" thickBot="1">
      <c r="A28" s="3427" t="s">
        <v>1101</v>
      </c>
      <c r="B28" s="3429" t="s">
        <v>1075</v>
      </c>
      <c r="C28" s="3429" t="s">
        <v>1076</v>
      </c>
      <c r="D28" s="3347" t="s">
        <v>1077</v>
      </c>
      <c r="E28" s="3347" t="s">
        <v>1078</v>
      </c>
      <c r="F28" s="3420" t="s">
        <v>1079</v>
      </c>
      <c r="G28" s="3423" t="s">
        <v>1080</v>
      </c>
      <c r="H28" s="3424"/>
      <c r="I28" s="3424"/>
      <c r="J28" s="3424"/>
      <c r="K28" s="3424"/>
      <c r="L28" s="3424"/>
      <c r="M28" s="3425"/>
      <c r="N28" s="1193"/>
    </row>
    <row r="29" spans="1:14" s="1195" customFormat="1" ht="126" customHeight="1" thickBot="1">
      <c r="A29" s="3428"/>
      <c r="B29" s="3430"/>
      <c r="C29" s="3430"/>
      <c r="D29" s="3422"/>
      <c r="E29" s="3422"/>
      <c r="F29" s="3421"/>
      <c r="G29" s="1222" t="s">
        <v>1084</v>
      </c>
      <c r="H29" s="1223" t="s">
        <v>1085</v>
      </c>
      <c r="I29" s="1223" t="s">
        <v>1086</v>
      </c>
      <c r="J29" s="1229" t="s">
        <v>1087</v>
      </c>
      <c r="K29" s="1229" t="s">
        <v>1088</v>
      </c>
      <c r="L29" s="1229" t="s">
        <v>1089</v>
      </c>
      <c r="M29" s="1229" t="s">
        <v>1103</v>
      </c>
      <c r="N29" s="1194" t="s">
        <v>1081</v>
      </c>
    </row>
    <row r="30" spans="1:14" ht="38.25">
      <c r="A30" s="1196" t="s">
        <v>1184</v>
      </c>
      <c r="B30" s="1197">
        <v>45762</v>
      </c>
      <c r="C30" s="1198">
        <v>0.52777777777777779</v>
      </c>
      <c r="D30" s="1197">
        <v>45764</v>
      </c>
      <c r="E30" s="1198">
        <v>0.69444444444444453</v>
      </c>
      <c r="F30" s="2091" t="s">
        <v>1097</v>
      </c>
      <c r="G30" s="1199"/>
      <c r="H30" s="1200">
        <v>2</v>
      </c>
      <c r="I30" s="1200"/>
      <c r="J30" s="1201"/>
      <c r="K30" s="1201"/>
      <c r="L30" s="1201"/>
      <c r="M30" s="2068"/>
      <c r="N30" s="2068" t="s">
        <v>1405</v>
      </c>
    </row>
    <row r="31" spans="1:14" ht="25.5">
      <c r="A31" s="1196" t="s">
        <v>1184</v>
      </c>
      <c r="B31" s="1202">
        <v>45768</v>
      </c>
      <c r="C31" s="1203">
        <v>0</v>
      </c>
      <c r="D31" s="1202">
        <v>45775</v>
      </c>
      <c r="E31" s="1203">
        <v>0.45833333333333331</v>
      </c>
      <c r="F31" s="2092" t="s">
        <v>1098</v>
      </c>
      <c r="G31" s="1204"/>
      <c r="H31" s="1205"/>
      <c r="I31" s="1205">
        <v>9</v>
      </c>
      <c r="J31" s="1206"/>
      <c r="K31" s="1206"/>
      <c r="L31" s="1206"/>
      <c r="M31" s="2069"/>
      <c r="N31" s="2069" t="s">
        <v>1526</v>
      </c>
    </row>
    <row r="32" spans="1:14" ht="38.25">
      <c r="A32" s="2489" t="s">
        <v>1586</v>
      </c>
      <c r="B32" s="1207">
        <v>45767</v>
      </c>
      <c r="C32" s="1208">
        <v>0.27083333333333331</v>
      </c>
      <c r="D32" s="1207">
        <v>45770</v>
      </c>
      <c r="E32" s="1208">
        <v>0.39652777777777781</v>
      </c>
      <c r="F32" s="2093" t="s">
        <v>1404</v>
      </c>
      <c r="G32" s="1204"/>
      <c r="H32" s="1205"/>
      <c r="I32" s="1205"/>
      <c r="J32" s="1206"/>
      <c r="K32" s="1206">
        <v>3</v>
      </c>
      <c r="L32" s="1206"/>
      <c r="M32" s="2069">
        <v>3</v>
      </c>
      <c r="N32" s="2069" t="s">
        <v>1526</v>
      </c>
    </row>
    <row r="33" spans="1:21" ht="25.5">
      <c r="A33" s="2490" t="s">
        <v>1607</v>
      </c>
      <c r="B33" s="1207">
        <v>45769</v>
      </c>
      <c r="C33" s="1208">
        <v>0.33333333333333331</v>
      </c>
      <c r="D33" s="1207">
        <v>46136</v>
      </c>
      <c r="E33" s="1208">
        <v>0.58333333333333337</v>
      </c>
      <c r="F33" s="2093" t="s">
        <v>1406</v>
      </c>
      <c r="G33" s="1204">
        <v>2</v>
      </c>
      <c r="H33" s="1205"/>
      <c r="I33" s="1205"/>
      <c r="J33" s="1206"/>
      <c r="K33" s="1206"/>
      <c r="L33" s="1206"/>
      <c r="M33" s="2069"/>
      <c r="N33" s="2069" t="s">
        <v>1527</v>
      </c>
    </row>
    <row r="34" spans="1:21" ht="12.75">
      <c r="A34" s="1209" t="s">
        <v>139</v>
      </c>
      <c r="B34" s="1207">
        <v>46117</v>
      </c>
      <c r="C34" s="1208">
        <v>0.36805555555555558</v>
      </c>
      <c r="D34" s="1207">
        <v>46117</v>
      </c>
      <c r="E34" s="1208">
        <v>0.58680555555555558</v>
      </c>
      <c r="F34" s="2093" t="s">
        <v>1099</v>
      </c>
      <c r="G34" s="1210"/>
      <c r="H34" s="1211"/>
      <c r="I34" s="1211"/>
      <c r="J34" s="1212">
        <v>1</v>
      </c>
      <c r="K34" s="1212"/>
      <c r="L34" s="1212"/>
      <c r="M34" s="2070"/>
      <c r="N34" s="2070" t="s">
        <v>1405</v>
      </c>
    </row>
    <row r="35" spans="1:21" ht="51">
      <c r="A35" s="1914" t="s">
        <v>139</v>
      </c>
      <c r="B35" s="1207">
        <v>46124</v>
      </c>
      <c r="C35" s="1208">
        <v>0.28472222222222221</v>
      </c>
      <c r="D35" s="1207">
        <v>46124</v>
      </c>
      <c r="E35" s="1208">
        <v>0.86805555555555547</v>
      </c>
      <c r="F35" s="2093" t="s">
        <v>1100</v>
      </c>
      <c r="G35" s="1210">
        <v>1</v>
      </c>
      <c r="H35" s="1211"/>
      <c r="I35" s="1211"/>
      <c r="J35" s="1212"/>
      <c r="K35" s="1212"/>
      <c r="L35" s="1212"/>
      <c r="M35" s="2070"/>
      <c r="N35" s="2070" t="s">
        <v>1405</v>
      </c>
    </row>
    <row r="36" spans="1:21" ht="13.5" thickBot="1">
      <c r="A36" s="1915" t="s">
        <v>792</v>
      </c>
      <c r="B36" s="1916"/>
      <c r="C36" s="1917"/>
      <c r="D36" s="1916"/>
      <c r="E36" s="1917"/>
      <c r="F36" s="2094"/>
      <c r="G36" s="1921"/>
      <c r="H36" s="1919"/>
      <c r="I36" s="1213"/>
      <c r="J36" s="1918"/>
      <c r="K36" s="1920"/>
      <c r="L36" s="1920"/>
      <c r="M36" s="2071"/>
      <c r="N36" s="2491"/>
    </row>
    <row r="37" spans="1:21" s="1195" customFormat="1" ht="19.5" customHeight="1" thickBot="1">
      <c r="A37" s="1214" t="s">
        <v>35</v>
      </c>
      <c r="B37" s="1215"/>
      <c r="C37" s="1216"/>
      <c r="D37" s="1215"/>
      <c r="E37" s="1216"/>
      <c r="F37" s="1216"/>
      <c r="G37" s="1217">
        <f t="shared" ref="G37:M37" si="3">SUM(G30:G35)</f>
        <v>3</v>
      </c>
      <c r="H37" s="1218">
        <f t="shared" si="3"/>
        <v>2</v>
      </c>
      <c r="I37" s="1218">
        <f t="shared" si="3"/>
        <v>9</v>
      </c>
      <c r="J37" s="1219">
        <f t="shared" si="3"/>
        <v>1</v>
      </c>
      <c r="K37" s="1219">
        <f t="shared" si="3"/>
        <v>3</v>
      </c>
      <c r="L37" s="1219">
        <f t="shared" si="3"/>
        <v>0</v>
      </c>
      <c r="M37" s="1219">
        <f t="shared" si="3"/>
        <v>3</v>
      </c>
      <c r="N37" s="1219">
        <f>SUM(G37:L37)</f>
        <v>18</v>
      </c>
    </row>
    <row r="38" spans="1:21" ht="9.75" customHeight="1"/>
    <row r="39" spans="1:21" ht="12" customHeight="1">
      <c r="G39" s="3385" t="s">
        <v>1082</v>
      </c>
      <c r="H39" s="3385"/>
      <c r="I39" s="3385"/>
      <c r="J39" s="3385"/>
      <c r="K39" s="3426" t="s">
        <v>1135</v>
      </c>
      <c r="L39" s="3204"/>
      <c r="M39" s="3204"/>
    </row>
    <row r="40" spans="1:21" ht="18" customHeight="1">
      <c r="A40" s="194" t="s">
        <v>219</v>
      </c>
      <c r="B40" s="195" t="s">
        <v>224</v>
      </c>
      <c r="G40" s="3385"/>
      <c r="H40" s="3385"/>
      <c r="I40" s="3385"/>
      <c r="J40" s="3385"/>
      <c r="K40" s="3204"/>
      <c r="L40" s="3204"/>
      <c r="M40" s="3204"/>
    </row>
    <row r="41" spans="1:21" ht="18" customHeight="1">
      <c r="B41" s="195" t="s">
        <v>1645</v>
      </c>
      <c r="G41" s="3385"/>
      <c r="H41" s="3385"/>
      <c r="I41" s="3385"/>
      <c r="J41" s="3385"/>
      <c r="K41" s="3204"/>
      <c r="L41" s="3204"/>
      <c r="M41" s="3204"/>
    </row>
    <row r="42" spans="1:21" ht="18" customHeight="1">
      <c r="B42" s="195"/>
      <c r="G42" s="3385"/>
      <c r="H42" s="3385"/>
      <c r="I42" s="3385"/>
      <c r="J42" s="3385"/>
      <c r="K42" s="3204"/>
      <c r="L42" s="3204"/>
      <c r="M42" s="3204"/>
    </row>
    <row r="43" spans="1:21" ht="18" customHeight="1">
      <c r="A43" s="335" t="s">
        <v>1434</v>
      </c>
      <c r="B43" s="335" t="s">
        <v>1435</v>
      </c>
      <c r="G43" s="3385"/>
      <c r="H43" s="3385"/>
      <c r="I43" s="3385"/>
      <c r="J43" s="3385"/>
      <c r="K43" s="3204"/>
      <c r="L43" s="3204"/>
      <c r="M43" s="3204"/>
    </row>
    <row r="44" spans="1:21" ht="18" customHeight="1">
      <c r="A44" s="335" t="s">
        <v>1554</v>
      </c>
      <c r="B44" s="335" t="s">
        <v>1550</v>
      </c>
      <c r="C44" s="2196" t="s">
        <v>1442</v>
      </c>
    </row>
    <row r="45" spans="1:21" ht="18" customHeight="1">
      <c r="A45" s="194"/>
      <c r="B45" s="195"/>
      <c r="C45" s="388"/>
      <c r="D45" s="388"/>
      <c r="E45" s="388"/>
      <c r="F45" s="1170"/>
      <c r="G45" s="1170"/>
      <c r="H45" s="751"/>
      <c r="I45" s="751"/>
      <c r="J45" s="751"/>
      <c r="K45" s="751"/>
      <c r="L45" s="751"/>
      <c r="M45" s="751"/>
      <c r="N45" s="751"/>
      <c r="O45" s="751"/>
      <c r="P45" s="751"/>
      <c r="Q45" s="751"/>
      <c r="R45" s="751"/>
      <c r="S45" s="751"/>
      <c r="T45" s="751"/>
      <c r="U45" s="751"/>
    </row>
  </sheetData>
  <sheetProtection algorithmName="SHA-512" hashValue="MOkZSReiolqzC4jH8RzUu+//jnMQaA7Pnv9K6zKyhYvuOJV96DCLObz8U0+bGQbCYhLkewXSmDzlUhoykOSPGg==" saltValue="oH+fpVd9fVJj4f0oh38N/Q==" spinCount="100000" sheet="1" objects="1" scenarios="1"/>
  <mergeCells count="11">
    <mergeCell ref="A28:A29"/>
    <mergeCell ref="B28:B29"/>
    <mergeCell ref="C28:C29"/>
    <mergeCell ref="A1:N1"/>
    <mergeCell ref="A2:N2"/>
    <mergeCell ref="G39:J43"/>
    <mergeCell ref="F28:F29"/>
    <mergeCell ref="E28:E29"/>
    <mergeCell ref="D28:D29"/>
    <mergeCell ref="G28:M28"/>
    <mergeCell ref="K39:M43"/>
  </mergeCells>
  <printOptions horizontalCentered="1"/>
  <pageMargins left="0.7" right="0.7" top="0.78740157499999996" bottom="0.78740157499999996" header="0.3" footer="0.3"/>
  <pageSetup paperSize="9" scale="50" orientation="landscape" r:id="rId1"/>
  <headerFooter>
    <oddHeader>&amp;LVDV SUN Jahresschlussrechnung JJJJ&amp;R&amp;F</oddHeader>
    <oddFooter>&amp;C&amp;P&amp;R&amp;A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70C0"/>
  </sheetPr>
  <dimension ref="A1:V26"/>
  <sheetViews>
    <sheetView view="pageLayout" zoomScale="80" zoomScaleNormal="100" zoomScaleSheetLayoutView="80" zoomScalePageLayoutView="80" workbookViewId="0">
      <selection activeCell="S6" sqref="S6"/>
    </sheetView>
  </sheetViews>
  <sheetFormatPr baseColWidth="10" defaultColWidth="11.42578125" defaultRowHeight="12.75"/>
  <cols>
    <col min="1" max="1" width="11.140625" style="140" customWidth="1"/>
    <col min="2" max="2" width="10.85546875" style="140" bestFit="1" customWidth="1"/>
    <col min="3" max="3" width="10.85546875" style="140" customWidth="1"/>
    <col min="4" max="4" width="22.5703125" style="12" bestFit="1" customWidth="1"/>
    <col min="5" max="5" width="12" style="12" customWidth="1"/>
    <col min="6" max="6" width="11.42578125" style="12" bestFit="1" customWidth="1"/>
    <col min="7" max="7" width="11.42578125" style="12" customWidth="1"/>
    <col min="8" max="8" width="12.28515625" style="12" customWidth="1"/>
    <col min="9" max="10" width="8.5703125" style="12" customWidth="1"/>
    <col min="11" max="11" width="10" style="12" customWidth="1"/>
    <col min="12" max="12" width="12" style="12" customWidth="1"/>
    <col min="13" max="15" width="4.7109375" style="12" customWidth="1"/>
    <col min="16" max="16" width="37.85546875" style="133" customWidth="1"/>
    <col min="17" max="17" width="11.140625" style="12" customWidth="1"/>
    <col min="18" max="18" width="11" style="140" customWidth="1"/>
    <col min="19" max="19" width="20" style="140" customWidth="1"/>
    <col min="20" max="20" width="11.7109375" style="140" customWidth="1"/>
    <col min="21" max="21" width="16.42578125" style="140" customWidth="1"/>
    <col min="22" max="22" width="15.140625" style="140" customWidth="1"/>
    <col min="23" max="16384" width="11.42578125" style="12"/>
  </cols>
  <sheetData>
    <row r="1" spans="1:22" ht="20.25">
      <c r="A1" s="3364" t="s">
        <v>1508</v>
      </c>
      <c r="B1" s="3364"/>
      <c r="C1" s="3364"/>
      <c r="D1" s="3364"/>
      <c r="E1" s="3364"/>
      <c r="F1" s="3364"/>
      <c r="G1" s="3364"/>
      <c r="H1" s="3364"/>
      <c r="I1" s="3364"/>
      <c r="J1" s="3364"/>
      <c r="K1" s="3364"/>
      <c r="L1" s="3364"/>
      <c r="M1" s="3364"/>
      <c r="N1" s="3364"/>
      <c r="O1" s="3364"/>
      <c r="P1" s="3364"/>
      <c r="Q1" s="3364"/>
      <c r="R1" s="3364"/>
      <c r="S1" s="3169"/>
      <c r="T1" s="3169"/>
      <c r="U1" s="3169"/>
      <c r="V1" s="3169"/>
    </row>
    <row r="2" spans="1:22" s="139" customFormat="1" ht="18">
      <c r="A2" s="3433" t="str">
        <f>'1a_Leistungsvolumen'!A2</f>
        <v>Monat JJJJ</v>
      </c>
      <c r="B2" s="3433"/>
      <c r="C2" s="3433"/>
      <c r="D2" s="3433"/>
      <c r="E2" s="3433"/>
      <c r="F2" s="3433"/>
      <c r="G2" s="3433"/>
      <c r="H2" s="3433"/>
      <c r="I2" s="3433"/>
      <c r="J2" s="3433"/>
      <c r="K2" s="3433"/>
      <c r="L2" s="3433"/>
      <c r="M2" s="3433"/>
      <c r="N2" s="3433"/>
      <c r="O2" s="3433"/>
      <c r="P2" s="3433"/>
      <c r="Q2" s="3433"/>
      <c r="R2" s="3433"/>
      <c r="S2" s="3169"/>
      <c r="T2" s="3169"/>
      <c r="U2" s="3169"/>
      <c r="V2" s="3169"/>
    </row>
    <row r="3" spans="1:22" s="139" customFormat="1" ht="18.75" thickBot="1">
      <c r="A3" s="771"/>
      <c r="B3" s="771"/>
      <c r="C3" s="846"/>
      <c r="D3" s="771"/>
      <c r="E3" s="771"/>
      <c r="F3" s="814"/>
      <c r="G3" s="771"/>
      <c r="H3" s="771"/>
      <c r="I3" s="771"/>
      <c r="J3" s="771"/>
      <c r="K3" s="771"/>
      <c r="L3" s="771"/>
      <c r="M3" s="771"/>
      <c r="N3" s="771"/>
      <c r="O3" s="846"/>
      <c r="P3" s="771"/>
      <c r="Q3" s="771"/>
      <c r="R3" s="771"/>
      <c r="S3" s="846"/>
      <c r="T3" s="846"/>
      <c r="U3" s="846"/>
      <c r="V3" s="846"/>
    </row>
    <row r="4" spans="1:22" s="139" customFormat="1" ht="28.5" customHeight="1" thickBot="1">
      <c r="A4" s="1516"/>
      <c r="B4" s="1516"/>
      <c r="C4" s="1516"/>
      <c r="D4" s="1516"/>
      <c r="E4" s="1517" t="s">
        <v>743</v>
      </c>
      <c r="F4" s="1884" t="s">
        <v>1526</v>
      </c>
      <c r="G4" s="1884" t="s">
        <v>1527</v>
      </c>
      <c r="H4" s="1884" t="s">
        <v>1552</v>
      </c>
      <c r="I4" s="1884" t="s">
        <v>1551</v>
      </c>
      <c r="J4" s="1884" t="s">
        <v>1528</v>
      </c>
      <c r="K4" s="1884" t="s">
        <v>1666</v>
      </c>
      <c r="L4" s="1884" t="s">
        <v>1553</v>
      </c>
      <c r="M4" s="771"/>
      <c r="N4" s="771"/>
      <c r="O4" s="846"/>
      <c r="P4" s="771"/>
      <c r="Q4" s="771"/>
      <c r="R4" s="771"/>
      <c r="S4" s="846"/>
      <c r="T4" s="846"/>
      <c r="U4" s="846"/>
      <c r="V4" s="846"/>
    </row>
    <row r="5" spans="1:22" s="139" customFormat="1" ht="18">
      <c r="E5" s="2492">
        <f>SUM($F$5:$L$5)</f>
        <v>1.0000001000000001</v>
      </c>
      <c r="F5" s="3018">
        <f>'1a_Leistungsvolumen'!$C$93</f>
        <v>9.7772999999999992E-3</v>
      </c>
      <c r="G5" s="3018">
        <f>'1a_Leistungsvolumen'!$D$93</f>
        <v>0.1214701</v>
      </c>
      <c r="H5" s="3018">
        <f>'1a_Leistungsvolumen'!$E$93</f>
        <v>6.2115400000000001E-2</v>
      </c>
      <c r="I5" s="3018">
        <f>'1a_Leistungsvolumen'!$F$93</f>
        <v>0.54540759999999999</v>
      </c>
      <c r="J5" s="3018">
        <f>'1a_Leistungsvolumen'!$G$93</f>
        <v>0.22948180000000001</v>
      </c>
      <c r="K5" s="3018">
        <f>'1a_Leistungsvolumen'!$H$93</f>
        <v>2.9332299999999999E-2</v>
      </c>
      <c r="L5" s="3018">
        <f>'1a_Leistungsvolumen'!$I$93</f>
        <v>2.4156E-3</v>
      </c>
      <c r="M5" s="771"/>
      <c r="N5" s="771"/>
      <c r="O5" s="846"/>
      <c r="P5" s="3019" t="s">
        <v>1706</v>
      </c>
      <c r="Q5" s="771"/>
      <c r="R5" s="771"/>
      <c r="S5" s="846"/>
      <c r="T5" s="846"/>
      <c r="U5" s="846"/>
      <c r="V5" s="846"/>
    </row>
    <row r="6" spans="1:22" s="139" customFormat="1" ht="18">
      <c r="A6" s="3441" t="s">
        <v>751</v>
      </c>
      <c r="B6" s="3094"/>
      <c r="C6" s="3094"/>
      <c r="D6" s="3442"/>
      <c r="E6" s="2496">
        <f>$U$18</f>
        <v>3</v>
      </c>
      <c r="F6" s="1938"/>
      <c r="G6" s="1938"/>
      <c r="H6" s="1938"/>
      <c r="I6" s="1938"/>
      <c r="J6" s="1938"/>
      <c r="K6" s="1938"/>
      <c r="L6" s="1938"/>
      <c r="M6" s="771"/>
      <c r="N6" s="771"/>
      <c r="O6" s="846"/>
      <c r="P6" s="771"/>
      <c r="Q6" s="771"/>
      <c r="R6" s="771"/>
      <c r="S6" s="846"/>
      <c r="T6" s="846"/>
      <c r="U6" s="846"/>
      <c r="V6" s="846"/>
    </row>
    <row r="7" spans="1:22" s="139" customFormat="1" ht="18.75" thickBot="1">
      <c r="A7" s="3441" t="s">
        <v>452</v>
      </c>
      <c r="B7" s="3094"/>
      <c r="C7" s="3094"/>
      <c r="D7" s="3442"/>
      <c r="E7" s="2495">
        <v>50</v>
      </c>
      <c r="F7" s="1939"/>
      <c r="G7" s="1939"/>
      <c r="H7" s="1939"/>
      <c r="I7" s="1939"/>
      <c r="J7" s="1939"/>
      <c r="K7" s="1939"/>
      <c r="L7" s="1939"/>
      <c r="M7" s="771"/>
      <c r="N7" s="771"/>
      <c r="O7" s="846"/>
      <c r="P7" s="771"/>
      <c r="Q7" s="771"/>
      <c r="R7" s="771"/>
      <c r="S7" s="846"/>
      <c r="T7" s="846"/>
      <c r="U7" s="846"/>
      <c r="V7" s="846"/>
    </row>
    <row r="8" spans="1:22" s="139" customFormat="1" ht="18.75" thickBot="1">
      <c r="A8" s="3440" t="s">
        <v>744</v>
      </c>
      <c r="B8" s="3094"/>
      <c r="C8" s="1518"/>
      <c r="D8" s="1518"/>
      <c r="E8" s="2493">
        <f>$E$7*$E$6</f>
        <v>150</v>
      </c>
      <c r="F8" s="2494">
        <f>$F$5*$E$8</f>
        <v>1.4665949999999999</v>
      </c>
      <c r="G8" s="2494">
        <f>$G$5*$E$8</f>
        <v>18.220514999999999</v>
      </c>
      <c r="H8" s="2494">
        <f>$H$5*$E$8</f>
        <v>9.3173100000000009</v>
      </c>
      <c r="I8" s="2494">
        <f>$I$5*$E$8</f>
        <v>81.811139999999995</v>
      </c>
      <c r="J8" s="2494">
        <f>$J$5*$E$8</f>
        <v>34.422270000000005</v>
      </c>
      <c r="K8" s="2494">
        <f>$K$5*$E$8</f>
        <v>4.399845</v>
      </c>
      <c r="L8" s="2494">
        <f>$L$5*$E$8</f>
        <v>0.36234</v>
      </c>
      <c r="M8" s="771"/>
      <c r="N8" s="771"/>
      <c r="O8" s="846"/>
      <c r="P8" s="771"/>
      <c r="Q8" s="771"/>
      <c r="R8" s="771"/>
      <c r="S8" s="846"/>
      <c r="T8" s="846"/>
      <c r="U8" s="846"/>
      <c r="V8" s="846"/>
    </row>
    <row r="9" spans="1:22" s="139" customFormat="1" ht="18.75" thickBot="1">
      <c r="A9" s="162"/>
      <c r="B9" s="162"/>
      <c r="C9" s="844"/>
      <c r="D9" s="162"/>
      <c r="E9" s="162"/>
      <c r="F9" s="813"/>
      <c r="G9" s="162"/>
      <c r="H9" s="162"/>
      <c r="I9" s="162"/>
      <c r="J9" s="162"/>
      <c r="K9" s="162"/>
      <c r="L9" s="162"/>
      <c r="M9" s="162"/>
      <c r="N9" s="162"/>
      <c r="O9" s="844"/>
      <c r="P9" s="162"/>
      <c r="Q9" s="162"/>
      <c r="R9" s="162"/>
      <c r="S9" s="844"/>
      <c r="T9" s="844"/>
      <c r="U9" s="844"/>
      <c r="V9" s="844"/>
    </row>
    <row r="10" spans="1:22" ht="123.75" customHeight="1" thickBot="1">
      <c r="A10" s="155" t="s">
        <v>157</v>
      </c>
      <c r="B10" s="176" t="s">
        <v>125</v>
      </c>
      <c r="C10" s="648" t="s">
        <v>827</v>
      </c>
      <c r="D10" s="4" t="s">
        <v>162</v>
      </c>
      <c r="E10" s="144" t="s">
        <v>178</v>
      </c>
      <c r="F10" s="491" t="s">
        <v>289</v>
      </c>
      <c r="G10" s="144" t="s">
        <v>174</v>
      </c>
      <c r="H10" s="144" t="s">
        <v>167</v>
      </c>
      <c r="I10" s="144" t="s">
        <v>180</v>
      </c>
      <c r="J10" s="144" t="s">
        <v>179</v>
      </c>
      <c r="K10" s="144" t="s">
        <v>168</v>
      </c>
      <c r="L10" s="101" t="s">
        <v>175</v>
      </c>
      <c r="M10" s="586" t="s">
        <v>822</v>
      </c>
      <c r="N10" s="144" t="s">
        <v>169</v>
      </c>
      <c r="O10" s="491" t="s">
        <v>824</v>
      </c>
      <c r="P10" s="56" t="s">
        <v>177</v>
      </c>
      <c r="Q10" s="4" t="s">
        <v>181</v>
      </c>
      <c r="R10" s="142" t="s">
        <v>176</v>
      </c>
      <c r="S10" s="860" t="s">
        <v>825</v>
      </c>
      <c r="T10" s="860" t="s">
        <v>1071</v>
      </c>
      <c r="U10" s="860" t="s">
        <v>1070</v>
      </c>
      <c r="V10" s="860" t="s">
        <v>686</v>
      </c>
    </row>
    <row r="11" spans="1:22" ht="17.25" customHeight="1">
      <c r="A11" s="156">
        <v>1</v>
      </c>
      <c r="B11" s="145">
        <v>45744</v>
      </c>
      <c r="C11" s="861" t="s">
        <v>828</v>
      </c>
      <c r="D11" s="145" t="s">
        <v>170</v>
      </c>
      <c r="E11" s="146"/>
      <c r="F11" s="856"/>
      <c r="G11" s="146"/>
      <c r="H11" s="146"/>
      <c r="I11" s="146">
        <v>1</v>
      </c>
      <c r="J11" s="146"/>
      <c r="K11" s="146"/>
      <c r="L11" s="146"/>
      <c r="M11" s="146"/>
      <c r="N11" s="146"/>
      <c r="O11" s="856"/>
      <c r="P11" s="683" t="s">
        <v>826</v>
      </c>
      <c r="Q11" s="145">
        <v>45748</v>
      </c>
      <c r="R11" s="151">
        <v>45752</v>
      </c>
      <c r="S11" s="859">
        <f>Q11-B11</f>
        <v>4</v>
      </c>
      <c r="T11" s="859">
        <f>R11-B11</f>
        <v>8</v>
      </c>
      <c r="U11" s="859" t="str">
        <f>IF($T11&gt;20,$T11-20,"")</f>
        <v/>
      </c>
      <c r="V11" s="862" t="s">
        <v>830</v>
      </c>
    </row>
    <row r="12" spans="1:22" ht="24.75" customHeight="1">
      <c r="A12" s="157">
        <v>2</v>
      </c>
      <c r="B12" s="149">
        <v>45750</v>
      </c>
      <c r="C12" s="651" t="s">
        <v>828</v>
      </c>
      <c r="D12" s="114" t="s">
        <v>171</v>
      </c>
      <c r="E12" s="114"/>
      <c r="F12" s="114"/>
      <c r="G12" s="114"/>
      <c r="H12" s="114"/>
      <c r="I12" s="114">
        <v>1</v>
      </c>
      <c r="J12" s="114"/>
      <c r="K12" s="114"/>
      <c r="L12" s="114"/>
      <c r="M12" s="114"/>
      <c r="N12" s="114"/>
      <c r="O12" s="114"/>
      <c r="P12" s="239" t="s">
        <v>831</v>
      </c>
      <c r="Q12" s="114"/>
      <c r="R12" s="152">
        <v>45755</v>
      </c>
      <c r="S12" s="503"/>
      <c r="T12" s="503">
        <f t="shared" ref="T12:T17" si="0">R12-B12</f>
        <v>5</v>
      </c>
      <c r="U12" s="503" t="str">
        <f t="shared" ref="U12:U17" si="1">IF($T12&gt;20,$T12-20,"")</f>
        <v/>
      </c>
      <c r="V12" s="503"/>
    </row>
    <row r="13" spans="1:22" ht="17.25" customHeight="1">
      <c r="A13" s="157">
        <v>3</v>
      </c>
      <c r="B13" s="149">
        <v>45749</v>
      </c>
      <c r="C13" s="651" t="s">
        <v>829</v>
      </c>
      <c r="D13" s="410" t="s">
        <v>823</v>
      </c>
      <c r="E13" s="114"/>
      <c r="F13" s="114"/>
      <c r="G13" s="114"/>
      <c r="H13" s="114"/>
      <c r="I13" s="114"/>
      <c r="J13" s="114"/>
      <c r="K13" s="114"/>
      <c r="L13" s="114">
        <v>1</v>
      </c>
      <c r="M13" s="114"/>
      <c r="N13" s="114"/>
      <c r="O13" s="114"/>
      <c r="P13" s="239" t="s">
        <v>242</v>
      </c>
      <c r="Q13" s="149">
        <v>45752</v>
      </c>
      <c r="R13" s="152">
        <v>45772</v>
      </c>
      <c r="S13" s="503">
        <f>Q13-B13</f>
        <v>3</v>
      </c>
      <c r="T13" s="503">
        <f t="shared" si="0"/>
        <v>23</v>
      </c>
      <c r="U13" s="503">
        <f>IF($T13&gt;20,$T13-20,"")</f>
        <v>3</v>
      </c>
      <c r="V13" s="503"/>
    </row>
    <row r="14" spans="1:22" ht="17.25" customHeight="1">
      <c r="A14" s="157"/>
      <c r="B14" s="149"/>
      <c r="C14" s="149"/>
      <c r="D14" s="114"/>
      <c r="E14" s="114"/>
      <c r="F14" s="114"/>
      <c r="G14" s="114"/>
      <c r="H14" s="114"/>
      <c r="I14" s="114"/>
      <c r="J14" s="114"/>
      <c r="K14" s="114"/>
      <c r="L14" s="114"/>
      <c r="M14" s="114"/>
      <c r="N14" s="114"/>
      <c r="O14" s="114"/>
      <c r="P14" s="129"/>
      <c r="Q14" s="114"/>
      <c r="R14" s="152"/>
      <c r="S14" s="503">
        <f>Q14-B14</f>
        <v>0</v>
      </c>
      <c r="T14" s="503">
        <f t="shared" si="0"/>
        <v>0</v>
      </c>
      <c r="U14" s="503" t="str">
        <f t="shared" si="1"/>
        <v/>
      </c>
      <c r="V14" s="503"/>
    </row>
    <row r="15" spans="1:22" ht="17.25" customHeight="1">
      <c r="A15" s="157"/>
      <c r="B15" s="149"/>
      <c r="C15" s="149"/>
      <c r="D15" s="114"/>
      <c r="E15" s="114"/>
      <c r="F15" s="114"/>
      <c r="G15" s="114"/>
      <c r="H15" s="114"/>
      <c r="I15" s="114"/>
      <c r="J15" s="114"/>
      <c r="K15" s="114"/>
      <c r="L15" s="114"/>
      <c r="M15" s="114"/>
      <c r="N15" s="114"/>
      <c r="O15" s="114"/>
      <c r="P15" s="129"/>
      <c r="Q15" s="114"/>
      <c r="R15" s="152"/>
      <c r="S15" s="503">
        <f>Q15-B15</f>
        <v>0</v>
      </c>
      <c r="T15" s="503">
        <f t="shared" si="0"/>
        <v>0</v>
      </c>
      <c r="U15" s="503" t="str">
        <f t="shared" si="1"/>
        <v/>
      </c>
      <c r="V15" s="503"/>
    </row>
    <row r="16" spans="1:22" ht="17.25" customHeight="1">
      <c r="A16" s="157"/>
      <c r="B16" s="149"/>
      <c r="C16" s="149"/>
      <c r="D16" s="114"/>
      <c r="E16" s="114"/>
      <c r="F16" s="114"/>
      <c r="G16" s="114"/>
      <c r="H16" s="114"/>
      <c r="I16" s="114"/>
      <c r="J16" s="114"/>
      <c r="K16" s="114"/>
      <c r="L16" s="114"/>
      <c r="M16" s="114"/>
      <c r="N16" s="114"/>
      <c r="O16" s="114"/>
      <c r="P16" s="129"/>
      <c r="Q16" s="114"/>
      <c r="R16" s="152"/>
      <c r="S16" s="503">
        <f>Q16-B16</f>
        <v>0</v>
      </c>
      <c r="T16" s="503">
        <f t="shared" si="0"/>
        <v>0</v>
      </c>
      <c r="U16" s="503" t="str">
        <f t="shared" si="1"/>
        <v/>
      </c>
      <c r="V16" s="503"/>
    </row>
    <row r="17" spans="1:22" ht="17.25" customHeight="1" thickBot="1">
      <c r="A17" s="158"/>
      <c r="B17" s="24"/>
      <c r="C17" s="24"/>
      <c r="D17" s="23"/>
      <c r="E17" s="23"/>
      <c r="F17" s="23"/>
      <c r="G17" s="23"/>
      <c r="H17" s="23"/>
      <c r="I17" s="23"/>
      <c r="J17" s="23"/>
      <c r="K17" s="23"/>
      <c r="L17" s="23"/>
      <c r="M17" s="23"/>
      <c r="N17" s="23"/>
      <c r="O17" s="23"/>
      <c r="P17" s="131"/>
      <c r="Q17" s="23"/>
      <c r="R17" s="153"/>
      <c r="S17" s="505">
        <f>Q17-B17</f>
        <v>0</v>
      </c>
      <c r="T17" s="505">
        <f t="shared" si="0"/>
        <v>0</v>
      </c>
      <c r="U17" s="505" t="str">
        <f t="shared" si="1"/>
        <v/>
      </c>
      <c r="V17" s="505"/>
    </row>
    <row r="18" spans="1:22" s="81" customFormat="1" ht="22.5" customHeight="1" thickBot="1">
      <c r="A18" s="3434" t="s">
        <v>172</v>
      </c>
      <c r="B18" s="3435"/>
      <c r="C18" s="3435"/>
      <c r="D18" s="3435"/>
      <c r="E18" s="3">
        <f t="shared" ref="E18:N18" si="2">SUM(E11:E17)</f>
        <v>0</v>
      </c>
      <c r="F18" s="182">
        <v>1</v>
      </c>
      <c r="G18" s="182">
        <v>3</v>
      </c>
      <c r="H18" s="182">
        <f t="shared" si="2"/>
        <v>0</v>
      </c>
      <c r="I18" s="182">
        <f t="shared" si="2"/>
        <v>2</v>
      </c>
      <c r="J18" s="182">
        <f t="shared" si="2"/>
        <v>0</v>
      </c>
      <c r="K18" s="182">
        <f t="shared" si="2"/>
        <v>0</v>
      </c>
      <c r="L18" s="182">
        <f t="shared" si="2"/>
        <v>1</v>
      </c>
      <c r="M18" s="182">
        <f t="shared" si="2"/>
        <v>0</v>
      </c>
      <c r="N18" s="181">
        <f t="shared" si="2"/>
        <v>0</v>
      </c>
      <c r="O18" s="1162"/>
      <c r="P18" s="3438"/>
      <c r="Q18" s="3439"/>
      <c r="R18" s="3439"/>
      <c r="S18" s="847"/>
      <c r="T18" s="847"/>
      <c r="U18" s="864">
        <f>SUM(U11:U17)</f>
        <v>3</v>
      </c>
      <c r="V18" s="863"/>
    </row>
    <row r="19" spans="1:22" s="81" customFormat="1" ht="21.75" customHeight="1" thickBot="1">
      <c r="A19" s="3436" t="s">
        <v>173</v>
      </c>
      <c r="B19" s="3437"/>
      <c r="C19" s="3437"/>
      <c r="D19" s="3437"/>
      <c r="E19" s="3437"/>
      <c r="F19" s="3437"/>
      <c r="G19" s="3437"/>
      <c r="H19" s="3437"/>
      <c r="I19" s="3437"/>
      <c r="J19" s="3437"/>
      <c r="K19" s="3437"/>
      <c r="L19" s="3437"/>
      <c r="M19" s="3437"/>
      <c r="N19" s="183">
        <f>SUM(E18:N18)</f>
        <v>7</v>
      </c>
      <c r="O19" s="425"/>
      <c r="P19" s="135"/>
      <c r="R19" s="150"/>
      <c r="S19" s="150"/>
      <c r="T19" s="150"/>
      <c r="U19" s="150"/>
      <c r="V19" s="150"/>
    </row>
    <row r="20" spans="1:22" ht="13.15" customHeight="1">
      <c r="Q20" s="3385" t="s">
        <v>1082</v>
      </c>
      <c r="R20" s="3385"/>
      <c r="S20" s="3385"/>
      <c r="T20" s="3385"/>
      <c r="U20" s="474"/>
      <c r="V20" s="474"/>
    </row>
    <row r="21" spans="1:22">
      <c r="Q21" s="3385"/>
      <c r="R21" s="3385"/>
      <c r="S21" s="3385"/>
      <c r="T21" s="3385"/>
      <c r="U21" s="474"/>
      <c r="V21" s="474"/>
    </row>
    <row r="22" spans="1:22">
      <c r="A22" s="194" t="s">
        <v>219</v>
      </c>
      <c r="B22" s="195" t="s">
        <v>224</v>
      </c>
      <c r="C22" s="195"/>
      <c r="D22" s="388"/>
      <c r="E22" s="388"/>
      <c r="F22" s="388"/>
      <c r="G22" s="388"/>
      <c r="H22" s="7"/>
      <c r="I22" s="7"/>
      <c r="Q22" s="3385"/>
      <c r="R22" s="3385"/>
      <c r="S22" s="3385"/>
      <c r="T22" s="3385"/>
      <c r="U22" s="474"/>
      <c r="V22" s="474"/>
    </row>
    <row r="23" spans="1:22">
      <c r="A23" s="715"/>
      <c r="B23" s="195" t="s">
        <v>1645</v>
      </c>
      <c r="Q23" s="3385"/>
      <c r="R23" s="3385"/>
      <c r="S23" s="3385"/>
      <c r="T23" s="3385"/>
    </row>
    <row r="25" spans="1:22">
      <c r="A25" s="335" t="s">
        <v>1434</v>
      </c>
      <c r="B25" s="335" t="s">
        <v>1435</v>
      </c>
    </row>
    <row r="26" spans="1:22">
      <c r="A26" s="335" t="s">
        <v>1554</v>
      </c>
      <c r="B26" s="335" t="s">
        <v>1550</v>
      </c>
      <c r="D26" s="2196" t="s">
        <v>1442</v>
      </c>
    </row>
  </sheetData>
  <mergeCells count="9">
    <mergeCell ref="A1:V1"/>
    <mergeCell ref="A2:V2"/>
    <mergeCell ref="Q20:T23"/>
    <mergeCell ref="A18:D18"/>
    <mergeCell ref="A19:M19"/>
    <mergeCell ref="P18:R18"/>
    <mergeCell ref="A8:B8"/>
    <mergeCell ref="A7:D7"/>
    <mergeCell ref="A6:D6"/>
  </mergeCells>
  <phoneticPr fontId="0" type="noConversion"/>
  <pageMargins left="0.7" right="0.7" top="0.78740157499999996" bottom="0.78740157499999996" header="0.3" footer="0.3"/>
  <pageSetup paperSize="9" scale="49" fitToHeight="0" orientation="landscape" r:id="rId1"/>
  <headerFooter>
    <oddHeader xml:space="preserve">&amp;LVDV SUN Jahresschlussrechnung JJJJ&amp;R&amp;F
</oddHeader>
    <oddFooter>&amp;C&amp;P&amp;R&amp;A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O21"/>
  <sheetViews>
    <sheetView view="pageLayout" zoomScale="80" zoomScaleNormal="80" zoomScaleSheetLayoutView="80" zoomScalePageLayoutView="80" workbookViewId="0">
      <selection activeCell="B85" sqref="B85"/>
    </sheetView>
  </sheetViews>
  <sheetFormatPr baseColWidth="10" defaultColWidth="11.42578125" defaultRowHeight="12.75"/>
  <cols>
    <col min="1" max="1" width="10.28515625" style="140" customWidth="1"/>
    <col min="2" max="2" width="15.85546875" style="140" customWidth="1"/>
    <col min="3" max="3" width="8.140625" style="12" customWidth="1"/>
    <col min="4" max="4" width="22.42578125" style="141" hidden="1" customWidth="1"/>
    <col min="5" max="5" width="22" style="141" hidden="1" customWidth="1"/>
    <col min="6" max="6" width="6" style="12" hidden="1" customWidth="1"/>
    <col min="7" max="7" width="14.140625" style="141" hidden="1" customWidth="1"/>
    <col min="8" max="11" width="4.7109375" style="12" customWidth="1"/>
    <col min="12" max="12" width="52.85546875" style="133" customWidth="1"/>
    <col min="13" max="13" width="11.140625" style="12" customWidth="1"/>
    <col min="14" max="14" width="25" style="140" customWidth="1"/>
    <col min="15" max="15" width="56.140625" style="12" customWidth="1"/>
    <col min="16" max="16384" width="11.42578125" style="12"/>
  </cols>
  <sheetData>
    <row r="1" spans="1:15" ht="20.25">
      <c r="A1" s="3364" t="s">
        <v>1509</v>
      </c>
      <c r="B1" s="3364"/>
      <c r="C1" s="3364"/>
      <c r="D1" s="3364"/>
      <c r="E1" s="3364"/>
      <c r="F1" s="3364"/>
      <c r="G1" s="3364"/>
      <c r="H1" s="3364"/>
      <c r="I1" s="3364"/>
      <c r="J1" s="3364"/>
      <c r="K1" s="3364"/>
      <c r="L1" s="3364"/>
      <c r="M1" s="3364"/>
      <c r="N1" s="3364"/>
    </row>
    <row r="2" spans="1:15" s="139" customFormat="1" ht="18">
      <c r="A2" s="3216" t="str">
        <f>'1a_Leistungsvolumen'!A2</f>
        <v>Monat JJJJ</v>
      </c>
      <c r="B2" s="3216"/>
      <c r="C2" s="3216"/>
      <c r="D2" s="3216"/>
      <c r="E2" s="3216"/>
      <c r="F2" s="3216"/>
      <c r="G2" s="3216"/>
      <c r="H2" s="3216"/>
      <c r="I2" s="3216"/>
      <c r="J2" s="3216"/>
      <c r="K2" s="3216"/>
      <c r="L2" s="3216"/>
      <c r="M2" s="3216"/>
      <c r="N2" s="3216"/>
    </row>
    <row r="3" spans="1:15" s="139" customFormat="1" ht="18.75" thickBot="1">
      <c r="A3" s="469"/>
      <c r="B3" s="469"/>
      <c r="C3" s="469"/>
      <c r="D3" s="469"/>
      <c r="E3" s="469"/>
      <c r="F3" s="469"/>
      <c r="G3" s="469"/>
      <c r="H3" s="469"/>
      <c r="I3" s="469"/>
      <c r="J3" s="469"/>
      <c r="K3" s="469"/>
      <c r="L3" s="469"/>
      <c r="M3" s="469"/>
      <c r="N3" s="469"/>
    </row>
    <row r="4" spans="1:15" ht="181.5" customHeight="1" thickBot="1">
      <c r="A4" s="493" t="s">
        <v>157</v>
      </c>
      <c r="B4" s="176" t="s">
        <v>125</v>
      </c>
      <c r="C4" s="4" t="s">
        <v>162</v>
      </c>
      <c r="D4" s="29" t="s">
        <v>163</v>
      </c>
      <c r="E4" s="29" t="s">
        <v>164</v>
      </c>
      <c r="F4" s="143" t="s">
        <v>165</v>
      </c>
      <c r="G4" s="29" t="s">
        <v>166</v>
      </c>
      <c r="H4" s="491" t="s">
        <v>820</v>
      </c>
      <c r="I4" s="491" t="s">
        <v>458</v>
      </c>
      <c r="J4" s="491" t="s">
        <v>459</v>
      </c>
      <c r="K4" s="491" t="s">
        <v>460</v>
      </c>
      <c r="L4" s="56" t="s">
        <v>177</v>
      </c>
      <c r="M4" s="4" t="s">
        <v>181</v>
      </c>
      <c r="N4" s="494" t="s">
        <v>176</v>
      </c>
      <c r="O4" s="124" t="s">
        <v>464</v>
      </c>
    </row>
    <row r="5" spans="1:15" ht="17.25" customHeight="1">
      <c r="A5" s="495">
        <v>1</v>
      </c>
      <c r="B5" s="496">
        <v>45750</v>
      </c>
      <c r="C5" s="497" t="s">
        <v>455</v>
      </c>
      <c r="D5" s="498"/>
      <c r="E5" s="498"/>
      <c r="F5" s="499"/>
      <c r="G5" s="498"/>
      <c r="H5" s="500">
        <v>1</v>
      </c>
      <c r="I5" s="500"/>
      <c r="J5" s="500"/>
      <c r="K5" s="500"/>
      <c r="L5" s="501" t="s">
        <v>465</v>
      </c>
      <c r="M5" s="500"/>
      <c r="N5" s="496">
        <v>45752</v>
      </c>
      <c r="O5" s="502" t="s">
        <v>467</v>
      </c>
    </row>
    <row r="6" spans="1:15" ht="17.25" customHeight="1">
      <c r="A6" s="503">
        <v>2</v>
      </c>
      <c r="B6" s="149">
        <v>45750</v>
      </c>
      <c r="C6" s="410" t="s">
        <v>456</v>
      </c>
      <c r="D6" s="147"/>
      <c r="E6" s="147"/>
      <c r="F6" s="148"/>
      <c r="G6" s="147"/>
      <c r="H6" s="114"/>
      <c r="I6" s="114"/>
      <c r="J6" s="114"/>
      <c r="K6" s="114">
        <v>1</v>
      </c>
      <c r="L6" s="239" t="s">
        <v>463</v>
      </c>
      <c r="M6" s="114"/>
      <c r="N6" s="149">
        <v>45755</v>
      </c>
      <c r="O6" s="504" t="s">
        <v>467</v>
      </c>
    </row>
    <row r="7" spans="1:15" ht="17.25" customHeight="1">
      <c r="A7" s="503">
        <v>3</v>
      </c>
      <c r="B7" s="149">
        <v>45749</v>
      </c>
      <c r="C7" s="410" t="s">
        <v>457</v>
      </c>
      <c r="D7" s="147"/>
      <c r="E7" s="147"/>
      <c r="F7" s="148"/>
      <c r="G7" s="147"/>
      <c r="H7" s="114"/>
      <c r="I7" s="114">
        <v>1</v>
      </c>
      <c r="J7" s="114"/>
      <c r="K7" s="114"/>
      <c r="L7" s="239" t="s">
        <v>462</v>
      </c>
      <c r="M7" s="149">
        <v>45752</v>
      </c>
      <c r="N7" s="149">
        <v>45772</v>
      </c>
      <c r="O7" s="504" t="s">
        <v>466</v>
      </c>
    </row>
    <row r="8" spans="1:15" ht="17.25" customHeight="1">
      <c r="A8" s="503"/>
      <c r="B8" s="149"/>
      <c r="C8" s="114"/>
      <c r="D8" s="147"/>
      <c r="E8" s="147"/>
      <c r="F8" s="148"/>
      <c r="G8" s="147"/>
      <c r="H8" s="114"/>
      <c r="I8" s="114"/>
      <c r="J8" s="114"/>
      <c r="K8" s="114"/>
      <c r="L8" s="129"/>
      <c r="M8" s="114"/>
      <c r="N8" s="149"/>
      <c r="O8" s="130"/>
    </row>
    <row r="9" spans="1:15" ht="17.25" customHeight="1">
      <c r="A9" s="503"/>
      <c r="B9" s="149"/>
      <c r="C9" s="114"/>
      <c r="D9" s="147"/>
      <c r="E9" s="147"/>
      <c r="F9" s="148"/>
      <c r="G9" s="147"/>
      <c r="H9" s="114"/>
      <c r="I9" s="114"/>
      <c r="J9" s="114"/>
      <c r="K9" s="114"/>
      <c r="L9" s="129"/>
      <c r="M9" s="114"/>
      <c r="N9" s="149"/>
      <c r="O9" s="130"/>
    </row>
    <row r="10" spans="1:15" ht="17.25" customHeight="1">
      <c r="A10" s="503"/>
      <c r="B10" s="149"/>
      <c r="C10" s="114"/>
      <c r="D10" s="147"/>
      <c r="E10" s="147"/>
      <c r="F10" s="148"/>
      <c r="G10" s="147"/>
      <c r="H10" s="114"/>
      <c r="I10" s="114"/>
      <c r="J10" s="114"/>
      <c r="K10" s="114"/>
      <c r="L10" s="129"/>
      <c r="M10" s="114"/>
      <c r="N10" s="149"/>
      <c r="O10" s="130"/>
    </row>
    <row r="11" spans="1:15" ht="17.25" customHeight="1" thickBot="1">
      <c r="A11" s="505"/>
      <c r="B11" s="24"/>
      <c r="C11" s="23"/>
      <c r="D11" s="154"/>
      <c r="E11" s="154"/>
      <c r="F11" s="26"/>
      <c r="G11" s="154"/>
      <c r="H11" s="23"/>
      <c r="I11" s="23"/>
      <c r="J11" s="23"/>
      <c r="K11" s="23"/>
      <c r="L11" s="131"/>
      <c r="M11" s="23"/>
      <c r="N11" s="24"/>
      <c r="O11" s="138"/>
    </row>
    <row r="12" spans="1:15" s="81" customFormat="1" ht="22.5" customHeight="1" thickBot="1">
      <c r="A12" s="3443" t="s">
        <v>172</v>
      </c>
      <c r="B12" s="3444"/>
      <c r="C12" s="3444"/>
      <c r="D12" s="3444"/>
      <c r="E12" s="3444"/>
      <c r="F12" s="3444"/>
      <c r="G12" s="3444"/>
      <c r="H12" s="492">
        <f>SUM(H5:H11)</f>
        <v>1</v>
      </c>
      <c r="I12" s="182">
        <f>SUM(I5:I11)</f>
        <v>1</v>
      </c>
      <c r="J12" s="182">
        <f>SUM(J5:J11)</f>
        <v>0</v>
      </c>
      <c r="K12" s="182">
        <f>SUM(K5:K11)</f>
        <v>1</v>
      </c>
      <c r="L12" s="3445"/>
      <c r="M12" s="3446"/>
      <c r="N12" s="3446"/>
    </row>
    <row r="13" spans="1:15" s="81" customFormat="1" ht="21.75" customHeight="1" thickBot="1">
      <c r="A13" s="3447" t="s">
        <v>461</v>
      </c>
      <c r="B13" s="3448"/>
      <c r="C13" s="3448"/>
      <c r="D13" s="3448"/>
      <c r="E13" s="3448"/>
      <c r="F13" s="3448"/>
      <c r="G13" s="3448"/>
      <c r="H13" s="3448"/>
      <c r="I13" s="3448"/>
      <c r="J13" s="3449"/>
      <c r="K13" s="183">
        <f>SUM(H12:K12)</f>
        <v>3</v>
      </c>
      <c r="L13" s="488"/>
      <c r="M13" s="489"/>
      <c r="N13" s="490"/>
    </row>
    <row r="14" spans="1:15" ht="13.15" customHeight="1">
      <c r="M14" s="3346" t="s">
        <v>239</v>
      </c>
      <c r="N14" s="3346"/>
    </row>
    <row r="15" spans="1:15">
      <c r="A15" s="194" t="s">
        <v>219</v>
      </c>
      <c r="B15" s="195" t="s">
        <v>224</v>
      </c>
      <c r="C15" s="388"/>
      <c r="D15" s="388"/>
      <c r="E15" s="388"/>
      <c r="F15" s="7"/>
      <c r="G15" s="7"/>
      <c r="M15" s="3346"/>
      <c r="N15" s="3346"/>
    </row>
    <row r="16" spans="1:15">
      <c r="B16" s="195" t="s">
        <v>1645</v>
      </c>
      <c r="M16" s="3346"/>
      <c r="N16" s="3346"/>
    </row>
    <row r="21" spans="12:12">
      <c r="L21" s="433"/>
    </row>
  </sheetData>
  <sheetProtection algorithmName="SHA-512" hashValue="qLfsYicsXViX73YCEZ3KZHU75dTWzKaBJAnghBr3++gDdGz9r7hBTPez3YNBqAgtiTdiPiR+15pr9taaHQ9/uw==" saltValue="76O9di7VayDIfdbuP27z7Q==" spinCount="100000" sheet="1" objects="1" scenarios="1"/>
  <mergeCells count="6">
    <mergeCell ref="A1:N1"/>
    <mergeCell ref="A2:N2"/>
    <mergeCell ref="A12:G12"/>
    <mergeCell ref="L12:N12"/>
    <mergeCell ref="M14:N16"/>
    <mergeCell ref="A13:J13"/>
  </mergeCells>
  <pageMargins left="0.7" right="0.7" top="0.78740157499999996" bottom="0.78740157499999996" header="0.3" footer="0.3"/>
  <pageSetup paperSize="9" scale="63" fitToHeight="0" orientation="landscape" r:id="rId1"/>
  <headerFooter>
    <oddHeader>&amp;LVDV SUN Jahresschlussrechnung JJJJ&amp;R&amp;F</oddHeader>
    <oddFooter>&amp;C&amp;P&amp;R&amp;A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70C0"/>
  </sheetPr>
  <dimension ref="A1:P53"/>
  <sheetViews>
    <sheetView view="pageLayout" zoomScale="70" zoomScaleNormal="80" zoomScaleSheetLayoutView="80" zoomScalePageLayoutView="70" workbookViewId="0">
      <selection activeCell="M9" sqref="M9"/>
    </sheetView>
  </sheetViews>
  <sheetFormatPr baseColWidth="10" defaultRowHeight="12.75"/>
  <cols>
    <col min="1" max="1" width="19.140625" style="28" customWidth="1"/>
    <col min="2" max="2" width="50.85546875" style="28" customWidth="1"/>
    <col min="3" max="3" width="13.85546875" style="28" customWidth="1"/>
    <col min="4" max="4" width="14" style="28" customWidth="1"/>
    <col min="5" max="5" width="14.28515625" style="28" customWidth="1"/>
    <col min="6" max="6" width="10.85546875" customWidth="1"/>
    <col min="7" max="7" width="9.140625" bestFit="1" customWidth="1"/>
    <col min="8" max="8" width="8.7109375" style="2" bestFit="1" customWidth="1"/>
    <col min="9" max="9" width="8.7109375" bestFit="1" customWidth="1"/>
    <col min="10" max="10" width="17.5703125" customWidth="1"/>
    <col min="11" max="11" width="16.42578125" customWidth="1"/>
    <col min="12" max="12" width="15.5703125" customWidth="1"/>
  </cols>
  <sheetData>
    <row r="1" spans="1:16" s="1" customFormat="1" ht="18">
      <c r="A1" s="3036" t="s">
        <v>1510</v>
      </c>
      <c r="B1" s="3036"/>
      <c r="C1" s="3036"/>
      <c r="D1" s="3036"/>
      <c r="E1" s="3036"/>
      <c r="F1" s="3036"/>
      <c r="G1" s="3036"/>
      <c r="H1" s="3036"/>
      <c r="I1" s="3036"/>
      <c r="J1" s="3036"/>
    </row>
    <row r="2" spans="1:16" s="1" customFormat="1" ht="18.75" thickBot="1">
      <c r="A2" s="3052" t="str">
        <f>'1a_Leistungsvolumen'!A2</f>
        <v>Monat JJJJ</v>
      </c>
      <c r="B2" s="3052"/>
      <c r="C2" s="3052"/>
      <c r="D2" s="3052"/>
      <c r="E2" s="3052"/>
      <c r="F2" s="3052"/>
      <c r="G2" s="3052"/>
      <c r="H2" s="3052"/>
      <c r="I2" s="3052"/>
      <c r="J2" s="3052"/>
      <c r="K2" s="468"/>
      <c r="L2" s="468"/>
      <c r="M2" s="468"/>
      <c r="N2" s="468"/>
      <c r="O2" s="468"/>
      <c r="P2" s="468"/>
    </row>
    <row r="3" spans="1:16" s="1" customFormat="1" ht="39" thickBot="1">
      <c r="A3" s="76"/>
      <c r="B3" s="77"/>
      <c r="C3" s="1566" t="s">
        <v>743</v>
      </c>
      <c r="D3" s="1884" t="s">
        <v>1526</v>
      </c>
      <c r="E3" s="1884" t="s">
        <v>1527</v>
      </c>
      <c r="F3" s="1884" t="s">
        <v>1552</v>
      </c>
      <c r="G3" s="1884" t="s">
        <v>1551</v>
      </c>
      <c r="H3" s="1884" t="s">
        <v>1528</v>
      </c>
      <c r="I3" s="1884" t="s">
        <v>1666</v>
      </c>
      <c r="J3" s="1884" t="s">
        <v>1553</v>
      </c>
      <c r="K3" s="1167"/>
      <c r="L3" s="1167"/>
      <c r="M3" s="1167"/>
      <c r="N3" s="1167"/>
      <c r="O3" s="1167"/>
      <c r="P3" s="1167"/>
    </row>
    <row r="4" spans="1:16" s="1" customFormat="1" ht="18.75" thickBot="1">
      <c r="A4" s="76"/>
      <c r="B4" s="77"/>
      <c r="C4" s="2466">
        <f>SUM($D$4:$J$4)</f>
        <v>1.0000001000000001</v>
      </c>
      <c r="D4" s="3016">
        <f>'1a_Leistungsvolumen'!$C$93</f>
        <v>9.7772999999999992E-3</v>
      </c>
      <c r="E4" s="3016">
        <f>'1a_Leistungsvolumen'!$D$93</f>
        <v>0.1214701</v>
      </c>
      <c r="F4" s="3016">
        <f>'1a_Leistungsvolumen'!$E$93</f>
        <v>6.2115400000000001E-2</v>
      </c>
      <c r="G4" s="3016">
        <f>'1a_Leistungsvolumen'!$F$93</f>
        <v>0.54540759999999999</v>
      </c>
      <c r="H4" s="3016">
        <f>'1a_Leistungsvolumen'!$G$93</f>
        <v>0.22948180000000001</v>
      </c>
      <c r="I4" s="3016">
        <f>'1a_Leistungsvolumen'!$H$93</f>
        <v>2.9332299999999999E-2</v>
      </c>
      <c r="J4" s="3016">
        <f>'1a_Leistungsvolumen'!$I$93</f>
        <v>2.4156E-3</v>
      </c>
      <c r="K4" s="1930"/>
      <c r="L4" s="1930"/>
      <c r="M4" s="3017" t="s">
        <v>1706</v>
      </c>
      <c r="N4" s="1930"/>
      <c r="O4" s="1930"/>
      <c r="P4" s="1930"/>
    </row>
    <row r="5" spans="1:16" ht="27.75" customHeight="1" thickBot="1">
      <c r="A5" s="3323" t="s">
        <v>1069</v>
      </c>
      <c r="B5" s="3450"/>
      <c r="C5" s="1845">
        <v>100</v>
      </c>
      <c r="D5" s="2250"/>
      <c r="E5" s="2251"/>
      <c r="F5" s="2250"/>
      <c r="G5" s="2250"/>
      <c r="H5" s="2252"/>
      <c r="I5" s="2252"/>
      <c r="J5" s="2252"/>
    </row>
    <row r="6" spans="1:16" ht="23.25" customHeight="1" thickBot="1">
      <c r="A6" s="3451" t="s">
        <v>1220</v>
      </c>
      <c r="B6" s="3450"/>
      <c r="C6" s="2087">
        <f>$K$21</f>
        <v>0.19503682963604663</v>
      </c>
      <c r="D6" s="2253"/>
      <c r="E6" s="2254"/>
      <c r="F6" s="2250"/>
      <c r="G6" s="2250"/>
      <c r="H6" s="2252"/>
      <c r="I6" s="2252"/>
      <c r="J6" s="2252"/>
    </row>
    <row r="7" spans="1:16" ht="23.25" customHeight="1" thickBot="1">
      <c r="A7" s="3210" t="s">
        <v>201</v>
      </c>
      <c r="B7" s="3450"/>
      <c r="C7" s="1564">
        <f>$L$21</f>
        <v>1950.3682963604663</v>
      </c>
      <c r="D7" s="2088">
        <f>$C$7*$D$4</f>
        <v>19.069335944005186</v>
      </c>
      <c r="E7" s="2089">
        <f>$C$7*$E$4</f>
        <v>236.91143199573548</v>
      </c>
      <c r="F7" s="2090">
        <f>$C$7*$F$4</f>
        <v>121.14790687574892</v>
      </c>
      <c r="G7" s="2090">
        <f>$C$7*$G$4</f>
        <v>1063.7456916340507</v>
      </c>
      <c r="H7" s="2090">
        <f>$C$7*$H$4</f>
        <v>447.57402731173329</v>
      </c>
      <c r="I7" s="2090">
        <f>$C$7*$I$4</f>
        <v>57.208787979334105</v>
      </c>
      <c r="J7" s="2467">
        <f>$C$7*$J$4</f>
        <v>4.7113096566883419</v>
      </c>
    </row>
    <row r="8" spans="1:16" ht="23.25" customHeight="1" thickBot="1"/>
    <row r="9" spans="1:16" s="6" customFormat="1" ht="108" customHeight="1" thickBot="1">
      <c r="A9" s="40" t="s">
        <v>0</v>
      </c>
      <c r="B9" s="2499" t="s">
        <v>1</v>
      </c>
      <c r="C9" s="2504" t="s">
        <v>1261</v>
      </c>
      <c r="D9" s="1631" t="s">
        <v>1245</v>
      </c>
      <c r="E9" s="1631" t="s">
        <v>1260</v>
      </c>
      <c r="F9" s="1719" t="s">
        <v>1307</v>
      </c>
      <c r="G9" s="52" t="s">
        <v>1246</v>
      </c>
      <c r="H9" s="52" t="s">
        <v>1068</v>
      </c>
      <c r="I9" s="506" t="s">
        <v>469</v>
      </c>
      <c r="J9" s="52" t="s">
        <v>468</v>
      </c>
      <c r="K9" s="634" t="s">
        <v>470</v>
      </c>
      <c r="L9" s="1186" t="s">
        <v>1102</v>
      </c>
    </row>
    <row r="10" spans="1:16" s="7" customFormat="1" ht="36.75" customHeight="1">
      <c r="A10" s="686" t="s">
        <v>1529</v>
      </c>
      <c r="B10" s="2500" t="s">
        <v>1540</v>
      </c>
      <c r="C10" s="2505">
        <v>1590</v>
      </c>
      <c r="D10" s="1630">
        <v>4</v>
      </c>
      <c r="E10" s="1630">
        <v>0</v>
      </c>
      <c r="F10" s="1721">
        <v>8</v>
      </c>
      <c r="G10" s="1233">
        <f>C10-D10-E10-F10</f>
        <v>1578</v>
      </c>
      <c r="H10" s="1234">
        <v>0.9</v>
      </c>
      <c r="I10" s="1233">
        <v>1258</v>
      </c>
      <c r="J10" s="1234">
        <f>I10/G10</f>
        <v>0.79721166032953106</v>
      </c>
      <c r="K10" s="1235">
        <f>IF(J10&gt;H10,0,H10-J10)</f>
        <v>0.10278833967046896</v>
      </c>
      <c r="L10" s="1236">
        <f>K10*100*$C$5</f>
        <v>1027.8833967046896</v>
      </c>
    </row>
    <row r="11" spans="1:16" s="7" customFormat="1">
      <c r="A11" s="201" t="s">
        <v>1530</v>
      </c>
      <c r="B11" s="2501" t="s">
        <v>1541</v>
      </c>
      <c r="C11" s="2506">
        <v>1170</v>
      </c>
      <c r="D11" s="684">
        <v>2</v>
      </c>
      <c r="E11" s="684">
        <v>0</v>
      </c>
      <c r="F11" s="1722">
        <v>4</v>
      </c>
      <c r="G11" s="1237">
        <f t="shared" ref="G11:G16" si="0">C11-D11-E11-F11</f>
        <v>1164</v>
      </c>
      <c r="H11" s="1238">
        <v>0.9</v>
      </c>
      <c r="I11" s="1237">
        <v>1100</v>
      </c>
      <c r="J11" s="1238">
        <f t="shared" ref="J11:J16" si="1">I11/G11</f>
        <v>0.94501718213058417</v>
      </c>
      <c r="K11" s="1239">
        <f t="shared" ref="K11:K16" si="2">IF(J11&gt;H11,0,H11-J11)</f>
        <v>0</v>
      </c>
      <c r="L11" s="1240">
        <f>K11*100*$C$5</f>
        <v>0</v>
      </c>
    </row>
    <row r="12" spans="1:16" s="2193" customFormat="1">
      <c r="A12" s="2497" t="s">
        <v>1531</v>
      </c>
      <c r="B12" s="2502" t="s">
        <v>1542</v>
      </c>
      <c r="C12" s="2507"/>
      <c r="D12" s="2459"/>
      <c r="E12" s="2459"/>
      <c r="F12" s="2296"/>
      <c r="G12" s="2460"/>
      <c r="H12" s="2461"/>
      <c r="I12" s="2460"/>
      <c r="J12" s="2461"/>
      <c r="K12" s="2464"/>
      <c r="L12" s="2465"/>
    </row>
    <row r="13" spans="1:16" s="7" customFormat="1" ht="18" customHeight="1">
      <c r="A13" s="201" t="s">
        <v>1532</v>
      </c>
      <c r="B13" s="2502" t="s">
        <v>1543</v>
      </c>
      <c r="C13" s="2507">
        <v>630</v>
      </c>
      <c r="D13" s="685">
        <v>1</v>
      </c>
      <c r="E13" s="685">
        <v>0</v>
      </c>
      <c r="F13" s="1722">
        <v>18</v>
      </c>
      <c r="G13" s="1241">
        <f t="shared" si="0"/>
        <v>611</v>
      </c>
      <c r="H13" s="1242">
        <v>0.9</v>
      </c>
      <c r="I13" s="1241">
        <v>577</v>
      </c>
      <c r="J13" s="1242">
        <f t="shared" si="1"/>
        <v>0.9443535188216039</v>
      </c>
      <c r="K13" s="1239">
        <f t="shared" si="2"/>
        <v>0</v>
      </c>
      <c r="L13" s="1240">
        <f t="shared" ref="L13:L16" si="3">K13*100*$C$5</f>
        <v>0</v>
      </c>
    </row>
    <row r="14" spans="1:16" s="7" customFormat="1" ht="18" customHeight="1">
      <c r="A14" s="201" t="s">
        <v>1533</v>
      </c>
      <c r="B14" s="2501" t="s">
        <v>1544</v>
      </c>
      <c r="C14" s="2506">
        <v>360</v>
      </c>
      <c r="D14" s="684">
        <v>0</v>
      </c>
      <c r="E14" s="684">
        <v>0</v>
      </c>
      <c r="F14" s="1722">
        <v>4</v>
      </c>
      <c r="G14" s="1237">
        <f t="shared" si="0"/>
        <v>356</v>
      </c>
      <c r="H14" s="1242">
        <v>0.9</v>
      </c>
      <c r="I14" s="1237">
        <v>289</v>
      </c>
      <c r="J14" s="1238">
        <f t="shared" si="1"/>
        <v>0.8117977528089888</v>
      </c>
      <c r="K14" s="1239">
        <f t="shared" si="2"/>
        <v>8.8202247191011218E-2</v>
      </c>
      <c r="L14" s="1240">
        <f t="shared" si="3"/>
        <v>882.02247191011213</v>
      </c>
    </row>
    <row r="15" spans="1:16" s="7" customFormat="1">
      <c r="A15" s="201" t="s">
        <v>1534</v>
      </c>
      <c r="B15" s="2501" t="s">
        <v>1542</v>
      </c>
      <c r="C15" s="2506">
        <v>1410</v>
      </c>
      <c r="D15" s="684">
        <v>1</v>
      </c>
      <c r="E15" s="684">
        <v>1</v>
      </c>
      <c r="F15" s="1722">
        <v>24</v>
      </c>
      <c r="G15" s="1237">
        <f t="shared" si="0"/>
        <v>1384</v>
      </c>
      <c r="H15" s="1242">
        <v>0.9</v>
      </c>
      <c r="I15" s="1237">
        <v>1240</v>
      </c>
      <c r="J15" s="1238">
        <f t="shared" si="1"/>
        <v>0.89595375722543358</v>
      </c>
      <c r="K15" s="1239">
        <f t="shared" si="2"/>
        <v>4.0462427745664442E-3</v>
      </c>
      <c r="L15" s="1240">
        <f t="shared" si="3"/>
        <v>40.462427745664442</v>
      </c>
    </row>
    <row r="16" spans="1:16" s="7" customFormat="1" ht="26.25" customHeight="1">
      <c r="A16" s="201" t="s">
        <v>1535</v>
      </c>
      <c r="B16" s="2501" t="s">
        <v>1545</v>
      </c>
      <c r="C16" s="2506">
        <v>1230</v>
      </c>
      <c r="D16" s="684">
        <v>6</v>
      </c>
      <c r="E16" s="684">
        <v>0</v>
      </c>
      <c r="F16" s="1722">
        <v>12</v>
      </c>
      <c r="G16" s="1237">
        <f t="shared" si="0"/>
        <v>1212</v>
      </c>
      <c r="H16" s="1242">
        <v>0.9</v>
      </c>
      <c r="I16" s="1237">
        <v>1200</v>
      </c>
      <c r="J16" s="1238">
        <f t="shared" si="1"/>
        <v>0.99009900990099009</v>
      </c>
      <c r="K16" s="1239">
        <f t="shared" si="2"/>
        <v>0</v>
      </c>
      <c r="L16" s="1240">
        <f t="shared" si="3"/>
        <v>0</v>
      </c>
    </row>
    <row r="17" spans="1:12" s="2344" customFormat="1" ht="18" customHeight="1">
      <c r="A17" s="2498" t="s">
        <v>1536</v>
      </c>
      <c r="B17" s="2502" t="s">
        <v>1546</v>
      </c>
      <c r="C17" s="2507"/>
      <c r="D17" s="2459"/>
      <c r="E17" s="2459"/>
      <c r="F17" s="2468"/>
      <c r="G17" s="2460"/>
      <c r="H17" s="2461"/>
      <c r="I17" s="2460"/>
      <c r="J17" s="2461"/>
      <c r="K17" s="2462"/>
      <c r="L17" s="2463"/>
    </row>
    <row r="18" spans="1:12" s="2344" customFormat="1" ht="18" customHeight="1">
      <c r="A18" s="2498" t="s">
        <v>1537</v>
      </c>
      <c r="B18" s="2502" t="s">
        <v>1547</v>
      </c>
      <c r="C18" s="2507"/>
      <c r="D18" s="2459"/>
      <c r="E18" s="2459"/>
      <c r="F18" s="2468"/>
      <c r="G18" s="2460"/>
      <c r="H18" s="2461"/>
      <c r="I18" s="2460"/>
      <c r="J18" s="2461"/>
      <c r="K18" s="2462"/>
      <c r="L18" s="2463"/>
    </row>
    <row r="19" spans="1:12" s="2344" customFormat="1" ht="18" customHeight="1">
      <c r="A19" s="2498" t="s">
        <v>1538</v>
      </c>
      <c r="B19" s="2502" t="s">
        <v>1548</v>
      </c>
      <c r="C19" s="2507"/>
      <c r="D19" s="2459"/>
      <c r="E19" s="2459"/>
      <c r="F19" s="2468"/>
      <c r="G19" s="2460"/>
      <c r="H19" s="2461"/>
      <c r="I19" s="2460"/>
      <c r="J19" s="2461"/>
      <c r="K19" s="2462"/>
      <c r="L19" s="2463"/>
    </row>
    <row r="20" spans="1:12" s="2344" customFormat="1" ht="18" customHeight="1">
      <c r="A20" s="2498" t="s">
        <v>1539</v>
      </c>
      <c r="B20" s="2502" t="s">
        <v>1549</v>
      </c>
      <c r="C20" s="2507"/>
      <c r="D20" s="2459"/>
      <c r="E20" s="2459"/>
      <c r="F20" s="2468"/>
      <c r="G20" s="2460"/>
      <c r="H20" s="2461"/>
      <c r="I20" s="2460"/>
      <c r="J20" s="2461"/>
      <c r="K20" s="2462"/>
      <c r="L20" s="2463"/>
    </row>
    <row r="21" spans="1:12" s="7" customFormat="1" ht="18" customHeight="1" thickBot="1">
      <c r="A21" s="870" t="s">
        <v>743</v>
      </c>
      <c r="B21" s="2503"/>
      <c r="C21" s="2508"/>
      <c r="D21" s="871"/>
      <c r="E21" s="871"/>
      <c r="F21" s="1720"/>
      <c r="G21" s="1243">
        <f>SUM(G10:G16)</f>
        <v>6305</v>
      </c>
      <c r="H21" s="1244"/>
      <c r="I21" s="1243">
        <f>SUM(I10:I16)</f>
        <v>5664</v>
      </c>
      <c r="J21" s="1244"/>
      <c r="K21" s="2509">
        <f>SUM(K10:K16)</f>
        <v>0.19503682963604663</v>
      </c>
      <c r="L21" s="1245">
        <f>SUM(L10:L16)</f>
        <v>1950.3682963604663</v>
      </c>
    </row>
    <row r="22" spans="1:12" s="7" customFormat="1" ht="18" customHeight="1">
      <c r="A22" s="42"/>
      <c r="B22" s="42"/>
      <c r="C22" s="42"/>
      <c r="D22" s="42"/>
      <c r="E22" s="42"/>
      <c r="H22" s="11"/>
      <c r="K22" s="1401"/>
    </row>
    <row r="23" spans="1:12" s="7" customFormat="1" ht="14.45" customHeight="1">
      <c r="A23" s="194" t="s">
        <v>219</v>
      </c>
      <c r="B23" s="195" t="s">
        <v>224</v>
      </c>
      <c r="C23" s="195"/>
      <c r="D23" s="195"/>
      <c r="E23" s="195"/>
      <c r="F23"/>
      <c r="G23"/>
      <c r="H23" s="2"/>
      <c r="I23" s="3056" t="s">
        <v>202</v>
      </c>
      <c r="J23" s="3057"/>
    </row>
    <row r="24" spans="1:12">
      <c r="A24" s="1702"/>
      <c r="B24" s="195" t="s">
        <v>1645</v>
      </c>
      <c r="C24" s="1702"/>
      <c r="D24" s="1702"/>
      <c r="E24" s="1702"/>
      <c r="F24" s="1703"/>
      <c r="G24" s="1703"/>
      <c r="I24" s="3057"/>
      <c r="J24" s="3057"/>
    </row>
    <row r="25" spans="1:12">
      <c r="D25" s="1714"/>
      <c r="E25" s="1714"/>
      <c r="F25" s="1715"/>
      <c r="G25" s="1703"/>
      <c r="I25" s="3057"/>
      <c r="J25" s="3057"/>
    </row>
    <row r="26" spans="1:12" ht="15">
      <c r="A26" s="335" t="s">
        <v>1434</v>
      </c>
      <c r="B26" s="335" t="s">
        <v>1435</v>
      </c>
      <c r="C26" s="1714"/>
      <c r="D26" s="1713"/>
      <c r="E26" s="1713"/>
      <c r="F26" s="1713"/>
      <c r="G26" s="1703"/>
      <c r="I26" s="3057"/>
      <c r="J26" s="3057"/>
    </row>
    <row r="27" spans="1:12" ht="14.25">
      <c r="A27" s="335" t="s">
        <v>1554</v>
      </c>
      <c r="B27" s="335" t="s">
        <v>1550</v>
      </c>
      <c r="C27" s="2196" t="s">
        <v>1442</v>
      </c>
      <c r="D27" s="1704"/>
      <c r="E27" s="1704"/>
      <c r="F27" s="1716"/>
      <c r="G27" s="1703"/>
      <c r="I27" s="3057"/>
      <c r="J27" s="3057"/>
    </row>
    <row r="28" spans="1:12">
      <c r="A28" s="1705"/>
      <c r="B28" s="1706"/>
      <c r="C28" s="1707"/>
      <c r="D28" s="1708"/>
      <c r="E28" s="1706"/>
      <c r="F28" s="1709"/>
      <c r="G28" s="1703"/>
      <c r="I28" s="3057"/>
      <c r="J28" s="3057"/>
    </row>
    <row r="29" spans="1:12">
      <c r="A29" s="1705"/>
      <c r="B29" s="1706"/>
      <c r="C29" s="1707"/>
      <c r="D29" s="1708"/>
      <c r="E29" s="1706"/>
      <c r="F29" s="1709"/>
      <c r="G29" s="1703"/>
    </row>
    <row r="30" spans="1:12">
      <c r="A30" s="1705"/>
      <c r="B30" s="1706"/>
      <c r="C30" s="1707"/>
      <c r="D30" s="1708"/>
      <c r="E30" s="1706"/>
      <c r="F30" s="1709"/>
      <c r="G30" s="1703"/>
    </row>
    <row r="31" spans="1:12">
      <c r="A31" s="1705"/>
      <c r="B31" s="1706"/>
      <c r="C31" s="1710"/>
      <c r="D31" s="1708"/>
      <c r="E31" s="1706"/>
      <c r="F31" s="1709"/>
      <c r="G31" s="1711"/>
      <c r="H31" s="388"/>
      <c r="I31" s="388"/>
      <c r="J31" s="388"/>
      <c r="K31" s="388"/>
    </row>
    <row r="32" spans="1:12">
      <c r="A32" s="1705"/>
      <c r="B32" s="1706"/>
      <c r="C32" s="1710"/>
      <c r="D32" s="1708"/>
      <c r="E32" s="1706"/>
      <c r="F32" s="1709"/>
      <c r="G32" s="1711"/>
      <c r="H32" s="388"/>
      <c r="I32" s="388"/>
      <c r="J32" s="388"/>
      <c r="K32" s="388"/>
    </row>
    <row r="33" spans="1:11">
      <c r="A33" s="1705"/>
      <c r="B33" s="1706"/>
      <c r="C33" s="1710"/>
      <c r="D33" s="1708"/>
      <c r="E33" s="1706"/>
      <c r="F33" s="1709"/>
      <c r="G33" s="1711"/>
      <c r="H33" s="388"/>
      <c r="I33" s="388"/>
      <c r="J33" s="388"/>
      <c r="K33" s="388"/>
    </row>
    <row r="34" spans="1:11">
      <c r="A34" s="1705"/>
      <c r="B34" s="1706"/>
      <c r="C34" s="1710"/>
      <c r="D34" s="1708"/>
      <c r="E34" s="1706"/>
      <c r="F34" s="1709"/>
      <c r="G34" s="1711"/>
      <c r="H34" s="388"/>
      <c r="I34" s="388"/>
      <c r="J34" s="388"/>
      <c r="K34" s="388"/>
    </row>
    <row r="35" spans="1:11">
      <c r="A35" s="1705"/>
      <c r="B35" s="1706"/>
      <c r="C35" s="1707"/>
      <c r="D35" s="1708"/>
      <c r="E35" s="1706"/>
      <c r="F35" s="1709"/>
      <c r="G35" s="1711"/>
      <c r="H35" s="388"/>
      <c r="I35" s="388"/>
      <c r="J35" s="388"/>
      <c r="K35" s="388"/>
    </row>
    <row r="36" spans="1:11">
      <c r="A36" s="1705"/>
      <c r="B36" s="1706"/>
      <c r="C36" s="1707"/>
      <c r="D36" s="1708"/>
      <c r="E36" s="1706"/>
      <c r="F36" s="1709"/>
      <c r="G36" s="1711"/>
      <c r="H36" s="388"/>
      <c r="I36" s="388"/>
      <c r="J36" s="388"/>
      <c r="K36" s="388"/>
    </row>
    <row r="37" spans="1:11">
      <c r="A37" s="1705"/>
      <c r="B37" s="1706"/>
      <c r="C37" s="1707"/>
      <c r="D37" s="1708"/>
      <c r="E37" s="1706"/>
      <c r="F37" s="1709"/>
      <c r="G37" s="1711"/>
      <c r="H37" s="388"/>
      <c r="I37" s="388"/>
      <c r="J37" s="388"/>
      <c r="K37" s="388"/>
    </row>
    <row r="38" spans="1:11">
      <c r="A38" s="1705"/>
      <c r="B38" s="1706"/>
      <c r="C38" s="1707"/>
      <c r="D38" s="1708"/>
      <c r="E38" s="1706"/>
      <c r="F38" s="1709"/>
      <c r="G38" s="1711"/>
      <c r="H38" s="388"/>
      <c r="I38" s="388"/>
      <c r="J38" s="388"/>
      <c r="K38" s="388"/>
    </row>
    <row r="39" spans="1:11">
      <c r="A39" s="1705"/>
      <c r="B39" s="1706"/>
      <c r="C39" s="1710"/>
      <c r="D39" s="1708"/>
      <c r="E39" s="1706"/>
      <c r="F39" s="1709"/>
      <c r="G39" s="1711"/>
      <c r="H39" s="388"/>
      <c r="I39" s="388"/>
      <c r="J39" s="388"/>
      <c r="K39" s="388"/>
    </row>
    <row r="40" spans="1:11">
      <c r="A40" s="1705"/>
      <c r="B40" s="1706"/>
      <c r="C40" s="1710"/>
      <c r="D40" s="1708"/>
      <c r="E40" s="1706"/>
      <c r="F40" s="1709"/>
      <c r="G40" s="1711"/>
      <c r="H40" s="388"/>
      <c r="I40" s="388"/>
      <c r="J40" s="388"/>
      <c r="K40" s="388"/>
    </row>
    <row r="41" spans="1:11">
      <c r="A41" s="1705"/>
      <c r="B41" s="1706"/>
      <c r="C41" s="1710"/>
      <c r="D41" s="1708"/>
      <c r="E41" s="1706"/>
      <c r="F41" s="1709"/>
      <c r="G41" s="1711"/>
      <c r="H41" s="388"/>
      <c r="I41" s="388"/>
      <c r="J41" s="388"/>
      <c r="K41" s="388"/>
    </row>
    <row r="42" spans="1:11">
      <c r="A42" s="1705"/>
      <c r="B42" s="1706"/>
      <c r="C42" s="1707"/>
      <c r="D42" s="1708"/>
      <c r="E42" s="1706"/>
      <c r="F42" s="1709"/>
      <c r="G42" s="1711"/>
      <c r="H42" s="388"/>
      <c r="I42" s="388"/>
      <c r="J42" s="388"/>
      <c r="K42" s="388"/>
    </row>
    <row r="43" spans="1:11">
      <c r="A43" s="1705"/>
      <c r="B43" s="1706"/>
      <c r="C43" s="1707"/>
      <c r="D43" s="1708"/>
      <c r="E43" s="1706"/>
      <c r="F43" s="1709"/>
      <c r="G43" s="1703"/>
      <c r="H43" s="388"/>
      <c r="I43" s="388"/>
      <c r="J43" s="388"/>
      <c r="K43" s="388"/>
    </row>
    <row r="44" spans="1:11">
      <c r="A44" s="1705"/>
      <c r="B44" s="1706"/>
      <c r="C44" s="1707"/>
      <c r="D44" s="1708"/>
      <c r="E44" s="1706"/>
      <c r="F44" s="1709"/>
      <c r="G44" s="1711"/>
      <c r="H44" s="388"/>
      <c r="I44" s="388"/>
      <c r="J44" s="388"/>
      <c r="K44" s="388"/>
    </row>
    <row r="45" spans="1:11">
      <c r="A45" s="1705"/>
      <c r="B45" s="1706"/>
      <c r="C45" s="1707"/>
      <c r="D45" s="1708"/>
      <c r="E45" s="1706"/>
      <c r="F45" s="1709"/>
      <c r="G45" s="1711"/>
      <c r="H45" s="388"/>
      <c r="I45" s="388"/>
      <c r="J45" s="388"/>
      <c r="K45" s="388"/>
    </row>
    <row r="46" spans="1:11">
      <c r="A46" s="1705"/>
      <c r="B46" s="1706"/>
      <c r="C46" s="1707"/>
      <c r="D46" s="1708"/>
      <c r="E46" s="1706"/>
      <c r="F46" s="1709"/>
      <c r="G46" s="1711"/>
      <c r="H46" s="388"/>
      <c r="I46" s="388"/>
      <c r="J46" s="388"/>
      <c r="K46" s="388"/>
    </row>
    <row r="47" spans="1:11">
      <c r="A47" s="1717"/>
      <c r="B47" s="1717"/>
      <c r="C47" s="1717"/>
      <c r="D47" s="1717"/>
      <c r="E47" s="1717"/>
      <c r="F47" s="1717"/>
      <c r="G47" s="1712"/>
      <c r="H47" s="388"/>
      <c r="I47" s="388"/>
      <c r="J47" s="388"/>
      <c r="K47" s="388"/>
    </row>
    <row r="48" spans="1:11">
      <c r="A48" s="1717"/>
      <c r="B48" s="1718"/>
      <c r="C48" s="1718"/>
      <c r="D48" s="1718"/>
      <c r="E48" s="1718"/>
      <c r="F48" s="1718"/>
      <c r="G48" s="1711"/>
      <c r="H48" s="388"/>
      <c r="I48" s="388"/>
      <c r="J48" s="388"/>
      <c r="K48" s="388"/>
    </row>
    <row r="49" spans="1:11">
      <c r="A49" s="1717"/>
      <c r="B49" s="1717"/>
      <c r="C49" s="1717"/>
      <c r="D49" s="1717"/>
      <c r="E49" s="1717"/>
      <c r="F49" s="1717"/>
      <c r="G49" s="1711"/>
      <c r="H49" s="388"/>
      <c r="I49" s="388"/>
      <c r="J49" s="388"/>
      <c r="K49" s="388"/>
    </row>
    <row r="50" spans="1:11">
      <c r="A50" s="444"/>
      <c r="B50" s="444"/>
      <c r="C50" s="444"/>
      <c r="D50" s="444"/>
      <c r="E50" s="444"/>
      <c r="F50" s="444"/>
      <c r="G50" s="388"/>
      <c r="H50" s="388"/>
      <c r="I50" s="388"/>
      <c r="J50" s="388"/>
      <c r="K50" s="388"/>
    </row>
    <row r="51" spans="1:11">
      <c r="A51" s="388"/>
      <c r="B51" s="388"/>
      <c r="C51" s="388"/>
      <c r="D51" s="388"/>
      <c r="E51" s="388"/>
      <c r="F51" s="388"/>
      <c r="G51" s="388"/>
      <c r="H51" s="388"/>
      <c r="I51" s="388"/>
      <c r="J51" s="388"/>
      <c r="K51" s="388"/>
    </row>
    <row r="52" spans="1:11">
      <c r="A52" s="388"/>
      <c r="B52" s="388"/>
      <c r="C52" s="388"/>
      <c r="D52" s="388"/>
      <c r="E52" s="388"/>
      <c r="F52" s="388"/>
      <c r="G52" s="388"/>
      <c r="H52" s="388"/>
      <c r="I52" s="388"/>
      <c r="J52" s="388"/>
      <c r="K52" s="388"/>
    </row>
    <row r="53" spans="1:11">
      <c r="A53" s="388"/>
      <c r="B53" s="388"/>
      <c r="C53" s="388"/>
      <c r="D53" s="388"/>
      <c r="E53" s="388"/>
      <c r="F53" s="388"/>
      <c r="G53" s="388"/>
      <c r="H53" s="388"/>
      <c r="I53" s="388"/>
      <c r="J53" s="388"/>
      <c r="K53" s="388"/>
    </row>
  </sheetData>
  <sheetProtection algorithmName="SHA-512" hashValue="0k9kDwe5IunaKUmpiihHRrCAHgqdiMK3pCQQLzJBTOu21zWW2FNCL50oRZgtGhQ7mubx7arlUK7Ys6Z2/b0otw==" saltValue="7nQY/q4AMFza0KY9NM5NzQ==" spinCount="100000" sheet="1" objects="1" scenarios="1"/>
  <mergeCells count="6">
    <mergeCell ref="A1:J1"/>
    <mergeCell ref="A2:J2"/>
    <mergeCell ref="I23:J28"/>
    <mergeCell ref="A5:B5"/>
    <mergeCell ref="A7:B7"/>
    <mergeCell ref="A6:B6"/>
  </mergeCells>
  <conditionalFormatting sqref="H22 I10:I21">
    <cfRule type="cellIs" dxfId="7" priority="1" stopIfTrue="1" operator="lessThan">
      <formula>95</formula>
    </cfRule>
  </conditionalFormatting>
  <pageMargins left="0.7" right="0.7" top="0.78740157499999996" bottom="0.78740157499999996" header="0.3" footer="0.3"/>
  <pageSetup paperSize="9" scale="63" fitToHeight="0" orientation="landscape" r:id="rId1"/>
  <headerFooter>
    <oddHeader>&amp;LVDV SUN Jahresschlussrechnung JJJJ&amp;R&amp;F</oddHeader>
    <oddFooter>&amp;C&amp;P&amp;R&amp;A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F3224-04CB-4ED0-8390-E97708040A0A}">
  <sheetPr>
    <tabColor rgb="FF0070C0"/>
  </sheetPr>
  <dimension ref="A1:G115"/>
  <sheetViews>
    <sheetView showGridLines="0" view="pageBreakPreview" zoomScale="80" zoomScaleNormal="100" zoomScaleSheetLayoutView="80" zoomScalePageLayoutView="80" workbookViewId="0">
      <selection activeCell="G10" sqref="G10"/>
    </sheetView>
  </sheetViews>
  <sheetFormatPr baseColWidth="10" defaultColWidth="11.42578125" defaultRowHeight="12.75"/>
  <cols>
    <col min="1" max="1" width="59" style="195" customWidth="1"/>
    <col min="2" max="2" width="15.5703125" style="195" customWidth="1"/>
    <col min="3" max="3" width="20.140625" style="195" customWidth="1"/>
    <col min="4" max="4" width="24.140625" style="195" customWidth="1"/>
    <col min="5" max="5" width="25.7109375" style="195" customWidth="1"/>
    <col min="6" max="6" width="2.5703125" style="195" customWidth="1"/>
    <col min="7" max="7" width="15.28515625" style="195" customWidth="1"/>
    <col min="8" max="16384" width="11.42578125" style="195"/>
  </cols>
  <sheetData>
    <row r="1" spans="1:7" ht="18">
      <c r="A1" s="2272" t="s">
        <v>1458</v>
      </c>
      <c r="B1" s="254"/>
      <c r="C1" s="369"/>
      <c r="D1" s="369"/>
      <c r="E1" s="255"/>
      <c r="F1" s="255"/>
      <c r="G1" s="342" t="s">
        <v>1674</v>
      </c>
    </row>
    <row r="2" spans="1:7" ht="15">
      <c r="A2" s="256"/>
      <c r="B2" s="257"/>
      <c r="C2" s="344" t="s">
        <v>1678</v>
      </c>
      <c r="D2" s="345">
        <v>6.5</v>
      </c>
      <c r="E2" s="257"/>
      <c r="F2" s="257"/>
      <c r="G2" s="370"/>
    </row>
    <row r="3" spans="1:7" ht="18">
      <c r="A3" s="258" t="s">
        <v>255</v>
      </c>
      <c r="B3" s="257"/>
      <c r="C3" s="257"/>
      <c r="D3" s="257"/>
      <c r="E3" s="370"/>
      <c r="F3" s="259" t="s">
        <v>256</v>
      </c>
      <c r="G3" s="371" t="str">
        <f>INHALT!$A$2&amp;" "&amp;INHALT!$B$2</f>
        <v>Monat JJJJ</v>
      </c>
    </row>
    <row r="4" spans="1:7">
      <c r="A4" s="369"/>
      <c r="B4" s="369"/>
      <c r="C4" s="369"/>
      <c r="D4" s="369"/>
      <c r="E4" s="369"/>
      <c r="F4" s="369"/>
      <c r="G4" s="372"/>
    </row>
    <row r="5" spans="1:7">
      <c r="A5" s="373" t="s">
        <v>257</v>
      </c>
      <c r="B5" s="373" t="s">
        <v>156</v>
      </c>
      <c r="C5" s="373" t="s">
        <v>258</v>
      </c>
      <c r="D5" s="373" t="s">
        <v>782</v>
      </c>
      <c r="E5" s="374" t="s">
        <v>201</v>
      </c>
      <c r="F5" s="3040"/>
      <c r="G5" s="3040"/>
    </row>
    <row r="6" spans="1:7" ht="6.75" customHeight="1" thickBot="1">
      <c r="A6" s="260"/>
      <c r="B6" s="260"/>
      <c r="C6" s="260"/>
      <c r="D6" s="260"/>
      <c r="E6" s="260"/>
      <c r="F6" s="257"/>
      <c r="G6" s="257"/>
    </row>
    <row r="7" spans="1:7" ht="16.5" thickBot="1">
      <c r="A7" s="261" t="s">
        <v>259</v>
      </c>
      <c r="B7" s="262"/>
      <c r="C7" s="262"/>
      <c r="D7" s="263"/>
      <c r="E7" s="264">
        <f>SUM(E9:E18)</f>
        <v>-207.52</v>
      </c>
      <c r="F7" s="729"/>
      <c r="G7" s="730"/>
    </row>
    <row r="8" spans="1:7" ht="5.85" customHeight="1" thickBot="1">
      <c r="A8" s="266"/>
      <c r="B8" s="267"/>
      <c r="C8" s="268"/>
      <c r="D8" s="269"/>
      <c r="E8" s="270"/>
      <c r="F8" s="731"/>
      <c r="G8" s="732"/>
    </row>
    <row r="9" spans="1:7" ht="13.5" thickBot="1">
      <c r="A9" s="272" t="s">
        <v>260</v>
      </c>
      <c r="B9" s="273">
        <f>'5_Planmäßige Zugausfälle '!B6</f>
        <v>62.884999999999998</v>
      </c>
      <c r="C9" s="274" t="s">
        <v>261</v>
      </c>
      <c r="D9" s="275">
        <f>$D$2*-1</f>
        <v>-6.5</v>
      </c>
      <c r="E9" s="276">
        <f>ROUND(D9*B9,2)</f>
        <v>-408.75</v>
      </c>
      <c r="F9" s="731"/>
      <c r="G9" s="732"/>
    </row>
    <row r="10" spans="1:7" ht="26.25" thickBot="1">
      <c r="A10" s="272" t="s">
        <v>1707</v>
      </c>
      <c r="B10" s="273">
        <f>'4_Operative Zugausfälle'!C11</f>
        <v>0</v>
      </c>
      <c r="C10" s="277" t="s">
        <v>262</v>
      </c>
      <c r="D10" s="275">
        <f>$D$2*-1</f>
        <v>-6.5</v>
      </c>
      <c r="E10" s="276">
        <f>ROUND(D10*B10,2)</f>
        <v>0</v>
      </c>
      <c r="F10" s="731"/>
      <c r="G10" s="2975" t="s">
        <v>1708</v>
      </c>
    </row>
    <row r="11" spans="1:7" ht="6.75" customHeight="1" thickBot="1">
      <c r="A11" s="272"/>
      <c r="B11" s="278"/>
      <c r="C11" s="277"/>
      <c r="D11" s="275"/>
      <c r="E11" s="276"/>
      <c r="F11" s="731"/>
      <c r="G11" s="732"/>
    </row>
    <row r="12" spans="1:7" ht="7.5" customHeight="1" thickBot="1">
      <c r="A12" s="272"/>
      <c r="B12" s="278"/>
      <c r="C12" s="277"/>
      <c r="D12" s="275"/>
      <c r="E12" s="276"/>
      <c r="F12" s="731"/>
      <c r="G12" s="732"/>
    </row>
    <row r="13" spans="1:7" ht="13.5" thickBot="1">
      <c r="A13" s="279" t="s">
        <v>263</v>
      </c>
      <c r="B13" s="273">
        <f>'4_Operative Zugausfälle'!C12</f>
        <v>0</v>
      </c>
      <c r="C13" s="274" t="s">
        <v>261</v>
      </c>
      <c r="D13" s="275">
        <v>4</v>
      </c>
      <c r="E13" s="276">
        <f>ROUND(D13*B13,2)</f>
        <v>0</v>
      </c>
      <c r="F13" s="731"/>
      <c r="G13" s="732"/>
    </row>
    <row r="14" spans="1:7" ht="12.75" customHeight="1" thickBot="1">
      <c r="A14" s="272" t="s">
        <v>264</v>
      </c>
      <c r="B14" s="273">
        <f>'5_Planmäßige Zugausfälle '!B8</f>
        <v>62.884999999999998</v>
      </c>
      <c r="C14" s="277" t="s">
        <v>262</v>
      </c>
      <c r="D14" s="275">
        <v>3.2</v>
      </c>
      <c r="E14" s="276">
        <f>ROUND(D14*B14,2)</f>
        <v>201.23</v>
      </c>
      <c r="F14" s="731"/>
      <c r="G14" s="732"/>
    </row>
    <row r="15" spans="1:7" ht="12.75" customHeight="1" thickBot="1">
      <c r="A15" s="1734" t="s">
        <v>1315</v>
      </c>
      <c r="B15" s="1735"/>
      <c r="C15" s="277" t="s">
        <v>262</v>
      </c>
      <c r="D15" s="275">
        <v>3.2</v>
      </c>
      <c r="E15" s="276">
        <f>ROUND(D15*B15,2)</f>
        <v>0</v>
      </c>
      <c r="F15" s="731"/>
      <c r="G15" s="732"/>
    </row>
    <row r="16" spans="1:7" ht="12.75" customHeight="1" thickBot="1">
      <c r="A16" s="272"/>
      <c r="B16" s="278"/>
      <c r="C16" s="274"/>
      <c r="D16" s="275"/>
      <c r="E16" s="276"/>
      <c r="F16" s="731"/>
      <c r="G16" s="732"/>
    </row>
    <row r="17" spans="1:7" ht="30" customHeight="1" thickBot="1">
      <c r="A17" s="1723" t="s">
        <v>1309</v>
      </c>
      <c r="B17" s="273"/>
      <c r="C17" s="274" t="s">
        <v>261</v>
      </c>
      <c r="D17" s="275">
        <v>-1</v>
      </c>
      <c r="E17" s="276">
        <f>ROUND(D17*B17,2)</f>
        <v>0</v>
      </c>
      <c r="F17" s="731"/>
      <c r="G17" s="732"/>
    </row>
    <row r="18" spans="1:7" ht="12.75" customHeight="1" thickBot="1">
      <c r="A18" s="272" t="s">
        <v>1308</v>
      </c>
      <c r="B18" s="273"/>
      <c r="C18" s="274" t="s">
        <v>261</v>
      </c>
      <c r="D18" s="275">
        <v>-1</v>
      </c>
      <c r="E18" s="276">
        <f>ROUND(D18*B18,2)</f>
        <v>0</v>
      </c>
      <c r="F18" s="729"/>
      <c r="G18" s="733"/>
    </row>
    <row r="19" spans="1:7" ht="5.85" customHeight="1" thickBot="1">
      <c r="A19" s="280"/>
      <c r="B19" s="281"/>
      <c r="C19" s="282"/>
      <c r="D19" s="283"/>
      <c r="E19" s="284"/>
      <c r="F19" s="731"/>
      <c r="G19" s="732"/>
    </row>
    <row r="20" spans="1:7" ht="16.5" thickBot="1">
      <c r="A20" s="261" t="s">
        <v>265</v>
      </c>
      <c r="B20" s="262"/>
      <c r="C20" s="262"/>
      <c r="D20" s="263"/>
      <c r="E20" s="264">
        <f>SUM(E22:E29)</f>
        <v>-107.54</v>
      </c>
      <c r="F20" s="729"/>
      <c r="G20" s="730"/>
    </row>
    <row r="21" spans="1:7" ht="11.25" customHeight="1" thickBot="1">
      <c r="A21" s="2639" t="s">
        <v>1327</v>
      </c>
      <c r="B21" s="267"/>
      <c r="C21" s="268"/>
      <c r="D21" s="285" t="s">
        <v>266</v>
      </c>
      <c r="E21" s="270"/>
      <c r="F21" s="731"/>
      <c r="G21" s="732"/>
    </row>
    <row r="22" spans="1:7" ht="18.75" thickBot="1">
      <c r="A22" s="2653" t="str">
        <f>'1a_Leistungsvolumen'!A14&amp;" "&amp;'1a_Leistungsvolumen'!B14</f>
        <v>RB 49 Ilmenau - Rennsteig</v>
      </c>
      <c r="B22" s="689">
        <f>'2a_Linienpünktlichkeit '!$E$13</f>
        <v>92.162162162162161</v>
      </c>
      <c r="C22" s="2789" t="s">
        <v>278</v>
      </c>
      <c r="D22" s="286">
        <f>('1a_Leistungsvolumen'!$I$29-'7_Statistik Zugausfälle'!$P$38)*'0b_Zsfsg. Thüringen O Los B'!$D$2</f>
        <v>7579</v>
      </c>
      <c r="E22" s="2224">
        <f>ROUND(IF($B$22&gt;95,0,IF($B$22&gt;85,(95-$B$22)*-0.005*$D$22,10*-0.005*$D$22)),2)</f>
        <v>-107.54</v>
      </c>
      <c r="F22" s="734"/>
      <c r="G22" s="735"/>
    </row>
    <row r="23" spans="1:7" ht="13.5" customHeight="1" thickBot="1">
      <c r="A23" s="2653"/>
      <c r="B23" s="689"/>
      <c r="C23" s="2821"/>
      <c r="D23" s="286"/>
      <c r="E23" s="2225"/>
      <c r="F23" s="734"/>
      <c r="G23" s="735"/>
    </row>
    <row r="24" spans="1:7" ht="13.5" customHeight="1" thickBot="1">
      <c r="A24" s="2653"/>
      <c r="B24" s="689"/>
      <c r="C24" s="2821"/>
      <c r="D24" s="286"/>
      <c r="E24" s="2225"/>
      <c r="F24" s="734"/>
      <c r="G24" s="735"/>
    </row>
    <row r="25" spans="1:7" ht="13.5" customHeight="1" thickBot="1">
      <c r="A25" s="2652" t="s">
        <v>792</v>
      </c>
      <c r="B25" s="689"/>
      <c r="C25" s="2821"/>
      <c r="D25" s="286"/>
      <c r="E25" s="2225"/>
      <c r="F25" s="734"/>
      <c r="G25" s="735"/>
    </row>
    <row r="26" spans="1:7" ht="13.5" customHeight="1" thickBot="1">
      <c r="A26" s="369"/>
      <c r="B26" s="689"/>
      <c r="C26" s="2821"/>
      <c r="D26" s="286"/>
      <c r="E26" s="2225"/>
      <c r="F26" s="734"/>
      <c r="G26" s="735"/>
    </row>
    <row r="27" spans="1:7" ht="13.5" customHeight="1" thickBot="1">
      <c r="A27" s="2653"/>
      <c r="B27" s="689"/>
      <c r="C27" s="2821"/>
      <c r="D27" s="286"/>
      <c r="E27" s="276"/>
      <c r="F27" s="734"/>
      <c r="G27" s="735"/>
    </row>
    <row r="28" spans="1:7" ht="4.5" customHeight="1" thickBot="1">
      <c r="B28" s="689"/>
      <c r="C28" s="274"/>
      <c r="D28" s="286"/>
      <c r="E28" s="276"/>
      <c r="F28" s="734"/>
      <c r="G28" s="735"/>
    </row>
    <row r="29" spans="1:7" ht="4.5" customHeight="1" thickBot="1">
      <c r="A29" s="272" t="str">
        <f>'1a_Leistungsvolumen'!A17&amp;" "&amp;'1a_Leistungsvolumen'!B17</f>
        <v xml:space="preserve"> </v>
      </c>
      <c r="B29" s="689"/>
      <c r="C29" s="274"/>
      <c r="D29" s="286"/>
      <c r="E29" s="276"/>
      <c r="F29" s="734"/>
      <c r="G29" s="735"/>
    </row>
    <row r="30" spans="1:7" ht="5.85" customHeight="1" thickBot="1">
      <c r="A30" s="287"/>
      <c r="B30" s="288"/>
      <c r="C30" s="289"/>
      <c r="D30" s="290"/>
      <c r="E30" s="271"/>
      <c r="F30" s="731"/>
      <c r="G30" s="732"/>
    </row>
    <row r="31" spans="1:7" ht="16.5" thickBot="1">
      <c r="A31" s="261" t="s">
        <v>1347</v>
      </c>
      <c r="B31" s="262"/>
      <c r="C31" s="262"/>
      <c r="D31" s="263"/>
      <c r="E31" s="264">
        <f>SUM(E33:E34)</f>
        <v>0</v>
      </c>
      <c r="F31" s="729"/>
      <c r="G31" s="730"/>
    </row>
    <row r="32" spans="1:7" ht="5.85" customHeight="1" thickBot="1">
      <c r="A32" s="287"/>
      <c r="B32" s="288"/>
      <c r="C32" s="289"/>
      <c r="D32" s="290"/>
      <c r="E32" s="271"/>
      <c r="F32" s="731"/>
      <c r="G32" s="728"/>
    </row>
    <row r="33" spans="1:7" ht="13.5" thickBot="1">
      <c r="A33" s="272" t="s">
        <v>691</v>
      </c>
      <c r="B33" s="273">
        <f>'1b_Mehr_Zusatzleistungen'!$B$17</f>
        <v>0</v>
      </c>
      <c r="C33" s="274" t="s">
        <v>261</v>
      </c>
      <c r="D33" s="275"/>
      <c r="E33" s="276">
        <f>'1b_Mehr_Zusatzleistungen'!$C$17</f>
        <v>0</v>
      </c>
      <c r="F33" s="729"/>
      <c r="G33" s="736"/>
    </row>
    <row r="34" spans="1:7" ht="13.5" thickBot="1">
      <c r="A34" s="287" t="s">
        <v>1339</v>
      </c>
      <c r="B34" s="273">
        <f>'1b_Mehr_Zusatzleistungen'!$B$18</f>
        <v>0</v>
      </c>
      <c r="C34" s="289" t="s">
        <v>261</v>
      </c>
      <c r="D34" s="290"/>
      <c r="E34" s="271">
        <f>'1b_Mehr_Zusatzleistungen'!$C$18</f>
        <v>0</v>
      </c>
      <c r="F34" s="731"/>
      <c r="G34" s="728"/>
    </row>
    <row r="35" spans="1:7" ht="16.5" thickBot="1">
      <c r="A35" s="261" t="s">
        <v>267</v>
      </c>
      <c r="B35" s="262"/>
      <c r="C35" s="262"/>
      <c r="D35" s="263"/>
      <c r="E35" s="264">
        <f>E37</f>
        <v>-5017.5</v>
      </c>
      <c r="F35" s="729"/>
      <c r="G35" s="730"/>
    </row>
    <row r="36" spans="1:7" ht="5.85" customHeight="1" thickBot="1">
      <c r="A36" s="266"/>
      <c r="B36" s="292"/>
      <c r="C36" s="268"/>
      <c r="D36" s="269"/>
      <c r="E36" s="270"/>
      <c r="F36" s="731"/>
      <c r="G36" s="728"/>
    </row>
    <row r="37" spans="1:7" ht="13.5" thickBot="1">
      <c r="A37" s="272" t="s">
        <v>268</v>
      </c>
      <c r="B37" s="273">
        <f>'9_Statistik Zugbildung'!$K$5</f>
        <v>3345</v>
      </c>
      <c r="C37" s="274" t="s">
        <v>261</v>
      </c>
      <c r="D37" s="341">
        <v>-1.5</v>
      </c>
      <c r="E37" s="276">
        <f>ROUND($D$37*B37,2)</f>
        <v>-5017.5</v>
      </c>
      <c r="F37" s="731"/>
      <c r="G37" s="728"/>
    </row>
    <row r="38" spans="1:7" ht="5.85" customHeight="1" thickBot="1">
      <c r="A38" s="280"/>
      <c r="B38" s="281"/>
      <c r="C38" s="282"/>
      <c r="D38" s="283"/>
      <c r="E38" s="284"/>
      <c r="F38" s="731"/>
      <c r="G38" s="728"/>
    </row>
    <row r="39" spans="1:7" ht="30.75" thickBot="1">
      <c r="A39" s="261" t="s">
        <v>1262</v>
      </c>
      <c r="B39" s="262"/>
      <c r="C39" s="262"/>
      <c r="D39" s="263"/>
      <c r="E39" s="264">
        <f>SUM(E41:E44)</f>
        <v>-3.9522349033200115</v>
      </c>
      <c r="F39" s="729"/>
      <c r="G39" s="730"/>
    </row>
    <row r="40" spans="1:7" ht="5.85" customHeight="1" thickBot="1">
      <c r="A40" s="294"/>
      <c r="B40" s="295"/>
      <c r="C40" s="296"/>
      <c r="D40" s="529"/>
      <c r="E40" s="297"/>
      <c r="F40" s="731"/>
      <c r="G40" s="728"/>
    </row>
    <row r="41" spans="1:7" ht="13.5" thickBot="1">
      <c r="A41" s="298" t="s">
        <v>1263</v>
      </c>
      <c r="B41" s="273">
        <f>'19a_Statistik_Kundenbetreuer '!$K$5</f>
        <v>0</v>
      </c>
      <c r="C41" s="527" t="s">
        <v>261</v>
      </c>
      <c r="D41" s="530">
        <v>-1</v>
      </c>
      <c r="E41" s="528">
        <f>ROUND($D$41*B41,2)</f>
        <v>0</v>
      </c>
      <c r="F41" s="731"/>
      <c r="G41" s="728"/>
    </row>
    <row r="42" spans="1:7" ht="13.5" thickBot="1">
      <c r="A42" s="1650" t="s">
        <v>1264</v>
      </c>
      <c r="B42" s="1651"/>
      <c r="C42" s="1652"/>
      <c r="D42" s="530">
        <v>-1</v>
      </c>
      <c r="E42" s="2840">
        <f>-'20_Statistik SiP'!$K$7</f>
        <v>-2.2613149033200117</v>
      </c>
      <c r="F42" s="731"/>
      <c r="G42" s="728"/>
    </row>
    <row r="43" spans="1:7" ht="13.5" thickBot="1">
      <c r="A43" s="1650" t="s">
        <v>1265</v>
      </c>
      <c r="B43" s="1654"/>
      <c r="C43" s="1652"/>
      <c r="D43" s="530"/>
      <c r="E43" s="1653">
        <f>-'19b_Aufgaben Zugpersonal'!$L$11</f>
        <v>-1.69092</v>
      </c>
      <c r="F43" s="731"/>
      <c r="G43" s="728"/>
    </row>
    <row r="44" spans="1:7" ht="13.5" thickBot="1">
      <c r="A44" s="532" t="s">
        <v>495</v>
      </c>
      <c r="B44" s="690"/>
      <c r="C44" s="526"/>
      <c r="D44" s="531"/>
      <c r="E44" s="746">
        <f>'22_zusätzl. Personale'!$J$8</f>
        <v>0</v>
      </c>
      <c r="F44" s="731"/>
      <c r="G44" s="728"/>
    </row>
    <row r="45" spans="1:7" ht="5.85" customHeight="1" thickBot="1">
      <c r="A45" s="299"/>
      <c r="B45" s="300"/>
      <c r="C45" s="301"/>
      <c r="D45" s="302"/>
      <c r="E45" s="303"/>
      <c r="F45" s="731"/>
      <c r="G45" s="728"/>
    </row>
    <row r="46" spans="1:7" ht="16.5" thickBot="1">
      <c r="A46" s="261" t="s">
        <v>280</v>
      </c>
      <c r="B46" s="262"/>
      <c r="C46" s="262"/>
      <c r="D46" s="263"/>
      <c r="E46" s="264">
        <f>SUM(E48:E49)</f>
        <v>-3.86496</v>
      </c>
      <c r="F46" s="737"/>
      <c r="G46" s="730"/>
    </row>
    <row r="47" spans="1:7" ht="5.85" customHeight="1" thickBot="1">
      <c r="A47" s="266"/>
      <c r="B47" s="304"/>
      <c r="C47" s="268"/>
      <c r="D47" s="305"/>
      <c r="E47" s="270"/>
      <c r="F47" s="727"/>
      <c r="G47" s="728"/>
    </row>
    <row r="48" spans="1:7" ht="13.5" thickBot="1">
      <c r="A48" s="272" t="s">
        <v>269</v>
      </c>
      <c r="B48" s="1814">
        <f>'23a_Schäden an Fahrzeugen'!$D$9</f>
        <v>1</v>
      </c>
      <c r="C48" s="293" t="s">
        <v>1685</v>
      </c>
      <c r="D48" s="349">
        <v>-100</v>
      </c>
      <c r="E48" s="2831">
        <f>-'23a_Schäden an Fahrzeugen'!$K$7</f>
        <v>-3.6234000000000002</v>
      </c>
      <c r="F48" s="727"/>
      <c r="G48" s="728"/>
    </row>
    <row r="49" spans="1:7" ht="13.5" thickBot="1">
      <c r="A49" s="272" t="s">
        <v>270</v>
      </c>
      <c r="B49" s="1814">
        <f>'23a_Schäden an Fahrzeugen'!$D$6</f>
        <v>3</v>
      </c>
      <c r="C49" s="343" t="s">
        <v>1685</v>
      </c>
      <c r="D49" s="349">
        <v>-500</v>
      </c>
      <c r="E49" s="2831">
        <f>-'23a_Schäden an Fahrzeugen'!$K$10</f>
        <v>-0.24156</v>
      </c>
      <c r="F49" s="727"/>
      <c r="G49" s="728"/>
    </row>
    <row r="50" spans="1:7" ht="15" customHeight="1">
      <c r="A50" s="747" t="s">
        <v>1684</v>
      </c>
      <c r="B50" s="534">
        <f>'23a_Schäden an Fahrzeugen'!$D$12</f>
        <v>21</v>
      </c>
      <c r="C50" s="535" t="s">
        <v>1685</v>
      </c>
      <c r="D50" s="535"/>
      <c r="E50" s="2842">
        <f>-'23a_Schäden an Fahrzeugen'!$K$13</f>
        <v>-2.5363799999999999</v>
      </c>
      <c r="F50" s="727"/>
      <c r="G50" s="728"/>
    </row>
    <row r="51" spans="1:7" ht="5.85" customHeight="1" thickBot="1">
      <c r="A51" s="747"/>
      <c r="B51" s="534"/>
      <c r="C51" s="535"/>
      <c r="D51" s="535"/>
      <c r="E51" s="748"/>
      <c r="F51" s="727"/>
      <c r="G51" s="728"/>
    </row>
    <row r="52" spans="1:7" ht="16.5" customHeight="1" thickBot="1">
      <c r="A52" s="261" t="s">
        <v>492</v>
      </c>
      <c r="B52" s="262"/>
      <c r="C52" s="262"/>
      <c r="D52" s="263"/>
      <c r="E52" s="264">
        <f>SUM(E55:E58)</f>
        <v>-3.6234000000000002</v>
      </c>
      <c r="F52" s="737"/>
      <c r="G52" s="730"/>
    </row>
    <row r="53" spans="1:7" ht="5.85" customHeight="1" thickBot="1">
      <c r="A53" s="266"/>
      <c r="B53" s="304"/>
      <c r="C53" s="268"/>
      <c r="D53" s="305"/>
      <c r="E53" s="270"/>
      <c r="F53" s="731"/>
      <c r="G53" s="728"/>
    </row>
    <row r="54" spans="1:7" ht="6.75" customHeight="1" thickBot="1">
      <c r="A54" s="539"/>
      <c r="B54" s="536"/>
      <c r="C54" s="533"/>
      <c r="D54" s="537"/>
      <c r="E54" s="297"/>
      <c r="F54" s="731"/>
      <c r="G54" s="728"/>
    </row>
    <row r="55" spans="1:7" ht="13.5" customHeight="1" thickBot="1">
      <c r="A55" s="272" t="s">
        <v>749</v>
      </c>
      <c r="B55" s="1814"/>
      <c r="C55" s="293" t="s">
        <v>493</v>
      </c>
      <c r="D55" s="538">
        <v>-300</v>
      </c>
      <c r="E55" s="2846">
        <f>-'24_Außenreinigung'!P8</f>
        <v>-2.89872</v>
      </c>
      <c r="F55" s="731"/>
      <c r="G55" s="728"/>
    </row>
    <row r="56" spans="1:7" ht="13.5" customHeight="1" thickBot="1">
      <c r="A56" s="272" t="s">
        <v>750</v>
      </c>
      <c r="B56" s="1814"/>
      <c r="C56" s="293" t="s">
        <v>493</v>
      </c>
      <c r="D56" s="538">
        <v>-300</v>
      </c>
      <c r="E56" s="2831">
        <f>-'25_Innenreinigung'!O8</f>
        <v>-0.72467999999999999</v>
      </c>
      <c r="F56" s="731"/>
      <c r="G56" s="728"/>
    </row>
    <row r="57" spans="1:7" ht="6" customHeight="1" thickBot="1">
      <c r="A57" s="272"/>
      <c r="B57" s="524"/>
      <c r="C57" s="293"/>
      <c r="D57" s="538"/>
      <c r="E57" s="276"/>
      <c r="F57" s="731"/>
      <c r="G57" s="728"/>
    </row>
    <row r="58" spans="1:7" ht="7.5" customHeight="1" thickBot="1">
      <c r="A58" s="272"/>
      <c r="B58" s="524"/>
      <c r="C58" s="343"/>
      <c r="D58" s="538"/>
      <c r="E58" s="276"/>
      <c r="F58" s="731"/>
      <c r="G58" s="728"/>
    </row>
    <row r="59" spans="1:7" ht="5.85" customHeight="1" thickBot="1">
      <c r="A59" s="361"/>
      <c r="B59" s="362"/>
      <c r="C59" s="363"/>
      <c r="D59" s="364"/>
      <c r="E59" s="365"/>
      <c r="F59" s="731"/>
      <c r="G59" s="728"/>
    </row>
    <row r="60" spans="1:7" ht="16.5" thickBot="1">
      <c r="A60" s="261" t="s">
        <v>490</v>
      </c>
      <c r="B60" s="262"/>
      <c r="C60" s="262"/>
      <c r="D60" s="262"/>
      <c r="E60" s="264">
        <f>SUM(E62:E67)</f>
        <v>0</v>
      </c>
      <c r="F60" s="729"/>
      <c r="G60" s="730"/>
    </row>
    <row r="61" spans="1:7" ht="5.85" customHeight="1" thickBot="1">
      <c r="A61" s="266"/>
      <c r="B61" s="267"/>
      <c r="C61" s="268"/>
      <c r="D61" s="305"/>
      <c r="E61" s="270"/>
      <c r="F61" s="731"/>
      <c r="G61" s="728"/>
    </row>
    <row r="62" spans="1:7" ht="13.5" thickBot="1">
      <c r="A62" s="307" t="s">
        <v>501</v>
      </c>
      <c r="B62" s="1814"/>
      <c r="C62" s="293" t="s">
        <v>271</v>
      </c>
      <c r="D62" s="349">
        <v>-300</v>
      </c>
      <c r="E62" s="276">
        <f>ROUND($D$62*B62,2)</f>
        <v>0</v>
      </c>
      <c r="F62" s="738"/>
      <c r="G62" s="732"/>
    </row>
    <row r="63" spans="1:7" ht="13.5" thickBot="1">
      <c r="A63" s="308" t="s">
        <v>502</v>
      </c>
      <c r="B63" s="1814"/>
      <c r="C63" s="309" t="s">
        <v>272</v>
      </c>
      <c r="D63" s="350">
        <v>-30</v>
      </c>
      <c r="E63" s="276">
        <f>ROUND($D$63*B63,2)</f>
        <v>0</v>
      </c>
      <c r="F63" s="738"/>
      <c r="G63" s="732"/>
    </row>
    <row r="64" spans="1:7" ht="13.5" thickBot="1">
      <c r="A64" s="308" t="s">
        <v>273</v>
      </c>
      <c r="B64" s="1814"/>
      <c r="C64" s="293" t="s">
        <v>271</v>
      </c>
      <c r="D64" s="351">
        <v>-100</v>
      </c>
      <c r="E64" s="276">
        <f>ROUND($D$64*B64,2)</f>
        <v>0</v>
      </c>
      <c r="F64" s="738"/>
      <c r="G64" s="732"/>
    </row>
    <row r="65" spans="1:7" ht="13.5" thickBot="1">
      <c r="A65" s="308" t="s">
        <v>1243</v>
      </c>
      <c r="B65" s="1814"/>
      <c r="C65" s="293" t="s">
        <v>271</v>
      </c>
      <c r="D65" s="351">
        <v>-100</v>
      </c>
      <c r="E65" s="276">
        <f>ROUND($D$65*B65,2)</f>
        <v>0</v>
      </c>
      <c r="F65" s="738"/>
      <c r="G65" s="732"/>
    </row>
    <row r="66" spans="1:7" ht="13.5" thickBot="1">
      <c r="A66" s="308" t="s">
        <v>689</v>
      </c>
      <c r="B66" s="1814"/>
      <c r="C66" s="293" t="s">
        <v>271</v>
      </c>
      <c r="D66" s="351">
        <v>-30</v>
      </c>
      <c r="E66" s="276">
        <f>ROUND($D$66*B66,2)</f>
        <v>0</v>
      </c>
      <c r="F66" s="738"/>
      <c r="G66" s="732"/>
    </row>
    <row r="67" spans="1:7" ht="5.85" customHeight="1" thickBot="1">
      <c r="A67" s="355"/>
      <c r="B67" s="1815"/>
      <c r="C67" s="357"/>
      <c r="D67" s="358"/>
      <c r="E67" s="359"/>
      <c r="F67" s="739"/>
      <c r="G67" s="740"/>
    </row>
    <row r="68" spans="1:7" ht="16.5" thickBot="1">
      <c r="A68" s="261" t="s">
        <v>491</v>
      </c>
      <c r="B68" s="311"/>
      <c r="C68" s="311"/>
      <c r="D68" s="311"/>
      <c r="E68" s="264">
        <f>SUM(E71:E83)</f>
        <v>0</v>
      </c>
      <c r="F68" s="741"/>
      <c r="G68" s="730"/>
    </row>
    <row r="69" spans="1:7" ht="12.75" customHeight="1" thickBot="1">
      <c r="A69" s="2640" t="s">
        <v>1327</v>
      </c>
      <c r="B69" s="312"/>
      <c r="C69" s="313"/>
      <c r="D69" s="314"/>
      <c r="E69" s="315"/>
      <c r="F69" s="742"/>
      <c r="G69" s="728"/>
    </row>
    <row r="70" spans="1:7" ht="13.5" thickBot="1">
      <c r="A70" s="316" t="s">
        <v>285</v>
      </c>
      <c r="B70" s="317"/>
      <c r="C70" s="289"/>
      <c r="D70" s="318"/>
      <c r="E70" s="271"/>
      <c r="F70" s="742"/>
      <c r="G70" s="728"/>
    </row>
    <row r="71" spans="1:7" ht="13.5" thickBot="1">
      <c r="A71" s="2653" t="str">
        <f t="shared" ref="A71:A73" si="0">A22</f>
        <v>RB 49 Ilmenau - Rennsteig</v>
      </c>
      <c r="B71" s="691"/>
      <c r="C71" s="274" t="s">
        <v>278</v>
      </c>
      <c r="D71" s="354">
        <f>ROUND(-100,2)</f>
        <v>-100</v>
      </c>
      <c r="E71" s="276">
        <f>ROUND($D$71*B71,2)</f>
        <v>0</v>
      </c>
      <c r="F71" s="738"/>
      <c r="G71" s="732"/>
    </row>
    <row r="72" spans="1:7" ht="13.5" thickBot="1">
      <c r="A72" s="2653">
        <f t="shared" si="0"/>
        <v>0</v>
      </c>
      <c r="B72" s="691"/>
      <c r="C72" s="274" t="s">
        <v>278</v>
      </c>
      <c r="D72" s="354">
        <f t="shared" ref="D72:D73" si="1">ROUND(-100,2)</f>
        <v>-100</v>
      </c>
      <c r="E72" s="276">
        <f>ROUND($D$72*B72,2)</f>
        <v>0</v>
      </c>
      <c r="F72" s="738"/>
      <c r="G72" s="732"/>
    </row>
    <row r="73" spans="1:7" ht="13.5" thickBot="1">
      <c r="A73" s="2653">
        <f t="shared" si="0"/>
        <v>0</v>
      </c>
      <c r="B73" s="691"/>
      <c r="C73" s="274" t="s">
        <v>278</v>
      </c>
      <c r="D73" s="354">
        <f t="shared" si="1"/>
        <v>-100</v>
      </c>
      <c r="E73" s="276">
        <f>ROUND($D$73*B73,2)</f>
        <v>0</v>
      </c>
      <c r="F73" s="738"/>
      <c r="G73" s="732"/>
    </row>
    <row r="74" spans="1:7" ht="13.5" thickBot="1">
      <c r="A74" s="2652" t="s">
        <v>792</v>
      </c>
      <c r="B74" s="691"/>
      <c r="C74" s="274"/>
      <c r="D74" s="354"/>
      <c r="E74" s="276"/>
      <c r="F74" s="738"/>
      <c r="G74" s="732"/>
    </row>
    <row r="75" spans="1:7" ht="13.5" thickBot="1">
      <c r="A75" s="2653"/>
      <c r="B75" s="691"/>
      <c r="C75" s="274"/>
      <c r="D75" s="354"/>
      <c r="E75" s="276"/>
      <c r="F75" s="738"/>
      <c r="G75" s="732"/>
    </row>
    <row r="76" spans="1:7" ht="13.5" thickBot="1">
      <c r="A76" s="2653"/>
      <c r="B76" s="691"/>
      <c r="C76" s="274"/>
      <c r="D76" s="354"/>
      <c r="E76" s="276"/>
      <c r="F76" s="738"/>
      <c r="G76" s="732"/>
    </row>
    <row r="77" spans="1:7" ht="13.5" thickBot="1">
      <c r="A77" s="272"/>
      <c r="B77" s="691"/>
      <c r="C77" s="274"/>
      <c r="D77" s="354"/>
      <c r="E77" s="276"/>
      <c r="F77" s="738"/>
      <c r="G77" s="732"/>
    </row>
    <row r="78" spans="1:7" ht="13.5" thickBot="1">
      <c r="A78" s="321" t="s">
        <v>274</v>
      </c>
      <c r="B78" s="691"/>
      <c r="C78" s="274"/>
      <c r="D78" s="354"/>
      <c r="E78" s="276"/>
      <c r="F78" s="738"/>
      <c r="G78" s="732"/>
    </row>
    <row r="79" spans="1:7" ht="5.85" customHeight="1" thickBot="1">
      <c r="A79" s="272"/>
      <c r="B79" s="319"/>
      <c r="C79" s="289"/>
      <c r="D79" s="320"/>
      <c r="E79" s="271"/>
      <c r="F79" s="731"/>
      <c r="G79" s="728"/>
    </row>
    <row r="80" spans="1:7" ht="13.5" customHeight="1" thickBot="1">
      <c r="A80" s="2655" t="s">
        <v>1327</v>
      </c>
      <c r="B80" s="319"/>
      <c r="C80" s="289"/>
      <c r="D80" s="320"/>
      <c r="E80" s="271"/>
      <c r="F80" s="731"/>
      <c r="G80" s="728"/>
    </row>
    <row r="81" spans="1:7" ht="13.5" thickBot="1">
      <c r="A81" s="323" t="s">
        <v>174</v>
      </c>
      <c r="B81" s="942"/>
      <c r="C81" s="301"/>
      <c r="D81" s="322"/>
      <c r="E81" s="2822"/>
      <c r="F81" s="731"/>
      <c r="G81" s="728"/>
    </row>
    <row r="82" spans="1:7" ht="13.5" thickBot="1">
      <c r="A82" s="325" t="s">
        <v>161</v>
      </c>
      <c r="B82" s="306"/>
      <c r="C82" s="324"/>
      <c r="D82" s="310"/>
      <c r="E82" s="2823"/>
      <c r="F82" s="743"/>
      <c r="G82" s="732"/>
    </row>
    <row r="83" spans="1:7" ht="13.5" thickBot="1">
      <c r="A83" s="1660"/>
      <c r="B83" s="1661"/>
      <c r="C83" s="324"/>
      <c r="D83" s="310"/>
      <c r="E83" s="2824"/>
      <c r="F83" s="743"/>
      <c r="G83" s="732"/>
    </row>
    <row r="84" spans="1:7" ht="13.5" thickBot="1">
      <c r="A84" s="1656"/>
      <c r="B84" s="1657"/>
      <c r="C84" s="324"/>
      <c r="D84" s="310"/>
      <c r="E84" s="2825"/>
      <c r="F84" s="743"/>
      <c r="G84" s="732"/>
    </row>
    <row r="85" spans="1:7" ht="5.85" customHeight="1" thickBot="1">
      <c r="A85" s="326"/>
      <c r="B85" s="327"/>
      <c r="C85" s="328"/>
      <c r="D85" s="329"/>
      <c r="E85" s="359"/>
      <c r="F85" s="731"/>
      <c r="G85" s="728"/>
    </row>
    <row r="86" spans="1:7" ht="15.75" customHeight="1" thickBot="1">
      <c r="A86" s="330" t="s">
        <v>275</v>
      </c>
      <c r="B86" s="331"/>
      <c r="C86" s="332"/>
      <c r="D86" s="332"/>
      <c r="E86" s="1655">
        <f>E68+E60+E52+E46+E39+E35+E31+E20+E7</f>
        <v>-5344.0005949033202</v>
      </c>
      <c r="F86" s="744"/>
      <c r="G86" s="730"/>
    </row>
    <row r="87" spans="1:7" ht="13.5" thickBot="1">
      <c r="A87" s="369"/>
      <c r="B87" s="369"/>
      <c r="C87" s="369"/>
      <c r="D87" s="369"/>
      <c r="E87" s="369"/>
      <c r="F87" s="333"/>
      <c r="G87" s="369"/>
    </row>
    <row r="88" spans="1:7" ht="16.5" thickBot="1">
      <c r="A88" s="261" t="s">
        <v>474</v>
      </c>
      <c r="B88" s="262"/>
      <c r="C88" s="262"/>
      <c r="D88" s="262"/>
      <c r="E88" s="265"/>
      <c r="F88" s="729"/>
    </row>
    <row r="89" spans="1:7" ht="6" customHeight="1" thickBot="1">
      <c r="A89" s="266"/>
      <c r="B89" s="267"/>
      <c r="C89" s="268"/>
      <c r="D89" s="305"/>
      <c r="E89" s="291"/>
      <c r="F89" s="731"/>
    </row>
    <row r="90" spans="1:7" ht="13.5" thickBot="1">
      <c r="A90" s="307" t="s">
        <v>487</v>
      </c>
      <c r="B90" s="524"/>
      <c r="C90" s="293"/>
      <c r="D90" s="349"/>
      <c r="E90" s="271">
        <f>'29_Infrastrukturkosten'!C14</f>
        <v>466.82000000000698</v>
      </c>
      <c r="F90" s="731"/>
    </row>
    <row r="91" spans="1:7" ht="13.5" thickBot="1">
      <c r="A91" s="308" t="s">
        <v>486</v>
      </c>
      <c r="B91" s="525"/>
      <c r="C91" s="309"/>
      <c r="D91" s="350"/>
      <c r="E91" s="271">
        <f>'29_Infrastrukturkosten'!C23</f>
        <v>0</v>
      </c>
      <c r="F91" s="731"/>
    </row>
    <row r="92" spans="1:7" ht="6" customHeight="1" thickBot="1">
      <c r="A92" s="355"/>
      <c r="B92" s="356"/>
      <c r="C92" s="357"/>
      <c r="D92" s="358"/>
      <c r="E92" s="360"/>
      <c r="F92" s="745"/>
    </row>
    <row r="93" spans="1:7" ht="16.5" thickBot="1">
      <c r="A93" s="330" t="s">
        <v>488</v>
      </c>
      <c r="B93" s="331"/>
      <c r="C93" s="332"/>
      <c r="D93" s="332"/>
      <c r="E93" s="346">
        <f>SUM(E90:E92)*-1</f>
        <v>-466.82000000000698</v>
      </c>
      <c r="F93" s="744"/>
    </row>
    <row r="94" spans="1:7" ht="18">
      <c r="A94" s="334"/>
      <c r="B94" s="369"/>
      <c r="C94" s="369"/>
      <c r="D94" s="369"/>
      <c r="E94" s="369"/>
      <c r="F94" s="744"/>
      <c r="G94" s="369"/>
    </row>
    <row r="95" spans="1:7" ht="18">
      <c r="A95" s="334" t="s">
        <v>1503</v>
      </c>
      <c r="B95" s="335"/>
      <c r="C95" s="243"/>
      <c r="F95" s="333"/>
      <c r="G95" s="333"/>
    </row>
    <row r="96" spans="1:7">
      <c r="A96" s="376"/>
      <c r="B96" s="335"/>
      <c r="C96" s="243"/>
      <c r="D96" s="375"/>
      <c r="E96" s="333"/>
      <c r="F96" s="333"/>
      <c r="G96" s="333"/>
    </row>
    <row r="97" spans="1:7" ht="15">
      <c r="A97" s="377" t="s">
        <v>284</v>
      </c>
      <c r="B97" s="378"/>
      <c r="C97" s="379">
        <f>'1a_Leistungsvolumen'!$D$103</f>
        <v>0</v>
      </c>
      <c r="D97" s="375"/>
      <c r="E97" s="380"/>
      <c r="F97" s="333"/>
      <c r="G97" s="333"/>
    </row>
    <row r="98" spans="1:7" ht="15">
      <c r="A98" s="377" t="s">
        <v>793</v>
      </c>
      <c r="B98" s="381"/>
      <c r="C98" s="379">
        <f>E86</f>
        <v>-5344.0005949033202</v>
      </c>
      <c r="D98" s="375"/>
      <c r="E98" s="382"/>
      <c r="F98" s="333"/>
      <c r="G98" s="333"/>
    </row>
    <row r="99" spans="1:7" ht="15">
      <c r="A99" s="377" t="s">
        <v>794</v>
      </c>
      <c r="B99" s="381"/>
      <c r="C99" s="379">
        <f>E93</f>
        <v>-466.82000000000698</v>
      </c>
      <c r="D99" s="375"/>
      <c r="E99" s="382"/>
      <c r="F99" s="333"/>
      <c r="G99" s="333"/>
    </row>
    <row r="100" spans="1:7" ht="15.75" thickBot="1">
      <c r="A100" s="383" t="str">
        <f>"Rate "&amp;G3&amp;":"</f>
        <v>Rate Monat JJJJ:</v>
      </c>
      <c r="B100" s="370"/>
      <c r="C100" s="384">
        <f>SUM(C97:C99)</f>
        <v>-5810.8205949033272</v>
      </c>
      <c r="D100" s="375"/>
      <c r="E100" s="333"/>
      <c r="F100" s="333"/>
      <c r="G100" s="333"/>
    </row>
    <row r="101" spans="1:7" ht="15.75" thickTop="1">
      <c r="A101" s="336"/>
      <c r="B101" s="337"/>
      <c r="C101" s="338"/>
      <c r="D101" s="338"/>
      <c r="E101" s="339"/>
      <c r="F101" s="339"/>
      <c r="G101" s="339"/>
    </row>
    <row r="102" spans="1:7">
      <c r="A102" s="369"/>
      <c r="B102" s="369"/>
      <c r="C102" s="369"/>
      <c r="D102" s="369"/>
      <c r="E102" s="369"/>
      <c r="F102" s="369"/>
      <c r="G102" s="369"/>
    </row>
    <row r="103" spans="1:7">
      <c r="A103" s="194" t="s">
        <v>219</v>
      </c>
      <c r="B103" s="2844" t="s">
        <v>224</v>
      </c>
      <c r="C103" s="2844"/>
      <c r="D103" s="2845"/>
      <c r="E103" s="2845"/>
      <c r="F103" s="369"/>
      <c r="G103" s="369"/>
    </row>
    <row r="104" spans="1:7">
      <c r="B104" s="2844" t="s">
        <v>1645</v>
      </c>
      <c r="C104" s="2844"/>
      <c r="D104" s="2845"/>
      <c r="E104" s="2845"/>
      <c r="F104" s="369"/>
      <c r="G104" s="369"/>
    </row>
    <row r="105" spans="1:7">
      <c r="D105" s="369"/>
      <c r="E105" s="369"/>
      <c r="F105" s="369"/>
      <c r="G105" s="369"/>
    </row>
    <row r="106" spans="1:7">
      <c r="A106" s="2267" t="s">
        <v>1434</v>
      </c>
      <c r="B106" s="2267" t="s">
        <v>1435</v>
      </c>
      <c r="C106"/>
      <c r="D106" s="369"/>
      <c r="E106" s="369"/>
      <c r="F106" s="369"/>
      <c r="G106" s="369"/>
    </row>
    <row r="107" spans="1:7">
      <c r="A107" s="2267" t="s">
        <v>1554</v>
      </c>
      <c r="B107" s="2267" t="s">
        <v>1550</v>
      </c>
      <c r="C107" s="2196" t="s">
        <v>1442</v>
      </c>
      <c r="D107" s="369"/>
      <c r="E107" s="369"/>
      <c r="F107" s="369"/>
      <c r="G107" s="369"/>
    </row>
    <row r="108" spans="1:7">
      <c r="A108" s="369"/>
      <c r="B108" s="369"/>
      <c r="C108" s="369"/>
      <c r="D108" s="369"/>
      <c r="E108" s="369"/>
      <c r="F108" s="369"/>
      <c r="G108" s="369"/>
    </row>
    <row r="109" spans="1:7">
      <c r="A109" s="369"/>
      <c r="B109" s="369"/>
      <c r="C109" s="369"/>
      <c r="D109" s="369"/>
      <c r="E109" s="369"/>
      <c r="F109" s="369"/>
      <c r="G109" s="369"/>
    </row>
    <row r="110" spans="1:7">
      <c r="A110" s="369"/>
      <c r="B110" s="369"/>
      <c r="C110" s="369"/>
      <c r="D110" s="369"/>
      <c r="E110" s="369"/>
      <c r="F110" s="369"/>
      <c r="G110" s="369"/>
    </row>
    <row r="111" spans="1:7">
      <c r="A111" s="369"/>
      <c r="B111" s="369"/>
      <c r="C111" s="369"/>
      <c r="D111" s="369"/>
      <c r="E111" s="369"/>
      <c r="F111" s="369"/>
      <c r="G111" s="369"/>
    </row>
    <row r="112" spans="1:7">
      <c r="A112" s="369"/>
      <c r="B112" s="369"/>
      <c r="C112" s="369"/>
      <c r="D112" s="369"/>
      <c r="E112" s="369"/>
      <c r="F112" s="369"/>
      <c r="G112" s="369"/>
    </row>
    <row r="113" spans="1:7">
      <c r="A113" s="369"/>
      <c r="B113" s="369"/>
      <c r="C113" s="369"/>
      <c r="D113" s="369"/>
      <c r="E113" s="369"/>
      <c r="F113" s="369"/>
      <c r="G113" s="369"/>
    </row>
    <row r="114" spans="1:7">
      <c r="A114" s="369"/>
      <c r="B114" s="369"/>
      <c r="C114" s="369"/>
      <c r="D114" s="369"/>
      <c r="E114" s="369"/>
      <c r="F114" s="369"/>
      <c r="G114" s="369"/>
    </row>
    <row r="115" spans="1:7">
      <c r="A115" s="369"/>
      <c r="B115" s="369"/>
      <c r="C115" s="369"/>
      <c r="D115" s="369"/>
      <c r="E115" s="369"/>
      <c r="F115" s="369"/>
      <c r="G115" s="369"/>
    </row>
  </sheetData>
  <sheetProtection algorithmName="SHA-512" hashValue="L9flMTvOOcfV90tcccObctnC7SETCdQ183MnT6uv0CLWfxAgIqUkBKxJoRKCKgJrhWz417U/gHWbHsLuUxRwGw==" saltValue="ouAXF4rgjL/Yfa5sEu3QXg==" spinCount="100000" sheet="1" objects="1" scenarios="1"/>
  <mergeCells count="1">
    <mergeCell ref="F5:G5"/>
  </mergeCells>
  <pageMargins left="0.7" right="0.7" top="0.78740157499999996" bottom="0.78740157499999996" header="0.3" footer="0.3"/>
  <pageSetup paperSize="9" scale="55" orientation="portrait" r:id="rId1"/>
  <headerFooter>
    <oddHeader>&amp;LVDV SUN Jahresschlussrechnung JJJJ&amp;R&amp;KFF0000&amp;F</oddHeader>
    <oddFooter>&amp;C&amp;P&amp;R&amp;A</oddFooter>
  </headerFooter>
  <rowBreaks count="1" manualBreakCount="1">
    <brk id="46" max="6"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EF221-5C44-41A8-93C3-40E1021C163B}">
  <dimension ref="A1:P34"/>
  <sheetViews>
    <sheetView view="pageLayout" zoomScale="80" zoomScaleNormal="80" zoomScaleSheetLayoutView="80" zoomScalePageLayoutView="80" workbookViewId="0">
      <selection activeCell="B85" sqref="B85"/>
    </sheetView>
  </sheetViews>
  <sheetFormatPr baseColWidth="10" defaultRowHeight="12.75"/>
  <cols>
    <col min="1" max="1" width="10.85546875" style="28" bestFit="1" customWidth="1"/>
    <col min="2" max="2" width="36.7109375" style="28" customWidth="1"/>
    <col min="3" max="3" width="31" style="28" bestFit="1" customWidth="1"/>
    <col min="4" max="4" width="21.85546875" style="28" customWidth="1"/>
    <col min="5" max="5" width="23.140625" style="28" customWidth="1"/>
    <col min="6" max="6" width="18.85546875" bestFit="1" customWidth="1"/>
    <col min="7" max="7" width="16.42578125" customWidth="1"/>
    <col min="8" max="8" width="16.42578125" style="2" customWidth="1"/>
    <col min="9" max="9" width="16.42578125" customWidth="1"/>
    <col min="10" max="10" width="17.5703125" customWidth="1"/>
    <col min="11" max="11" width="14.140625" customWidth="1"/>
  </cols>
  <sheetData>
    <row r="1" spans="1:16" s="1" customFormat="1" ht="18">
      <c r="A1" s="3036" t="s">
        <v>1510</v>
      </c>
      <c r="B1" s="3036"/>
      <c r="C1" s="3036"/>
      <c r="D1" s="3036"/>
      <c r="E1" s="3036"/>
      <c r="F1" s="3036"/>
      <c r="G1" s="3036"/>
      <c r="H1" s="3036"/>
      <c r="I1" s="3036"/>
      <c r="J1" s="3036"/>
    </row>
    <row r="2" spans="1:16" s="1" customFormat="1" ht="18">
      <c r="A2" s="3052" t="str">
        <f>'1a_Leistungsvolumen'!A2</f>
        <v>Monat JJJJ</v>
      </c>
      <c r="B2" s="3052"/>
      <c r="C2" s="3052"/>
      <c r="D2" s="3052"/>
      <c r="E2" s="3052"/>
      <c r="F2" s="3052"/>
      <c r="G2" s="3052"/>
      <c r="H2" s="3052"/>
      <c r="I2" s="3052"/>
      <c r="J2" s="3052"/>
      <c r="K2" s="1682"/>
      <c r="L2" s="1682"/>
      <c r="M2" s="1682"/>
      <c r="N2" s="1682"/>
      <c r="O2" s="1682"/>
      <c r="P2" s="1682"/>
    </row>
    <row r="3" spans="1:16">
      <c r="I3" s="1694"/>
      <c r="J3" s="1694"/>
    </row>
    <row r="4" spans="1:16" ht="13.5" thickBot="1">
      <c r="A4" s="1684" t="s">
        <v>1304</v>
      </c>
      <c r="B4" s="28" t="s">
        <v>1295</v>
      </c>
      <c r="I4" s="1694"/>
      <c r="J4" s="1694"/>
    </row>
    <row r="5" spans="1:16" ht="24" customHeight="1" thickBot="1">
      <c r="A5" s="3454" t="s">
        <v>1303</v>
      </c>
      <c r="B5" s="3455"/>
      <c r="C5" s="3455"/>
      <c r="D5" s="3455"/>
      <c r="E5" s="3455"/>
      <c r="F5" s="3456"/>
      <c r="G5" s="1701" t="s">
        <v>145</v>
      </c>
      <c r="I5" s="1694"/>
      <c r="J5" s="1694"/>
    </row>
    <row r="6" spans="1:16" ht="28.5" customHeight="1" thickBot="1">
      <c r="A6" s="1700" t="s">
        <v>1152</v>
      </c>
      <c r="B6" s="1700" t="s">
        <v>1284</v>
      </c>
      <c r="C6" s="1700" t="s">
        <v>1285</v>
      </c>
      <c r="D6" s="1700" t="s">
        <v>1292</v>
      </c>
      <c r="E6" s="1700" t="s">
        <v>1294</v>
      </c>
      <c r="F6" s="1700" t="s">
        <v>1306</v>
      </c>
      <c r="G6" s="1701">
        <f>COUNTIF(F7:F25,1)</f>
        <v>7</v>
      </c>
      <c r="I6" s="1694"/>
      <c r="J6" s="1694"/>
    </row>
    <row r="7" spans="1:16">
      <c r="A7" s="1695">
        <v>45752</v>
      </c>
      <c r="B7" s="1696" t="s">
        <v>139</v>
      </c>
      <c r="C7" s="1697" t="s">
        <v>1286</v>
      </c>
      <c r="D7" s="1698" t="s">
        <v>1293</v>
      </c>
      <c r="E7" s="1696" t="s">
        <v>1529</v>
      </c>
      <c r="F7" s="1699">
        <v>0</v>
      </c>
      <c r="I7" s="1694"/>
      <c r="J7" s="1694"/>
    </row>
    <row r="8" spans="1:16">
      <c r="A8" s="1685">
        <v>45752</v>
      </c>
      <c r="B8" s="1686" t="s">
        <v>139</v>
      </c>
      <c r="C8" s="1687" t="s">
        <v>1287</v>
      </c>
      <c r="D8" s="1688" t="s">
        <v>1293</v>
      </c>
      <c r="E8" s="1686" t="s">
        <v>1533</v>
      </c>
      <c r="F8" s="1689">
        <v>0</v>
      </c>
    </row>
    <row r="9" spans="1:16">
      <c r="A9" s="1685">
        <v>45752</v>
      </c>
      <c r="B9" s="1686" t="s">
        <v>139</v>
      </c>
      <c r="C9" s="1687" t="s">
        <v>1288</v>
      </c>
      <c r="D9" s="1688" t="s">
        <v>1293</v>
      </c>
      <c r="E9" s="1686" t="s">
        <v>1533</v>
      </c>
      <c r="F9" s="1689">
        <v>1</v>
      </c>
    </row>
    <row r="10" spans="1:16">
      <c r="A10" s="1685">
        <v>45752</v>
      </c>
      <c r="B10" s="1686" t="s">
        <v>139</v>
      </c>
      <c r="C10" s="1690" t="s">
        <v>1288</v>
      </c>
      <c r="D10" s="1688" t="s">
        <v>1293</v>
      </c>
      <c r="E10" s="1686" t="s">
        <v>1533</v>
      </c>
      <c r="F10" s="1689">
        <v>1</v>
      </c>
      <c r="G10" s="1692"/>
      <c r="H10" s="1692"/>
      <c r="I10" s="1692"/>
      <c r="J10" s="1692"/>
      <c r="K10" s="1692"/>
    </row>
    <row r="11" spans="1:16">
      <c r="A11" s="1685">
        <v>45752</v>
      </c>
      <c r="B11" s="1686" t="s">
        <v>139</v>
      </c>
      <c r="C11" s="1690" t="s">
        <v>1305</v>
      </c>
      <c r="D11" s="1688" t="s">
        <v>1293</v>
      </c>
      <c r="E11" s="1686" t="s">
        <v>1530</v>
      </c>
      <c r="F11" s="1689">
        <v>1</v>
      </c>
      <c r="G11" s="1692"/>
      <c r="H11" s="1692"/>
      <c r="I11" s="1692"/>
      <c r="J11" s="1692"/>
      <c r="K11" s="1692"/>
    </row>
    <row r="12" spans="1:16">
      <c r="A12" s="1685">
        <v>45752</v>
      </c>
      <c r="B12" s="1686" t="s">
        <v>139</v>
      </c>
      <c r="C12" s="1690" t="s">
        <v>1286</v>
      </c>
      <c r="D12" s="1688" t="s">
        <v>1293</v>
      </c>
      <c r="E12" s="1686" t="s">
        <v>1531</v>
      </c>
      <c r="F12" s="1689">
        <v>0</v>
      </c>
      <c r="G12" s="1692"/>
      <c r="H12" s="1692"/>
      <c r="I12" s="1692"/>
      <c r="J12" s="1692"/>
      <c r="K12" s="1692"/>
    </row>
    <row r="13" spans="1:16">
      <c r="A13" s="1685">
        <v>45752</v>
      </c>
      <c r="B13" s="1686" t="s">
        <v>139</v>
      </c>
      <c r="C13" s="1690" t="s">
        <v>1286</v>
      </c>
      <c r="D13" s="1688" t="s">
        <v>1293</v>
      </c>
      <c r="E13" s="1686" t="s">
        <v>1530</v>
      </c>
      <c r="F13" s="1689">
        <v>0</v>
      </c>
      <c r="G13" s="1692"/>
      <c r="H13" s="1692"/>
      <c r="I13" s="1692"/>
      <c r="J13" s="1692"/>
      <c r="K13" s="1692"/>
    </row>
    <row r="14" spans="1:16">
      <c r="A14" s="1685">
        <v>45753</v>
      </c>
      <c r="B14" s="1686" t="s">
        <v>139</v>
      </c>
      <c r="C14" s="1687" t="s">
        <v>1296</v>
      </c>
      <c r="D14" s="1688" t="s">
        <v>1293</v>
      </c>
      <c r="E14" s="1686" t="s">
        <v>1531</v>
      </c>
      <c r="F14" s="1689">
        <v>1</v>
      </c>
      <c r="G14" s="1692"/>
      <c r="H14" s="1692"/>
      <c r="I14" s="1692"/>
      <c r="J14" s="1692"/>
      <c r="K14" s="1692"/>
    </row>
    <row r="15" spans="1:16">
      <c r="A15" s="1685">
        <v>45753</v>
      </c>
      <c r="B15" s="1686" t="s">
        <v>139</v>
      </c>
      <c r="C15" s="1687" t="s">
        <v>1288</v>
      </c>
      <c r="D15" s="1688" t="s">
        <v>1293</v>
      </c>
      <c r="E15" s="1686" t="s">
        <v>1529</v>
      </c>
      <c r="F15" s="1689">
        <v>1</v>
      </c>
      <c r="G15" s="1692"/>
      <c r="H15" s="1692"/>
      <c r="I15" s="1692"/>
      <c r="J15" s="1692"/>
      <c r="K15" s="1692"/>
    </row>
    <row r="16" spans="1:16">
      <c r="A16" s="1685">
        <v>45753</v>
      </c>
      <c r="B16" s="1686" t="s">
        <v>139</v>
      </c>
      <c r="C16" s="1687" t="s">
        <v>1289</v>
      </c>
      <c r="D16" s="1688" t="s">
        <v>1293</v>
      </c>
      <c r="E16" s="1686" t="s">
        <v>1534</v>
      </c>
      <c r="F16" s="1689">
        <v>1</v>
      </c>
      <c r="G16" s="1692"/>
      <c r="H16" s="1692"/>
      <c r="I16" s="1692"/>
      <c r="J16" s="1692"/>
      <c r="K16" s="1692"/>
    </row>
    <row r="17" spans="1:11">
      <c r="A17" s="1685">
        <v>45753</v>
      </c>
      <c r="B17" s="1686" t="s">
        <v>139</v>
      </c>
      <c r="C17" s="1687" t="s">
        <v>1296</v>
      </c>
      <c r="D17" s="1688" t="s">
        <v>1293</v>
      </c>
      <c r="E17" s="1686" t="s">
        <v>1534</v>
      </c>
      <c r="F17" s="1689">
        <v>1</v>
      </c>
      <c r="G17" s="1692"/>
      <c r="H17" s="1692"/>
      <c r="I17" s="1692"/>
      <c r="J17" s="1692"/>
      <c r="K17" s="1692"/>
    </row>
    <row r="18" spans="1:11">
      <c r="A18" s="1685">
        <v>45756</v>
      </c>
      <c r="B18" s="1686" t="s">
        <v>139</v>
      </c>
      <c r="C18" s="1690" t="s">
        <v>1290</v>
      </c>
      <c r="D18" s="1688" t="s">
        <v>1293</v>
      </c>
      <c r="E18" s="1686" t="s">
        <v>1535</v>
      </c>
      <c r="F18" s="1689">
        <v>0</v>
      </c>
      <c r="G18" s="1692"/>
      <c r="H18" s="1692"/>
      <c r="I18" s="1692"/>
      <c r="J18" s="1692"/>
      <c r="K18" s="1692"/>
    </row>
    <row r="19" spans="1:11">
      <c r="A19" s="1685">
        <v>45757</v>
      </c>
      <c r="B19" s="1686" t="s">
        <v>139</v>
      </c>
      <c r="C19" s="1690" t="s">
        <v>1290</v>
      </c>
      <c r="D19" s="1688" t="s">
        <v>1293</v>
      </c>
      <c r="E19" s="1686" t="s">
        <v>1535</v>
      </c>
      <c r="F19" s="1689">
        <v>0</v>
      </c>
      <c r="G19" s="1692"/>
      <c r="H19" s="1692"/>
      <c r="I19" s="1692"/>
      <c r="J19" s="1692"/>
      <c r="K19" s="1692"/>
    </row>
    <row r="20" spans="1:11">
      <c r="A20" s="1685">
        <v>45759</v>
      </c>
      <c r="B20" s="1686" t="s">
        <v>139</v>
      </c>
      <c r="C20" s="1690" t="s">
        <v>1290</v>
      </c>
      <c r="D20" s="1688" t="s">
        <v>1293</v>
      </c>
      <c r="E20" s="1686" t="s">
        <v>1535</v>
      </c>
      <c r="F20" s="1689">
        <v>0</v>
      </c>
      <c r="G20" s="1692"/>
      <c r="H20" s="1692"/>
      <c r="I20" s="1692"/>
      <c r="J20" s="1692"/>
      <c r="K20" s="1692"/>
    </row>
    <row r="21" spans="1:11">
      <c r="A21" s="1685">
        <v>45772</v>
      </c>
      <c r="B21" s="1686" t="s">
        <v>139</v>
      </c>
      <c r="C21" s="1687" t="s">
        <v>1291</v>
      </c>
      <c r="D21" s="1688" t="s">
        <v>1293</v>
      </c>
      <c r="E21" s="1686" t="s">
        <v>1534</v>
      </c>
      <c r="F21" s="1689">
        <v>0</v>
      </c>
      <c r="G21" s="1692"/>
      <c r="H21" s="1692"/>
      <c r="I21" s="1692"/>
      <c r="J21" s="1692"/>
      <c r="K21" s="1692"/>
    </row>
    <row r="22" spans="1:11">
      <c r="A22" s="1685">
        <v>45773</v>
      </c>
      <c r="B22" s="1686" t="s">
        <v>139</v>
      </c>
      <c r="C22" s="1687" t="s">
        <v>1291</v>
      </c>
      <c r="D22" s="1688" t="s">
        <v>1293</v>
      </c>
      <c r="E22" s="1686" t="s">
        <v>1529</v>
      </c>
      <c r="F22" s="1689">
        <v>0</v>
      </c>
      <c r="H22" s="1692"/>
      <c r="I22" s="1692"/>
      <c r="J22" s="1692"/>
      <c r="K22" s="1692"/>
    </row>
    <row r="23" spans="1:11">
      <c r="A23" s="1685">
        <v>45773</v>
      </c>
      <c r="B23" s="1686" t="s">
        <v>139</v>
      </c>
      <c r="C23" s="1687" t="s">
        <v>1291</v>
      </c>
      <c r="D23" s="1688" t="s">
        <v>1293</v>
      </c>
      <c r="E23" s="1686" t="s">
        <v>1529</v>
      </c>
      <c r="F23" s="1689">
        <v>0</v>
      </c>
      <c r="G23" s="1692"/>
      <c r="H23" s="1692"/>
      <c r="I23" s="1692"/>
      <c r="J23" s="1692"/>
      <c r="K23" s="1692"/>
    </row>
    <row r="24" spans="1:11">
      <c r="A24" s="1685">
        <v>45773</v>
      </c>
      <c r="B24" s="1686" t="s">
        <v>139</v>
      </c>
      <c r="C24" s="1687" t="s">
        <v>1291</v>
      </c>
      <c r="D24" s="1688" t="s">
        <v>1293</v>
      </c>
      <c r="E24" s="1686" t="s">
        <v>1529</v>
      </c>
      <c r="F24" s="1689">
        <v>0</v>
      </c>
      <c r="G24" s="1692"/>
      <c r="H24" s="1692"/>
      <c r="I24" s="1692"/>
      <c r="J24" s="1692"/>
      <c r="K24" s="1692"/>
    </row>
    <row r="25" spans="1:11">
      <c r="A25" s="1685">
        <v>45773</v>
      </c>
      <c r="B25" s="1686" t="s">
        <v>139</v>
      </c>
      <c r="C25" s="1687" t="s">
        <v>1291</v>
      </c>
      <c r="D25" s="1688" t="s">
        <v>1293</v>
      </c>
      <c r="E25" s="1686" t="s">
        <v>1529</v>
      </c>
      <c r="F25" s="1689">
        <v>0</v>
      </c>
      <c r="G25" s="1692"/>
      <c r="H25" s="1692"/>
      <c r="I25" s="1692"/>
      <c r="J25" s="1692"/>
      <c r="K25" s="1692"/>
    </row>
    <row r="26" spans="1:11">
      <c r="A26" s="1692"/>
      <c r="B26" s="1692"/>
      <c r="C26" s="1692"/>
      <c r="D26" s="1692"/>
      <c r="E26" s="1692"/>
      <c r="F26" s="1692"/>
      <c r="G26" s="1691" t="s">
        <v>792</v>
      </c>
      <c r="H26" s="1692"/>
      <c r="I26" s="1692"/>
      <c r="J26" s="1692"/>
      <c r="K26" s="1692"/>
    </row>
    <row r="27" spans="1:11">
      <c r="A27" s="3452" t="s">
        <v>1298</v>
      </c>
      <c r="B27" s="3453"/>
      <c r="C27" s="3453"/>
      <c r="D27" s="3453"/>
      <c r="E27" s="3453"/>
      <c r="F27" s="3453"/>
      <c r="G27" s="1692"/>
      <c r="H27" s="1692"/>
      <c r="I27" s="1692"/>
      <c r="J27" s="1692"/>
      <c r="K27" s="1692"/>
    </row>
    <row r="28" spans="1:11">
      <c r="A28" s="2347"/>
      <c r="B28" s="2348"/>
      <c r="C28" s="2348"/>
      <c r="D28" s="2348"/>
      <c r="E28" s="2348"/>
      <c r="F28" s="2348"/>
      <c r="G28" s="2347"/>
      <c r="H28" s="2347"/>
      <c r="I28" s="2347"/>
      <c r="J28" s="2347"/>
      <c r="K28" s="2347"/>
    </row>
    <row r="29" spans="1:11">
      <c r="A29" s="194" t="s">
        <v>219</v>
      </c>
      <c r="B29" s="195" t="s">
        <v>224</v>
      </c>
      <c r="C29" s="2347"/>
      <c r="D29" s="2347"/>
      <c r="E29"/>
      <c r="H29" s="2347"/>
      <c r="I29" s="2347"/>
      <c r="J29" s="2347"/>
      <c r="K29" s="2347"/>
    </row>
    <row r="30" spans="1:11">
      <c r="A30" s="1692"/>
      <c r="B30" s="195" t="s">
        <v>1645</v>
      </c>
      <c r="C30" s="1692"/>
      <c r="D30" s="1692"/>
      <c r="E30" s="1692"/>
      <c r="F30" s="1692"/>
      <c r="G30" s="1692"/>
      <c r="H30" s="1692"/>
      <c r="I30" s="1692"/>
      <c r="J30" s="1692"/>
      <c r="K30" s="1692"/>
    </row>
    <row r="31" spans="1:11">
      <c r="C31" s="1692"/>
      <c r="D31" s="1692"/>
      <c r="E31" s="1692"/>
      <c r="F31" s="1692"/>
      <c r="G31" s="1692"/>
      <c r="H31" s="1692"/>
      <c r="I31" s="1692"/>
      <c r="J31" s="1692"/>
      <c r="K31" s="1692"/>
    </row>
    <row r="32" spans="1:11">
      <c r="A32" s="1692">
        <v>0</v>
      </c>
      <c r="B32" s="1692" t="s">
        <v>1299</v>
      </c>
      <c r="C32" s="1692"/>
      <c r="D32" s="1692"/>
      <c r="E32" s="1692"/>
      <c r="F32" s="1692"/>
      <c r="G32" s="1692"/>
      <c r="H32" s="1692"/>
      <c r="I32" s="1692"/>
      <c r="J32" s="1692"/>
      <c r="K32" s="1692"/>
    </row>
    <row r="33" spans="1:11">
      <c r="A33" s="1692">
        <v>1</v>
      </c>
      <c r="B33" s="1692" t="s">
        <v>1297</v>
      </c>
      <c r="C33" s="1692"/>
      <c r="D33" s="1692"/>
      <c r="E33" s="1692"/>
      <c r="F33" s="1692"/>
      <c r="G33" s="1692"/>
      <c r="H33" s="1692"/>
      <c r="I33" s="1692"/>
      <c r="J33" s="1692"/>
      <c r="K33" s="1692"/>
    </row>
    <row r="34" spans="1:11">
      <c r="A34" s="1692"/>
      <c r="B34" s="1692"/>
      <c r="C34" s="1692"/>
      <c r="D34" s="1692"/>
      <c r="E34" s="1692"/>
      <c r="F34" s="1692"/>
      <c r="G34" s="1692"/>
      <c r="H34" s="1692"/>
      <c r="I34" s="1692"/>
      <c r="J34" s="1692"/>
      <c r="K34" s="1692"/>
    </row>
  </sheetData>
  <sheetProtection algorithmName="SHA-512" hashValue="EQf71jvoeDGY9LQoSecjjgBLxMv2hyDU4VxOkWGapHN4mf60j31SBkUWiqBDLiDg+zMh2HtRvkVeWJZvwWoukg==" saltValue="7h8nnTkaxD0QIogANeN/OA==" spinCount="100000" sheet="1" objects="1" scenarios="1"/>
  <mergeCells count="4">
    <mergeCell ref="A27:F27"/>
    <mergeCell ref="A1:J1"/>
    <mergeCell ref="A2:J2"/>
    <mergeCell ref="A5:F5"/>
  </mergeCells>
  <pageMargins left="0.7" right="0.7" top="0.78740157499999996" bottom="0.78740157499999996" header="0.3" footer="0.3"/>
  <pageSetup paperSize="9" scale="63" fitToHeight="0" orientation="landscape" r:id="rId1"/>
  <headerFooter>
    <oddHeader xml:space="preserve">&amp;LVDV SUN Jahresschlussrechnung JJJJ&amp;R
</oddHeader>
    <oddFooter>&amp;C&amp;P&amp;R&amp;A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70C0"/>
  </sheetPr>
  <dimension ref="A1:AB41"/>
  <sheetViews>
    <sheetView view="pageBreakPreview" topLeftCell="G1" zoomScale="80" zoomScaleNormal="80" zoomScaleSheetLayoutView="80" zoomScalePageLayoutView="60" workbookViewId="0">
      <selection activeCell="P50" sqref="P50"/>
    </sheetView>
  </sheetViews>
  <sheetFormatPr baseColWidth="10" defaultRowHeight="12.75"/>
  <cols>
    <col min="1" max="1" width="70.85546875" style="28" customWidth="1"/>
    <col min="2" max="2" width="7.5703125" style="28" customWidth="1"/>
    <col min="3" max="3" width="24.28515625" customWidth="1"/>
    <col min="4" max="5" width="13.28515625" bestFit="1" customWidth="1"/>
    <col min="6" max="6" width="11.7109375" bestFit="1" customWidth="1"/>
    <col min="8" max="8" width="16.7109375" customWidth="1"/>
    <col min="10" max="10" width="16.7109375" bestFit="1" customWidth="1"/>
    <col min="11" max="17" width="16.7109375" customWidth="1"/>
    <col min="18" max="18" width="15.28515625" bestFit="1" customWidth="1"/>
    <col min="19" max="21" width="15.28515625" customWidth="1"/>
    <col min="22" max="22" width="15.5703125" customWidth="1"/>
    <col min="23" max="23" width="17.85546875" customWidth="1"/>
  </cols>
  <sheetData>
    <row r="1" spans="1:28" s="1" customFormat="1" ht="18">
      <c r="A1" s="3036" t="s">
        <v>1511</v>
      </c>
      <c r="B1" s="3036"/>
      <c r="C1" s="3036"/>
    </row>
    <row r="2" spans="1:28" s="1" customFormat="1" ht="18">
      <c r="A2" s="3052" t="str">
        <f>'1a_Leistungsvolumen'!A2</f>
        <v>Monat JJJJ</v>
      </c>
      <c r="B2" s="3052"/>
      <c r="C2" s="3052"/>
      <c r="D2" s="562"/>
      <c r="E2" s="562"/>
      <c r="F2" s="562"/>
      <c r="G2" s="562"/>
      <c r="H2" s="562"/>
      <c r="I2" s="562"/>
    </row>
    <row r="3" spans="1:28" ht="13.5" thickBot="1"/>
    <row r="4" spans="1:28" s="6" customFormat="1" ht="28.5" customHeight="1" thickBot="1">
      <c r="A4" s="509"/>
      <c r="C4" s="781" t="s">
        <v>1567</v>
      </c>
      <c r="D4" s="2384" t="s">
        <v>1529</v>
      </c>
      <c r="E4" s="2782" t="s">
        <v>1531</v>
      </c>
      <c r="F4" s="2909" t="s">
        <v>1533</v>
      </c>
      <c r="G4" s="2910" t="s">
        <v>1534</v>
      </c>
      <c r="H4" s="2584" t="s">
        <v>1637</v>
      </c>
      <c r="I4" s="2927" t="s">
        <v>1533</v>
      </c>
      <c r="J4" s="2928" t="s">
        <v>1534</v>
      </c>
      <c r="K4" s="2784" t="s">
        <v>1535</v>
      </c>
      <c r="L4" s="2783" t="s">
        <v>1536</v>
      </c>
      <c r="M4" s="2584" t="s">
        <v>1569</v>
      </c>
      <c r="N4" s="2940" t="s">
        <v>1535</v>
      </c>
      <c r="O4" s="2783" t="s">
        <v>1537</v>
      </c>
      <c r="P4" s="1186" t="s">
        <v>1571</v>
      </c>
      <c r="Q4" s="2573" t="s">
        <v>1529</v>
      </c>
      <c r="R4" s="2573" t="s">
        <v>1530</v>
      </c>
      <c r="S4" s="2955" t="s">
        <v>1533</v>
      </c>
      <c r="T4" s="2575" t="s">
        <v>1570</v>
      </c>
      <c r="U4" s="2950" t="s">
        <v>1533</v>
      </c>
      <c r="V4" s="2783" t="s">
        <v>1538</v>
      </c>
      <c r="W4" s="2783" t="s">
        <v>1539</v>
      </c>
      <c r="X4" s="1186" t="s">
        <v>1572</v>
      </c>
      <c r="Y4" s="2587" t="s">
        <v>1532</v>
      </c>
      <c r="Z4" s="1186" t="s">
        <v>1668</v>
      </c>
      <c r="AA4" s="2587" t="s">
        <v>1538</v>
      </c>
      <c r="AB4" s="2903" t="s">
        <v>1706</v>
      </c>
    </row>
    <row r="5" spans="1:28" s="7" customFormat="1" ht="14.25" customHeight="1">
      <c r="A5" s="507"/>
      <c r="B5" s="510" t="s">
        <v>475</v>
      </c>
      <c r="C5" s="2574">
        <v>6.5</v>
      </c>
      <c r="D5" s="2785"/>
      <c r="E5" s="2785"/>
      <c r="F5" s="2911"/>
      <c r="G5" s="2911"/>
      <c r="H5" s="2574">
        <v>6.5</v>
      </c>
      <c r="I5" s="2929"/>
      <c r="J5" s="2929"/>
      <c r="K5" s="2785"/>
      <c r="L5" s="1358"/>
      <c r="M5" s="2574">
        <v>8.1</v>
      </c>
      <c r="N5" s="2941"/>
      <c r="O5" s="1358"/>
      <c r="P5" s="2574">
        <v>6.28</v>
      </c>
      <c r="Q5" s="2574"/>
      <c r="R5" s="2574"/>
      <c r="S5" s="2956"/>
      <c r="T5" s="2574">
        <v>6.28</v>
      </c>
      <c r="U5" s="2951"/>
      <c r="V5" s="2934"/>
      <c r="W5" s="1358"/>
      <c r="X5" s="2574">
        <v>9.1999999999999993</v>
      </c>
      <c r="Y5" s="2576"/>
      <c r="Z5" s="2574">
        <v>9.1999999999999993</v>
      </c>
      <c r="AA5" s="2576"/>
    </row>
    <row r="6" spans="1:28" s="7" customFormat="1" ht="13.5" thickBot="1">
      <c r="A6" s="163"/>
      <c r="B6" s="507"/>
      <c r="C6" s="508"/>
      <c r="F6" s="2912"/>
      <c r="G6" s="2912"/>
      <c r="I6" s="2866"/>
      <c r="J6" s="2866"/>
      <c r="M6" s="2344"/>
      <c r="N6" s="2912"/>
      <c r="O6" s="2344"/>
      <c r="P6" s="2344"/>
      <c r="Q6" s="2344"/>
      <c r="R6" s="2344"/>
      <c r="S6" s="2912"/>
      <c r="T6" s="1885"/>
      <c r="U6" s="2866"/>
      <c r="V6" s="2866"/>
      <c r="W6" s="2344"/>
      <c r="X6" s="2344"/>
      <c r="Y6" s="2576"/>
      <c r="Z6" s="2762"/>
      <c r="AA6" s="2576"/>
    </row>
    <row r="7" spans="1:28" s="7" customFormat="1" ht="32.25" customHeight="1" thickBot="1">
      <c r="A7" s="3457" t="s">
        <v>1512</v>
      </c>
      <c r="B7" s="3450"/>
      <c r="C7" s="1912" t="s">
        <v>1567</v>
      </c>
      <c r="D7" s="2582"/>
      <c r="E7" s="2583"/>
      <c r="F7" s="2913"/>
      <c r="G7" s="2914"/>
      <c r="H7" s="2584" t="s">
        <v>1637</v>
      </c>
      <c r="I7" s="2930"/>
      <c r="J7" s="2931"/>
      <c r="K7" s="2583"/>
      <c r="L7" s="2585"/>
      <c r="M7" s="2573" t="s">
        <v>1569</v>
      </c>
      <c r="N7" s="2942"/>
      <c r="O7" s="2585"/>
      <c r="P7" s="1186" t="s">
        <v>1571</v>
      </c>
      <c r="Q7" s="2589"/>
      <c r="R7" s="2591"/>
      <c r="S7" s="2957"/>
      <c r="T7" s="2575" t="s">
        <v>1570</v>
      </c>
      <c r="U7" s="2952"/>
      <c r="V7" s="2935"/>
      <c r="W7" s="2585"/>
      <c r="X7" s="1186" t="s">
        <v>1572</v>
      </c>
      <c r="Y7" s="2570"/>
      <c r="Z7" s="1186" t="s">
        <v>1668</v>
      </c>
      <c r="AA7" s="2570"/>
    </row>
    <row r="8" spans="1:28">
      <c r="A8" s="515" t="s">
        <v>481</v>
      </c>
      <c r="B8" s="516"/>
      <c r="C8" s="777">
        <f>ROUND('1a_Leistungsvolumen'!$C$32*'29_Infrastrukturkosten'!$C$5,2)</f>
        <v>368329</v>
      </c>
      <c r="D8" s="777">
        <f>ROUND('1a_Leistungsvolumen'!$C$21*'29_Infrastrukturkosten'!$C$5,2)</f>
        <v>341250</v>
      </c>
      <c r="E8" s="777">
        <f>ROUND('1a_Leistungsvolumen'!$C$22*'29_Infrastrukturkosten'!$C$5,2)</f>
        <v>0</v>
      </c>
      <c r="F8" s="2923">
        <f>ROUND('1a_Leistungsvolumen'!$C$24*'29_Infrastrukturkosten'!$C$5,2)</f>
        <v>0</v>
      </c>
      <c r="G8" s="2923"/>
      <c r="H8" s="777"/>
      <c r="I8" s="2965">
        <f>ROUND('1a_Leistungsvolumen'!$C$24*'29_Infrastrukturkosten'!$C$5,2)</f>
        <v>0</v>
      </c>
      <c r="J8" s="2965"/>
      <c r="K8" s="2905"/>
      <c r="L8" s="777"/>
      <c r="M8" s="1908"/>
      <c r="N8" s="2948">
        <v>0</v>
      </c>
      <c r="O8" s="1908"/>
      <c r="P8" s="1908"/>
      <c r="Q8" s="1908"/>
      <c r="R8" s="1908"/>
      <c r="S8" s="2964">
        <v>0</v>
      </c>
      <c r="T8" s="1908"/>
      <c r="U8" s="2961">
        <v>0</v>
      </c>
      <c r="V8" s="2961"/>
      <c r="W8" s="1908"/>
      <c r="X8" s="1908"/>
      <c r="Y8" s="2577"/>
      <c r="Z8" s="1908"/>
      <c r="AA8" s="2577"/>
      <c r="AB8" s="2903" t="s">
        <v>1706</v>
      </c>
    </row>
    <row r="9" spans="1:28">
      <c r="A9" s="2258" t="s">
        <v>1425</v>
      </c>
      <c r="B9" s="512"/>
      <c r="C9" s="778">
        <f>ROUND(('4_Operative Zugausfälle'!R6+'6a_Verspätungsausfälle &gt;Takt'!B7)*-$C$5,2)</f>
        <v>-466.82</v>
      </c>
      <c r="D9" s="778">
        <f>ROUND(('4_Operative Zugausfälle'!$D$6+'6a_Verspätungsausfälle &gt;Takt'!C7)*-$C$5,2)</f>
        <v>-271.14</v>
      </c>
      <c r="E9" s="778">
        <f>ROUND(('4_Operative Zugausfälle'!$D$6+'6a_Verspätungsausfälle &gt;Takt'!D7)*-$C$5,2)</f>
        <v>-271.14</v>
      </c>
      <c r="F9" s="2924">
        <f>ROUND(('4_Operative Zugausfälle'!$B$6+'6a_Verspätungsausfälle &gt;Takt'!E7)*-$C$5,2)</f>
        <v>-466.82</v>
      </c>
      <c r="G9" s="2924"/>
      <c r="H9" s="778"/>
      <c r="I9" s="2966">
        <f>ROUND(('4_Operative Zugausfälle'!$B$6+'6a_Verspätungsausfälle &gt;Takt'!H7)*-$C$5,2)</f>
        <v>-466.82</v>
      </c>
      <c r="J9" s="2966"/>
      <c r="K9" s="2906"/>
      <c r="L9" s="778"/>
      <c r="M9" s="2164"/>
      <c r="N9" s="2967">
        <v>0</v>
      </c>
      <c r="O9" s="2164"/>
      <c r="P9" s="2164"/>
      <c r="Q9" s="2164"/>
      <c r="R9" s="2164"/>
      <c r="S9" s="2925"/>
      <c r="T9" s="778"/>
      <c r="U9" s="2962"/>
      <c r="V9" s="2962"/>
      <c r="W9" s="2164"/>
      <c r="X9" s="2164"/>
      <c r="Y9" s="2170"/>
      <c r="Z9" s="2164"/>
      <c r="AA9" s="2170"/>
      <c r="AB9" s="2903" t="s">
        <v>1706</v>
      </c>
    </row>
    <row r="10" spans="1:28">
      <c r="A10" s="2128" t="s">
        <v>476</v>
      </c>
      <c r="B10" s="512"/>
      <c r="C10" s="778">
        <f>ROUND('5_Planmäßige Zugausfälle '!$G$6*-'29_Infrastrukturkosten'!$C$5,2)</f>
        <v>0</v>
      </c>
      <c r="D10" s="778">
        <f>ROUND('5_Planmäßige Zugausfälle '!$D$6*-'29_Infrastrukturkosten'!$C$5,2)</f>
        <v>0</v>
      </c>
      <c r="E10" s="778">
        <f>ROUND('5_Planmäßige Zugausfälle '!$D$6*-'29_Infrastrukturkosten'!$C$5,2)</f>
        <v>0</v>
      </c>
      <c r="F10" s="2924">
        <f>ROUND('5_Planmäßige Zugausfälle '!$B$6*-'29_Infrastrukturkosten'!$C$5,2)</f>
        <v>-408.75</v>
      </c>
      <c r="G10" s="2924"/>
      <c r="H10" s="778"/>
      <c r="I10" s="2966">
        <f>ROUND('5_Planmäßige Zugausfälle '!$B$6*-'29_Infrastrukturkosten'!$C$5,2)</f>
        <v>-408.75</v>
      </c>
      <c r="J10" s="2966"/>
      <c r="K10" s="2906"/>
      <c r="L10" s="778"/>
      <c r="M10" s="2164"/>
      <c r="N10" s="2967">
        <v>0</v>
      </c>
      <c r="O10" s="2164"/>
      <c r="P10" s="2164"/>
      <c r="Q10" s="2164"/>
      <c r="R10" s="2164"/>
      <c r="S10" s="2925"/>
      <c r="T10" s="778"/>
      <c r="U10" s="2962"/>
      <c r="V10" s="2962"/>
      <c r="W10" s="2164"/>
      <c r="X10" s="2164"/>
      <c r="Y10" s="2170"/>
      <c r="Z10" s="2164"/>
      <c r="AA10" s="2170"/>
      <c r="AB10" s="2903" t="s">
        <v>1706</v>
      </c>
    </row>
    <row r="11" spans="1:28">
      <c r="A11" s="2259" t="s">
        <v>1427</v>
      </c>
      <c r="B11" s="2163"/>
      <c r="C11" s="2164"/>
      <c r="D11" s="2164"/>
      <c r="E11" s="2164"/>
      <c r="F11" s="2925"/>
      <c r="G11" s="2925"/>
      <c r="H11" s="2164"/>
      <c r="I11" s="2962"/>
      <c r="J11" s="2962"/>
      <c r="K11" s="2907"/>
      <c r="L11" s="2164"/>
      <c r="M11" s="2164"/>
      <c r="N11" s="2967">
        <v>0</v>
      </c>
      <c r="O11" s="2164"/>
      <c r="P11" s="2164"/>
      <c r="Q11" s="2164"/>
      <c r="R11" s="2164"/>
      <c r="S11" s="2925"/>
      <c r="T11" s="2164"/>
      <c r="U11" s="2962"/>
      <c r="V11" s="2962"/>
      <c r="W11" s="2164"/>
      <c r="X11" s="2164"/>
      <c r="Y11" s="2170"/>
      <c r="Z11" s="2164"/>
      <c r="AA11" s="2170"/>
      <c r="AB11" s="2903" t="s">
        <v>1706</v>
      </c>
    </row>
    <row r="12" spans="1:28">
      <c r="A12" s="2259" t="s">
        <v>1429</v>
      </c>
      <c r="B12" s="2163"/>
      <c r="C12" s="2164">
        <f>'1b_Mehr_Zusatzleistungen'!D5+'1b_Mehr_Zusatzleistungen'!D6</f>
        <v>495.95000000000005</v>
      </c>
      <c r="D12" s="2164"/>
      <c r="E12" s="2164"/>
      <c r="F12" s="2925"/>
      <c r="G12" s="2925"/>
      <c r="H12" s="2164"/>
      <c r="I12" s="2962"/>
      <c r="J12" s="2962"/>
      <c r="K12" s="2907"/>
      <c r="L12" s="2164"/>
      <c r="M12" s="2164"/>
      <c r="N12" s="2967">
        <v>0</v>
      </c>
      <c r="O12" s="2164"/>
      <c r="P12" s="2164"/>
      <c r="Q12" s="2164"/>
      <c r="R12" s="2164"/>
      <c r="S12" s="2925"/>
      <c r="T12" s="2164"/>
      <c r="U12" s="2962"/>
      <c r="V12" s="2962"/>
      <c r="W12" s="2164"/>
      <c r="X12" s="2164"/>
      <c r="Y12" s="2170"/>
      <c r="Z12" s="2164"/>
      <c r="AA12" s="2170"/>
      <c r="AB12" s="2903" t="s">
        <v>1706</v>
      </c>
    </row>
    <row r="13" spans="1:28">
      <c r="A13" s="514" t="s">
        <v>482</v>
      </c>
      <c r="B13" s="512"/>
      <c r="C13" s="778">
        <f>SUM(C8:C11)</f>
        <v>367862.18</v>
      </c>
      <c r="D13" s="778">
        <f>SUM(D8:D11)</f>
        <v>340978.86</v>
      </c>
      <c r="E13" s="778">
        <f>SUM(E8:E11)</f>
        <v>-271.14</v>
      </c>
      <c r="F13" s="2924">
        <f>SUM(F8:F11)</f>
        <v>-875.56999999999994</v>
      </c>
      <c r="G13" s="2924"/>
      <c r="H13" s="778"/>
      <c r="I13" s="2966">
        <f>SUM(I8:I11)</f>
        <v>-875.56999999999994</v>
      </c>
      <c r="J13" s="2966"/>
      <c r="K13" s="2906"/>
      <c r="L13" s="778"/>
      <c r="M13" s="2164"/>
      <c r="N13" s="2967">
        <v>0</v>
      </c>
      <c r="O13" s="2164"/>
      <c r="P13" s="2164"/>
      <c r="Q13" s="2164"/>
      <c r="R13" s="2164"/>
      <c r="S13" s="2925"/>
      <c r="T13" s="778"/>
      <c r="U13" s="2962"/>
      <c r="V13" s="2962"/>
      <c r="W13" s="2164"/>
      <c r="X13" s="2164"/>
      <c r="Y13" s="2170"/>
      <c r="Z13" s="2164"/>
      <c r="AA13" s="2170"/>
      <c r="AB13" s="2903" t="s">
        <v>1706</v>
      </c>
    </row>
    <row r="14" spans="1:28" ht="13.5" thickBot="1">
      <c r="A14" s="520" t="s">
        <v>480</v>
      </c>
      <c r="B14" s="521"/>
      <c r="C14" s="779">
        <f>C8-C13</f>
        <v>466.82000000000698</v>
      </c>
      <c r="D14" s="779">
        <f>D8-D13</f>
        <v>271.14000000001397</v>
      </c>
      <c r="E14" s="779">
        <f>E8-E13</f>
        <v>271.14</v>
      </c>
      <c r="F14" s="2926">
        <f>F8-F13</f>
        <v>875.56999999999994</v>
      </c>
      <c r="G14" s="2926"/>
      <c r="H14" s="779"/>
      <c r="I14" s="2963">
        <f>I8-I13</f>
        <v>875.56999999999994</v>
      </c>
      <c r="J14" s="2963"/>
      <c r="K14" s="2908"/>
      <c r="L14" s="779"/>
      <c r="M14" s="779"/>
      <c r="N14" s="2968">
        <v>0</v>
      </c>
      <c r="O14" s="779"/>
      <c r="P14" s="779"/>
      <c r="Q14" s="779"/>
      <c r="R14" s="779"/>
      <c r="S14" s="2926"/>
      <c r="T14" s="779"/>
      <c r="U14" s="2963"/>
      <c r="V14" s="2963"/>
      <c r="W14" s="779"/>
      <c r="X14" s="779"/>
      <c r="Y14" s="2171"/>
      <c r="Z14" s="779"/>
      <c r="AA14" s="2171"/>
      <c r="AB14" s="2903" t="s">
        <v>1706</v>
      </c>
    </row>
    <row r="15" spans="1:28">
      <c r="A15" s="387"/>
      <c r="N15" s="2943"/>
      <c r="S15" s="2943"/>
      <c r="U15" s="2849"/>
      <c r="V15" s="2849"/>
      <c r="W15" s="2579"/>
      <c r="Y15" s="2579"/>
    </row>
    <row r="16" spans="1:28" ht="13.5" thickBot="1">
      <c r="A16" s="194"/>
      <c r="B16" s="195"/>
      <c r="C16" s="388"/>
      <c r="D16" s="388"/>
      <c r="N16" s="2943"/>
      <c r="S16" s="2943"/>
      <c r="U16" s="2849"/>
      <c r="V16" s="2849"/>
      <c r="W16" s="2580"/>
      <c r="Y16" s="2580"/>
    </row>
    <row r="17" spans="1:28" ht="30.75" customHeight="1" thickBot="1">
      <c r="A17" s="3457" t="s">
        <v>1513</v>
      </c>
      <c r="B17" s="3450"/>
      <c r="C17" s="1912" t="s">
        <v>1567</v>
      </c>
      <c r="D17" s="2933"/>
      <c r="E17" s="2593"/>
      <c r="F17" s="2593"/>
      <c r="G17" s="2588"/>
      <c r="H17" s="2584" t="s">
        <v>1637</v>
      </c>
      <c r="I17" s="2586"/>
      <c r="J17" s="2592"/>
      <c r="K17" s="2593"/>
      <c r="L17" s="2587"/>
      <c r="M17" s="2573" t="s">
        <v>1569</v>
      </c>
      <c r="N17" s="2944"/>
      <c r="O17" s="2587"/>
      <c r="P17" s="1186" t="s">
        <v>1571</v>
      </c>
      <c r="Q17" s="2590"/>
      <c r="R17" s="2592"/>
      <c r="S17" s="2958"/>
      <c r="T17" s="2575" t="s">
        <v>1570</v>
      </c>
      <c r="U17" s="2953"/>
      <c r="V17" s="2935"/>
      <c r="W17" s="2585"/>
      <c r="X17" s="1186" t="s">
        <v>1572</v>
      </c>
      <c r="Y17" s="2570"/>
      <c r="Z17" s="1186" t="s">
        <v>1668</v>
      </c>
      <c r="AA17" s="2570"/>
    </row>
    <row r="18" spans="1:28">
      <c r="A18" s="2260" t="s">
        <v>483</v>
      </c>
      <c r="B18" s="519"/>
      <c r="C18" s="780"/>
      <c r="D18" s="1148"/>
      <c r="E18" s="968"/>
      <c r="F18" s="2919">
        <v>0</v>
      </c>
      <c r="G18" s="2919">
        <v>0</v>
      </c>
      <c r="H18" s="968"/>
      <c r="I18" s="2915"/>
      <c r="J18" s="2915"/>
      <c r="K18" s="2915"/>
      <c r="L18" s="2915"/>
      <c r="M18" s="2571"/>
      <c r="N18" s="2949">
        <v>0</v>
      </c>
      <c r="O18" s="2571"/>
      <c r="P18" s="2571"/>
      <c r="Q18" s="2571"/>
      <c r="R18" s="2571"/>
      <c r="S18" s="2949">
        <v>0</v>
      </c>
      <c r="T18" s="1909"/>
      <c r="U18" s="2960">
        <v>0</v>
      </c>
      <c r="V18" s="2936"/>
      <c r="W18" s="2571"/>
      <c r="X18" s="2571"/>
      <c r="Y18" s="2578"/>
      <c r="Z18" s="2571"/>
      <c r="AA18" s="2578"/>
      <c r="AB18" s="2903" t="s">
        <v>1706</v>
      </c>
    </row>
    <row r="19" spans="1:28">
      <c r="A19" s="2258" t="s">
        <v>1426</v>
      </c>
      <c r="B19" s="517"/>
      <c r="C19" s="778"/>
      <c r="D19" s="1149"/>
      <c r="E19" s="249"/>
      <c r="F19" s="2920">
        <v>0</v>
      </c>
      <c r="G19" s="2920"/>
      <c r="H19" s="249"/>
      <c r="I19" s="2916"/>
      <c r="J19" s="2916"/>
      <c r="K19" s="2916"/>
      <c r="L19" s="2916"/>
      <c r="M19" s="2168"/>
      <c r="N19" s="2969">
        <v>0</v>
      </c>
      <c r="O19" s="2168"/>
      <c r="P19" s="2168"/>
      <c r="Q19" s="2168"/>
      <c r="R19" s="2168"/>
      <c r="S19" s="2945"/>
      <c r="T19" s="1910"/>
      <c r="U19" s="2937"/>
      <c r="V19" s="2937"/>
      <c r="W19" s="2168"/>
      <c r="X19" s="2168"/>
      <c r="Y19" s="2169"/>
      <c r="Z19" s="2168"/>
      <c r="AA19" s="2169"/>
      <c r="AB19" s="2903" t="s">
        <v>1706</v>
      </c>
    </row>
    <row r="20" spans="1:28" ht="24" customHeight="1">
      <c r="A20" s="2261" t="s">
        <v>1428</v>
      </c>
      <c r="B20" s="2165"/>
      <c r="C20" s="2164"/>
      <c r="D20" s="2166"/>
      <c r="E20" s="2167"/>
      <c r="F20" s="2921">
        <v>0</v>
      </c>
      <c r="G20" s="2921"/>
      <c r="H20" s="2167"/>
      <c r="I20" s="2917"/>
      <c r="J20" s="2917"/>
      <c r="K20" s="2917"/>
      <c r="L20" s="2917"/>
      <c r="M20" s="2168"/>
      <c r="N20" s="2969">
        <v>0</v>
      </c>
      <c r="O20" s="2168"/>
      <c r="P20" s="2168"/>
      <c r="Q20" s="2168"/>
      <c r="R20" s="2168"/>
      <c r="S20" s="2945"/>
      <c r="T20" s="2168"/>
      <c r="U20" s="2937"/>
      <c r="V20" s="2937"/>
      <c r="W20" s="2168"/>
      <c r="X20" s="2168"/>
      <c r="Y20" s="2169"/>
      <c r="Z20" s="2168"/>
      <c r="AA20" s="2169"/>
      <c r="AB20" s="2903" t="s">
        <v>1706</v>
      </c>
    </row>
    <row r="21" spans="1:28" ht="16.5" customHeight="1">
      <c r="A21" s="2261" t="s">
        <v>1430</v>
      </c>
      <c r="B21" s="2165"/>
      <c r="C21" s="2164"/>
      <c r="D21" s="2166"/>
      <c r="E21" s="2167"/>
      <c r="F21" s="2921">
        <v>0</v>
      </c>
      <c r="G21" s="2921"/>
      <c r="H21" s="2167"/>
      <c r="I21" s="2917"/>
      <c r="J21" s="2917"/>
      <c r="K21" s="2917"/>
      <c r="L21" s="2917"/>
      <c r="M21" s="2168"/>
      <c r="N21" s="2969">
        <v>0</v>
      </c>
      <c r="O21" s="2168"/>
      <c r="P21" s="2168"/>
      <c r="Q21" s="2168"/>
      <c r="R21" s="2168"/>
      <c r="S21" s="2945"/>
      <c r="T21" s="2168"/>
      <c r="U21" s="2937"/>
      <c r="V21" s="2937"/>
      <c r="W21" s="2168"/>
      <c r="X21" s="2168"/>
      <c r="Y21" s="2169"/>
      <c r="Z21" s="2168"/>
      <c r="AA21" s="2169"/>
      <c r="AB21" s="2903" t="s">
        <v>1706</v>
      </c>
    </row>
    <row r="22" spans="1:28">
      <c r="A22" s="514" t="s">
        <v>484</v>
      </c>
      <c r="B22" s="517"/>
      <c r="C22" s="778">
        <f>SUM(C18:C20)</f>
        <v>0</v>
      </c>
      <c r="D22" s="1149"/>
      <c r="E22" s="249"/>
      <c r="F22" s="2920">
        <v>0</v>
      </c>
      <c r="G22" s="2920"/>
      <c r="H22" s="249"/>
      <c r="I22" s="2916"/>
      <c r="J22" s="2916"/>
      <c r="K22" s="2916"/>
      <c r="L22" s="2916"/>
      <c r="M22" s="2168"/>
      <c r="N22" s="2969">
        <v>0</v>
      </c>
      <c r="O22" s="2168"/>
      <c r="P22" s="2168"/>
      <c r="Q22" s="2168"/>
      <c r="R22" s="2168"/>
      <c r="S22" s="2945"/>
      <c r="T22" s="1910"/>
      <c r="U22" s="2937"/>
      <c r="V22" s="2937"/>
      <c r="W22" s="2168"/>
      <c r="X22" s="2168"/>
      <c r="Y22" s="2169"/>
      <c r="Z22" s="2168"/>
      <c r="AA22" s="2169"/>
      <c r="AB22" s="2903" t="s">
        <v>1706</v>
      </c>
    </row>
    <row r="23" spans="1:28" ht="13.5" thickBot="1">
      <c r="A23" s="520" t="s">
        <v>485</v>
      </c>
      <c r="B23" s="523"/>
      <c r="C23" s="779">
        <f>C18-C22</f>
        <v>0</v>
      </c>
      <c r="D23" s="1150"/>
      <c r="E23" s="772"/>
      <c r="F23" s="2922"/>
      <c r="G23" s="2922"/>
      <c r="H23" s="772"/>
      <c r="I23" s="2918"/>
      <c r="J23" s="2918"/>
      <c r="K23" s="2918"/>
      <c r="L23" s="2918"/>
      <c r="M23" s="1911"/>
      <c r="N23" s="2970">
        <v>0</v>
      </c>
      <c r="O23" s="1911"/>
      <c r="P23" s="1911"/>
      <c r="Q23" s="1911"/>
      <c r="R23" s="1911"/>
      <c r="S23" s="2946"/>
      <c r="T23" s="1911"/>
      <c r="U23" s="2938"/>
      <c r="V23" s="2938"/>
      <c r="W23" s="1911"/>
      <c r="X23" s="1911"/>
      <c r="Y23" s="773"/>
      <c r="Z23" s="1911"/>
      <c r="AA23" s="773"/>
      <c r="AB23" s="2903" t="s">
        <v>1706</v>
      </c>
    </row>
    <row r="24" spans="1:28" ht="13.5" thickBot="1">
      <c r="A24" s="388"/>
      <c r="B24" s="388"/>
      <c r="C24" s="388"/>
      <c r="D24" s="388"/>
      <c r="N24" s="2943"/>
      <c r="S24" s="2943"/>
      <c r="U24" s="2849"/>
      <c r="V24" s="2849"/>
      <c r="Y24" s="2581"/>
      <c r="AA24" s="2581"/>
    </row>
    <row r="25" spans="1:28" ht="27" customHeight="1" thickBot="1">
      <c r="A25" s="782" t="s">
        <v>1514</v>
      </c>
      <c r="B25" s="776"/>
      <c r="C25" s="1913"/>
      <c r="D25" s="2933"/>
      <c r="E25" s="2593"/>
      <c r="F25" s="2593"/>
      <c r="G25" s="2588"/>
      <c r="H25" s="2584"/>
      <c r="I25" s="2586"/>
      <c r="J25" s="2932"/>
      <c r="K25" s="2593"/>
      <c r="L25" s="2588"/>
      <c r="M25" s="2572"/>
      <c r="N25" s="2947"/>
      <c r="O25" s="2588"/>
      <c r="P25" s="2572"/>
      <c r="Q25" s="2586"/>
      <c r="R25" s="2593"/>
      <c r="S25" s="2959"/>
      <c r="T25" s="1437"/>
      <c r="U25" s="2954"/>
      <c r="V25" s="2939"/>
      <c r="W25" s="2588"/>
      <c r="X25" s="2572"/>
      <c r="Y25" s="2572"/>
      <c r="Z25" s="2572"/>
      <c r="AA25" s="2572"/>
    </row>
    <row r="26" spans="1:28">
      <c r="A26" s="388"/>
      <c r="B26" s="388"/>
      <c r="C26" s="388"/>
      <c r="D26" s="388"/>
    </row>
    <row r="27" spans="1:28">
      <c r="A27" s="194" t="s">
        <v>219</v>
      </c>
      <c r="B27" s="195" t="s">
        <v>224</v>
      </c>
      <c r="C27" s="388"/>
      <c r="D27" s="388"/>
    </row>
    <row r="28" spans="1:28">
      <c r="A28" s="388"/>
      <c r="B28" s="195" t="s">
        <v>1645</v>
      </c>
      <c r="C28" s="388"/>
      <c r="D28" s="388"/>
    </row>
    <row r="29" spans="1:28">
      <c r="A29" s="388"/>
      <c r="B29" s="388"/>
      <c r="C29" s="388"/>
      <c r="D29" s="388"/>
    </row>
    <row r="30" spans="1:28">
      <c r="A30" s="444" t="s">
        <v>1047</v>
      </c>
      <c r="B30" s="388"/>
      <c r="C30" s="388"/>
      <c r="D30" s="388"/>
    </row>
    <row r="32" spans="1:28">
      <c r="A32" s="335" t="s">
        <v>1434</v>
      </c>
      <c r="B32" s="335" t="s">
        <v>1435</v>
      </c>
      <c r="W32" s="2849"/>
    </row>
    <row r="33" spans="1:4">
      <c r="A33" s="335" t="s">
        <v>1554</v>
      </c>
      <c r="B33" s="335" t="s">
        <v>1550</v>
      </c>
      <c r="C33" s="2196" t="s">
        <v>1442</v>
      </c>
    </row>
    <row r="36" spans="1:4" ht="12.75" customHeight="1">
      <c r="D36" s="467"/>
    </row>
    <row r="37" spans="1:4">
      <c r="D37" s="467"/>
    </row>
    <row r="38" spans="1:4">
      <c r="D38" s="467"/>
    </row>
    <row r="39" spans="1:4" ht="12.75" customHeight="1">
      <c r="D39" s="467"/>
    </row>
    <row r="40" spans="1:4">
      <c r="D40" s="467"/>
    </row>
    <row r="41" spans="1:4">
      <c r="D41" s="467"/>
    </row>
  </sheetData>
  <sheetProtection algorithmName="SHA-512" hashValue="O4TQepztQHRC2W7dhCnn6ijBxWpM92BEptenRKPon+vIdH/hSiVVvSTaUIsZ8LhRG9jgTLcD+GtbAYqGYMo58Q==" saltValue="W59bbEk57vDgi2qhr6MMKQ==" spinCount="100000" sheet="1" objects="1" scenarios="1"/>
  <mergeCells count="4">
    <mergeCell ref="A1:C1"/>
    <mergeCell ref="A2:C2"/>
    <mergeCell ref="A7:B7"/>
    <mergeCell ref="A17:B17"/>
  </mergeCells>
  <pageMargins left="0.7" right="0.7" top="0.78740157499999996" bottom="0.78740157499999996" header="0.3" footer="0.3"/>
  <pageSetup paperSize="9" scale="35" fitToHeight="0" orientation="landscape" r:id="rId1"/>
  <headerFooter>
    <oddHeader xml:space="preserve">&amp;LVDV SUN Jahresschlussrechnung JJJJ&amp;R
</oddHeader>
    <oddFooter>&amp;C&amp;P&amp;R&amp;A</oddFooter>
  </headerFooter>
  <colBreaks count="1" manualBreakCount="1">
    <brk id="21" max="1048575" man="1"/>
  </col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22"/>
  <sheetViews>
    <sheetView view="pageLayout" zoomScale="80" zoomScaleNormal="80" zoomScaleSheetLayoutView="80" zoomScalePageLayoutView="80" workbookViewId="0">
      <selection activeCell="L40" sqref="L40"/>
    </sheetView>
  </sheetViews>
  <sheetFormatPr baseColWidth="10" defaultRowHeight="12.75"/>
  <cols>
    <col min="1" max="1" width="26" style="28" customWidth="1"/>
    <col min="2" max="2" width="22.28515625" style="28" customWidth="1"/>
    <col min="3" max="3" width="15.7109375" customWidth="1"/>
    <col min="8" max="8" width="16.5703125" bestFit="1" customWidth="1"/>
  </cols>
  <sheetData>
    <row r="1" spans="1:9" s="1" customFormat="1" ht="18">
      <c r="A1" s="3036" t="s">
        <v>1644</v>
      </c>
      <c r="B1" s="3036"/>
      <c r="C1" s="3458"/>
      <c r="D1" s="3458"/>
      <c r="E1" s="3458"/>
      <c r="F1" s="3458"/>
      <c r="G1" s="3458"/>
      <c r="H1" s="3458"/>
    </row>
    <row r="2" spans="1:9" s="1" customFormat="1" ht="18">
      <c r="A2" s="3052" t="s">
        <v>281</v>
      </c>
      <c r="B2" s="3052"/>
      <c r="C2" s="3169"/>
      <c r="D2" s="468"/>
      <c r="E2" s="468"/>
      <c r="F2" s="468"/>
      <c r="G2" s="468"/>
      <c r="H2" s="468"/>
    </row>
    <row r="3" spans="1:9" ht="13.5" thickBot="1"/>
    <row r="4" spans="1:9" s="6" customFormat="1" ht="32.25" customHeight="1" thickBot="1">
      <c r="A4" s="509"/>
      <c r="B4" s="783" t="s">
        <v>743</v>
      </c>
      <c r="C4" s="2510" t="s">
        <v>1526</v>
      </c>
      <c r="D4" s="2510" t="s">
        <v>1527</v>
      </c>
      <c r="E4" s="2510" t="s">
        <v>1552</v>
      </c>
      <c r="F4" s="2510" t="s">
        <v>1551</v>
      </c>
      <c r="G4" s="2510" t="s">
        <v>1528</v>
      </c>
      <c r="H4" s="2510" t="s">
        <v>1666</v>
      </c>
      <c r="I4" s="2510" t="s">
        <v>1553</v>
      </c>
    </row>
    <row r="5" spans="1:9" s="2344" customFormat="1" ht="14.25" customHeight="1" thickBot="1">
      <c r="A5" s="2511" t="s">
        <v>1615</v>
      </c>
      <c r="B5" s="2567">
        <f>B16</f>
        <v>0</v>
      </c>
      <c r="C5" s="2568"/>
      <c r="D5" s="2568"/>
      <c r="E5" s="2568"/>
      <c r="F5" s="2568"/>
      <c r="G5" s="2568"/>
      <c r="H5" s="2813"/>
      <c r="I5" s="2569"/>
    </row>
    <row r="6" spans="1:9" s="2344" customFormat="1" ht="14.25" customHeight="1">
      <c r="A6" s="507"/>
      <c r="C6" s="2512"/>
      <c r="D6" s="2512"/>
      <c r="E6" s="2512"/>
      <c r="F6" s="2512"/>
      <c r="G6" s="2512"/>
      <c r="H6" s="2513"/>
    </row>
    <row r="7" spans="1:9" s="2344" customFormat="1" ht="14.25" customHeight="1">
      <c r="A7" s="507"/>
      <c r="B7" s="2511"/>
      <c r="C7" s="2512"/>
      <c r="D7" s="2512"/>
      <c r="E7" s="2512"/>
      <c r="F7" s="2512"/>
      <c r="G7" s="2512"/>
      <c r="H7" s="2513"/>
    </row>
    <row r="8" spans="1:9" s="7" customFormat="1" ht="13.5" thickBot="1">
      <c r="A8" s="163"/>
      <c r="B8" s="507"/>
    </row>
    <row r="9" spans="1:9" s="7" customFormat="1" ht="22.5" customHeight="1" thickBot="1">
      <c r="A9" s="659" t="s">
        <v>494</v>
      </c>
      <c r="B9" s="784"/>
      <c r="C9" s="700" t="s">
        <v>685</v>
      </c>
    </row>
    <row r="10" spans="1:9">
      <c r="A10" s="518" t="s">
        <v>514</v>
      </c>
      <c r="B10" s="708"/>
      <c r="C10" s="701"/>
    </row>
    <row r="11" spans="1:9">
      <c r="A11" s="514" t="s">
        <v>515</v>
      </c>
      <c r="B11" s="709"/>
      <c r="C11" s="702"/>
    </row>
    <row r="12" spans="1:9">
      <c r="A12" s="514" t="s">
        <v>516</v>
      </c>
      <c r="B12" s="709"/>
      <c r="C12" s="702"/>
    </row>
    <row r="13" spans="1:9">
      <c r="A13" s="514" t="s">
        <v>517</v>
      </c>
      <c r="B13" s="709"/>
      <c r="C13" s="702"/>
    </row>
    <row r="14" spans="1:9">
      <c r="A14" s="514" t="s">
        <v>518</v>
      </c>
      <c r="B14" s="710"/>
      <c r="C14" s="703"/>
    </row>
    <row r="15" spans="1:9" ht="13.5" thickBot="1">
      <c r="A15" s="705" t="s">
        <v>519</v>
      </c>
      <c r="B15" s="711"/>
      <c r="C15" s="706"/>
    </row>
    <row r="16" spans="1:9" ht="13.5" thickBot="1">
      <c r="A16" s="707" t="s">
        <v>35</v>
      </c>
      <c r="B16" s="712">
        <f>SUM(B10:B15)</f>
        <v>0</v>
      </c>
      <c r="C16" s="704"/>
      <c r="D16" s="934"/>
    </row>
    <row r="18" spans="1:5">
      <c r="A18" s="2520" t="s">
        <v>219</v>
      </c>
      <c r="B18" s="369" t="s">
        <v>224</v>
      </c>
      <c r="C18" s="2521"/>
      <c r="D18" s="2521"/>
      <c r="E18" s="2521"/>
    </row>
    <row r="19" spans="1:5">
      <c r="B19" s="195" t="s">
        <v>1645</v>
      </c>
    </row>
    <row r="20" spans="1:5">
      <c r="B20" s="195"/>
    </row>
    <row r="21" spans="1:5">
      <c r="A21" s="335" t="s">
        <v>1434</v>
      </c>
      <c r="B21" s="335" t="s">
        <v>1435</v>
      </c>
    </row>
    <row r="22" spans="1:5">
      <c r="A22" s="335" t="s">
        <v>1554</v>
      </c>
      <c r="B22" s="335" t="s">
        <v>1550</v>
      </c>
      <c r="C22" s="2196" t="s">
        <v>1442</v>
      </c>
    </row>
  </sheetData>
  <sheetProtection algorithmName="SHA-512" hashValue="eJNtAkAmOYy+/gAMezGqkciJRksKiVA1VqnjWrTYF1WvYj9G1hKEGAqlpWokZJaNfccXeJmtoYf58OV/JSq/xg==" saltValue="TTtgUFwWTP/NSu2nI3zA5A==" spinCount="100000" sheet="1" objects="1" scenarios="1"/>
  <mergeCells count="2">
    <mergeCell ref="A2:C2"/>
    <mergeCell ref="A1:H1"/>
  </mergeCells>
  <pageMargins left="0.7" right="0.7" top="0.78740157499999996" bottom="0.78740157499999996" header="0.3" footer="0.3"/>
  <pageSetup paperSize="9" scale="63" fitToHeight="0" orientation="landscape" r:id="rId1"/>
  <headerFooter>
    <oddHeader>&amp;LVDV SUN Jahresschlussrechnung JJJJ&amp;R&amp;F</oddHeader>
    <oddFooter>&amp;C&amp;P&amp;R&amp;A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24"/>
  <sheetViews>
    <sheetView view="pageLayout" zoomScaleNormal="80" zoomScaleSheetLayoutView="100" workbookViewId="0">
      <selection activeCell="B85" sqref="B85"/>
    </sheetView>
  </sheetViews>
  <sheetFormatPr baseColWidth="10" defaultRowHeight="12.75"/>
  <cols>
    <col min="1" max="1" width="16.5703125" style="28" customWidth="1"/>
    <col min="2" max="2" width="16.140625" style="28" customWidth="1"/>
    <col min="3" max="4" width="18" customWidth="1"/>
    <col min="5" max="5" width="30.28515625" customWidth="1"/>
    <col min="6" max="7" width="21.7109375" customWidth="1"/>
    <col min="8" max="8" width="3.42578125" customWidth="1"/>
  </cols>
  <sheetData>
    <row r="1" spans="1:13" s="1" customFormat="1" ht="18">
      <c r="A1" s="3036" t="s">
        <v>1515</v>
      </c>
      <c r="B1" s="3036"/>
      <c r="C1" s="3036"/>
      <c r="D1" s="3036"/>
      <c r="E1" s="3036"/>
      <c r="F1" s="3036"/>
      <c r="G1" s="3036"/>
    </row>
    <row r="2" spans="1:13" s="1" customFormat="1" ht="18">
      <c r="A2" s="3052" t="s">
        <v>872</v>
      </c>
      <c r="B2" s="3052"/>
      <c r="C2" s="3052"/>
      <c r="D2" s="3052"/>
      <c r="E2" s="3052"/>
      <c r="F2" s="3052"/>
      <c r="G2" s="3052"/>
      <c r="H2" s="571"/>
      <c r="I2" s="573"/>
      <c r="J2" s="571"/>
      <c r="K2" s="571"/>
      <c r="L2" s="571"/>
      <c r="M2" s="571"/>
    </row>
    <row r="3" spans="1:13" ht="13.5" thickBot="1"/>
    <row r="4" spans="1:13" s="6" customFormat="1" ht="44.25" customHeight="1" thickBot="1">
      <c r="A4" s="394" t="s">
        <v>56</v>
      </c>
      <c r="B4" s="394" t="s">
        <v>529</v>
      </c>
      <c r="C4" s="394" t="s">
        <v>120</v>
      </c>
      <c r="D4" s="935" t="s">
        <v>868</v>
      </c>
      <c r="E4" s="935" t="s">
        <v>869</v>
      </c>
      <c r="F4" s="52" t="s">
        <v>870</v>
      </c>
      <c r="G4" s="52" t="s">
        <v>871</v>
      </c>
    </row>
    <row r="5" spans="1:13" s="7" customFormat="1" ht="14.25" customHeight="1" thickBot="1">
      <c r="A5" s="507"/>
      <c r="B5" s="510"/>
      <c r="C5" s="511"/>
      <c r="D5" s="511"/>
      <c r="E5" s="511"/>
      <c r="F5" s="511"/>
      <c r="G5" s="511"/>
    </row>
    <row r="6" spans="1:13">
      <c r="A6" s="2514">
        <v>47547</v>
      </c>
      <c r="B6" s="2515" t="s">
        <v>528</v>
      </c>
      <c r="C6" s="2650" t="s">
        <v>1643</v>
      </c>
      <c r="D6" s="2516" t="s">
        <v>1453</v>
      </c>
      <c r="E6" s="2516" t="s">
        <v>1455</v>
      </c>
      <c r="F6" s="2516" t="s">
        <v>969</v>
      </c>
      <c r="G6" s="2516" t="s">
        <v>969</v>
      </c>
    </row>
    <row r="7" spans="1:13">
      <c r="A7" s="2517">
        <v>47562</v>
      </c>
      <c r="B7" s="2518" t="s">
        <v>533</v>
      </c>
      <c r="C7" s="2519"/>
      <c r="D7" s="2519"/>
      <c r="E7" s="2519" t="s">
        <v>1452</v>
      </c>
      <c r="F7" s="2519" t="s">
        <v>969</v>
      </c>
      <c r="G7" s="2519" t="s">
        <v>969</v>
      </c>
    </row>
    <row r="8" spans="1:13">
      <c r="A8" s="2517">
        <v>47573</v>
      </c>
      <c r="B8" s="2518" t="s">
        <v>532</v>
      </c>
      <c r="C8" s="2651" t="s">
        <v>1586</v>
      </c>
      <c r="D8" s="2519" t="s">
        <v>1454</v>
      </c>
      <c r="E8" s="2519" t="s">
        <v>1456</v>
      </c>
      <c r="F8" s="2519" t="s">
        <v>969</v>
      </c>
      <c r="G8" s="2519" t="s">
        <v>969</v>
      </c>
    </row>
    <row r="9" spans="1:13">
      <c r="A9" s="514"/>
      <c r="B9" s="563"/>
      <c r="C9" s="513"/>
      <c r="D9" s="513"/>
      <c r="E9" s="513"/>
      <c r="F9" s="513"/>
      <c r="G9" s="513"/>
    </row>
    <row r="10" spans="1:13">
      <c r="A10" s="514"/>
      <c r="B10" s="565"/>
      <c r="C10" s="566"/>
      <c r="D10" s="566"/>
      <c r="E10" s="566"/>
      <c r="F10" s="566"/>
      <c r="G10" s="566"/>
    </row>
    <row r="11" spans="1:13" ht="13.5" thickBot="1">
      <c r="A11" s="567"/>
      <c r="B11" s="564"/>
      <c r="C11" s="522"/>
      <c r="D11" s="522"/>
      <c r="E11" s="522"/>
      <c r="F11" s="522"/>
      <c r="G11" s="522"/>
    </row>
    <row r="12" spans="1:13" ht="13.5" thickBot="1">
      <c r="A12" s="568"/>
      <c r="B12" s="569"/>
      <c r="C12" s="570"/>
      <c r="D12" s="570"/>
      <c r="E12" s="570"/>
      <c r="F12" s="570"/>
      <c r="G12" s="570"/>
    </row>
    <row r="14" spans="1:13">
      <c r="A14" s="2520" t="s">
        <v>219</v>
      </c>
      <c r="B14" s="369" t="s">
        <v>224</v>
      </c>
      <c r="C14" s="2521"/>
      <c r="D14" s="2521"/>
      <c r="E14" s="2521"/>
      <c r="F14" s="2257"/>
      <c r="G14" s="2257"/>
      <c r="H14" s="12"/>
      <c r="I14" s="12"/>
      <c r="J14" s="12"/>
      <c r="K14" s="12"/>
      <c r="L14" s="133"/>
    </row>
    <row r="15" spans="1:13">
      <c r="B15" s="195" t="s">
        <v>1645</v>
      </c>
    </row>
    <row r="17" spans="1:3">
      <c r="A17" s="13" t="s">
        <v>531</v>
      </c>
      <c r="B17" s="28" t="s">
        <v>528</v>
      </c>
      <c r="C17" t="s">
        <v>684</v>
      </c>
    </row>
    <row r="18" spans="1:3">
      <c r="B18" s="28" t="s">
        <v>532</v>
      </c>
      <c r="C18" t="s">
        <v>534</v>
      </c>
    </row>
    <row r="19" spans="1:3">
      <c r="B19" s="28" t="s">
        <v>536</v>
      </c>
      <c r="C19" t="s">
        <v>683</v>
      </c>
    </row>
    <row r="20" spans="1:3">
      <c r="B20" s="28" t="s">
        <v>530</v>
      </c>
      <c r="C20" t="s">
        <v>682</v>
      </c>
    </row>
    <row r="21" spans="1:3">
      <c r="B21" s="28" t="s">
        <v>533</v>
      </c>
      <c r="C21" t="s">
        <v>535</v>
      </c>
    </row>
    <row r="23" spans="1:3">
      <c r="A23" s="335" t="s">
        <v>1434</v>
      </c>
      <c r="B23" s="335" t="s">
        <v>1435</v>
      </c>
    </row>
    <row r="24" spans="1:3">
      <c r="A24" s="335" t="s">
        <v>1554</v>
      </c>
      <c r="B24" s="335" t="s">
        <v>1550</v>
      </c>
      <c r="C24" s="2196" t="s">
        <v>1442</v>
      </c>
    </row>
  </sheetData>
  <sheetProtection algorithmName="SHA-512" hashValue="o+h2b9DEGUiSD4s1NI7VBRPwWPM82oW40ZmhlgaHTwqb+qqjC5a7sB4ro086FgSlX0MD2oEMMIpUZXV+vX5zsw==" saltValue="GEirJOrG+M94Gu0hYZaQNA==" spinCount="100000" sheet="1" objects="1" scenarios="1"/>
  <mergeCells count="2">
    <mergeCell ref="A1:G1"/>
    <mergeCell ref="A2:G2"/>
  </mergeCells>
  <pageMargins left="0.7" right="0.7" top="0.78740157499999996" bottom="0.78740157499999996" header="0.3" footer="0.3"/>
  <pageSetup paperSize="9" scale="63" fitToHeight="0" orientation="landscape" r:id="rId1"/>
  <headerFooter>
    <oddHeader>&amp;LVDV SUN Jahresschlussrechnung JJJJ&amp;R&amp;F</oddHeader>
    <oddFooter>&amp;C&amp;P&amp;R&amp;A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9B543-E7D3-448B-8DD9-64E526200265}">
  <dimension ref="A2:S43"/>
  <sheetViews>
    <sheetView view="pageLayout" topLeftCell="B1" zoomScale="80" zoomScaleNormal="100" zoomScaleSheetLayoutView="80" zoomScalePageLayoutView="80" workbookViewId="0">
      <selection activeCell="Q30" sqref="Q30"/>
    </sheetView>
  </sheetViews>
  <sheetFormatPr baseColWidth="10" defaultRowHeight="12.75"/>
  <cols>
    <col min="1" max="1" width="16.5703125" style="789" customWidth="1"/>
    <col min="2" max="2" width="31.42578125" style="787" customWidth="1"/>
    <col min="3" max="3" width="11.85546875" style="787" customWidth="1"/>
    <col min="4" max="4" width="9.140625" style="787" customWidth="1"/>
    <col min="5" max="6" width="13.7109375" style="787" bestFit="1" customWidth="1"/>
    <col min="7" max="7" width="15.85546875" style="788" customWidth="1"/>
    <col min="8" max="8" width="10.7109375" style="787" bestFit="1" customWidth="1"/>
    <col min="9" max="9" width="9.28515625" style="787" bestFit="1" customWidth="1"/>
    <col min="10" max="11" width="8.5703125" style="787" bestFit="1" customWidth="1"/>
    <col min="12" max="12" width="12.140625" style="788" bestFit="1" customWidth="1"/>
    <col min="13" max="14" width="11.85546875" style="788" bestFit="1" customWidth="1"/>
    <col min="15" max="15" width="12.28515625" style="787" bestFit="1" customWidth="1"/>
    <col min="16" max="16" width="19.140625" style="787" bestFit="1" customWidth="1"/>
    <col min="17" max="17" width="33.5703125" style="787" customWidth="1"/>
    <col min="18" max="18" width="17.42578125" style="787" customWidth="1"/>
    <col min="19" max="19" width="14.28515625" style="786" customWidth="1"/>
    <col min="20" max="16384" width="11.42578125" style="785"/>
  </cols>
  <sheetData>
    <row r="2" spans="1:19" s="811" customFormat="1" ht="18">
      <c r="A2" s="3460" t="s">
        <v>1516</v>
      </c>
      <c r="B2" s="3460"/>
      <c r="C2" s="3460"/>
      <c r="D2" s="3460"/>
      <c r="E2" s="3460"/>
      <c r="F2" s="3460"/>
      <c r="G2" s="3460"/>
      <c r="H2" s="3460"/>
      <c r="I2" s="3460"/>
      <c r="J2" s="3460"/>
      <c r="K2" s="3460"/>
      <c r="L2" s="3460"/>
      <c r="M2" s="3460"/>
      <c r="N2" s="3460"/>
      <c r="O2" s="3460"/>
      <c r="P2" s="3460"/>
      <c r="Q2" s="3460"/>
      <c r="R2" s="3460"/>
      <c r="S2" s="3460"/>
    </row>
    <row r="3" spans="1:19" s="811" customFormat="1" ht="18">
      <c r="A3" s="3460" t="s">
        <v>748</v>
      </c>
      <c r="B3" s="3460"/>
      <c r="C3" s="3460"/>
      <c r="D3" s="3460"/>
      <c r="E3" s="3460"/>
      <c r="F3" s="3460"/>
      <c r="G3" s="3460"/>
      <c r="H3" s="3460"/>
      <c r="I3" s="3460"/>
      <c r="J3" s="3460"/>
      <c r="K3" s="3460"/>
      <c r="L3" s="3460"/>
      <c r="M3" s="3460"/>
      <c r="N3" s="3460"/>
      <c r="O3" s="3460"/>
      <c r="P3" s="3460"/>
      <c r="Q3" s="3460"/>
      <c r="R3" s="3460"/>
      <c r="S3" s="3460"/>
    </row>
    <row r="4" spans="1:19">
      <c r="A4" s="802"/>
      <c r="B4" s="806"/>
      <c r="C4" s="806"/>
      <c r="D4" s="806"/>
      <c r="E4" s="806"/>
      <c r="F4" s="806"/>
      <c r="G4" s="808"/>
      <c r="H4" s="806"/>
      <c r="I4" s="806"/>
      <c r="J4" s="806"/>
      <c r="K4" s="806"/>
      <c r="L4" s="808"/>
      <c r="M4" s="808"/>
      <c r="N4" s="808"/>
      <c r="O4" s="806"/>
      <c r="P4" s="806"/>
      <c r="Q4" s="806"/>
      <c r="R4" s="806"/>
      <c r="S4" s="810"/>
    </row>
    <row r="5" spans="1:19">
      <c r="A5" s="802"/>
      <c r="B5" s="806"/>
      <c r="C5" s="806"/>
      <c r="D5" s="806"/>
      <c r="E5" s="806"/>
      <c r="F5" s="806"/>
      <c r="G5" s="808"/>
      <c r="H5" s="806"/>
      <c r="I5" s="806"/>
      <c r="J5" s="806"/>
      <c r="K5" s="806"/>
      <c r="L5" s="808"/>
      <c r="M5" s="808"/>
      <c r="N5" s="807" t="s">
        <v>780</v>
      </c>
      <c r="O5" s="790" t="s">
        <v>759</v>
      </c>
      <c r="P5" s="806"/>
      <c r="Q5" s="805" t="s">
        <v>779</v>
      </c>
      <c r="R5" s="790" t="s">
        <v>756</v>
      </c>
      <c r="S5" s="809" t="s">
        <v>778</v>
      </c>
    </row>
    <row r="6" spans="1:19">
      <c r="A6" s="802"/>
      <c r="B6" s="806"/>
      <c r="C6" s="806"/>
      <c r="D6" s="806"/>
      <c r="E6" s="806"/>
      <c r="F6" s="806"/>
      <c r="G6" s="808"/>
      <c r="H6" s="806"/>
      <c r="I6" s="806"/>
      <c r="J6" s="806"/>
      <c r="K6" s="806"/>
      <c r="L6" s="808"/>
      <c r="M6" s="808"/>
      <c r="N6" s="807" t="s">
        <v>777</v>
      </c>
      <c r="O6" s="790" t="s">
        <v>755</v>
      </c>
      <c r="P6" s="806"/>
      <c r="Q6" s="805" t="s">
        <v>776</v>
      </c>
      <c r="R6" s="790" t="s">
        <v>752</v>
      </c>
      <c r="S6" s="804">
        <v>50</v>
      </c>
    </row>
    <row r="7" spans="1:19" s="789" customFormat="1">
      <c r="A7" s="802"/>
      <c r="B7" s="802"/>
      <c r="C7" s="3459" t="s">
        <v>775</v>
      </c>
      <c r="D7" s="3459"/>
      <c r="E7" s="3459"/>
      <c r="F7" s="3459"/>
      <c r="G7" s="3459"/>
      <c r="H7" s="3459" t="s">
        <v>774</v>
      </c>
      <c r="I7" s="3459"/>
      <c r="J7" s="3459"/>
      <c r="K7" s="3459"/>
      <c r="L7" s="3459"/>
      <c r="M7" s="803"/>
      <c r="N7" s="803"/>
      <c r="O7" s="801"/>
      <c r="P7" s="802"/>
      <c r="Q7" s="802"/>
      <c r="R7" s="801"/>
      <c r="S7" s="800"/>
    </row>
    <row r="8" spans="1:19" s="796" customFormat="1" ht="57" customHeight="1">
      <c r="A8" s="798" t="s">
        <v>56</v>
      </c>
      <c r="B8" s="798" t="s">
        <v>1365</v>
      </c>
      <c r="C8" s="798" t="s">
        <v>19</v>
      </c>
      <c r="D8" s="798" t="s">
        <v>770</v>
      </c>
      <c r="E8" s="798" t="s">
        <v>340</v>
      </c>
      <c r="F8" s="798" t="s">
        <v>773</v>
      </c>
      <c r="G8" s="799" t="s">
        <v>772</v>
      </c>
      <c r="H8" s="798" t="s">
        <v>771</v>
      </c>
      <c r="I8" s="798" t="s">
        <v>770</v>
      </c>
      <c r="J8" s="798" t="s">
        <v>769</v>
      </c>
      <c r="K8" s="798" t="s">
        <v>768</v>
      </c>
      <c r="L8" s="799" t="s">
        <v>767</v>
      </c>
      <c r="M8" s="799" t="s">
        <v>766</v>
      </c>
      <c r="N8" s="799" t="s">
        <v>765</v>
      </c>
      <c r="O8" s="798" t="s">
        <v>764</v>
      </c>
      <c r="P8" s="798" t="s">
        <v>763</v>
      </c>
      <c r="Q8" s="798" t="s">
        <v>762</v>
      </c>
      <c r="R8" s="798" t="s">
        <v>761</v>
      </c>
      <c r="S8" s="797" t="s">
        <v>760</v>
      </c>
    </row>
    <row r="9" spans="1:19">
      <c r="A9" s="795">
        <v>47119</v>
      </c>
      <c r="B9" s="1907" t="s">
        <v>313</v>
      </c>
      <c r="C9" s="1907" t="s">
        <v>1517</v>
      </c>
      <c r="D9" s="790">
        <v>6208</v>
      </c>
      <c r="E9" s="794">
        <v>0.41597222222222219</v>
      </c>
      <c r="F9" s="794">
        <v>0.4201388888888889</v>
      </c>
      <c r="G9" s="791">
        <f t="shared" ref="G9:G21" si="0">(F9-E9)*24*60</f>
        <v>6.0000000000000586</v>
      </c>
      <c r="H9" s="790" t="s">
        <v>20</v>
      </c>
      <c r="I9" s="1907">
        <v>6306</v>
      </c>
      <c r="J9" s="794">
        <v>0.41250000000000003</v>
      </c>
      <c r="K9" s="794">
        <v>0.41736111111111113</v>
      </c>
      <c r="L9" s="791">
        <f t="shared" ref="L9:L21" si="1">(K9-J9)*24*60</f>
        <v>6.9999999999999751</v>
      </c>
      <c r="M9" s="792">
        <v>4</v>
      </c>
      <c r="N9" s="791">
        <f t="shared" ref="N9:N21" si="2">(F9-K9)*24*60</f>
        <v>3.9999999999999858</v>
      </c>
      <c r="O9" s="790" t="s">
        <v>759</v>
      </c>
      <c r="P9" s="790"/>
      <c r="Q9" s="790"/>
      <c r="R9" s="790"/>
      <c r="S9" s="2132">
        <v>0</v>
      </c>
    </row>
    <row r="10" spans="1:19">
      <c r="A10" s="795">
        <v>47120</v>
      </c>
      <c r="B10" s="1907" t="s">
        <v>1573</v>
      </c>
      <c r="C10" s="1907" t="s">
        <v>1517</v>
      </c>
      <c r="D10" s="790">
        <v>6208</v>
      </c>
      <c r="E10" s="794">
        <v>0.41597222222222219</v>
      </c>
      <c r="F10" s="794">
        <v>0.41597222222222219</v>
      </c>
      <c r="G10" s="791">
        <f t="shared" si="0"/>
        <v>0</v>
      </c>
      <c r="H10" s="790" t="s">
        <v>20</v>
      </c>
      <c r="I10" s="1907">
        <v>6306</v>
      </c>
      <c r="J10" s="794">
        <v>0.41250000000000003</v>
      </c>
      <c r="K10" s="794">
        <v>0.41597222222222219</v>
      </c>
      <c r="L10" s="791">
        <f t="shared" si="1"/>
        <v>4.9999999999999023</v>
      </c>
      <c r="M10" s="792">
        <v>4</v>
      </c>
      <c r="N10" s="791">
        <f t="shared" si="2"/>
        <v>0</v>
      </c>
      <c r="O10" s="790" t="s">
        <v>755</v>
      </c>
      <c r="P10" s="790" t="s">
        <v>758</v>
      </c>
      <c r="Q10" s="790" t="s">
        <v>757</v>
      </c>
      <c r="R10" s="790" t="s">
        <v>756</v>
      </c>
      <c r="S10" s="2132">
        <v>0</v>
      </c>
    </row>
    <row r="11" spans="1:19">
      <c r="A11" s="795">
        <v>47121</v>
      </c>
      <c r="B11" s="1907" t="s">
        <v>1557</v>
      </c>
      <c r="C11" s="1907" t="s">
        <v>1517</v>
      </c>
      <c r="D11" s="790">
        <v>6208</v>
      </c>
      <c r="E11" s="794">
        <v>0.41597222222222219</v>
      </c>
      <c r="F11" s="794">
        <v>0.41597222222222219</v>
      </c>
      <c r="G11" s="791">
        <f t="shared" si="0"/>
        <v>0</v>
      </c>
      <c r="H11" s="790" t="s">
        <v>20</v>
      </c>
      <c r="I11" s="1907">
        <v>6306</v>
      </c>
      <c r="J11" s="794">
        <v>0.41250000000000003</v>
      </c>
      <c r="K11" s="794">
        <v>0.43402777777777773</v>
      </c>
      <c r="L11" s="791">
        <f t="shared" si="1"/>
        <v>30.99999999999989</v>
      </c>
      <c r="M11" s="792">
        <v>4</v>
      </c>
      <c r="N11" s="791">
        <f t="shared" si="2"/>
        <v>-25.999999999999986</v>
      </c>
      <c r="O11" s="790" t="s">
        <v>755</v>
      </c>
      <c r="P11" s="790" t="s">
        <v>754</v>
      </c>
      <c r="Q11" s="790" t="s">
        <v>753</v>
      </c>
      <c r="R11" s="790" t="s">
        <v>752</v>
      </c>
      <c r="S11" s="2132">
        <v>0</v>
      </c>
    </row>
    <row r="12" spans="1:19">
      <c r="A12" s="795">
        <v>47124</v>
      </c>
      <c r="B12" s="1907" t="s">
        <v>1556</v>
      </c>
      <c r="C12" s="1907" t="s">
        <v>1517</v>
      </c>
      <c r="D12" s="790">
        <v>6387</v>
      </c>
      <c r="E12" s="794">
        <v>0.37222222222222223</v>
      </c>
      <c r="F12" s="794">
        <v>0.37638888888888888</v>
      </c>
      <c r="G12" s="791">
        <v>6</v>
      </c>
      <c r="H12" s="790" t="s">
        <v>20</v>
      </c>
      <c r="I12" s="1907">
        <v>5203</v>
      </c>
      <c r="J12" s="794">
        <v>0.37013888888888885</v>
      </c>
      <c r="K12" s="794">
        <v>0.37361111111111112</v>
      </c>
      <c r="L12" s="791">
        <v>5</v>
      </c>
      <c r="M12" s="792">
        <v>3</v>
      </c>
      <c r="N12" s="791">
        <v>3</v>
      </c>
      <c r="O12" s="790" t="s">
        <v>759</v>
      </c>
      <c r="P12" s="790"/>
      <c r="Q12" s="790"/>
      <c r="R12" s="790"/>
      <c r="S12" s="2132">
        <v>0</v>
      </c>
    </row>
    <row r="13" spans="1:19">
      <c r="A13" s="793"/>
      <c r="B13" s="790"/>
      <c r="C13" s="1907"/>
      <c r="D13" s="790"/>
      <c r="E13" s="790"/>
      <c r="F13" s="790"/>
      <c r="G13" s="791">
        <f t="shared" si="0"/>
        <v>0</v>
      </c>
      <c r="H13" s="790"/>
      <c r="I13" s="790"/>
      <c r="J13" s="790"/>
      <c r="K13" s="790"/>
      <c r="L13" s="791">
        <f t="shared" si="1"/>
        <v>0</v>
      </c>
      <c r="M13" s="792"/>
      <c r="N13" s="791">
        <f t="shared" si="2"/>
        <v>0</v>
      </c>
      <c r="O13" s="790"/>
      <c r="P13" s="790"/>
      <c r="Q13" s="790"/>
      <c r="R13" s="790"/>
      <c r="S13" s="2132">
        <f t="shared" ref="S13:S21" si="3">S$6*IF($O13=$O$5,IF(AND($G13&gt;0,ROUND($N13,0)&gt;=ROUND($M13,0)),1,0),IF($O13=$O$6,IF($R13=$R$5,-1,IF($R13=$R$6,0,0)),0))</f>
        <v>0</v>
      </c>
    </row>
    <row r="14" spans="1:19">
      <c r="A14" s="793"/>
      <c r="B14" s="790"/>
      <c r="C14" s="790"/>
      <c r="D14" s="790"/>
      <c r="E14" s="790"/>
      <c r="F14" s="790"/>
      <c r="G14" s="791">
        <f t="shared" si="0"/>
        <v>0</v>
      </c>
      <c r="H14" s="790"/>
      <c r="I14" s="790"/>
      <c r="J14" s="790"/>
      <c r="K14" s="790"/>
      <c r="L14" s="791">
        <f t="shared" si="1"/>
        <v>0</v>
      </c>
      <c r="M14" s="792"/>
      <c r="N14" s="791">
        <f t="shared" si="2"/>
        <v>0</v>
      </c>
      <c r="O14" s="790"/>
      <c r="P14" s="790"/>
      <c r="Q14" s="790"/>
      <c r="R14" s="790"/>
      <c r="S14" s="2132">
        <f t="shared" si="3"/>
        <v>0</v>
      </c>
    </row>
    <row r="15" spans="1:19">
      <c r="A15" s="793"/>
      <c r="B15" s="790"/>
      <c r="C15" s="790"/>
      <c r="D15" s="790"/>
      <c r="E15" s="790"/>
      <c r="F15" s="790"/>
      <c r="G15" s="791">
        <f t="shared" si="0"/>
        <v>0</v>
      </c>
      <c r="H15" s="790"/>
      <c r="I15" s="790"/>
      <c r="J15" s="790"/>
      <c r="K15" s="790"/>
      <c r="L15" s="791">
        <f t="shared" si="1"/>
        <v>0</v>
      </c>
      <c r="M15" s="792"/>
      <c r="N15" s="791">
        <f t="shared" si="2"/>
        <v>0</v>
      </c>
      <c r="O15" s="790"/>
      <c r="P15" s="790"/>
      <c r="Q15" s="790"/>
      <c r="R15" s="790"/>
      <c r="S15" s="2132">
        <f t="shared" si="3"/>
        <v>0</v>
      </c>
    </row>
    <row r="16" spans="1:19">
      <c r="A16" s="793"/>
      <c r="B16" s="790"/>
      <c r="C16" s="790"/>
      <c r="D16" s="790"/>
      <c r="E16" s="790"/>
      <c r="F16" s="790"/>
      <c r="G16" s="791">
        <f t="shared" si="0"/>
        <v>0</v>
      </c>
      <c r="H16" s="790"/>
      <c r="I16" s="790"/>
      <c r="J16" s="790"/>
      <c r="K16" s="790"/>
      <c r="L16" s="791">
        <f t="shared" si="1"/>
        <v>0</v>
      </c>
      <c r="M16" s="792"/>
      <c r="N16" s="791">
        <f t="shared" si="2"/>
        <v>0</v>
      </c>
      <c r="O16" s="790"/>
      <c r="P16" s="790"/>
      <c r="Q16" s="790"/>
      <c r="R16" s="790"/>
      <c r="S16" s="2132">
        <f t="shared" si="3"/>
        <v>0</v>
      </c>
    </row>
    <row r="17" spans="1:19">
      <c r="A17" s="793"/>
      <c r="B17" s="790"/>
      <c r="C17" s="790"/>
      <c r="D17" s="790"/>
      <c r="E17" s="790"/>
      <c r="F17" s="790"/>
      <c r="G17" s="791">
        <f t="shared" si="0"/>
        <v>0</v>
      </c>
      <c r="H17" s="790"/>
      <c r="I17" s="790"/>
      <c r="J17" s="790"/>
      <c r="K17" s="790"/>
      <c r="L17" s="791">
        <f t="shared" si="1"/>
        <v>0</v>
      </c>
      <c r="M17" s="792"/>
      <c r="N17" s="791">
        <f t="shared" si="2"/>
        <v>0</v>
      </c>
      <c r="O17" s="790"/>
      <c r="P17" s="790"/>
      <c r="Q17" s="790"/>
      <c r="R17" s="790"/>
      <c r="S17" s="2132">
        <f t="shared" si="3"/>
        <v>0</v>
      </c>
    </row>
    <row r="18" spans="1:19">
      <c r="A18" s="793"/>
      <c r="B18" s="790"/>
      <c r="C18" s="790"/>
      <c r="D18" s="790"/>
      <c r="E18" s="790"/>
      <c r="F18" s="790"/>
      <c r="G18" s="791">
        <f t="shared" si="0"/>
        <v>0</v>
      </c>
      <c r="H18" s="790"/>
      <c r="I18" s="790"/>
      <c r="J18" s="790"/>
      <c r="K18" s="790"/>
      <c r="L18" s="791">
        <f t="shared" si="1"/>
        <v>0</v>
      </c>
      <c r="M18" s="792"/>
      <c r="N18" s="791">
        <f t="shared" si="2"/>
        <v>0</v>
      </c>
      <c r="O18" s="790"/>
      <c r="P18" s="790"/>
      <c r="Q18" s="790"/>
      <c r="R18" s="790"/>
      <c r="S18" s="2132">
        <f t="shared" si="3"/>
        <v>0</v>
      </c>
    </row>
    <row r="19" spans="1:19">
      <c r="A19" s="793"/>
      <c r="B19" s="790"/>
      <c r="C19" s="790"/>
      <c r="D19" s="790"/>
      <c r="E19" s="790"/>
      <c r="F19" s="790"/>
      <c r="G19" s="791">
        <f t="shared" si="0"/>
        <v>0</v>
      </c>
      <c r="H19" s="790"/>
      <c r="I19" s="790"/>
      <c r="J19" s="790"/>
      <c r="K19" s="790"/>
      <c r="L19" s="791">
        <f t="shared" si="1"/>
        <v>0</v>
      </c>
      <c r="M19" s="792"/>
      <c r="N19" s="791">
        <f t="shared" si="2"/>
        <v>0</v>
      </c>
      <c r="O19" s="790"/>
      <c r="P19" s="790"/>
      <c r="Q19" s="790"/>
      <c r="R19" s="790"/>
      <c r="S19" s="2132">
        <f t="shared" si="3"/>
        <v>0</v>
      </c>
    </row>
    <row r="20" spans="1:19">
      <c r="A20" s="793"/>
      <c r="B20" s="790"/>
      <c r="C20" s="790"/>
      <c r="D20" s="790"/>
      <c r="E20" s="790"/>
      <c r="F20" s="790"/>
      <c r="G20" s="791">
        <f t="shared" si="0"/>
        <v>0</v>
      </c>
      <c r="H20" s="790"/>
      <c r="I20" s="790"/>
      <c r="J20" s="790"/>
      <c r="K20" s="790"/>
      <c r="L20" s="791">
        <f t="shared" si="1"/>
        <v>0</v>
      </c>
      <c r="M20" s="792"/>
      <c r="N20" s="791">
        <f t="shared" si="2"/>
        <v>0</v>
      </c>
      <c r="O20" s="790"/>
      <c r="P20" s="790"/>
      <c r="Q20" s="790"/>
      <c r="R20" s="790"/>
      <c r="S20" s="2132">
        <f t="shared" si="3"/>
        <v>0</v>
      </c>
    </row>
    <row r="21" spans="1:19">
      <c r="A21" s="793"/>
      <c r="B21" s="790"/>
      <c r="C21" s="790"/>
      <c r="D21" s="790"/>
      <c r="E21" s="790"/>
      <c r="F21" s="790"/>
      <c r="G21" s="791">
        <f t="shared" si="0"/>
        <v>0</v>
      </c>
      <c r="H21" s="790"/>
      <c r="I21" s="790"/>
      <c r="J21" s="790"/>
      <c r="K21" s="790"/>
      <c r="L21" s="791">
        <f t="shared" si="1"/>
        <v>0</v>
      </c>
      <c r="M21" s="792"/>
      <c r="N21" s="791">
        <f t="shared" si="2"/>
        <v>0</v>
      </c>
      <c r="O21" s="790"/>
      <c r="P21" s="790"/>
      <c r="Q21" s="790"/>
      <c r="R21" s="790"/>
      <c r="S21" s="2132">
        <f t="shared" si="3"/>
        <v>0</v>
      </c>
    </row>
    <row r="22" spans="1:19">
      <c r="B22" s="1151" t="s">
        <v>35</v>
      </c>
      <c r="C22" s="1152"/>
      <c r="D22" s="1152"/>
      <c r="E22" s="1152"/>
      <c r="F22" s="1152"/>
      <c r="G22" s="1153"/>
      <c r="H22" s="1152"/>
      <c r="I22" s="1152"/>
      <c r="J22" s="1152"/>
      <c r="K22" s="1152"/>
      <c r="L22" s="1153"/>
      <c r="M22" s="1153"/>
      <c r="N22" s="1153"/>
      <c r="O22" s="1152"/>
      <c r="P22" s="1152"/>
      <c r="Q22" s="1152"/>
      <c r="R22" s="1152"/>
      <c r="S22" s="2133">
        <f>SUM(S9:S21)</f>
        <v>0</v>
      </c>
    </row>
    <row r="24" spans="1:19">
      <c r="A24" s="194" t="s">
        <v>219</v>
      </c>
      <c r="B24" s="195" t="s">
        <v>224</v>
      </c>
    </row>
    <row r="25" spans="1:19">
      <c r="B25" s="195" t="s">
        <v>1645</v>
      </c>
    </row>
    <row r="27" spans="1:19" ht="18">
      <c r="A27" s="335" t="s">
        <v>1434</v>
      </c>
      <c r="B27" s="335" t="s">
        <v>1435</v>
      </c>
      <c r="D27" s="1079"/>
      <c r="E27" s="1079"/>
      <c r="F27" s="1079"/>
      <c r="G27" s="1079"/>
      <c r="H27" s="1127"/>
      <c r="I27" s="1127"/>
      <c r="J27" s="1127"/>
    </row>
    <row r="28" spans="1:19" ht="18">
      <c r="A28" s="335" t="s">
        <v>1436</v>
      </c>
      <c r="B28" s="335" t="s">
        <v>1437</v>
      </c>
      <c r="C28" s="2196" t="s">
        <v>1442</v>
      </c>
      <c r="D28" s="1078"/>
      <c r="E28" s="1078"/>
      <c r="F28" s="1078"/>
      <c r="G28" s="1078"/>
      <c r="H28" s="1127"/>
      <c r="I28" s="1127"/>
      <c r="J28" s="1127"/>
    </row>
    <row r="29" spans="1:19">
      <c r="A29" s="1128"/>
      <c r="B29" s="1128"/>
      <c r="C29" s="958"/>
      <c r="D29" s="958"/>
      <c r="E29" s="1129"/>
      <c r="F29" s="958"/>
      <c r="G29" s="958"/>
      <c r="H29" s="1127"/>
      <c r="I29" s="1127"/>
      <c r="J29" s="1127"/>
    </row>
    <row r="30" spans="1:19">
      <c r="A30" s="509"/>
      <c r="B30" s="1130"/>
      <c r="C30" s="714"/>
      <c r="D30" s="714"/>
      <c r="E30" s="1131"/>
      <c r="F30" s="714"/>
      <c r="G30" s="714"/>
      <c r="H30" s="1127"/>
      <c r="I30" s="1127"/>
      <c r="J30" s="1127"/>
    </row>
    <row r="31" spans="1:19">
      <c r="A31" s="206"/>
      <c r="B31" s="376"/>
      <c r="C31" s="1124"/>
      <c r="D31" s="1125"/>
      <c r="E31" s="1124"/>
      <c r="F31" s="1125"/>
      <c r="G31" s="1125"/>
      <c r="H31" s="1127"/>
      <c r="I31" s="1127"/>
      <c r="J31" s="1127"/>
    </row>
    <row r="32" spans="1:19">
      <c r="A32" s="206"/>
      <c r="B32" s="376"/>
      <c r="C32" s="1124"/>
      <c r="D32" s="1125"/>
      <c r="E32" s="1124"/>
      <c r="F32" s="1125"/>
      <c r="G32" s="1125"/>
      <c r="H32" s="1127"/>
      <c r="I32" s="1127"/>
      <c r="J32" s="1127"/>
    </row>
    <row r="33" spans="1:10">
      <c r="A33" s="206"/>
      <c r="B33" s="376"/>
      <c r="C33" s="1124"/>
      <c r="D33" s="1125"/>
      <c r="E33" s="1124"/>
      <c r="F33" s="1125"/>
      <c r="G33" s="1125"/>
      <c r="H33" s="1127"/>
      <c r="I33" s="1127"/>
      <c r="J33" s="1127"/>
    </row>
    <row r="34" spans="1:10">
      <c r="A34" s="206"/>
      <c r="B34" s="376"/>
      <c r="C34" s="1124"/>
      <c r="D34" s="1125"/>
      <c r="E34" s="1124"/>
      <c r="F34" s="1125"/>
      <c r="G34" s="1125"/>
      <c r="H34" s="1127"/>
      <c r="I34" s="1127"/>
      <c r="J34" s="1127"/>
    </row>
    <row r="35" spans="1:10">
      <c r="A35" s="206"/>
      <c r="B35" s="376"/>
      <c r="C35" s="1124"/>
      <c r="D35" s="1125"/>
      <c r="E35" s="1124"/>
      <c r="F35" s="1125"/>
      <c r="G35" s="1125"/>
      <c r="H35" s="1127"/>
      <c r="I35" s="1127"/>
      <c r="J35" s="1127"/>
    </row>
    <row r="36" spans="1:10">
      <c r="A36" s="206"/>
      <c r="B36" s="376"/>
      <c r="C36" s="1124"/>
      <c r="D36" s="1125"/>
      <c r="E36" s="1124"/>
      <c r="F36" s="1125"/>
      <c r="G36" s="1125"/>
      <c r="H36" s="1127"/>
      <c r="I36" s="1127"/>
      <c r="J36" s="1127"/>
    </row>
    <row r="37" spans="1:10">
      <c r="A37" s="206"/>
      <c r="B37" s="376"/>
      <c r="C37" s="1124"/>
      <c r="D37" s="1125"/>
      <c r="E37" s="1124"/>
      <c r="F37" s="1125"/>
      <c r="G37" s="1125"/>
      <c r="H37" s="1127"/>
      <c r="I37" s="1127"/>
      <c r="J37" s="1127"/>
    </row>
    <row r="38" spans="1:10">
      <c r="A38" s="206"/>
      <c r="B38" s="376"/>
      <c r="C38" s="1124"/>
      <c r="D38" s="1125"/>
      <c r="E38" s="1124"/>
      <c r="F38" s="1125"/>
      <c r="G38" s="1125"/>
      <c r="H38" s="1127"/>
      <c r="I38" s="1127"/>
      <c r="J38" s="1127"/>
    </row>
    <row r="39" spans="1:10">
      <c r="A39" s="775"/>
      <c r="B39" s="1126"/>
      <c r="C39" s="1124"/>
      <c r="D39" s="1125"/>
      <c r="E39" s="1124"/>
      <c r="F39" s="1125"/>
      <c r="G39" s="1125"/>
      <c r="H39" s="1127"/>
      <c r="I39" s="1127"/>
      <c r="J39" s="1127"/>
    </row>
    <row r="40" spans="1:10">
      <c r="A40" s="206"/>
      <c r="B40" s="376"/>
      <c r="C40" s="1124"/>
      <c r="D40" s="1125"/>
      <c r="E40" s="1124"/>
      <c r="F40" s="1125"/>
      <c r="G40" s="1125"/>
      <c r="H40" s="1127"/>
      <c r="I40" s="1127"/>
      <c r="J40" s="1127"/>
    </row>
    <row r="41" spans="1:10">
      <c r="A41" s="1132"/>
      <c r="B41" s="1127"/>
      <c r="C41" s="1127"/>
      <c r="D41" s="1127"/>
      <c r="E41" s="1127"/>
      <c r="F41" s="1127"/>
      <c r="G41" s="1133"/>
      <c r="H41" s="1127"/>
      <c r="I41" s="1127"/>
      <c r="J41" s="1127"/>
    </row>
    <row r="42" spans="1:10">
      <c r="A42" s="1134"/>
      <c r="B42" s="1134"/>
      <c r="C42" s="196"/>
      <c r="D42" s="1127"/>
      <c r="E42" s="1127"/>
      <c r="F42" s="1127"/>
      <c r="G42" s="1133"/>
      <c r="H42" s="1127"/>
      <c r="I42" s="1127"/>
      <c r="J42" s="1127"/>
    </row>
    <row r="43" spans="1:10">
      <c r="A43" s="1132"/>
      <c r="B43" s="1127"/>
      <c r="C43" s="1127"/>
      <c r="D43" s="1127"/>
      <c r="E43" s="1127"/>
      <c r="F43" s="1127"/>
      <c r="G43" s="1133"/>
      <c r="H43" s="1127"/>
      <c r="I43" s="1127"/>
      <c r="J43" s="1127"/>
    </row>
  </sheetData>
  <sheetProtection algorithmName="SHA-512" hashValue="ePLo1/RZkprxcrDwO9FOJVlyVckEHEGy6Hlc8Vzhmd7rMFoni9K/7gnhnG6XJ45QtLwCRbVHz/mRUW88cqMsyQ==" saltValue="f21Z1HkKV6iNc+JbEc0j6A==" spinCount="100000" sheet="1" objects="1" scenarios="1"/>
  <mergeCells count="4">
    <mergeCell ref="C7:G7"/>
    <mergeCell ref="H7:L7"/>
    <mergeCell ref="A2:S2"/>
    <mergeCell ref="A3:S3"/>
  </mergeCells>
  <conditionalFormatting sqref="E31:E40">
    <cfRule type="cellIs" dxfId="6" priority="1" stopIfTrue="1" operator="lessThan">
      <formula>95</formula>
    </cfRule>
  </conditionalFormatting>
  <pageMargins left="0.7" right="0.7" top="0.78740157499999996" bottom="0.78740157499999996" header="0.3" footer="0.3"/>
  <pageSetup paperSize="9" scale="47" fitToHeight="0" orientation="landscape" r:id="rId1"/>
  <headerFooter>
    <oddHeader>&amp;LVDV SUN Jahresschlussrechnung JJJJ&amp;R&amp;F</oddHeader>
    <oddFooter>&amp;C&amp;P&amp;R&amp;A</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DA18E-41B0-4043-88EF-96138E660179}">
  <dimension ref="A1:K42"/>
  <sheetViews>
    <sheetView tabSelected="1" view="pageLayout" zoomScale="80" zoomScaleNormal="80" zoomScaleSheetLayoutView="80" zoomScalePageLayoutView="80" workbookViewId="0">
      <selection activeCell="K10" sqref="K10"/>
    </sheetView>
  </sheetViews>
  <sheetFormatPr baseColWidth="10" defaultColWidth="11.42578125" defaultRowHeight="14.25"/>
  <cols>
    <col min="1" max="1" width="52.42578125" style="822" customWidth="1"/>
    <col min="2" max="2" width="62.85546875" style="822" customWidth="1"/>
    <col min="3" max="3" width="17.7109375" style="828" customWidth="1"/>
    <col min="4" max="7" width="17.7109375" style="822" customWidth="1"/>
    <col min="8" max="10" width="12.42578125" style="822" bestFit="1" customWidth="1"/>
    <col min="11" max="16384" width="11.42578125" style="822"/>
  </cols>
  <sheetData>
    <row r="1" spans="1:11" ht="42" customHeight="1">
      <c r="A1" s="3461" t="s">
        <v>1518</v>
      </c>
      <c r="B1" s="3461"/>
      <c r="C1" s="3461"/>
      <c r="D1" s="3461"/>
      <c r="E1" s="3461"/>
      <c r="F1" s="3461"/>
      <c r="G1" s="3461"/>
      <c r="H1" s="3203"/>
      <c r="I1" s="3203"/>
      <c r="J1" s="3203"/>
    </row>
    <row r="2" spans="1:11" ht="15" thickBot="1">
      <c r="A2" s="815"/>
      <c r="B2" s="815"/>
      <c r="C2" s="816"/>
      <c r="D2" s="816"/>
      <c r="E2" s="816"/>
      <c r="F2" s="816"/>
      <c r="G2" s="815"/>
    </row>
    <row r="3" spans="1:11" s="823" customFormat="1" ht="20.100000000000001" customHeight="1" thickBot="1">
      <c r="A3" s="3467" t="s">
        <v>783</v>
      </c>
      <c r="B3" s="3467"/>
      <c r="C3" s="817" t="s">
        <v>784</v>
      </c>
      <c r="D3" s="3504" t="s">
        <v>1710</v>
      </c>
      <c r="E3" s="3504" t="s">
        <v>1711</v>
      </c>
      <c r="F3" s="3504" t="s">
        <v>1712</v>
      </c>
      <c r="G3" s="3504" t="s">
        <v>1713</v>
      </c>
      <c r="H3" s="3504" t="s">
        <v>1714</v>
      </c>
      <c r="I3" s="3504" t="s">
        <v>1715</v>
      </c>
      <c r="J3" s="3504" t="s">
        <v>1716</v>
      </c>
      <c r="K3" s="830" t="s">
        <v>792</v>
      </c>
    </row>
    <row r="4" spans="1:11" ht="20.100000000000001" customHeight="1">
      <c r="A4" s="818" t="s">
        <v>809</v>
      </c>
      <c r="B4" s="819" t="s">
        <v>1367</v>
      </c>
      <c r="C4" s="2763">
        <v>1.5</v>
      </c>
      <c r="D4" s="2764">
        <v>1.5</v>
      </c>
      <c r="E4" s="2555">
        <f>ROUND(D4*1.02,2)</f>
        <v>1.53</v>
      </c>
      <c r="F4" s="2555">
        <f t="shared" ref="F4:J4" si="0">ROUND(E4*1.02,2)</f>
        <v>1.56</v>
      </c>
      <c r="G4" s="2555">
        <f t="shared" si="0"/>
        <v>1.59</v>
      </c>
      <c r="H4" s="2556">
        <f t="shared" si="0"/>
        <v>1.62</v>
      </c>
      <c r="I4" s="2556">
        <f t="shared" si="0"/>
        <v>1.65</v>
      </c>
      <c r="J4" s="2556">
        <f t="shared" si="0"/>
        <v>1.68</v>
      </c>
    </row>
    <row r="5" spans="1:11" ht="20.100000000000001" customHeight="1">
      <c r="A5" s="3468" t="s">
        <v>785</v>
      </c>
      <c r="B5" s="821" t="s">
        <v>1366</v>
      </c>
      <c r="C5" s="2765">
        <v>5</v>
      </c>
      <c r="D5" s="2765">
        <v>5</v>
      </c>
      <c r="E5" s="2752">
        <f t="shared" ref="E5:J5" si="1">ROUND(D5*1.02,2)</f>
        <v>5.0999999999999996</v>
      </c>
      <c r="F5" s="2752">
        <f t="shared" si="1"/>
        <v>5.2</v>
      </c>
      <c r="G5" s="2752">
        <f t="shared" si="1"/>
        <v>5.3</v>
      </c>
      <c r="H5" s="2753">
        <f t="shared" ref="H5:H11" si="2">ROUND(G5*1.02,2)</f>
        <v>5.41</v>
      </c>
      <c r="I5" s="2753">
        <f t="shared" si="1"/>
        <v>5.52</v>
      </c>
      <c r="J5" s="2753">
        <f t="shared" si="1"/>
        <v>5.63</v>
      </c>
    </row>
    <row r="6" spans="1:11" ht="20.100000000000001" customHeight="1">
      <c r="A6" s="3468"/>
      <c r="B6" s="821" t="s">
        <v>1368</v>
      </c>
      <c r="C6" s="2765">
        <v>5</v>
      </c>
      <c r="D6" s="2765">
        <v>5</v>
      </c>
      <c r="E6" s="2752">
        <f t="shared" ref="E6:J6" si="3">ROUND(D6*1.02,2)</f>
        <v>5.0999999999999996</v>
      </c>
      <c r="F6" s="2752">
        <f t="shared" si="3"/>
        <v>5.2</v>
      </c>
      <c r="G6" s="2752">
        <f t="shared" si="3"/>
        <v>5.3</v>
      </c>
      <c r="H6" s="2753">
        <f t="shared" si="2"/>
        <v>5.41</v>
      </c>
      <c r="I6" s="2753">
        <f t="shared" si="3"/>
        <v>5.52</v>
      </c>
      <c r="J6" s="2753">
        <f t="shared" si="3"/>
        <v>5.63</v>
      </c>
    </row>
    <row r="7" spans="1:11" ht="20.100000000000001" customHeight="1">
      <c r="A7" s="3468"/>
      <c r="B7" s="821" t="s">
        <v>1369</v>
      </c>
      <c r="C7" s="2765">
        <v>5</v>
      </c>
      <c r="D7" s="2765">
        <v>5</v>
      </c>
      <c r="E7" s="2752">
        <f>ROUND(D7*1.02,2)</f>
        <v>5.0999999999999996</v>
      </c>
      <c r="F7" s="2752">
        <f>ROUND(E7*1.02,2)</f>
        <v>5.2</v>
      </c>
      <c r="G7" s="2752">
        <f>ROUND(F7*1.02,2)</f>
        <v>5.3</v>
      </c>
      <c r="H7" s="2753">
        <f t="shared" si="2"/>
        <v>5.41</v>
      </c>
      <c r="I7" s="2753">
        <f>ROUND(H7*1.02,2)</f>
        <v>5.52</v>
      </c>
      <c r="J7" s="2753">
        <f>ROUND(I7*1.02,2)</f>
        <v>5.63</v>
      </c>
    </row>
    <row r="8" spans="1:11" ht="20.100000000000001" customHeight="1">
      <c r="A8" s="3462" t="s">
        <v>818</v>
      </c>
      <c r="B8" s="821" t="s">
        <v>1370</v>
      </c>
      <c r="C8" s="2766">
        <v>1</v>
      </c>
      <c r="D8" s="2767">
        <v>1</v>
      </c>
      <c r="E8" s="2557">
        <f t="shared" ref="E8:J8" si="4">ROUND(D8*1.02,2)</f>
        <v>1.02</v>
      </c>
      <c r="F8" s="2557">
        <f t="shared" si="4"/>
        <v>1.04</v>
      </c>
      <c r="G8" s="2557">
        <f t="shared" si="4"/>
        <v>1.06</v>
      </c>
      <c r="H8" s="2558">
        <f t="shared" si="2"/>
        <v>1.08</v>
      </c>
      <c r="I8" s="2558">
        <f t="shared" si="4"/>
        <v>1.1000000000000001</v>
      </c>
      <c r="J8" s="2558">
        <f t="shared" si="4"/>
        <v>1.1200000000000001</v>
      </c>
    </row>
    <row r="9" spans="1:11" ht="20.100000000000001" customHeight="1">
      <c r="A9" s="3465"/>
      <c r="B9" s="821" t="s">
        <v>816</v>
      </c>
      <c r="C9" s="2766">
        <v>50</v>
      </c>
      <c r="D9" s="2767">
        <v>50</v>
      </c>
      <c r="E9" s="2557">
        <f t="shared" ref="E9:G11" si="5">ROUND(D9*1.02,2)</f>
        <v>51</v>
      </c>
      <c r="F9" s="2557">
        <f t="shared" si="5"/>
        <v>52.02</v>
      </c>
      <c r="G9" s="2557">
        <f t="shared" si="5"/>
        <v>53.06</v>
      </c>
      <c r="H9" s="2558">
        <f t="shared" si="2"/>
        <v>54.12</v>
      </c>
      <c r="I9" s="2558">
        <f t="shared" ref="I9:J11" si="6">ROUND(H9*1.02,2)</f>
        <v>55.2</v>
      </c>
      <c r="J9" s="2558">
        <f t="shared" si="6"/>
        <v>56.3</v>
      </c>
    </row>
    <row r="10" spans="1:11" ht="20.100000000000001" customHeight="1">
      <c r="A10" s="3465"/>
      <c r="B10" s="821" t="s">
        <v>817</v>
      </c>
      <c r="C10" s="2766">
        <v>100</v>
      </c>
      <c r="D10" s="2767">
        <v>100</v>
      </c>
      <c r="E10" s="2557">
        <f t="shared" si="5"/>
        <v>102</v>
      </c>
      <c r="F10" s="2557">
        <f t="shared" si="5"/>
        <v>104.04</v>
      </c>
      <c r="G10" s="2557">
        <f t="shared" si="5"/>
        <v>106.12</v>
      </c>
      <c r="H10" s="2558">
        <f t="shared" si="2"/>
        <v>108.24</v>
      </c>
      <c r="I10" s="2558">
        <f t="shared" si="6"/>
        <v>110.4</v>
      </c>
      <c r="J10" s="2558">
        <f t="shared" si="6"/>
        <v>112.61</v>
      </c>
    </row>
    <row r="11" spans="1:11" ht="20.100000000000001" customHeight="1">
      <c r="A11" s="3466"/>
      <c r="B11" s="821" t="s">
        <v>1371</v>
      </c>
      <c r="C11" s="2766">
        <v>1</v>
      </c>
      <c r="D11" s="2767">
        <v>1</v>
      </c>
      <c r="E11" s="2557">
        <f t="shared" si="5"/>
        <v>1.02</v>
      </c>
      <c r="F11" s="2557">
        <f t="shared" si="5"/>
        <v>1.04</v>
      </c>
      <c r="G11" s="2557">
        <f t="shared" si="5"/>
        <v>1.06</v>
      </c>
      <c r="H11" s="2558">
        <f t="shared" si="2"/>
        <v>1.08</v>
      </c>
      <c r="I11" s="2558">
        <f t="shared" si="6"/>
        <v>1.1000000000000001</v>
      </c>
      <c r="J11" s="2558">
        <f t="shared" si="6"/>
        <v>1.1200000000000001</v>
      </c>
    </row>
    <row r="12" spans="1:11" ht="20.100000000000001" customHeight="1">
      <c r="A12" s="3469" t="s">
        <v>786</v>
      </c>
      <c r="B12" s="2129" t="s">
        <v>834</v>
      </c>
      <c r="C12" s="2766">
        <v>50</v>
      </c>
      <c r="D12" s="2767">
        <v>100</v>
      </c>
      <c r="E12" s="2557">
        <f t="shared" ref="E12:J12" si="7">ROUND(D12*1.02,2)</f>
        <v>102</v>
      </c>
      <c r="F12" s="2557">
        <f t="shared" si="7"/>
        <v>104.04</v>
      </c>
      <c r="G12" s="2557">
        <f t="shared" si="7"/>
        <v>106.12</v>
      </c>
      <c r="H12" s="2558">
        <f t="shared" si="7"/>
        <v>108.24</v>
      </c>
      <c r="I12" s="2558">
        <f t="shared" si="7"/>
        <v>110.4</v>
      </c>
      <c r="J12" s="2558">
        <f t="shared" si="7"/>
        <v>112.61</v>
      </c>
    </row>
    <row r="13" spans="1:11" ht="20.100000000000001" customHeight="1">
      <c r="A13" s="3470"/>
      <c r="B13" s="2129" t="s">
        <v>835</v>
      </c>
      <c r="C13" s="2766">
        <v>500</v>
      </c>
      <c r="D13" s="2767">
        <v>500</v>
      </c>
      <c r="E13" s="2557">
        <f t="shared" ref="E13:J16" si="8">ROUND(D13*1.02,2)</f>
        <v>510</v>
      </c>
      <c r="F13" s="2557">
        <f t="shared" si="8"/>
        <v>520.20000000000005</v>
      </c>
      <c r="G13" s="2557">
        <f t="shared" si="8"/>
        <v>530.6</v>
      </c>
      <c r="H13" s="2558">
        <f t="shared" si="8"/>
        <v>541.21</v>
      </c>
      <c r="I13" s="2558">
        <f t="shared" si="8"/>
        <v>552.03</v>
      </c>
      <c r="J13" s="2558">
        <f t="shared" si="8"/>
        <v>563.07000000000005</v>
      </c>
    </row>
    <row r="14" spans="1:11" ht="37.5" customHeight="1">
      <c r="A14" s="3470"/>
      <c r="B14" s="2130" t="s">
        <v>836</v>
      </c>
      <c r="C14" s="2766">
        <v>50</v>
      </c>
      <c r="D14" s="2767">
        <v>50</v>
      </c>
      <c r="E14" s="2557">
        <f t="shared" si="8"/>
        <v>51</v>
      </c>
      <c r="F14" s="2557">
        <f t="shared" si="8"/>
        <v>52.02</v>
      </c>
      <c r="G14" s="2557">
        <f t="shared" si="8"/>
        <v>53.06</v>
      </c>
      <c r="H14" s="2558">
        <f t="shared" si="8"/>
        <v>54.12</v>
      </c>
      <c r="I14" s="2558">
        <f t="shared" si="8"/>
        <v>55.2</v>
      </c>
      <c r="J14" s="2558">
        <f t="shared" si="8"/>
        <v>56.3</v>
      </c>
    </row>
    <row r="15" spans="1:11" ht="66.75" customHeight="1">
      <c r="A15" s="3470"/>
      <c r="B15" s="2130" t="s">
        <v>1409</v>
      </c>
      <c r="C15" s="2766">
        <v>300</v>
      </c>
      <c r="D15" s="2767">
        <v>300</v>
      </c>
      <c r="E15" s="2557">
        <f t="shared" si="8"/>
        <v>306</v>
      </c>
      <c r="F15" s="2557">
        <f t="shared" si="8"/>
        <v>312.12</v>
      </c>
      <c r="G15" s="2557">
        <f t="shared" si="8"/>
        <v>318.36</v>
      </c>
      <c r="H15" s="2558">
        <f t="shared" si="8"/>
        <v>324.73</v>
      </c>
      <c r="I15" s="2558">
        <f t="shared" si="8"/>
        <v>331.22</v>
      </c>
      <c r="J15" s="2558">
        <f t="shared" si="8"/>
        <v>337.84</v>
      </c>
    </row>
    <row r="16" spans="1:11" ht="24.75" customHeight="1">
      <c r="A16" s="3471"/>
      <c r="B16" s="2130" t="s">
        <v>1242</v>
      </c>
      <c r="C16" s="2766">
        <v>30</v>
      </c>
      <c r="D16" s="2767">
        <v>30</v>
      </c>
      <c r="E16" s="2557">
        <f t="shared" si="8"/>
        <v>30.6</v>
      </c>
      <c r="F16" s="2557">
        <f t="shared" si="8"/>
        <v>31.21</v>
      </c>
      <c r="G16" s="2557">
        <f t="shared" si="8"/>
        <v>31.83</v>
      </c>
      <c r="H16" s="2558">
        <f t="shared" si="8"/>
        <v>32.47</v>
      </c>
      <c r="I16" s="2558">
        <f t="shared" si="8"/>
        <v>33.119999999999997</v>
      </c>
      <c r="J16" s="2558">
        <f t="shared" si="8"/>
        <v>33.78</v>
      </c>
    </row>
    <row r="17" spans="1:10" ht="20.100000000000001" customHeight="1">
      <c r="A17" s="3472" t="s">
        <v>787</v>
      </c>
      <c r="B17" s="2129" t="s">
        <v>814</v>
      </c>
      <c r="C17" s="2766">
        <v>500</v>
      </c>
      <c r="D17" s="2767">
        <v>500</v>
      </c>
      <c r="E17" s="2557">
        <f t="shared" ref="E17:J17" si="9">ROUND(D17*1.02,2)</f>
        <v>510</v>
      </c>
      <c r="F17" s="2557">
        <f t="shared" si="9"/>
        <v>520.20000000000005</v>
      </c>
      <c r="G17" s="2557">
        <f t="shared" si="9"/>
        <v>530.6</v>
      </c>
      <c r="H17" s="2558">
        <f t="shared" si="9"/>
        <v>541.21</v>
      </c>
      <c r="I17" s="2558">
        <f t="shared" si="9"/>
        <v>552.03</v>
      </c>
      <c r="J17" s="2558">
        <f t="shared" si="9"/>
        <v>563.07000000000005</v>
      </c>
    </row>
    <row r="18" spans="1:10" ht="20.100000000000001" customHeight="1">
      <c r="A18" s="3473"/>
      <c r="B18" s="2129" t="s">
        <v>815</v>
      </c>
      <c r="C18" s="2766">
        <v>100</v>
      </c>
      <c r="D18" s="2767">
        <v>100</v>
      </c>
      <c r="E18" s="2557">
        <f t="shared" ref="E18:J20" si="10">ROUND(D18*1.02,2)</f>
        <v>102</v>
      </c>
      <c r="F18" s="2557">
        <f t="shared" si="10"/>
        <v>104.04</v>
      </c>
      <c r="G18" s="2557">
        <f t="shared" si="10"/>
        <v>106.12</v>
      </c>
      <c r="H18" s="2558">
        <f t="shared" si="10"/>
        <v>108.24</v>
      </c>
      <c r="I18" s="2558">
        <f t="shared" si="10"/>
        <v>110.4</v>
      </c>
      <c r="J18" s="2558">
        <f t="shared" si="10"/>
        <v>112.61</v>
      </c>
    </row>
    <row r="19" spans="1:10" ht="20.100000000000001" customHeight="1">
      <c r="A19" s="3474"/>
      <c r="B19" s="2262" t="s">
        <v>1408</v>
      </c>
      <c r="C19" s="2768">
        <v>50</v>
      </c>
      <c r="D19" s="2769">
        <v>50</v>
      </c>
      <c r="E19" s="2557">
        <f t="shared" si="10"/>
        <v>51</v>
      </c>
      <c r="F19" s="2557">
        <f t="shared" si="10"/>
        <v>52.02</v>
      </c>
      <c r="G19" s="2557">
        <f t="shared" si="10"/>
        <v>53.06</v>
      </c>
      <c r="H19" s="2558">
        <f t="shared" si="10"/>
        <v>54.12</v>
      </c>
      <c r="I19" s="2558">
        <f t="shared" si="10"/>
        <v>55.2</v>
      </c>
      <c r="J19" s="2558">
        <f t="shared" si="10"/>
        <v>56.3</v>
      </c>
    </row>
    <row r="20" spans="1:10" ht="20.100000000000001" customHeight="1">
      <c r="A20" s="3462" t="s">
        <v>788</v>
      </c>
      <c r="B20" s="2129" t="s">
        <v>1125</v>
      </c>
      <c r="C20" s="2766">
        <v>300</v>
      </c>
      <c r="D20" s="2767">
        <v>300</v>
      </c>
      <c r="E20" s="2557">
        <f t="shared" si="10"/>
        <v>306</v>
      </c>
      <c r="F20" s="2557">
        <f t="shared" si="10"/>
        <v>312.12</v>
      </c>
      <c r="G20" s="2557">
        <f t="shared" si="10"/>
        <v>318.36</v>
      </c>
      <c r="H20" s="2558">
        <f t="shared" si="10"/>
        <v>324.73</v>
      </c>
      <c r="I20" s="2558">
        <f t="shared" si="10"/>
        <v>331.22</v>
      </c>
      <c r="J20" s="2558">
        <f t="shared" si="10"/>
        <v>337.84</v>
      </c>
    </row>
    <row r="21" spans="1:10" ht="20.100000000000001" customHeight="1">
      <c r="A21" s="3464"/>
      <c r="B21" s="2129" t="s">
        <v>1126</v>
      </c>
      <c r="C21" s="2766">
        <v>300</v>
      </c>
      <c r="D21" s="2767">
        <v>300</v>
      </c>
      <c r="E21" s="2557">
        <f t="shared" ref="E21:J21" si="11">ROUND(D21*1.02,2)</f>
        <v>306</v>
      </c>
      <c r="F21" s="2557">
        <f t="shared" si="11"/>
        <v>312.12</v>
      </c>
      <c r="G21" s="2557">
        <f t="shared" si="11"/>
        <v>318.36</v>
      </c>
      <c r="H21" s="2558">
        <f t="shared" si="11"/>
        <v>324.73</v>
      </c>
      <c r="I21" s="2558">
        <f t="shared" si="11"/>
        <v>331.22</v>
      </c>
      <c r="J21" s="2558">
        <f t="shared" si="11"/>
        <v>337.84</v>
      </c>
    </row>
    <row r="22" spans="1:10" ht="20.100000000000001" customHeight="1">
      <c r="A22" s="3462" t="s">
        <v>789</v>
      </c>
      <c r="B22" s="821" t="s">
        <v>790</v>
      </c>
      <c r="C22" s="2766">
        <v>100</v>
      </c>
      <c r="D22" s="2767">
        <v>100</v>
      </c>
      <c r="E22" s="2557">
        <f t="shared" ref="E22:J22" si="12">ROUND(D22*1.02,2)</f>
        <v>102</v>
      </c>
      <c r="F22" s="2557">
        <f t="shared" si="12"/>
        <v>104.04</v>
      </c>
      <c r="G22" s="2557">
        <f t="shared" si="12"/>
        <v>106.12</v>
      </c>
      <c r="H22" s="2558">
        <f t="shared" si="12"/>
        <v>108.24</v>
      </c>
      <c r="I22" s="2558">
        <f t="shared" si="12"/>
        <v>110.4</v>
      </c>
      <c r="J22" s="2558">
        <f t="shared" si="12"/>
        <v>112.61</v>
      </c>
    </row>
    <row r="23" spans="1:10" ht="20.100000000000001" customHeight="1">
      <c r="A23" s="3463"/>
      <c r="B23" s="821" t="s">
        <v>791</v>
      </c>
      <c r="C23" s="2766">
        <v>50</v>
      </c>
      <c r="D23" s="2767">
        <v>50</v>
      </c>
      <c r="E23" s="2557">
        <f t="shared" ref="E23:J24" si="13">ROUND(D23*1.02,2)</f>
        <v>51</v>
      </c>
      <c r="F23" s="2557">
        <f t="shared" si="13"/>
        <v>52.02</v>
      </c>
      <c r="G23" s="2557">
        <f t="shared" si="13"/>
        <v>53.06</v>
      </c>
      <c r="H23" s="2558">
        <f t="shared" si="13"/>
        <v>54.12</v>
      </c>
      <c r="I23" s="2558">
        <f t="shared" si="13"/>
        <v>55.2</v>
      </c>
      <c r="J23" s="2558">
        <f t="shared" si="13"/>
        <v>56.3</v>
      </c>
    </row>
    <row r="24" spans="1:10" ht="20.100000000000001" customHeight="1">
      <c r="A24" s="1351"/>
      <c r="B24" s="821" t="s">
        <v>821</v>
      </c>
      <c r="C24" s="2766">
        <v>100</v>
      </c>
      <c r="D24" s="2767">
        <v>100</v>
      </c>
      <c r="E24" s="2557">
        <f t="shared" si="13"/>
        <v>102</v>
      </c>
      <c r="F24" s="2557">
        <f>ROUND(E24*1.02,2)</f>
        <v>104.04</v>
      </c>
      <c r="G24" s="2557">
        <f t="shared" si="13"/>
        <v>106.12</v>
      </c>
      <c r="H24" s="2558">
        <f t="shared" si="13"/>
        <v>108.24</v>
      </c>
      <c r="I24" s="2558">
        <f t="shared" si="13"/>
        <v>110.4</v>
      </c>
      <c r="J24" s="2558">
        <f t="shared" si="13"/>
        <v>112.61</v>
      </c>
    </row>
    <row r="25" spans="1:10" ht="26.25" customHeight="1">
      <c r="A25" s="820" t="s">
        <v>810</v>
      </c>
      <c r="B25" s="821" t="s">
        <v>819</v>
      </c>
      <c r="C25" s="2766">
        <v>50</v>
      </c>
      <c r="D25" s="2767">
        <v>50</v>
      </c>
      <c r="E25" s="2557">
        <f t="shared" ref="E25:J25" si="14">ROUND(D25*1.02,2)</f>
        <v>51</v>
      </c>
      <c r="F25" s="2557">
        <f t="shared" si="14"/>
        <v>52.02</v>
      </c>
      <c r="G25" s="2557">
        <f t="shared" si="14"/>
        <v>53.06</v>
      </c>
      <c r="H25" s="2558">
        <f t="shared" si="14"/>
        <v>54.12</v>
      </c>
      <c r="I25" s="2558">
        <f t="shared" si="14"/>
        <v>55.2</v>
      </c>
      <c r="J25" s="2558">
        <f t="shared" si="14"/>
        <v>56.3</v>
      </c>
    </row>
    <row r="26" spans="1:10">
      <c r="A26" s="855"/>
      <c r="B26" s="825"/>
      <c r="C26" s="2770"/>
      <c r="D26" s="2559"/>
      <c r="E26" s="2559">
        <f t="shared" ref="E26:J26" si="15">ROUND(D26*1.02,2)</f>
        <v>0</v>
      </c>
      <c r="F26" s="2559">
        <f t="shared" si="15"/>
        <v>0</v>
      </c>
      <c r="G26" s="2559">
        <f t="shared" si="15"/>
        <v>0</v>
      </c>
      <c r="H26" s="2560">
        <f t="shared" si="15"/>
        <v>0</v>
      </c>
      <c r="I26" s="2560">
        <f t="shared" si="15"/>
        <v>0</v>
      </c>
      <c r="J26" s="2560">
        <f t="shared" si="15"/>
        <v>0</v>
      </c>
    </row>
    <row r="27" spans="1:10">
      <c r="A27" s="824"/>
      <c r="B27" s="825"/>
      <c r="C27" s="2770"/>
      <c r="D27" s="2559"/>
      <c r="E27" s="2559">
        <f t="shared" ref="E27:J27" si="16">ROUND(D27*1.02,2)</f>
        <v>0</v>
      </c>
      <c r="F27" s="2559">
        <f t="shared" si="16"/>
        <v>0</v>
      </c>
      <c r="G27" s="2559">
        <f t="shared" si="16"/>
        <v>0</v>
      </c>
      <c r="H27" s="2560">
        <f t="shared" si="16"/>
        <v>0</v>
      </c>
      <c r="I27" s="2560">
        <f t="shared" si="16"/>
        <v>0</v>
      </c>
      <c r="J27" s="2560">
        <f t="shared" si="16"/>
        <v>0</v>
      </c>
    </row>
    <row r="28" spans="1:10">
      <c r="A28" s="855"/>
      <c r="B28" s="825"/>
      <c r="C28" s="2770"/>
      <c r="D28" s="2559"/>
      <c r="E28" s="2559">
        <f t="shared" ref="E28:J28" si="17">ROUND(D28*1.02,2)</f>
        <v>0</v>
      </c>
      <c r="F28" s="2559">
        <f t="shared" si="17"/>
        <v>0</v>
      </c>
      <c r="G28" s="2559">
        <f t="shared" si="17"/>
        <v>0</v>
      </c>
      <c r="H28" s="2560">
        <f t="shared" si="17"/>
        <v>0</v>
      </c>
      <c r="I28" s="2560">
        <f t="shared" si="17"/>
        <v>0</v>
      </c>
      <c r="J28" s="2560">
        <f t="shared" si="17"/>
        <v>0</v>
      </c>
    </row>
    <row r="29" spans="1:10">
      <c r="A29" s="824"/>
      <c r="B29" s="825"/>
      <c r="C29" s="2770"/>
      <c r="D29" s="2559"/>
      <c r="E29" s="2559">
        <f t="shared" ref="E29:J29" si="18">ROUND(D29*1.02,2)</f>
        <v>0</v>
      </c>
      <c r="F29" s="2559">
        <f t="shared" si="18"/>
        <v>0</v>
      </c>
      <c r="G29" s="2559">
        <f t="shared" si="18"/>
        <v>0</v>
      </c>
      <c r="H29" s="2560">
        <f t="shared" si="18"/>
        <v>0</v>
      </c>
      <c r="I29" s="2560">
        <f t="shared" si="18"/>
        <v>0</v>
      </c>
      <c r="J29" s="2560">
        <f t="shared" si="18"/>
        <v>0</v>
      </c>
    </row>
    <row r="30" spans="1:10">
      <c r="A30" s="824"/>
      <c r="B30" s="825"/>
      <c r="C30" s="2770"/>
      <c r="D30" s="2559"/>
      <c r="E30" s="2559">
        <f t="shared" ref="E30:J30" si="19">ROUND(D30*1.02,2)</f>
        <v>0</v>
      </c>
      <c r="F30" s="2559">
        <f t="shared" si="19"/>
        <v>0</v>
      </c>
      <c r="G30" s="2559">
        <f t="shared" si="19"/>
        <v>0</v>
      </c>
      <c r="H30" s="2560">
        <f t="shared" si="19"/>
        <v>0</v>
      </c>
      <c r="I30" s="2560">
        <f t="shared" si="19"/>
        <v>0</v>
      </c>
      <c r="J30" s="2560">
        <f t="shared" si="19"/>
        <v>0</v>
      </c>
    </row>
    <row r="31" spans="1:10">
      <c r="A31" s="824"/>
      <c r="B31" s="825"/>
      <c r="C31" s="2770"/>
      <c r="D31" s="2559"/>
      <c r="E31" s="2559">
        <f t="shared" ref="E31:J31" si="20">ROUND(D31*1.02,2)</f>
        <v>0</v>
      </c>
      <c r="F31" s="2559">
        <f t="shared" si="20"/>
        <v>0</v>
      </c>
      <c r="G31" s="2559">
        <f t="shared" si="20"/>
        <v>0</v>
      </c>
      <c r="H31" s="2560">
        <f t="shared" si="20"/>
        <v>0</v>
      </c>
      <c r="I31" s="2560">
        <f t="shared" si="20"/>
        <v>0</v>
      </c>
      <c r="J31" s="2560">
        <f t="shared" si="20"/>
        <v>0</v>
      </c>
    </row>
    <row r="32" spans="1:10">
      <c r="A32" s="1355"/>
      <c r="B32" s="825"/>
      <c r="C32" s="2770"/>
      <c r="D32" s="2559"/>
      <c r="E32" s="2559">
        <f t="shared" ref="E32:J32" si="21">ROUND(D32*1.02,2)</f>
        <v>0</v>
      </c>
      <c r="F32" s="2559">
        <f t="shared" si="21"/>
        <v>0</v>
      </c>
      <c r="G32" s="2559">
        <f t="shared" si="21"/>
        <v>0</v>
      </c>
      <c r="H32" s="2560">
        <f t="shared" si="21"/>
        <v>0</v>
      </c>
      <c r="I32" s="2560">
        <f t="shared" si="21"/>
        <v>0</v>
      </c>
      <c r="J32" s="2560">
        <f t="shared" si="21"/>
        <v>0</v>
      </c>
    </row>
    <row r="33" spans="1:10" ht="15" thickBot="1">
      <c r="A33" s="826"/>
      <c r="B33" s="827"/>
      <c r="C33" s="2771"/>
      <c r="D33" s="2561"/>
      <c r="E33" s="2561">
        <f t="shared" ref="E33:J33" si="22">ROUND(D33*1.02,2)</f>
        <v>0</v>
      </c>
      <c r="F33" s="2561">
        <f t="shared" si="22"/>
        <v>0</v>
      </c>
      <c r="G33" s="2561">
        <f t="shared" si="22"/>
        <v>0</v>
      </c>
      <c r="H33" s="2562">
        <f t="shared" si="22"/>
        <v>0</v>
      </c>
      <c r="I33" s="2562">
        <f t="shared" si="22"/>
        <v>0</v>
      </c>
      <c r="J33" s="2562">
        <f t="shared" si="22"/>
        <v>0</v>
      </c>
    </row>
    <row r="34" spans="1:10">
      <c r="C34" s="828">
        <f t="shared" ref="C34:J34" si="23">SUM(C4:C33)</f>
        <v>2648.5</v>
      </c>
      <c r="D34" s="829">
        <f t="shared" si="23"/>
        <v>2698.5</v>
      </c>
      <c r="E34" s="829">
        <f t="shared" si="23"/>
        <v>2752.47</v>
      </c>
      <c r="F34" s="829">
        <f t="shared" si="23"/>
        <v>2807.5099999999998</v>
      </c>
      <c r="G34" s="829">
        <f t="shared" si="23"/>
        <v>2863.6199999999994</v>
      </c>
      <c r="H34" s="829">
        <f t="shared" si="23"/>
        <v>2920.8899999999994</v>
      </c>
      <c r="I34" s="829">
        <f t="shared" si="23"/>
        <v>2979.25</v>
      </c>
      <c r="J34" s="829">
        <f t="shared" si="23"/>
        <v>3038.8000000000006</v>
      </c>
    </row>
    <row r="36" spans="1:10">
      <c r="A36" s="2772" t="s">
        <v>1451</v>
      </c>
      <c r="B36" s="1356"/>
      <c r="C36" s="1357"/>
      <c r="D36" s="1356"/>
      <c r="E36" s="1356"/>
      <c r="F36" s="1356"/>
    </row>
    <row r="37" spans="1:10">
      <c r="A37" s="1356"/>
      <c r="B37" s="1356"/>
      <c r="C37" s="1357"/>
      <c r="D37" s="1356"/>
    </row>
    <row r="38" spans="1:10" ht="15">
      <c r="A38" s="2273" t="s">
        <v>1636</v>
      </c>
    </row>
    <row r="39" spans="1:10" ht="24" customHeight="1">
      <c r="A39" s="1356"/>
      <c r="B39" s="1356"/>
      <c r="C39" s="1357"/>
      <c r="D39" s="1356"/>
      <c r="E39" s="1356"/>
    </row>
    <row r="40" spans="1:10">
      <c r="A40" s="1356"/>
      <c r="B40" s="1356"/>
      <c r="C40" s="1357"/>
      <c r="D40" s="1356"/>
      <c r="E40" s="1356"/>
    </row>
    <row r="41" spans="1:10" ht="15">
      <c r="A41" s="940"/>
    </row>
    <row r="42" spans="1:10">
      <c r="B42" s="941"/>
    </row>
  </sheetData>
  <sheetProtection algorithmName="SHA-512" hashValue="CK0bUWe/npmpIyBmABm99NIrI1ugYFCAAtTeyTlHOGK42Jy8/NZjLINkdSg5oYcEEbtgahc+jI3pueD064UflQ==" saltValue="c01L6aDUlrYgv45H6wIAEQ==" spinCount="100000" sheet="1" objects="1" scenarios="1"/>
  <mergeCells count="8">
    <mergeCell ref="A1:J1"/>
    <mergeCell ref="A22:A23"/>
    <mergeCell ref="A20:A21"/>
    <mergeCell ref="A8:A11"/>
    <mergeCell ref="A3:B3"/>
    <mergeCell ref="A5:A7"/>
    <mergeCell ref="A12:A16"/>
    <mergeCell ref="A17:A19"/>
  </mergeCells>
  <pageMargins left="0.7" right="0.7" top="0.78740157499999996" bottom="0.78740157499999996" header="0.3" footer="0.3"/>
  <pageSetup paperSize="9" scale="53" orientation="landscape" r:id="rId1"/>
  <headerFooter>
    <oddHeader>&amp;LVDV SUN Jahresschlussrechnung JJJJ&amp;R&amp;F</oddHeader>
    <oddFooter>&amp;C&amp;P&amp;R&amp;A</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59DE2-E19B-4DC5-A055-11604584473C}">
  <dimension ref="A1:I62"/>
  <sheetViews>
    <sheetView view="pageLayout" topLeftCell="A16" zoomScale="80" zoomScaleNormal="80" zoomScaleSheetLayoutView="80" zoomScalePageLayoutView="80" workbookViewId="0">
      <selection activeCell="I10" sqref="I10"/>
    </sheetView>
  </sheetViews>
  <sheetFormatPr baseColWidth="10" defaultColWidth="11.42578125" defaultRowHeight="14.25"/>
  <cols>
    <col min="1" max="1" width="129.28515625" style="1724" customWidth="1"/>
    <col min="2" max="2" width="30.5703125" style="1724" bestFit="1" customWidth="1"/>
    <col min="3" max="3" width="15.28515625" style="1724" customWidth="1"/>
    <col min="4" max="5" width="12.28515625" style="1724" bestFit="1" customWidth="1"/>
    <col min="6" max="8" width="11.5703125" style="1724" customWidth="1"/>
    <col min="9" max="16384" width="11.42578125" style="1724"/>
  </cols>
  <sheetData>
    <row r="1" spans="1:9" ht="32.25" customHeight="1">
      <c r="A1" s="3482" t="s">
        <v>1519</v>
      </c>
      <c r="B1" s="3215"/>
      <c r="C1" s="3215"/>
      <c r="D1" s="3215"/>
      <c r="E1" s="3215"/>
      <c r="F1" s="3203"/>
    </row>
    <row r="2" spans="1:9" ht="18">
      <c r="A2" s="3482" t="s">
        <v>748</v>
      </c>
      <c r="B2" s="3169"/>
      <c r="C2" s="3169"/>
      <c r="D2" s="3169"/>
      <c r="E2" s="3169"/>
      <c r="F2" s="3203"/>
    </row>
    <row r="4" spans="1:9">
      <c r="A4" s="3478" t="s">
        <v>1703</v>
      </c>
      <c r="B4" s="3479"/>
      <c r="C4" s="3479"/>
      <c r="D4" s="3479"/>
      <c r="E4" s="3479"/>
      <c r="F4" s="3480"/>
    </row>
    <row r="5" spans="1:9" ht="24" customHeight="1">
      <c r="A5" s="3481"/>
      <c r="B5" s="3479"/>
      <c r="C5" s="3479"/>
      <c r="D5" s="3479"/>
      <c r="E5" s="3479"/>
      <c r="F5" s="3480"/>
      <c r="G5" s="2853" t="s">
        <v>1686</v>
      </c>
    </row>
    <row r="6" spans="1:9">
      <c r="C6" s="1776" t="s">
        <v>1327</v>
      </c>
    </row>
    <row r="7" spans="1:9" ht="57">
      <c r="A7" s="1747" t="s">
        <v>1687</v>
      </c>
      <c r="B7" s="2852" t="s">
        <v>1686</v>
      </c>
      <c r="C7" s="1783" t="s">
        <v>1326</v>
      </c>
      <c r="D7" s="1783"/>
      <c r="E7" s="2542">
        <f>'0_Zsfsg. Thüringen GA Los A'!D2</f>
        <v>6.5</v>
      </c>
      <c r="F7" s="1783" t="s">
        <v>1310</v>
      </c>
      <c r="G7" s="1725"/>
      <c r="H7" s="1725"/>
    </row>
    <row r="8" spans="1:9" ht="28.5">
      <c r="A8" s="1747" t="s">
        <v>1688</v>
      </c>
      <c r="B8" s="2852" t="s">
        <v>1686</v>
      </c>
      <c r="C8" s="3475" t="s">
        <v>1316</v>
      </c>
      <c r="D8" s="3476"/>
      <c r="E8" s="2855">
        <v>5</v>
      </c>
      <c r="F8" s="1783" t="s">
        <v>1310</v>
      </c>
      <c r="G8" s="2852" t="s">
        <v>1686</v>
      </c>
      <c r="H8" s="1725"/>
    </row>
    <row r="9" spans="1:9" ht="28.5">
      <c r="A9" s="1748" t="s">
        <v>1318</v>
      </c>
      <c r="B9" s="1725"/>
      <c r="C9" s="3475" t="s">
        <v>1317</v>
      </c>
      <c r="D9" s="3476"/>
      <c r="E9" s="2855">
        <v>5</v>
      </c>
      <c r="F9" s="1783" t="s">
        <v>1310</v>
      </c>
      <c r="G9" s="2852" t="s">
        <v>1686</v>
      </c>
      <c r="H9" s="1725"/>
    </row>
    <row r="10" spans="1:9" ht="28.5">
      <c r="A10" s="1748" t="s">
        <v>1319</v>
      </c>
      <c r="B10" s="1725"/>
      <c r="D10" s="1725"/>
      <c r="E10" s="1725"/>
      <c r="F10" s="1725"/>
      <c r="G10" s="1725"/>
      <c r="H10" s="1725"/>
    </row>
    <row r="11" spans="1:9" ht="14.85" customHeight="1">
      <c r="A11" s="1725"/>
      <c r="B11" s="1725"/>
      <c r="C11" s="3477" t="s">
        <v>1311</v>
      </c>
      <c r="D11" s="3477"/>
      <c r="E11" s="1773"/>
      <c r="F11" s="1725"/>
      <c r="G11" s="1725"/>
      <c r="H11" s="1725"/>
    </row>
    <row r="12" spans="1:9" ht="15" thickBot="1">
      <c r="A12" s="1725"/>
      <c r="B12" s="1725"/>
      <c r="C12" s="1761" t="s">
        <v>1325</v>
      </c>
      <c r="D12" s="1725"/>
      <c r="E12" s="1725"/>
      <c r="F12" s="1774"/>
      <c r="G12" s="1774"/>
      <c r="H12" s="1774"/>
      <c r="I12" s="1775"/>
    </row>
    <row r="13" spans="1:9">
      <c r="A13" s="1725"/>
      <c r="B13" s="1760" t="s">
        <v>56</v>
      </c>
      <c r="C13" s="1771">
        <v>45772</v>
      </c>
      <c r="D13" s="1772">
        <v>45772</v>
      </c>
      <c r="E13" s="1772"/>
      <c r="F13" s="1774"/>
      <c r="G13" s="1774"/>
      <c r="H13" s="1774"/>
      <c r="I13" s="1775"/>
    </row>
    <row r="14" spans="1:9">
      <c r="B14" s="1736" t="s">
        <v>1312</v>
      </c>
      <c r="C14" s="1770" t="s">
        <v>139</v>
      </c>
      <c r="D14" s="1763" t="s">
        <v>139</v>
      </c>
      <c r="E14" s="1764"/>
      <c r="F14" s="1750"/>
      <c r="G14" s="1750"/>
      <c r="H14" s="1750"/>
      <c r="I14" s="1775"/>
    </row>
    <row r="15" spans="1:9">
      <c r="B15" s="2522" t="s">
        <v>1616</v>
      </c>
      <c r="C15" s="1765" t="s">
        <v>1529</v>
      </c>
      <c r="D15" s="1740" t="s">
        <v>1530</v>
      </c>
      <c r="E15" s="1741"/>
      <c r="F15" s="1751"/>
      <c r="G15" s="3015"/>
      <c r="H15" s="1751"/>
      <c r="I15" s="1775"/>
    </row>
    <row r="16" spans="1:9">
      <c r="B16" s="1736" t="s">
        <v>1320</v>
      </c>
      <c r="C16" s="1765" t="s">
        <v>1323</v>
      </c>
      <c r="D16" s="1740" t="s">
        <v>1324</v>
      </c>
      <c r="E16" s="1741"/>
      <c r="F16" s="1751"/>
      <c r="G16" s="1751"/>
      <c r="H16" s="1751"/>
      <c r="I16" s="1775"/>
    </row>
    <row r="17" spans="1:9">
      <c r="B17" s="1736" t="s">
        <v>1313</v>
      </c>
      <c r="C17" s="1766">
        <v>1</v>
      </c>
      <c r="D17" s="1738">
        <v>2</v>
      </c>
      <c r="E17" s="1739"/>
      <c r="F17" s="1750"/>
      <c r="G17" s="1750"/>
      <c r="H17" s="1750"/>
      <c r="I17" s="1775"/>
    </row>
    <row r="18" spans="1:9">
      <c r="B18" s="1737" t="s">
        <v>1321</v>
      </c>
      <c r="C18" s="2854">
        <f>E9</f>
        <v>5</v>
      </c>
      <c r="D18" s="2856">
        <f>E8</f>
        <v>5</v>
      </c>
      <c r="E18" s="1742"/>
      <c r="F18" s="1759" t="s">
        <v>792</v>
      </c>
      <c r="G18" s="1752"/>
      <c r="H18" s="1752"/>
      <c r="I18" s="1775"/>
    </row>
    <row r="19" spans="1:9" ht="15">
      <c r="A19" s="1727" t="s">
        <v>1314</v>
      </c>
      <c r="B19" s="1728" t="s">
        <v>1322</v>
      </c>
      <c r="C19" s="1767"/>
      <c r="D19" s="1729"/>
      <c r="E19" s="1729"/>
      <c r="F19" s="1753"/>
      <c r="G19" s="1753"/>
      <c r="H19" s="1753"/>
      <c r="I19" s="1775"/>
    </row>
    <row r="20" spans="1:9" ht="28.5">
      <c r="A20" s="1730" t="s">
        <v>1689</v>
      </c>
      <c r="B20" s="1731">
        <v>0.1</v>
      </c>
      <c r="C20" s="1768"/>
      <c r="D20" s="1743"/>
      <c r="E20" s="1743"/>
      <c r="G20" s="2851" t="s">
        <v>1686</v>
      </c>
      <c r="H20" s="1754"/>
      <c r="I20" s="1775"/>
    </row>
    <row r="21" spans="1:9" ht="28.5">
      <c r="A21" s="1730" t="s">
        <v>1690</v>
      </c>
      <c r="B21" s="1731">
        <v>0.3</v>
      </c>
      <c r="C21" s="1768">
        <v>1</v>
      </c>
      <c r="D21" s="1743"/>
      <c r="E21" s="1743"/>
      <c r="G21" s="2851" t="s">
        <v>1686</v>
      </c>
      <c r="H21" s="1754"/>
      <c r="I21" s="1775"/>
    </row>
    <row r="22" spans="1:9" ht="28.5">
      <c r="A22" s="1730" t="s">
        <v>1691</v>
      </c>
      <c r="B22" s="1731">
        <v>0.2</v>
      </c>
      <c r="C22" s="1768"/>
      <c r="D22" s="1743"/>
      <c r="E22" s="1743"/>
      <c r="G22" s="2851" t="s">
        <v>1686</v>
      </c>
      <c r="H22" s="1754"/>
      <c r="I22" s="1775"/>
    </row>
    <row r="23" spans="1:9" ht="42.75">
      <c r="A23" s="1730" t="s">
        <v>1692</v>
      </c>
      <c r="B23" s="1731">
        <v>0.2</v>
      </c>
      <c r="C23" s="1768"/>
      <c r="D23" s="1743">
        <v>1</v>
      </c>
      <c r="E23" s="1743"/>
      <c r="G23" s="2851" t="s">
        <v>1686</v>
      </c>
      <c r="H23" s="1754"/>
      <c r="I23" s="1775"/>
    </row>
    <row r="24" spans="1:9" ht="28.5">
      <c r="A24" s="1730" t="s">
        <v>1693</v>
      </c>
      <c r="B24" s="1731">
        <v>0.3</v>
      </c>
      <c r="C24" s="1766"/>
      <c r="D24" s="1738"/>
      <c r="E24" s="1744"/>
      <c r="G24" s="2851" t="s">
        <v>1686</v>
      </c>
      <c r="H24" s="1755"/>
      <c r="I24" s="1775"/>
    </row>
    <row r="25" spans="1:9" ht="28.5">
      <c r="A25" s="1730" t="s">
        <v>1694</v>
      </c>
      <c r="B25" s="1731">
        <v>0.1</v>
      </c>
      <c r="C25" s="1766"/>
      <c r="D25" s="1745"/>
      <c r="E25" s="1743"/>
      <c r="G25" s="2851" t="s">
        <v>1686</v>
      </c>
      <c r="H25" s="1754"/>
      <c r="I25" s="1775"/>
    </row>
    <row r="26" spans="1:9" ht="28.5">
      <c r="A26" s="1730" t="s">
        <v>1695</v>
      </c>
      <c r="B26" s="1731">
        <v>0.4</v>
      </c>
      <c r="C26" s="1769"/>
      <c r="D26" s="1745"/>
      <c r="E26" s="1743"/>
      <c r="G26" s="2851" t="s">
        <v>1686</v>
      </c>
      <c r="H26" s="1754"/>
      <c r="I26" s="1775"/>
    </row>
    <row r="27" spans="1:9" ht="31.5" customHeight="1">
      <c r="A27" s="1730" t="s">
        <v>1696</v>
      </c>
      <c r="B27" s="1731">
        <v>0.1</v>
      </c>
      <c r="C27" s="1769"/>
      <c r="D27" s="1745"/>
      <c r="E27" s="1743"/>
      <c r="G27" s="2851" t="s">
        <v>1686</v>
      </c>
      <c r="H27" s="1754"/>
      <c r="I27" s="1775"/>
    </row>
    <row r="28" spans="1:9" ht="28.5">
      <c r="A28" s="1730" t="s">
        <v>1697</v>
      </c>
      <c r="B28" s="1731">
        <v>0.1</v>
      </c>
      <c r="C28" s="1769"/>
      <c r="D28" s="1745"/>
      <c r="E28" s="1743"/>
      <c r="G28" s="2851" t="s">
        <v>1686</v>
      </c>
      <c r="H28" s="1754"/>
      <c r="I28" s="1775"/>
    </row>
    <row r="29" spans="1:9" ht="28.5">
      <c r="A29" s="1730" t="s">
        <v>1698</v>
      </c>
      <c r="B29" s="1731">
        <v>0.05</v>
      </c>
      <c r="C29" s="1769">
        <v>1</v>
      </c>
      <c r="D29" s="1745"/>
      <c r="E29" s="1743"/>
      <c r="G29" s="2851" t="s">
        <v>1686</v>
      </c>
      <c r="H29" s="1754"/>
      <c r="I29" s="1775"/>
    </row>
    <row r="30" spans="1:9" ht="28.5">
      <c r="A30" s="1730" t="s">
        <v>1699</v>
      </c>
      <c r="B30" s="1731">
        <v>0.2</v>
      </c>
      <c r="C30" s="1769"/>
      <c r="D30" s="1745"/>
      <c r="E30" s="1743"/>
      <c r="G30" s="2851" t="s">
        <v>1686</v>
      </c>
      <c r="H30" s="1754"/>
      <c r="I30" s="1775"/>
    </row>
    <row r="31" spans="1:9" ht="28.5">
      <c r="A31" s="1730" t="s">
        <v>1702</v>
      </c>
      <c r="B31" s="1731">
        <v>0.2</v>
      </c>
      <c r="C31" s="1769">
        <v>1</v>
      </c>
      <c r="D31" s="1745"/>
      <c r="E31" s="1743"/>
      <c r="G31" s="2851" t="s">
        <v>1686</v>
      </c>
      <c r="H31" s="1754"/>
      <c r="I31" s="1775"/>
    </row>
    <row r="32" spans="1:9" ht="28.5">
      <c r="A32" s="1730" t="s">
        <v>1700</v>
      </c>
      <c r="B32" s="1731">
        <v>0.1</v>
      </c>
      <c r="C32" s="1769"/>
      <c r="D32" s="1745"/>
      <c r="E32" s="1743"/>
      <c r="G32" s="2851" t="s">
        <v>1686</v>
      </c>
      <c r="H32" s="1754"/>
      <c r="I32" s="1775"/>
    </row>
    <row r="33" spans="1:9" ht="29.25" thickBot="1">
      <c r="A33" s="1732" t="s">
        <v>1701</v>
      </c>
      <c r="B33" s="1733">
        <v>0.1</v>
      </c>
      <c r="C33" s="1766"/>
      <c r="D33" s="1738"/>
      <c r="E33" s="1746"/>
      <c r="G33" s="2851" t="s">
        <v>1686</v>
      </c>
      <c r="H33" s="1755"/>
      <c r="I33" s="1775"/>
    </row>
    <row r="34" spans="1:9" ht="15.75" thickBot="1">
      <c r="A34" s="1749" t="s">
        <v>1331</v>
      </c>
      <c r="B34" s="1762"/>
      <c r="C34" s="1777">
        <f>SUMPRODUCT($B$20:$B$33,C20:C33)</f>
        <v>0.55000000000000004</v>
      </c>
      <c r="D34" s="1778">
        <f>SUMPRODUCT($B$20:$B$33,D20:D33)</f>
        <v>0.2</v>
      </c>
      <c r="E34" s="1779">
        <f>SUMPRODUCT($B$20:$B$33,E20:E33)</f>
        <v>0</v>
      </c>
      <c r="F34" s="1755"/>
      <c r="G34" s="1755"/>
      <c r="H34" s="1755"/>
      <c r="I34" s="1775"/>
    </row>
    <row r="35" spans="1:9" ht="15.75" thickBot="1">
      <c r="A35" s="1784" t="s">
        <v>1332</v>
      </c>
      <c r="B35" s="1762"/>
      <c r="C35" s="1780" t="str">
        <f>IF(C34&gt;0.5,"ja","nein")</f>
        <v>ja</v>
      </c>
      <c r="D35" s="1781" t="str">
        <f>IF(D34&gt;0.5,"ja","nein")</f>
        <v>nein</v>
      </c>
      <c r="E35" s="1782" t="str">
        <f>IF(E34&gt;0.5,"ja","nein")</f>
        <v>nein</v>
      </c>
      <c r="F35" s="1756"/>
      <c r="G35" s="1756"/>
      <c r="H35" s="1756"/>
      <c r="I35" s="1775"/>
    </row>
    <row r="36" spans="1:9" ht="15">
      <c r="A36" s="2540" t="s">
        <v>1617</v>
      </c>
      <c r="B36" s="2529"/>
      <c r="C36" s="2523">
        <v>25.36</v>
      </c>
      <c r="D36" s="2523">
        <v>36.700000000000003</v>
      </c>
      <c r="E36" s="2535"/>
      <c r="F36" s="1757"/>
      <c r="G36" s="1757"/>
      <c r="H36" s="1757"/>
      <c r="I36" s="1775"/>
    </row>
    <row r="37" spans="1:9" ht="15">
      <c r="A37" s="2541" t="s">
        <v>1618</v>
      </c>
      <c r="B37" s="2531"/>
      <c r="C37" s="2536"/>
      <c r="D37" s="2536"/>
      <c r="E37" s="2537"/>
      <c r="F37" s="1757"/>
      <c r="G37" s="1757"/>
      <c r="H37" s="1757"/>
      <c r="I37" s="1775"/>
    </row>
    <row r="38" spans="1:9" ht="15">
      <c r="A38" s="2541" t="s">
        <v>1619</v>
      </c>
      <c r="B38" s="2531"/>
      <c r="C38" s="2536"/>
      <c r="D38" s="2536"/>
      <c r="E38" s="2537"/>
      <c r="F38" s="1757"/>
      <c r="G38" s="1757"/>
      <c r="H38" s="1757"/>
      <c r="I38" s="1775"/>
    </row>
    <row r="39" spans="1:9" ht="15">
      <c r="A39" s="2857" t="s">
        <v>1620</v>
      </c>
      <c r="B39" s="2531"/>
      <c r="C39" s="2536"/>
      <c r="D39" s="2536"/>
      <c r="E39" s="2537"/>
      <c r="F39" s="1757"/>
      <c r="G39" s="2851" t="s">
        <v>1686</v>
      </c>
      <c r="H39" s="1757"/>
      <c r="I39" s="1775"/>
    </row>
    <row r="40" spans="1:9" ht="15">
      <c r="A40" s="2857" t="s">
        <v>1621</v>
      </c>
      <c r="B40" s="2531"/>
      <c r="C40" s="2536"/>
      <c r="D40" s="2536"/>
      <c r="E40" s="2537"/>
      <c r="F40" s="1757"/>
      <c r="G40" s="2851" t="s">
        <v>1686</v>
      </c>
      <c r="H40" s="1757"/>
      <c r="I40" s="1775"/>
    </row>
    <row r="41" spans="1:9" ht="15">
      <c r="A41" s="2858" t="s">
        <v>1669</v>
      </c>
      <c r="B41" s="2814"/>
      <c r="C41" s="2815"/>
      <c r="D41" s="2815"/>
      <c r="E41" s="2816"/>
      <c r="F41" s="1757"/>
      <c r="G41" s="2851" t="s">
        <v>1686</v>
      </c>
      <c r="H41" s="1757"/>
      <c r="I41" s="1775"/>
    </row>
    <row r="42" spans="1:9" ht="15.75" thickBot="1">
      <c r="A42" s="2859" t="s">
        <v>1622</v>
      </c>
      <c r="B42" s="2533"/>
      <c r="C42" s="2538"/>
      <c r="D42" s="2538"/>
      <c r="E42" s="2539"/>
      <c r="F42" s="1757"/>
      <c r="G42" s="2851" t="s">
        <v>1686</v>
      </c>
      <c r="H42" s="1757"/>
      <c r="I42" s="1775"/>
    </row>
    <row r="43" spans="1:9" ht="15">
      <c r="A43" s="2540" t="s">
        <v>1623</v>
      </c>
      <c r="B43" s="2529"/>
      <c r="C43" s="2525">
        <f>C36*C$18</f>
        <v>126.8</v>
      </c>
      <c r="D43" s="2525">
        <f>D36*D$18</f>
        <v>183.5</v>
      </c>
      <c r="E43" s="2530">
        <f>E36*E$18</f>
        <v>0</v>
      </c>
      <c r="F43" s="1758"/>
      <c r="G43" s="1758"/>
      <c r="H43" s="1758"/>
      <c r="I43" s="1775"/>
    </row>
    <row r="44" spans="1:9" ht="15">
      <c r="A44" s="2541" t="s">
        <v>1624</v>
      </c>
      <c r="B44" s="2531"/>
      <c r="C44" s="2527"/>
      <c r="D44" s="2527"/>
      <c r="E44" s="2532"/>
      <c r="F44" s="1758"/>
      <c r="G44" s="1758"/>
      <c r="H44" s="1758"/>
      <c r="I44" s="1775"/>
    </row>
    <row r="45" spans="1:9" ht="15">
      <c r="A45" s="2541" t="s">
        <v>1625</v>
      </c>
      <c r="B45" s="2531"/>
      <c r="C45" s="2527"/>
      <c r="D45" s="2527"/>
      <c r="E45" s="2532"/>
      <c r="F45" s="1758"/>
      <c r="G45" s="1758"/>
      <c r="H45" s="1758"/>
      <c r="I45" s="1775"/>
    </row>
    <row r="46" spans="1:9" ht="15">
      <c r="A46" s="2857" t="s">
        <v>1626</v>
      </c>
      <c r="B46" s="2531"/>
      <c r="C46" s="2527"/>
      <c r="D46" s="2527"/>
      <c r="E46" s="2532"/>
      <c r="F46" s="1758"/>
      <c r="G46" s="2851" t="s">
        <v>1686</v>
      </c>
      <c r="H46" s="1758"/>
      <c r="I46" s="1775"/>
    </row>
    <row r="47" spans="1:9" ht="15">
      <c r="A47" s="2857" t="s">
        <v>1627</v>
      </c>
      <c r="B47" s="2531"/>
      <c r="C47" s="2527"/>
      <c r="D47" s="2527"/>
      <c r="E47" s="2532"/>
      <c r="F47" s="1758"/>
      <c r="G47" s="2851" t="s">
        <v>1686</v>
      </c>
      <c r="H47" s="1758"/>
      <c r="I47" s="1775"/>
    </row>
    <row r="48" spans="1:9" ht="15">
      <c r="A48" s="2858" t="s">
        <v>1670</v>
      </c>
      <c r="B48" s="2814"/>
      <c r="C48" s="2817"/>
      <c r="D48" s="2817"/>
      <c r="E48" s="2818"/>
      <c r="F48" s="1758"/>
      <c r="G48" s="2851" t="s">
        <v>1686</v>
      </c>
      <c r="H48" s="1758"/>
      <c r="I48" s="1775"/>
    </row>
    <row r="49" spans="1:9" ht="15.75" thickBot="1">
      <c r="A49" s="2859" t="s">
        <v>1628</v>
      </c>
      <c r="B49" s="2533"/>
      <c r="C49" s="2528"/>
      <c r="D49" s="2528"/>
      <c r="E49" s="2534"/>
      <c r="F49" s="1758"/>
      <c r="G49" s="2851" t="s">
        <v>1686</v>
      </c>
      <c r="H49" s="1758"/>
      <c r="I49" s="1775"/>
    </row>
    <row r="50" spans="1:9" ht="15">
      <c r="A50" s="2540" t="s">
        <v>1629</v>
      </c>
      <c r="B50" s="2524">
        <f>SUM(C50:CM50)</f>
        <v>-100.1</v>
      </c>
      <c r="C50" s="2525">
        <f>IF(C$35="nein",C43*-C$34,C43*-0.5)</f>
        <v>-63.4</v>
      </c>
      <c r="D50" s="2525">
        <f>IF(D$35="nein",D43*-D$34,D43*-0.5)</f>
        <v>-36.700000000000003</v>
      </c>
      <c r="E50" s="2525">
        <f>IF(E$35="nein",E43*-E$34,E43*-0.5)</f>
        <v>0</v>
      </c>
      <c r="F50" s="1758"/>
      <c r="G50" s="1758"/>
      <c r="H50" s="1758"/>
      <c r="I50" s="1775"/>
    </row>
    <row r="51" spans="1:9" ht="15">
      <c r="A51" s="2541" t="s">
        <v>1630</v>
      </c>
      <c r="B51" s="2526">
        <f t="shared" ref="B51:B54" si="0">SUM(C51:CM51)</f>
        <v>0</v>
      </c>
      <c r="C51" s="2527">
        <f t="shared" ref="C51:E51" si="1">IF(C$35="nein",C44*-C$34,C44*-0.5)</f>
        <v>0</v>
      </c>
      <c r="D51" s="2527">
        <f t="shared" si="1"/>
        <v>0</v>
      </c>
      <c r="E51" s="2527">
        <f t="shared" si="1"/>
        <v>0</v>
      </c>
      <c r="F51" s="1758"/>
      <c r="G51" s="1758"/>
      <c r="H51" s="1758"/>
      <c r="I51" s="1775"/>
    </row>
    <row r="52" spans="1:9" ht="15">
      <c r="A52" s="2541" t="s">
        <v>1631</v>
      </c>
      <c r="B52" s="2526">
        <f t="shared" si="0"/>
        <v>0</v>
      </c>
      <c r="C52" s="2527">
        <f t="shared" ref="C52:E52" si="2">IF(C$35="nein",C45*-C$34,C45*-0.5)</f>
        <v>0</v>
      </c>
      <c r="D52" s="2527">
        <f t="shared" si="2"/>
        <v>0</v>
      </c>
      <c r="E52" s="2527">
        <f t="shared" si="2"/>
        <v>0</v>
      </c>
      <c r="F52" s="1758"/>
      <c r="G52" s="1758"/>
      <c r="H52" s="1758"/>
      <c r="I52" s="1775"/>
    </row>
    <row r="53" spans="1:9" ht="15">
      <c r="A53" s="2857" t="s">
        <v>1632</v>
      </c>
      <c r="B53" s="2526">
        <f t="shared" si="0"/>
        <v>0</v>
      </c>
      <c r="C53" s="2527">
        <f t="shared" ref="C53:E53" si="3">IF(C$35="nein",C46*-C$34,C46*-0.5)</f>
        <v>0</v>
      </c>
      <c r="D53" s="2527">
        <f t="shared" si="3"/>
        <v>0</v>
      </c>
      <c r="E53" s="2527">
        <f t="shared" si="3"/>
        <v>0</v>
      </c>
      <c r="F53" s="1758"/>
      <c r="G53" s="2851" t="s">
        <v>1686</v>
      </c>
      <c r="H53" s="1758"/>
      <c r="I53" s="1775"/>
    </row>
    <row r="54" spans="1:9" ht="15">
      <c r="A54" s="2857" t="s">
        <v>1633</v>
      </c>
      <c r="B54" s="2526">
        <f t="shared" si="0"/>
        <v>0</v>
      </c>
      <c r="C54" s="2527">
        <f t="shared" ref="C54:E56" si="4">IF(C$35="nein",C47*-C$34,C47*-0.5)</f>
        <v>0</v>
      </c>
      <c r="D54" s="2527">
        <f t="shared" si="4"/>
        <v>0</v>
      </c>
      <c r="E54" s="2527">
        <f t="shared" si="4"/>
        <v>0</v>
      </c>
      <c r="F54" s="1758"/>
      <c r="G54" s="2851" t="s">
        <v>1686</v>
      </c>
      <c r="H54" s="1758"/>
      <c r="I54" s="1775"/>
    </row>
    <row r="55" spans="1:9" ht="15">
      <c r="A55" s="2858" t="s">
        <v>1671</v>
      </c>
      <c r="B55" s="2526">
        <f>SUM(C55:CM55)</f>
        <v>0</v>
      </c>
      <c r="C55" s="2527">
        <f t="shared" si="4"/>
        <v>0</v>
      </c>
      <c r="D55" s="2527">
        <f t="shared" si="4"/>
        <v>0</v>
      </c>
      <c r="E55" s="2527">
        <f t="shared" si="4"/>
        <v>0</v>
      </c>
      <c r="F55" s="1758"/>
      <c r="G55" s="2851" t="s">
        <v>1686</v>
      </c>
      <c r="H55" s="1758"/>
      <c r="I55" s="1775"/>
    </row>
    <row r="56" spans="1:9" ht="15.75" thickBot="1">
      <c r="A56" s="2859" t="s">
        <v>1634</v>
      </c>
      <c r="B56" s="2526">
        <f>SUM(C56:CM56)</f>
        <v>0</v>
      </c>
      <c r="C56" s="2527">
        <f t="shared" si="4"/>
        <v>0</v>
      </c>
      <c r="D56" s="2527">
        <f t="shared" si="4"/>
        <v>0</v>
      </c>
      <c r="E56" s="2527">
        <f t="shared" si="4"/>
        <v>0</v>
      </c>
      <c r="F56" s="1758"/>
      <c r="G56" s="2851" t="s">
        <v>1686</v>
      </c>
      <c r="H56" s="1758"/>
      <c r="I56" s="1775"/>
    </row>
    <row r="57" spans="1:9">
      <c r="A57" s="1726"/>
      <c r="F57" s="1775"/>
      <c r="G57" s="1775"/>
      <c r="H57" s="1775"/>
      <c r="I57" s="1775"/>
    </row>
    <row r="58" spans="1:9">
      <c r="A58" s="985" t="s">
        <v>219</v>
      </c>
      <c r="B58" s="195" t="s">
        <v>224</v>
      </c>
      <c r="F58" s="1775"/>
      <c r="G58" s="1775"/>
      <c r="H58" s="1775"/>
      <c r="I58" s="1775"/>
    </row>
    <row r="59" spans="1:9">
      <c r="B59" s="195" t="s">
        <v>1645</v>
      </c>
    </row>
    <row r="60" spans="1:9">
      <c r="B60" s="195"/>
    </row>
    <row r="61" spans="1:9">
      <c r="A61" s="335" t="s">
        <v>1434</v>
      </c>
      <c r="B61" s="335" t="s">
        <v>1435</v>
      </c>
    </row>
    <row r="62" spans="1:9">
      <c r="A62" s="335" t="s">
        <v>1554</v>
      </c>
      <c r="B62" s="335" t="s">
        <v>1550</v>
      </c>
      <c r="C62" s="2196" t="s">
        <v>1442</v>
      </c>
    </row>
  </sheetData>
  <sheetProtection algorithmName="SHA-512" hashValue="QZGU2S+vGA2KhFc5diJuVJy+tREBVP22yLgxP+IfHnuaqWM/rt44FmH4+/ocrk/oBu7VkYVfxAODAVI8nzNstA==" saltValue="UHhk80R+HSmuXaMq/1TgOw==" spinCount="100000" sheet="1" objects="1" scenarios="1"/>
  <mergeCells count="6">
    <mergeCell ref="C9:D9"/>
    <mergeCell ref="C11:D11"/>
    <mergeCell ref="A4:F5"/>
    <mergeCell ref="A1:F1"/>
    <mergeCell ref="A2:F2"/>
    <mergeCell ref="C8:D8"/>
  </mergeCells>
  <pageMargins left="0.7" right="0.7" top="0.78740157499999996" bottom="0.78740157499999996" header="0.3" footer="0.3"/>
  <pageSetup paperSize="9" scale="63" orientation="landscape" r:id="rId1"/>
  <headerFooter>
    <oddHeader>&amp;LVDV SUN Jahresschlussrechnung JJJJ&amp;R&amp;F</oddHeader>
    <oddFooter>&amp;C&amp;P&amp;R&amp;A</oddFooter>
  </headerFooter>
  <rowBreaks count="1" manualBreakCount="1">
    <brk id="33" max="5"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EB62A-401F-4E7E-986E-F797639BB1DE}">
  <dimension ref="A1:K47"/>
  <sheetViews>
    <sheetView view="pageLayout" zoomScale="80" zoomScaleNormal="80" zoomScaleSheetLayoutView="80" zoomScalePageLayoutView="80" workbookViewId="0">
      <selection activeCell="H55" sqref="H55"/>
    </sheetView>
  </sheetViews>
  <sheetFormatPr baseColWidth="10" defaultRowHeight="12.75"/>
  <cols>
    <col min="1" max="1" width="10.42578125" style="979" customWidth="1"/>
    <col min="2" max="2" width="52.42578125" style="979" customWidth="1"/>
    <col min="3" max="3" width="22.7109375" style="979" customWidth="1"/>
    <col min="4" max="4" width="20.7109375" style="979" customWidth="1"/>
    <col min="5" max="5" width="16.5703125" style="979" customWidth="1"/>
    <col min="6" max="6" width="17.85546875" style="979" customWidth="1"/>
    <col min="7" max="7" width="13.42578125" style="979" customWidth="1"/>
    <col min="8" max="8" width="20.85546875" style="979" bestFit="1" customWidth="1"/>
    <col min="9" max="9" width="20.85546875" style="979" customWidth="1"/>
    <col min="10" max="10" width="20.140625" style="979" customWidth="1"/>
    <col min="11" max="11" width="13.85546875" style="979" bestFit="1" customWidth="1"/>
    <col min="12" max="16384" width="11.42578125" style="979"/>
  </cols>
  <sheetData>
    <row r="1" spans="1:11" ht="20.25">
      <c r="A1" s="2671" t="s">
        <v>1521</v>
      </c>
      <c r="B1" s="2672"/>
      <c r="C1" s="2672"/>
      <c r="D1" s="2672"/>
      <c r="E1" s="2673"/>
      <c r="F1" s="2672"/>
      <c r="G1" s="2672"/>
      <c r="H1" s="2672"/>
      <c r="I1" s="2672"/>
      <c r="J1" s="2674"/>
      <c r="K1" s="2672"/>
    </row>
    <row r="2" spans="1:11" ht="16.899999999999999" customHeight="1">
      <c r="A2" s="2672"/>
      <c r="B2" s="2672"/>
      <c r="C2" s="2675"/>
      <c r="D2" s="2672"/>
      <c r="E2" s="2672"/>
      <c r="F2" s="2672"/>
      <c r="G2" s="2672"/>
      <c r="H2" s="2672"/>
      <c r="I2" s="2672"/>
      <c r="J2" s="2672"/>
      <c r="K2" s="2672"/>
    </row>
    <row r="3" spans="1:11" s="980" customFormat="1" ht="32.25" customHeight="1">
      <c r="A3" s="2676" t="s">
        <v>963</v>
      </c>
      <c r="B3" s="2677"/>
      <c r="C3" s="2678" t="s">
        <v>743</v>
      </c>
      <c r="D3" s="2449" t="s">
        <v>1526</v>
      </c>
      <c r="E3" s="2449" t="s">
        <v>1527</v>
      </c>
      <c r="F3" s="2449" t="s">
        <v>1552</v>
      </c>
      <c r="G3" s="2449" t="s">
        <v>1551</v>
      </c>
      <c r="H3" s="2449" t="s">
        <v>1528</v>
      </c>
      <c r="I3" s="2449" t="s">
        <v>1666</v>
      </c>
      <c r="J3" s="2450" t="s">
        <v>1553</v>
      </c>
      <c r="K3" s="2679"/>
    </row>
    <row r="4" spans="1:11" ht="7.9" customHeight="1">
      <c r="A4" s="2680"/>
      <c r="B4" s="2680"/>
      <c r="C4" s="2434"/>
      <c r="D4" s="2434"/>
      <c r="E4" s="2434"/>
      <c r="F4" s="2434"/>
      <c r="G4" s="2434"/>
      <c r="H4" s="2434"/>
      <c r="I4" s="2434"/>
      <c r="J4" s="2434"/>
      <c r="K4" s="2672"/>
    </row>
    <row r="5" spans="1:11" ht="16.5" customHeight="1">
      <c r="A5" s="2681" t="s">
        <v>1038</v>
      </c>
      <c r="B5" s="2680"/>
      <c r="C5" s="2435"/>
      <c r="D5" s="2435"/>
      <c r="E5" s="2435"/>
      <c r="F5" s="2435"/>
      <c r="G5" s="2435"/>
      <c r="H5" s="2435"/>
      <c r="I5" s="2435"/>
      <c r="J5" s="2435"/>
      <c r="K5" s="2672" t="s">
        <v>1657</v>
      </c>
    </row>
    <row r="6" spans="1:11">
      <c r="A6" s="2682" t="s">
        <v>970</v>
      </c>
      <c r="B6" s="2680" t="s">
        <v>1373</v>
      </c>
      <c r="C6" s="2436">
        <f>SUM(D6:J6)</f>
        <v>38809.475359999997</v>
      </c>
      <c r="D6" s="2436">
        <f>'34_1. Ausfälle Baumaßnahmen'!$N$14</f>
        <v>38809.475359999997</v>
      </c>
      <c r="E6" s="2436">
        <f>'34_1. Ausfälle Baumaßnahmen'!$N$15</f>
        <v>0</v>
      </c>
      <c r="F6" s="2436">
        <f>'34_1. Ausfälle Baumaßnahmen'!$N$16</f>
        <v>0</v>
      </c>
      <c r="G6" s="2436">
        <f>'34_1. Ausfälle Baumaßnahmen'!$N$17</f>
        <v>0</v>
      </c>
      <c r="H6" s="2436">
        <f>'34_1. Ausfälle Baumaßnahmen'!$N$18</f>
        <v>0</v>
      </c>
      <c r="I6" s="2436">
        <f>'34_1. Ausfälle Baumaßnahmen'!$N$19</f>
        <v>0</v>
      </c>
      <c r="J6" s="2436">
        <f>'34_1. Ausfälle Baumaßnahmen'!$N$20</f>
        <v>0</v>
      </c>
      <c r="K6" s="2672"/>
    </row>
    <row r="7" spans="1:11">
      <c r="A7" s="2682" t="s">
        <v>971</v>
      </c>
      <c r="B7" s="2680" t="s">
        <v>1374</v>
      </c>
      <c r="C7" s="2773"/>
      <c r="D7" s="2437">
        <v>5.53</v>
      </c>
      <c r="E7" s="2437">
        <v>5.53</v>
      </c>
      <c r="F7" s="2437"/>
      <c r="G7" s="2437"/>
      <c r="H7" s="2437"/>
      <c r="I7" s="2437"/>
      <c r="J7" s="2437">
        <v>5.53</v>
      </c>
      <c r="K7" s="2672"/>
    </row>
    <row r="8" spans="1:11">
      <c r="A8" s="2683" t="s">
        <v>972</v>
      </c>
      <c r="B8" s="2684" t="s">
        <v>903</v>
      </c>
      <c r="C8" s="2438">
        <f>SUM(D8:J8)</f>
        <v>214616.39874079998</v>
      </c>
      <c r="D8" s="2438">
        <f>$D$6*$D$7</f>
        <v>214616.39874079998</v>
      </c>
      <c r="E8" s="2438">
        <f>$E$6*$E$7</f>
        <v>0</v>
      </c>
      <c r="F8" s="2438">
        <f>$F$6*$F$7</f>
        <v>0</v>
      </c>
      <c r="G8" s="2438">
        <f>$G$6*$G$7</f>
        <v>0</v>
      </c>
      <c r="H8" s="2438">
        <f>$H$6*$H$7</f>
        <v>0</v>
      </c>
      <c r="I8" s="2438">
        <f>$I$6*$I$7</f>
        <v>0</v>
      </c>
      <c r="J8" s="2438">
        <f>$J$6*$J$7</f>
        <v>0</v>
      </c>
      <c r="K8" s="2672"/>
    </row>
    <row r="9" spans="1:11" ht="18.600000000000001" customHeight="1">
      <c r="A9" s="2685" t="s">
        <v>973</v>
      </c>
      <c r="B9" s="2686" t="s">
        <v>1037</v>
      </c>
      <c r="C9" s="2439">
        <f>SUM(D9:J9)</f>
        <v>214616.39874079998</v>
      </c>
      <c r="D9" s="2439">
        <f>D8*1</f>
        <v>214616.39874079998</v>
      </c>
      <c r="E9" s="2439">
        <f>E8*1</f>
        <v>0</v>
      </c>
      <c r="F9" s="2439">
        <f t="shared" ref="F9:J9" si="0">F8*1</f>
        <v>0</v>
      </c>
      <c r="G9" s="2439">
        <f>G8*1</f>
        <v>0</v>
      </c>
      <c r="H9" s="2439">
        <f>H8*1</f>
        <v>0</v>
      </c>
      <c r="I9" s="2439">
        <f t="shared" ref="I9" si="1">I8*1</f>
        <v>0</v>
      </c>
      <c r="J9" s="2439">
        <f t="shared" si="0"/>
        <v>0</v>
      </c>
      <c r="K9" s="2695">
        <f>SUM(D9:J9)-C9</f>
        <v>0</v>
      </c>
    </row>
    <row r="10" spans="1:11">
      <c r="A10" s="2682"/>
      <c r="B10" s="2680"/>
      <c r="C10" s="2436"/>
      <c r="D10" s="2436"/>
      <c r="E10" s="2436"/>
      <c r="F10" s="2436"/>
      <c r="G10" s="2436"/>
      <c r="H10" s="2436"/>
      <c r="I10" s="2436"/>
      <c r="J10" s="2436"/>
      <c r="K10" s="2672"/>
    </row>
    <row r="11" spans="1:11" ht="16.149999999999999" customHeight="1">
      <c r="A11" s="2687" t="s">
        <v>1655</v>
      </c>
      <c r="B11" s="2688"/>
      <c r="C11" s="2440"/>
      <c r="D11" s="2440"/>
      <c r="E11" s="2440"/>
      <c r="F11" s="2440"/>
      <c r="G11" s="2440"/>
      <c r="H11" s="2440"/>
      <c r="I11" s="2440"/>
      <c r="J11" s="2440"/>
      <c r="K11" s="2672"/>
    </row>
    <row r="12" spans="1:11">
      <c r="A12" s="2689" t="s">
        <v>904</v>
      </c>
      <c r="B12" s="2688" t="s">
        <v>1373</v>
      </c>
      <c r="C12" s="2441">
        <f>SUM(D12:J12)</f>
        <v>38809.475359999997</v>
      </c>
      <c r="D12" s="2441">
        <f>D6</f>
        <v>38809.475359999997</v>
      </c>
      <c r="E12" s="2441">
        <f>E6</f>
        <v>0</v>
      </c>
      <c r="F12" s="2441">
        <f>F6</f>
        <v>0</v>
      </c>
      <c r="G12" s="2441">
        <f>G6</f>
        <v>0</v>
      </c>
      <c r="H12" s="2441">
        <f>H6</f>
        <v>0</v>
      </c>
      <c r="I12" s="2441">
        <f t="shared" ref="I12" si="2">I6</f>
        <v>0</v>
      </c>
      <c r="J12" s="2441">
        <f>J6</f>
        <v>0</v>
      </c>
      <c r="K12" s="2672"/>
    </row>
    <row r="13" spans="1:11">
      <c r="A13" s="2689" t="s">
        <v>905</v>
      </c>
      <c r="B13" s="2688" t="s">
        <v>1375</v>
      </c>
      <c r="C13" s="2442"/>
      <c r="D13" s="2442">
        <f>'34_2. SEV Baumaßnahmen'!T7</f>
        <v>0.60300452941187199</v>
      </c>
      <c r="E13" s="2442">
        <f>'34_2. SEV Baumaßnahmen'!T8</f>
        <v>0</v>
      </c>
      <c r="F13" s="2442">
        <f>'34_2. SEV Baumaßnahmen'!T9</f>
        <v>0</v>
      </c>
      <c r="G13" s="2442">
        <f>'34_2. SEV Baumaßnahmen'!T10</f>
        <v>0</v>
      </c>
      <c r="H13" s="2442">
        <f>'34_2. SEV Baumaßnahmen'!U10</f>
        <v>0</v>
      </c>
      <c r="I13" s="2442">
        <f>'34_2. SEV Baumaßnahmen'!V10</f>
        <v>0</v>
      </c>
      <c r="J13" s="2442">
        <f>'34_2. SEV Baumaßnahmen'!T13</f>
        <v>0</v>
      </c>
      <c r="K13" s="2672"/>
    </row>
    <row r="14" spans="1:11" ht="16.149999999999999" customHeight="1">
      <c r="A14" s="2689" t="s">
        <v>906</v>
      </c>
      <c r="B14" s="2688" t="s">
        <v>907</v>
      </c>
      <c r="C14" s="2442">
        <f>SUM(D14:J14)</f>
        <v>23402.289426178439</v>
      </c>
      <c r="D14" s="2442">
        <f>$D$12*$D$13</f>
        <v>23402.289426178439</v>
      </c>
      <c r="E14" s="2442">
        <f>$E$12*$E$13</f>
        <v>0</v>
      </c>
      <c r="F14" s="2442">
        <f>$F$12*$F$13</f>
        <v>0</v>
      </c>
      <c r="G14" s="2442">
        <f>$G$12*$G$13</f>
        <v>0</v>
      </c>
      <c r="H14" s="2442">
        <f>$H$12*$H$13</f>
        <v>0</v>
      </c>
      <c r="I14" s="2442">
        <f>$I$12*$I$13</f>
        <v>0</v>
      </c>
      <c r="J14" s="2442">
        <f>$J$12*$J$13</f>
        <v>0</v>
      </c>
      <c r="K14" s="2672"/>
    </row>
    <row r="15" spans="1:11" ht="20.65" customHeight="1">
      <c r="A15" s="2689" t="s">
        <v>908</v>
      </c>
      <c r="B15" s="2690" t="s">
        <v>974</v>
      </c>
      <c r="C15" s="2443">
        <f>SUM(D15:J15)</f>
        <v>18721.831540942752</v>
      </c>
      <c r="D15" s="2443">
        <f>$D$14*0.8</f>
        <v>18721.831540942752</v>
      </c>
      <c r="E15" s="2443">
        <f>$E$14*0.8</f>
        <v>0</v>
      </c>
      <c r="F15" s="2443">
        <f>$F$14*0.8</f>
        <v>0</v>
      </c>
      <c r="G15" s="2443">
        <f>$G$14*0.8</f>
        <v>0</v>
      </c>
      <c r="H15" s="2443">
        <f t="shared" ref="H15" si="3">$G$14*0.8</f>
        <v>0</v>
      </c>
      <c r="I15" s="2443">
        <f>$I$14*0.8</f>
        <v>0</v>
      </c>
      <c r="J15" s="2443">
        <f>$J$14*0.8</f>
        <v>0</v>
      </c>
      <c r="K15" s="2695">
        <f>SUM(D15:J15)-C15</f>
        <v>0</v>
      </c>
    </row>
    <row r="16" spans="1:11">
      <c r="A16" s="2691"/>
      <c r="B16" s="2692"/>
      <c r="C16" s="2435"/>
      <c r="D16" s="2435"/>
      <c r="E16" s="2435"/>
      <c r="F16" s="2435"/>
      <c r="G16" s="2435"/>
      <c r="H16" s="2435"/>
      <c r="I16" s="2435"/>
      <c r="J16" s="2435"/>
      <c r="K16" s="2672"/>
    </row>
    <row r="17" spans="1:11" ht="19.899999999999999" customHeight="1">
      <c r="A17" s="2693" t="s">
        <v>1041</v>
      </c>
      <c r="B17" s="2694" t="s">
        <v>909</v>
      </c>
      <c r="C17" s="2444">
        <f>SUM(D17:J17)</f>
        <v>233338.23028174273</v>
      </c>
      <c r="D17" s="2444">
        <f>D9+D15</f>
        <v>233338.23028174273</v>
      </c>
      <c r="E17" s="2444">
        <f t="shared" ref="E17:F17" si="4">E9+E15</f>
        <v>0</v>
      </c>
      <c r="F17" s="2444">
        <f t="shared" si="4"/>
        <v>0</v>
      </c>
      <c r="G17" s="2444">
        <f>G9+G15</f>
        <v>0</v>
      </c>
      <c r="H17" s="2444">
        <f>H9+H15</f>
        <v>0</v>
      </c>
      <c r="I17" s="2444">
        <f>I9+I15</f>
        <v>0</v>
      </c>
      <c r="J17" s="2444">
        <f>J9+J15</f>
        <v>0</v>
      </c>
      <c r="K17" s="2695">
        <f>SUM(D17:J17)-C17</f>
        <v>0</v>
      </c>
    </row>
    <row r="18" spans="1:11" ht="4.1500000000000004" customHeight="1">
      <c r="A18" s="2696"/>
      <c r="B18" s="2692"/>
      <c r="C18" s="2445"/>
      <c r="D18" s="2445"/>
      <c r="E18" s="2445"/>
      <c r="F18" s="2445"/>
      <c r="G18" s="2445"/>
      <c r="H18" s="2445"/>
      <c r="I18" s="2445"/>
      <c r="J18" s="2445"/>
      <c r="K18" s="2672"/>
    </row>
    <row r="19" spans="1:11" ht="16.149999999999999" customHeight="1">
      <c r="A19" s="2697" t="s">
        <v>1043</v>
      </c>
      <c r="B19" s="2680"/>
      <c r="C19" s="2437"/>
      <c r="D19" s="2437">
        <f t="shared" ref="D19:J19" si="5">D8+D14-D17</f>
        <v>4680.4578852356935</v>
      </c>
      <c r="E19" s="2437">
        <f t="shared" si="5"/>
        <v>0</v>
      </c>
      <c r="F19" s="2437">
        <f t="shared" si="5"/>
        <v>0</v>
      </c>
      <c r="G19" s="2437">
        <f t="shared" si="5"/>
        <v>0</v>
      </c>
      <c r="H19" s="2437">
        <f t="shared" si="5"/>
        <v>0</v>
      </c>
      <c r="I19" s="2437">
        <f t="shared" si="5"/>
        <v>0</v>
      </c>
      <c r="J19" s="2437">
        <f t="shared" si="5"/>
        <v>0</v>
      </c>
      <c r="K19" s="982"/>
    </row>
    <row r="20" spans="1:11" ht="11.65" customHeight="1">
      <c r="A20" s="2691"/>
      <c r="B20" s="2692"/>
      <c r="C20" s="2446"/>
      <c r="D20" s="2446"/>
      <c r="E20" s="2446"/>
      <c r="F20" s="2446"/>
      <c r="G20" s="2446"/>
      <c r="H20" s="2446"/>
      <c r="I20" s="2446"/>
      <c r="J20" s="2446"/>
      <c r="K20" s="2672"/>
    </row>
    <row r="21" spans="1:11" ht="16.149999999999999" customHeight="1">
      <c r="A21" s="2698"/>
      <c r="B21" s="2692" t="s">
        <v>964</v>
      </c>
      <c r="C21" s="2435">
        <f>SUM(D21:J21)</f>
        <v>25770.49</v>
      </c>
      <c r="D21" s="2447">
        <v>25770.49</v>
      </c>
      <c r="E21" s="2447">
        <v>0</v>
      </c>
      <c r="F21" s="2447">
        <v>0</v>
      </c>
      <c r="G21" s="2447">
        <v>0</v>
      </c>
      <c r="H21" s="2447">
        <v>0</v>
      </c>
      <c r="I21" s="2447">
        <v>0</v>
      </c>
      <c r="J21" s="2447">
        <v>0</v>
      </c>
      <c r="K21" s="2672"/>
    </row>
    <row r="22" spans="1:11" ht="16.149999999999999" customHeight="1">
      <c r="A22" s="2698"/>
      <c r="B22" s="2692" t="s">
        <v>1042</v>
      </c>
      <c r="C22" s="2435">
        <f>SUM(D22:J22)</f>
        <v>200000</v>
      </c>
      <c r="D22" s="2447">
        <v>200000</v>
      </c>
      <c r="E22" s="2447">
        <v>0</v>
      </c>
      <c r="F22" s="2447">
        <v>0</v>
      </c>
      <c r="G22" s="2447">
        <v>0</v>
      </c>
      <c r="H22" s="2447">
        <v>0</v>
      </c>
      <c r="I22" s="2447">
        <v>0</v>
      </c>
      <c r="J22" s="2447">
        <v>0</v>
      </c>
      <c r="K22" s="2672"/>
    </row>
    <row r="23" spans="1:11" ht="20.45" customHeight="1">
      <c r="A23" s="2698"/>
      <c r="B23" s="2694" t="s">
        <v>910</v>
      </c>
      <c r="C23" s="2699">
        <f>C17-C21-C22</f>
        <v>7567.7402817427355</v>
      </c>
      <c r="D23" s="2448">
        <f>D17-D21-D22</f>
        <v>7567.7402817427355</v>
      </c>
      <c r="E23" s="2448">
        <f t="shared" ref="E23:F23" si="6">E17-E21-E22</f>
        <v>0</v>
      </c>
      <c r="F23" s="2448">
        <f t="shared" si="6"/>
        <v>0</v>
      </c>
      <c r="G23" s="2448">
        <f>G17-G21-G22</f>
        <v>0</v>
      </c>
      <c r="H23" s="2448">
        <f>H17-H21-H22</f>
        <v>0</v>
      </c>
      <c r="I23" s="2448">
        <f>I17-I21-I22</f>
        <v>0</v>
      </c>
      <c r="J23" s="2448">
        <f>J17-J21-J22</f>
        <v>0</v>
      </c>
      <c r="K23" s="2695">
        <f>SUM(D23:J23)-C23</f>
        <v>0</v>
      </c>
    </row>
    <row r="24" spans="1:11" ht="11.65" customHeight="1">
      <c r="A24" s="2698"/>
      <c r="B24" s="2692"/>
      <c r="C24" s="2446"/>
      <c r="D24" s="2446"/>
      <c r="E24" s="2446"/>
      <c r="F24" s="2446"/>
      <c r="G24" s="2446"/>
      <c r="H24" s="2446"/>
      <c r="I24" s="2446"/>
      <c r="J24" s="2446"/>
      <c r="K24" s="2672"/>
    </row>
    <row r="25" spans="1:11" ht="16.149999999999999" customHeight="1">
      <c r="A25" s="2700" t="s">
        <v>911</v>
      </c>
      <c r="B25" s="2692"/>
      <c r="C25" s="2446"/>
      <c r="D25" s="2446"/>
      <c r="E25" s="2446"/>
      <c r="F25" s="2446"/>
      <c r="G25" s="2446"/>
      <c r="H25" s="2446"/>
      <c r="I25" s="2446"/>
      <c r="J25" s="2446"/>
      <c r="K25" s="2672"/>
    </row>
    <row r="26" spans="1:11" ht="5.65" customHeight="1">
      <c r="A26" s="2700"/>
      <c r="B26" s="2692"/>
      <c r="C26" s="2446"/>
      <c r="D26" s="2446"/>
      <c r="E26" s="2446"/>
      <c r="F26" s="2446"/>
      <c r="G26" s="2446"/>
      <c r="H26" s="2446"/>
      <c r="I26" s="2446"/>
      <c r="J26" s="2446"/>
      <c r="K26" s="2672"/>
    </row>
    <row r="27" spans="1:11">
      <c r="A27" s="2700" t="s">
        <v>912</v>
      </c>
      <c r="B27" s="2692"/>
      <c r="C27" s="2447" t="s">
        <v>1656</v>
      </c>
      <c r="D27" s="2446"/>
      <c r="E27" s="2446"/>
      <c r="F27" s="2446"/>
      <c r="G27" s="2446"/>
      <c r="H27" s="2446"/>
      <c r="I27" s="2446"/>
      <c r="J27" s="2446"/>
      <c r="K27" s="2672"/>
    </row>
    <row r="28" spans="1:11">
      <c r="A28" s="2692"/>
      <c r="B28" s="2680" t="s">
        <v>1039</v>
      </c>
      <c r="C28" s="2774"/>
      <c r="D28" s="2774">
        <v>4.51</v>
      </c>
      <c r="E28" s="2774">
        <v>4.51</v>
      </c>
      <c r="F28" s="2774">
        <v>4.51</v>
      </c>
      <c r="G28" s="2774">
        <v>4.51</v>
      </c>
      <c r="H28" s="2774">
        <v>4.51</v>
      </c>
      <c r="I28" s="2774">
        <v>4.51</v>
      </c>
      <c r="J28" s="2774">
        <v>4.51</v>
      </c>
      <c r="K28" s="2672"/>
    </row>
    <row r="29" spans="1:11">
      <c r="A29" s="2692"/>
      <c r="B29" s="2701" t="s">
        <v>913</v>
      </c>
      <c r="C29" s="2774"/>
      <c r="D29" s="2774">
        <v>7.5</v>
      </c>
      <c r="E29" s="2774">
        <v>7.5</v>
      </c>
      <c r="F29" s="2774">
        <v>7.5</v>
      </c>
      <c r="G29" s="2774">
        <v>7.5</v>
      </c>
      <c r="H29" s="2774">
        <v>7.5</v>
      </c>
      <c r="I29" s="2774">
        <v>7.5</v>
      </c>
      <c r="J29" s="2774">
        <v>7.5</v>
      </c>
      <c r="K29" s="2672"/>
    </row>
    <row r="30" spans="1:11" ht="16.149999999999999" customHeight="1">
      <c r="A30" s="2692"/>
      <c r="B30" s="2680" t="s">
        <v>1372</v>
      </c>
      <c r="C30" s="2775">
        <f>SUM(D30:J30)</f>
        <v>46408.894999999997</v>
      </c>
      <c r="D30" s="2775">
        <f>'34_1. Ausfälle Baumaßnahmen'!$J$14</f>
        <v>46408.894999999997</v>
      </c>
      <c r="E30" s="2775">
        <f>'34_1. Ausfälle Baumaßnahmen'!$J$15</f>
        <v>0</v>
      </c>
      <c r="F30" s="2775">
        <f>'34_1. Ausfälle Baumaßnahmen'!$J$16</f>
        <v>0</v>
      </c>
      <c r="G30" s="2775">
        <f>'34_1. Ausfälle Baumaßnahmen'!$J$17</f>
        <v>0</v>
      </c>
      <c r="H30" s="2775">
        <f>'34_1. Ausfälle Baumaßnahmen'!$J$18</f>
        <v>0</v>
      </c>
      <c r="I30" s="2775">
        <f>'34_1. Ausfälle Baumaßnahmen'!$J$19</f>
        <v>0</v>
      </c>
      <c r="J30" s="2775">
        <f>'34_1. Ausfälle Baumaßnahmen'!$J$20</f>
        <v>0</v>
      </c>
      <c r="K30" s="2754">
        <f>SUM(D30:J30)-C30</f>
        <v>0</v>
      </c>
    </row>
    <row r="31" spans="1:11" ht="16.149999999999999" customHeight="1">
      <c r="A31" s="2692"/>
      <c r="B31" s="2680" t="s">
        <v>914</v>
      </c>
      <c r="C31" s="2774">
        <f>SUM(D31:J31)</f>
        <v>209304.11644999997</v>
      </c>
      <c r="D31" s="2774">
        <f>$D$30*$D$28</f>
        <v>209304.11644999997</v>
      </c>
      <c r="E31" s="2774">
        <f>$E$30*$E$28</f>
        <v>0</v>
      </c>
      <c r="F31" s="2774">
        <f>$F$30*$F$28</f>
        <v>0</v>
      </c>
      <c r="G31" s="2774">
        <f>$G$30*$G$28</f>
        <v>0</v>
      </c>
      <c r="H31" s="2774">
        <f>$H$30*$H$28</f>
        <v>0</v>
      </c>
      <c r="I31" s="2774">
        <f>$I$30*$I$28</f>
        <v>0</v>
      </c>
      <c r="J31" s="2774">
        <f>$J$30*$J$28</f>
        <v>0</v>
      </c>
      <c r="K31" s="2695">
        <f>SUM(D31:J31)-C31</f>
        <v>0</v>
      </c>
    </row>
    <row r="32" spans="1:11" ht="16.149999999999999" customHeight="1">
      <c r="A32" s="2692"/>
      <c r="B32" s="2680" t="s">
        <v>915</v>
      </c>
      <c r="C32" s="2774">
        <f>SUM(D32:J32)</f>
        <v>348066.71249999997</v>
      </c>
      <c r="D32" s="2774">
        <f>$D$30*$D$29</f>
        <v>348066.71249999997</v>
      </c>
      <c r="E32" s="2774">
        <f>$E$30*$E$29</f>
        <v>0</v>
      </c>
      <c r="F32" s="2774">
        <f>$F$30*$F$29</f>
        <v>0</v>
      </c>
      <c r="G32" s="2774">
        <f>$G$30*$G$29</f>
        <v>0</v>
      </c>
      <c r="H32" s="2774">
        <f>$H$30*$H$29</f>
        <v>0</v>
      </c>
      <c r="I32" s="2774">
        <f>$I$30*$I$29</f>
        <v>0</v>
      </c>
      <c r="J32" s="2774">
        <f>$J$30*$J$29</f>
        <v>0</v>
      </c>
      <c r="K32" s="2695">
        <f>SUM(D32:J32)-C32</f>
        <v>0</v>
      </c>
    </row>
    <row r="33" spans="1:11" ht="16.149999999999999" customHeight="1">
      <c r="A33" s="2692"/>
      <c r="B33" s="2680" t="s">
        <v>916</v>
      </c>
      <c r="C33" s="2774">
        <f>SUM(D33:J33)</f>
        <v>557370.82895</v>
      </c>
      <c r="D33" s="2774">
        <f>$D$31+$D$32</f>
        <v>557370.82895</v>
      </c>
      <c r="E33" s="2774">
        <f>$E$31+$E$32</f>
        <v>0</v>
      </c>
      <c r="F33" s="2774">
        <f>$F$31+$F$32</f>
        <v>0</v>
      </c>
      <c r="G33" s="2774">
        <f>$G$31+$G$32</f>
        <v>0</v>
      </c>
      <c r="H33" s="2774">
        <f>$H$31+$H$32</f>
        <v>0</v>
      </c>
      <c r="I33" s="2774">
        <f>$I$31+$I$32</f>
        <v>0</v>
      </c>
      <c r="J33" s="2774">
        <f>$J$31+$J$32</f>
        <v>0</v>
      </c>
      <c r="K33" s="2695">
        <f>SUM(D33:J33)-C33</f>
        <v>0</v>
      </c>
    </row>
    <row r="34" spans="1:11" ht="7.9" customHeight="1">
      <c r="A34" s="2692"/>
      <c r="B34" s="2680"/>
      <c r="C34" s="2774"/>
      <c r="D34" s="2774"/>
      <c r="E34" s="2774"/>
      <c r="F34" s="2774"/>
      <c r="G34" s="2774"/>
      <c r="H34" s="2774"/>
      <c r="I34" s="2774"/>
      <c r="J34" s="2774"/>
      <c r="K34" s="2672"/>
    </row>
    <row r="35" spans="1:11" ht="16.149999999999999" customHeight="1">
      <c r="A35" s="2692" t="s">
        <v>917</v>
      </c>
      <c r="B35" s="2680"/>
      <c r="C35" s="2774"/>
      <c r="D35" s="2774"/>
      <c r="E35" s="2774"/>
      <c r="F35" s="2774"/>
      <c r="G35" s="2774"/>
      <c r="H35" s="2774"/>
      <c r="I35" s="2774"/>
      <c r="J35" s="2774"/>
      <c r="K35" s="2672"/>
    </row>
    <row r="36" spans="1:11" ht="16.149999999999999" customHeight="1">
      <c r="A36" s="2692"/>
      <c r="B36" s="2680" t="s">
        <v>918</v>
      </c>
      <c r="C36" s="2776">
        <f>SUM(D36:J36)</f>
        <v>114401.21000000002</v>
      </c>
      <c r="D36" s="2777">
        <f>'34_2. SEV Baumaßnahmen'!$Q$7</f>
        <v>114401.21000000002</v>
      </c>
      <c r="E36" s="2777">
        <f>'34_2. SEV Baumaßnahmen'!$Q$8</f>
        <v>0</v>
      </c>
      <c r="F36" s="2777">
        <f>'34_2. SEV Baumaßnahmen'!$Q$9</f>
        <v>0</v>
      </c>
      <c r="G36" s="2777">
        <f>'34_2. SEV Baumaßnahmen'!$Q$10</f>
        <v>0</v>
      </c>
      <c r="H36" s="2777">
        <f>'34_2. SEV Baumaßnahmen'!$Q$11</f>
        <v>0</v>
      </c>
      <c r="I36" s="2777">
        <f>'34_2. SEV Baumaßnahmen'!$Q$12</f>
        <v>0</v>
      </c>
      <c r="J36" s="2777">
        <f>'34_2. SEV Baumaßnahmen'!$Q$13</f>
        <v>0</v>
      </c>
      <c r="K36" s="2755">
        <f>SUM(D36:J36)-C36</f>
        <v>0</v>
      </c>
    </row>
    <row r="37" spans="1:11" ht="16.149999999999999" customHeight="1">
      <c r="A37" s="2692"/>
      <c r="B37" s="2680" t="s">
        <v>919</v>
      </c>
      <c r="C37" s="2776">
        <f>SUM(D37:J37)</f>
        <v>233338.23028174273</v>
      </c>
      <c r="D37" s="2774">
        <f>$D$17</f>
        <v>233338.23028174273</v>
      </c>
      <c r="E37" s="2774">
        <f>$E$17</f>
        <v>0</v>
      </c>
      <c r="F37" s="2774">
        <f>$F$17</f>
        <v>0</v>
      </c>
      <c r="G37" s="2774">
        <f>$G$17</f>
        <v>0</v>
      </c>
      <c r="H37" s="2774">
        <f>$H$17</f>
        <v>0</v>
      </c>
      <c r="I37" s="2774">
        <f>$I$17</f>
        <v>0</v>
      </c>
      <c r="J37" s="2774">
        <f>$J$17</f>
        <v>0</v>
      </c>
      <c r="K37" s="2695">
        <f>SUM(D37:J37)-C37</f>
        <v>0</v>
      </c>
    </row>
    <row r="38" spans="1:11" ht="16.149999999999999" customHeight="1">
      <c r="A38" s="2692"/>
      <c r="B38" s="2680" t="s">
        <v>920</v>
      </c>
      <c r="C38" s="2776">
        <f>SUM(D38:J38)</f>
        <v>347739.44028174272</v>
      </c>
      <c r="D38" s="2777">
        <f>SUM($D$36:$D$37)</f>
        <v>347739.44028174272</v>
      </c>
      <c r="E38" s="2777">
        <f>SUM($E$36:$E$37)</f>
        <v>0</v>
      </c>
      <c r="F38" s="2777">
        <f>SUM($F$36:$F$37)</f>
        <v>0</v>
      </c>
      <c r="G38" s="2777">
        <f>SUM($G$36:$G$37)</f>
        <v>0</v>
      </c>
      <c r="H38" s="2777">
        <f>SUM($H$36:$H$37)</f>
        <v>0</v>
      </c>
      <c r="I38" s="2777">
        <f>SUM($I$36:$I$37)</f>
        <v>0</v>
      </c>
      <c r="J38" s="2777">
        <f>SUM($J$36:$J$37)</f>
        <v>0</v>
      </c>
      <c r="K38" s="2755">
        <f>SUM(D38:J38)-C38</f>
        <v>0</v>
      </c>
    </row>
    <row r="39" spans="1:11" ht="16.149999999999999" customHeight="1">
      <c r="A39" s="2702"/>
      <c r="B39" s="2703"/>
      <c r="C39" s="2778"/>
      <c r="D39" s="2774" t="str">
        <f>IF($D$38&lt;$D$33,"keine Überkompensation", "Achtung Deckelung greift")</f>
        <v>keine Überkompensation</v>
      </c>
      <c r="E39" s="2774" t="str">
        <f>IF($E$38&lt;$E$33,"keine Überkompensation", "Achtung Deckelung greift")</f>
        <v>Achtung Deckelung greift</v>
      </c>
      <c r="F39" s="2774" t="str">
        <f>IF($F$38&lt;$F$33,"keine Überkompensation", "Achtung Deckelung greift")</f>
        <v>Achtung Deckelung greift</v>
      </c>
      <c r="G39" s="2774" t="str">
        <f>IF($G$38&lt;$G$33,"keine Überkompensation", "Achtung Deckelung greift")</f>
        <v>Achtung Deckelung greift</v>
      </c>
      <c r="H39" s="2774" t="str">
        <f>IF($H$38&lt;$H$33,"keine Überkompensation", "Achtung Deckelung greift")</f>
        <v>Achtung Deckelung greift</v>
      </c>
      <c r="I39" s="2774" t="str">
        <f>IF($I$38&lt;$I$33,"keine Überkompensation", "Achtung Deckelung greift")</f>
        <v>Achtung Deckelung greift</v>
      </c>
      <c r="J39" s="2774" t="str">
        <f>IF($J$38&lt;$J$33,"keine Überkompensation", "Achtung Deckelung greift")</f>
        <v>Achtung Deckelung greift</v>
      </c>
      <c r="K39" s="2672"/>
    </row>
    <row r="40" spans="1:11">
      <c r="A40" s="2672"/>
      <c r="B40" s="2672"/>
      <c r="C40" s="2672"/>
      <c r="D40" s="2672"/>
      <c r="E40" s="984"/>
      <c r="F40" s="984"/>
      <c r="G40" s="984"/>
      <c r="H40" s="984"/>
      <c r="I40" s="984"/>
      <c r="J40" s="984"/>
      <c r="K40" s="2672"/>
    </row>
    <row r="41" spans="1:11">
      <c r="A41" s="2704" t="s">
        <v>219</v>
      </c>
      <c r="B41" s="2705" t="s">
        <v>224</v>
      </c>
      <c r="C41" s="2672"/>
      <c r="D41" s="2672"/>
      <c r="E41" s="984"/>
      <c r="F41" s="984"/>
      <c r="G41" s="984"/>
      <c r="H41" s="984"/>
      <c r="I41" s="984"/>
      <c r="J41" s="984"/>
      <c r="K41" s="2672"/>
    </row>
    <row r="42" spans="1:11">
      <c r="A42" s="2672"/>
      <c r="B42" s="2705" t="s">
        <v>1645</v>
      </c>
      <c r="C42" s="2672"/>
      <c r="D42" s="2672"/>
      <c r="E42" s="984"/>
      <c r="F42" s="984"/>
      <c r="G42" s="984"/>
      <c r="H42" s="984"/>
      <c r="I42" s="984"/>
      <c r="J42" s="984"/>
      <c r="K42" s="2672"/>
    </row>
    <row r="43" spans="1:11">
      <c r="A43" s="2672"/>
      <c r="B43" s="2672"/>
      <c r="C43" s="2672"/>
      <c r="D43" s="2672"/>
      <c r="E43" s="984"/>
      <c r="F43" s="984"/>
      <c r="G43" s="984"/>
      <c r="H43" s="984"/>
      <c r="I43" s="984"/>
      <c r="J43" s="984"/>
      <c r="K43" s="2672"/>
    </row>
    <row r="44" spans="1:11">
      <c r="A44" s="2672"/>
      <c r="B44" s="208" t="s">
        <v>1435</v>
      </c>
      <c r="C44" s="1714"/>
      <c r="D44" s="2672"/>
      <c r="E44" s="984"/>
      <c r="F44" s="984"/>
      <c r="G44" s="984"/>
      <c r="H44" s="984"/>
      <c r="I44" s="984"/>
      <c r="J44" s="984"/>
      <c r="K44" s="2672"/>
    </row>
    <row r="45" spans="1:11">
      <c r="A45" s="208" t="s">
        <v>1434</v>
      </c>
      <c r="B45" s="335" t="s">
        <v>1550</v>
      </c>
      <c r="C45" s="2196" t="s">
        <v>1442</v>
      </c>
      <c r="D45" s="2672"/>
      <c r="E45" s="984"/>
      <c r="F45" s="984"/>
      <c r="G45" s="984"/>
      <c r="H45" s="984"/>
      <c r="I45" s="984"/>
      <c r="J45" s="984"/>
      <c r="K45" s="2672"/>
    </row>
    <row r="46" spans="1:11">
      <c r="A46" s="335" t="s">
        <v>1554</v>
      </c>
      <c r="E46" s="984"/>
      <c r="F46" s="984"/>
      <c r="G46" s="984"/>
      <c r="H46" s="984"/>
      <c r="I46" s="984"/>
      <c r="J46" s="984"/>
    </row>
    <row r="47" spans="1:11">
      <c r="E47" s="984"/>
      <c r="F47" s="984"/>
      <c r="G47" s="984"/>
      <c r="H47" s="984"/>
      <c r="I47" s="984"/>
      <c r="J47" s="984"/>
    </row>
  </sheetData>
  <sheetProtection algorithmName="SHA-512" hashValue="XCnL65JHOTahPIQ1iEose4wAorHUGxwdmL0T030K34zl4dYi3QdN7DqnxdpXDedAwpl5H5oeAYhER1dLuIKqvQ==" saltValue="ZuB4zjZCKPBzlD6dYb/Kpw==" spinCount="100000" sheet="1" objects="1" scenarios="1"/>
  <pageMargins left="0.7" right="0.7" top="0.78740157499999996" bottom="0.78740157499999996" header="0.3" footer="0.3"/>
  <pageSetup paperSize="9" scale="58" orientation="landscape" r:id="rId1"/>
  <headerFooter>
    <oddHeader>&amp;LVDV SUN Jahresschlussrechnung JJJJ&amp;R&amp;F</oddHeader>
    <oddFooter>&amp;C&amp;P&amp;R&amp;A</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A8FA8-DC83-4BBC-A591-CA617737E169}">
  <sheetPr>
    <tabColor rgb="FF0070C0"/>
  </sheetPr>
  <dimension ref="A1:T27"/>
  <sheetViews>
    <sheetView view="pageLayout" zoomScale="80" zoomScaleNormal="100" zoomScaleSheetLayoutView="80" zoomScalePageLayoutView="80" workbookViewId="0">
      <selection activeCell="H28" sqref="H28"/>
    </sheetView>
  </sheetViews>
  <sheetFormatPr baseColWidth="10" defaultRowHeight="12.75"/>
  <cols>
    <col min="1" max="1" width="22.85546875" style="979" customWidth="1"/>
    <col min="2" max="2" width="13" style="979" customWidth="1"/>
    <col min="3" max="3" width="15.42578125" style="979" customWidth="1"/>
    <col min="4" max="4" width="11" style="979" customWidth="1"/>
    <col min="5" max="6" width="8.42578125" style="979" bestFit="1" customWidth="1"/>
    <col min="7" max="7" width="16.7109375" style="979" customWidth="1"/>
    <col min="8" max="8" width="10.85546875" style="979" customWidth="1"/>
    <col min="9" max="9" width="11.7109375" style="979" customWidth="1"/>
    <col min="10" max="10" width="15.28515625" style="979" customWidth="1"/>
    <col min="11" max="11" width="10.42578125" style="979" bestFit="1" customWidth="1"/>
    <col min="12" max="12" width="9.7109375" style="979" customWidth="1"/>
    <col min="13" max="14" width="7.85546875" style="979" bestFit="1" customWidth="1"/>
    <col min="15" max="15" width="17.140625" style="979" customWidth="1"/>
    <col min="16" max="16" width="10.28515625" style="979" customWidth="1"/>
    <col min="17" max="17" width="16.42578125" style="979" customWidth="1"/>
    <col min="18" max="18" width="12.85546875" style="979" customWidth="1"/>
    <col min="19" max="19" width="13" style="979" customWidth="1"/>
    <col min="20" max="20" width="14" style="979" customWidth="1"/>
    <col min="21" max="16384" width="11.42578125" style="979"/>
  </cols>
  <sheetData>
    <row r="1" spans="1:20" ht="20.25">
      <c r="A1" s="3490" t="s">
        <v>1520</v>
      </c>
      <c r="B1" s="3094"/>
      <c r="C1" s="3094"/>
      <c r="D1" s="3094"/>
      <c r="E1" s="3094"/>
      <c r="F1" s="3094"/>
      <c r="G1" s="3094"/>
      <c r="H1" s="3094"/>
      <c r="I1" s="3094"/>
      <c r="J1" s="3094"/>
      <c r="K1" s="3094"/>
      <c r="L1" s="3094"/>
      <c r="M1" s="3094"/>
      <c r="N1" s="3094"/>
      <c r="O1" s="3094"/>
      <c r="P1" s="3094"/>
      <c r="Q1" s="3094"/>
      <c r="R1" s="3094"/>
      <c r="S1" s="3094"/>
      <c r="T1" s="3094"/>
    </row>
    <row r="2" spans="1:20" ht="18.75" thickBot="1">
      <c r="A2" s="1081"/>
    </row>
    <row r="3" spans="1:20" s="980" customFormat="1" ht="21.4" customHeight="1" thickBot="1">
      <c r="G3" s="1082"/>
      <c r="I3" s="1082"/>
      <c r="J3" s="3483" t="s">
        <v>997</v>
      </c>
      <c r="K3" s="3484"/>
      <c r="L3" s="3485"/>
      <c r="M3" s="3486" t="s">
        <v>998</v>
      </c>
      <c r="N3" s="3487"/>
      <c r="O3" s="3487"/>
      <c r="P3" s="3487"/>
      <c r="Q3" s="3487"/>
      <c r="R3" s="3487"/>
      <c r="S3" s="3488"/>
    </row>
    <row r="4" spans="1:20" ht="94.5" customHeight="1">
      <c r="A4" s="996" t="s">
        <v>254</v>
      </c>
      <c r="B4" s="1083" t="s">
        <v>1651</v>
      </c>
      <c r="C4" s="1083" t="s">
        <v>1649</v>
      </c>
      <c r="D4" s="1083" t="s">
        <v>1032</v>
      </c>
      <c r="E4" s="1083" t="s">
        <v>1033</v>
      </c>
      <c r="F4" s="1083" t="s">
        <v>1034</v>
      </c>
      <c r="G4" s="1083" t="s">
        <v>1023</v>
      </c>
      <c r="H4" s="1084" t="s">
        <v>1024</v>
      </c>
      <c r="I4" s="996" t="s">
        <v>1352</v>
      </c>
      <c r="J4" s="1085" t="s">
        <v>1025</v>
      </c>
      <c r="K4" s="1085" t="s">
        <v>1026</v>
      </c>
      <c r="L4" s="1086" t="s">
        <v>1027</v>
      </c>
      <c r="M4" s="1085" t="s">
        <v>1035</v>
      </c>
      <c r="N4" s="1085" t="s">
        <v>1036</v>
      </c>
      <c r="O4" s="1087" t="s">
        <v>999</v>
      </c>
      <c r="P4" s="1087" t="s">
        <v>1000</v>
      </c>
      <c r="Q4" s="1087" t="s">
        <v>1001</v>
      </c>
      <c r="R4" s="1087" t="s">
        <v>1028</v>
      </c>
      <c r="S4" s="1088" t="s">
        <v>1029</v>
      </c>
      <c r="T4" s="1083" t="s">
        <v>1030</v>
      </c>
    </row>
    <row r="5" spans="1:20" ht="48" customHeight="1">
      <c r="A5" s="1000"/>
      <c r="B5" s="1000" t="s">
        <v>1650</v>
      </c>
      <c r="C5" s="1825" t="s">
        <v>1376</v>
      </c>
      <c r="D5" s="1825" t="s">
        <v>1376</v>
      </c>
      <c r="E5" s="1825" t="s">
        <v>1376</v>
      </c>
      <c r="F5" s="1825" t="s">
        <v>1376</v>
      </c>
      <c r="G5" s="1825" t="s">
        <v>1376</v>
      </c>
      <c r="H5" s="1827" t="s">
        <v>1376</v>
      </c>
      <c r="I5" s="1090" t="s">
        <v>1002</v>
      </c>
      <c r="J5" s="1000" t="s">
        <v>1003</v>
      </c>
      <c r="K5" s="1000" t="s">
        <v>1377</v>
      </c>
      <c r="L5" s="1089" t="s">
        <v>1377</v>
      </c>
      <c r="M5" s="1000" t="s">
        <v>1377</v>
      </c>
      <c r="N5" s="1000" t="s">
        <v>1377</v>
      </c>
      <c r="O5" s="1000" t="s">
        <v>962</v>
      </c>
      <c r="P5" s="1000" t="s">
        <v>962</v>
      </c>
      <c r="Q5" s="1000" t="s">
        <v>962</v>
      </c>
      <c r="R5" s="1000" t="s">
        <v>1377</v>
      </c>
      <c r="S5" s="1089" t="s">
        <v>1377</v>
      </c>
      <c r="T5" s="1000"/>
    </row>
    <row r="6" spans="1:20" ht="24">
      <c r="A6" s="1091"/>
      <c r="B6" s="1002" t="s">
        <v>1004</v>
      </c>
      <c r="C6" s="1002" t="s">
        <v>1005</v>
      </c>
      <c r="D6" s="1002" t="s">
        <v>1006</v>
      </c>
      <c r="E6" s="1002" t="s">
        <v>1007</v>
      </c>
      <c r="F6" s="1002" t="s">
        <v>1008</v>
      </c>
      <c r="G6" s="1002" t="s">
        <v>1009</v>
      </c>
      <c r="H6" s="1092" t="s">
        <v>1010</v>
      </c>
      <c r="I6" s="1002" t="s">
        <v>935</v>
      </c>
      <c r="J6" s="1002" t="s">
        <v>936</v>
      </c>
      <c r="K6" s="1002" t="s">
        <v>1011</v>
      </c>
      <c r="L6" s="1092" t="s">
        <v>1012</v>
      </c>
      <c r="M6" s="1002" t="s">
        <v>1013</v>
      </c>
      <c r="N6" s="1002" t="s">
        <v>1014</v>
      </c>
      <c r="O6" s="1002" t="s">
        <v>1015</v>
      </c>
      <c r="P6" s="1002" t="s">
        <v>1016</v>
      </c>
      <c r="Q6" s="1002" t="s">
        <v>1017</v>
      </c>
      <c r="R6" s="1002" t="s">
        <v>1018</v>
      </c>
      <c r="S6" s="1092" t="s">
        <v>1019</v>
      </c>
      <c r="T6" s="1002" t="s">
        <v>1020</v>
      </c>
    </row>
    <row r="7" spans="1:20">
      <c r="A7" s="1006" t="s">
        <v>1526</v>
      </c>
      <c r="B7" s="1093">
        <f>'34_Baumaßnahmen'!J12</f>
        <v>5254.1840000000002</v>
      </c>
      <c r="C7" s="1093">
        <f>'34_Baumaßnahmen'!L12</f>
        <v>0</v>
      </c>
      <c r="D7" s="1094">
        <f>'34_Baumaßnahmen'!$J$27</f>
        <v>17461.286000000004</v>
      </c>
      <c r="E7" s="1094">
        <f>'34_Baumaßnahmen'!$K$27</f>
        <v>164.77199999999996</v>
      </c>
      <c r="F7" s="1093">
        <f>'34_Baumaßnahmen'!$L$27</f>
        <v>0</v>
      </c>
      <c r="G7" s="2779">
        <f>'34_1. Ausfälle Baumaßnahmen'!$J$14</f>
        <v>46408.894999999997</v>
      </c>
      <c r="H7" s="1096">
        <f>$B$7+$D$7</f>
        <v>22715.470000000005</v>
      </c>
      <c r="I7" s="1820" t="str">
        <f>'34_1. Ausfälle Baumaßnahmen'!L14</f>
        <v>ja</v>
      </c>
      <c r="J7" s="1097">
        <f>'34_Baumaßnahmen'!$N$26</f>
        <v>142385.98389</v>
      </c>
      <c r="K7" s="1098">
        <f>$J$7/$G$7</f>
        <v>3.0680752879377975</v>
      </c>
      <c r="L7" s="1099">
        <f>$J$7/$H$7</f>
        <v>6.2682385127844578</v>
      </c>
      <c r="M7" s="1100">
        <v>5</v>
      </c>
      <c r="N7" s="1100">
        <v>5</v>
      </c>
      <c r="O7" s="1097">
        <f>(B7+D7+E7)*$M$7+($C$7+$F$7)*$N$7</f>
        <v>114401.21000000002</v>
      </c>
      <c r="P7" s="1101"/>
      <c r="Q7" s="1098">
        <f>$O$7+$P$7</f>
        <v>114401.21000000002</v>
      </c>
      <c r="R7" s="1098">
        <f>$Q$7/$G$7</f>
        <v>2.4650707585259255</v>
      </c>
      <c r="S7" s="1102">
        <f>$Q$7/$H$7</f>
        <v>5.0362686750483263</v>
      </c>
      <c r="T7" s="1098">
        <f>IF($I$7="ja",$K$7-$R$7,0)</f>
        <v>0.60300452941187199</v>
      </c>
    </row>
    <row r="8" spans="1:20">
      <c r="A8" s="1006" t="s">
        <v>1527</v>
      </c>
      <c r="B8" s="2554" t="s">
        <v>1635</v>
      </c>
      <c r="C8" s="1093"/>
      <c r="D8" s="1094"/>
      <c r="E8" s="1094"/>
      <c r="F8" s="1093"/>
      <c r="G8" s="1095"/>
      <c r="H8" s="1096"/>
      <c r="I8" s="1820"/>
      <c r="J8" s="1097"/>
      <c r="K8" s="1098"/>
      <c r="L8" s="1099"/>
      <c r="M8" s="1100"/>
      <c r="N8" s="1100"/>
      <c r="O8" s="1097"/>
      <c r="P8" s="1101"/>
      <c r="Q8" s="1098"/>
      <c r="R8" s="1098"/>
      <c r="S8" s="1102"/>
      <c r="T8" s="1098"/>
    </row>
    <row r="9" spans="1:20">
      <c r="A9" s="1006" t="s">
        <v>1552</v>
      </c>
      <c r="B9" s="1093"/>
      <c r="C9" s="1093"/>
      <c r="D9" s="1094"/>
      <c r="E9" s="1094"/>
      <c r="F9" s="1093"/>
      <c r="G9" s="1095"/>
      <c r="H9" s="1096"/>
      <c r="I9" s="1820"/>
      <c r="J9" s="1097"/>
      <c r="K9" s="1098"/>
      <c r="L9" s="1099"/>
      <c r="M9" s="1100"/>
      <c r="N9" s="1100"/>
      <c r="O9" s="1097"/>
      <c r="P9" s="1101"/>
      <c r="Q9" s="1098"/>
      <c r="R9" s="1098"/>
      <c r="S9" s="1102"/>
      <c r="T9" s="1098"/>
    </row>
    <row r="10" spans="1:20">
      <c r="A10" s="1006" t="s">
        <v>1566</v>
      </c>
      <c r="B10" s="1093"/>
      <c r="C10" s="1093"/>
      <c r="D10" s="1094"/>
      <c r="E10" s="1094"/>
      <c r="F10" s="1093"/>
      <c r="G10" s="1095"/>
      <c r="H10" s="1096"/>
      <c r="I10" s="1820"/>
      <c r="J10" s="1097"/>
      <c r="K10" s="1098"/>
      <c r="L10" s="1099"/>
      <c r="M10" s="1100"/>
      <c r="N10" s="1100"/>
      <c r="O10" s="1097"/>
      <c r="P10" s="1101"/>
      <c r="Q10" s="1098"/>
      <c r="R10" s="1098"/>
      <c r="S10" s="1102"/>
      <c r="T10" s="1098"/>
    </row>
    <row r="11" spans="1:20">
      <c r="A11" s="1006" t="s">
        <v>1528</v>
      </c>
      <c r="B11" s="1093"/>
      <c r="C11" s="1093"/>
      <c r="D11" s="1094"/>
      <c r="E11" s="1094"/>
      <c r="F11" s="1093"/>
      <c r="G11" s="1095"/>
      <c r="H11" s="1096"/>
      <c r="I11" s="1820"/>
      <c r="J11" s="1097"/>
      <c r="K11" s="1098"/>
      <c r="L11" s="1099"/>
      <c r="M11" s="1100"/>
      <c r="N11" s="1100"/>
      <c r="O11" s="1097"/>
      <c r="P11" s="1101"/>
      <c r="Q11" s="1098"/>
      <c r="R11" s="1098"/>
      <c r="S11" s="1102"/>
      <c r="T11" s="1098"/>
    </row>
    <row r="12" spans="1:20">
      <c r="A12" s="2451" t="s">
        <v>1666</v>
      </c>
      <c r="B12" s="2543"/>
      <c r="C12" s="2543"/>
      <c r="D12" s="2544"/>
      <c r="E12" s="2544"/>
      <c r="F12" s="2543"/>
      <c r="G12" s="2545"/>
      <c r="H12" s="2546"/>
      <c r="I12" s="2547"/>
      <c r="J12" s="2548"/>
      <c r="K12" s="2549"/>
      <c r="L12" s="2550"/>
      <c r="M12" s="2551"/>
      <c r="N12" s="2551"/>
      <c r="O12" s="2548"/>
      <c r="P12" s="2552"/>
      <c r="Q12" s="2549"/>
      <c r="R12" s="2549"/>
      <c r="S12" s="2553"/>
      <c r="T12" s="2549"/>
    </row>
    <row r="13" spans="1:20">
      <c r="A13" s="2451" t="s">
        <v>1553</v>
      </c>
      <c r="B13" s="2543"/>
      <c r="C13" s="2543"/>
      <c r="D13" s="2544"/>
      <c r="E13" s="2544"/>
      <c r="F13" s="2543"/>
      <c r="G13" s="2545"/>
      <c r="H13" s="2546"/>
      <c r="I13" s="2547"/>
      <c r="J13" s="2548"/>
      <c r="K13" s="2549"/>
      <c r="L13" s="2550"/>
      <c r="M13" s="2551"/>
      <c r="N13" s="2551"/>
      <c r="O13" s="2548"/>
      <c r="P13" s="2552"/>
      <c r="Q13" s="2549"/>
      <c r="R13" s="2549"/>
      <c r="S13" s="2553"/>
      <c r="T13" s="2549"/>
    </row>
    <row r="14" spans="1:20" ht="16.149999999999999" customHeight="1">
      <c r="A14" s="1006" t="s">
        <v>743</v>
      </c>
      <c r="B14" s="1103">
        <f t="shared" ref="B14:H14" si="0">SUM(B7:B7)</f>
        <v>5254.1840000000002</v>
      </c>
      <c r="C14" s="1103">
        <f t="shared" si="0"/>
        <v>0</v>
      </c>
      <c r="D14" s="1103">
        <f t="shared" si="0"/>
        <v>17461.286000000004</v>
      </c>
      <c r="E14" s="1103">
        <f t="shared" si="0"/>
        <v>164.77199999999996</v>
      </c>
      <c r="F14" s="1103">
        <f t="shared" si="0"/>
        <v>0</v>
      </c>
      <c r="G14" s="1103">
        <f t="shared" si="0"/>
        <v>46408.894999999997</v>
      </c>
      <c r="H14" s="1104">
        <f t="shared" si="0"/>
        <v>22715.470000000005</v>
      </c>
      <c r="I14" s="1103"/>
      <c r="J14" s="1105">
        <f>SUM(J7:J7)</f>
        <v>142385.98389</v>
      </c>
      <c r="K14" s="1105"/>
      <c r="L14" s="1106">
        <f>J14/H14</f>
        <v>6.2682385127844578</v>
      </c>
      <c r="M14" s="1107"/>
      <c r="N14" s="1107"/>
      <c r="O14" s="1105">
        <f>SUM(O7:O7)</f>
        <v>114401.21000000002</v>
      </c>
      <c r="P14" s="1105">
        <f>SUM(P7:P7)</f>
        <v>0</v>
      </c>
      <c r="Q14" s="1105">
        <f>SUM(Q7:Q7)</f>
        <v>114401.21000000002</v>
      </c>
      <c r="R14" s="1105">
        <f>Q14/G14</f>
        <v>2.4650707585259255</v>
      </c>
      <c r="S14" s="1106">
        <f>Q14/H14</f>
        <v>5.0362686750483263</v>
      </c>
      <c r="T14" s="1105"/>
    </row>
    <row r="15" spans="1:20" ht="15" customHeight="1">
      <c r="F15" s="1016"/>
      <c r="G15" s="1016"/>
      <c r="L15" s="1020"/>
    </row>
    <row r="17" spans="1:20" ht="14.25">
      <c r="A17" s="1108" t="s">
        <v>1672</v>
      </c>
    </row>
    <row r="18" spans="1:20" ht="14.25">
      <c r="A18" s="1108" t="s">
        <v>1705</v>
      </c>
      <c r="H18" s="2850" t="s">
        <v>1686</v>
      </c>
    </row>
    <row r="19" spans="1:20">
      <c r="A19" s="1108"/>
    </row>
    <row r="20" spans="1:20">
      <c r="A20" s="3489" t="s">
        <v>1673</v>
      </c>
      <c r="B20" s="3480"/>
      <c r="C20" s="3480"/>
      <c r="D20" s="3480"/>
      <c r="E20" s="3480"/>
      <c r="F20" s="3480"/>
      <c r="G20" s="3480"/>
      <c r="H20" s="3480"/>
      <c r="I20" s="3480"/>
      <c r="J20" s="3480"/>
      <c r="K20" s="3480"/>
      <c r="L20" s="3480"/>
      <c r="M20" s="3480"/>
      <c r="N20" s="3480"/>
      <c r="O20" s="3480"/>
      <c r="P20" s="3480"/>
      <c r="Q20" s="3480"/>
      <c r="R20" s="3480"/>
      <c r="S20" s="3480"/>
      <c r="T20" s="3480"/>
    </row>
    <row r="21" spans="1:20">
      <c r="A21" s="3480"/>
      <c r="B21" s="3480"/>
      <c r="C21" s="3480"/>
      <c r="D21" s="3480"/>
      <c r="E21" s="3480"/>
      <c r="F21" s="3480"/>
      <c r="G21" s="3480"/>
      <c r="H21" s="3480"/>
      <c r="I21" s="3480"/>
      <c r="J21" s="3480"/>
      <c r="K21" s="3480"/>
      <c r="L21" s="3480"/>
      <c r="M21" s="3480"/>
      <c r="N21" s="3480"/>
      <c r="O21" s="3480"/>
      <c r="P21" s="3480"/>
      <c r="Q21" s="3480"/>
      <c r="R21" s="3480"/>
      <c r="S21" s="3480"/>
      <c r="T21" s="3480"/>
    </row>
    <row r="22" spans="1:20">
      <c r="A22" s="1067"/>
      <c r="B22" s="1067"/>
      <c r="C22" s="1067"/>
      <c r="D22" s="1067"/>
      <c r="E22" s="1067"/>
      <c r="F22" s="1067"/>
      <c r="G22" s="1067"/>
      <c r="H22" s="1067"/>
      <c r="I22" s="1067"/>
      <c r="J22" s="1067"/>
      <c r="K22" s="1067"/>
      <c r="L22" s="1067"/>
      <c r="M22" s="1067"/>
      <c r="N22" s="1067"/>
      <c r="O22" s="1067"/>
      <c r="P22" s="1067"/>
      <c r="Q22" s="1067"/>
      <c r="R22" s="1067"/>
      <c r="S22" s="1067"/>
      <c r="T22" s="1067"/>
    </row>
    <row r="23" spans="1:20">
      <c r="A23" s="194" t="s">
        <v>219</v>
      </c>
      <c r="B23" s="195" t="s">
        <v>224</v>
      </c>
    </row>
    <row r="24" spans="1:20">
      <c r="B24" s="195" t="s">
        <v>1645</v>
      </c>
    </row>
    <row r="26" spans="1:20">
      <c r="A26" s="335" t="s">
        <v>1434</v>
      </c>
      <c r="B26" s="335" t="s">
        <v>1435</v>
      </c>
      <c r="C26" s="1714"/>
    </row>
    <row r="27" spans="1:20">
      <c r="A27" s="335" t="s">
        <v>1554</v>
      </c>
      <c r="B27" s="335" t="s">
        <v>1550</v>
      </c>
      <c r="C27" s="2196" t="s">
        <v>1442</v>
      </c>
    </row>
  </sheetData>
  <sheetProtection algorithmName="SHA-512" hashValue="xHaIvkB8RepH/lDigGyJYGymlanzV/KbYPw0XlTubwUZfv0+UkUhiFES68Y3RKwO13HGhVwEFGFcLUr/uo8jOw==" saltValue="EHXwFADQcoWAXum5+itJ4w==" spinCount="100000" sheet="1" objects="1" scenarios="1"/>
  <mergeCells count="4">
    <mergeCell ref="J3:L3"/>
    <mergeCell ref="M3:S3"/>
    <mergeCell ref="A20:T21"/>
    <mergeCell ref="A1:T1"/>
  </mergeCells>
  <conditionalFormatting sqref="I7:I13">
    <cfRule type="cellIs" dxfId="5" priority="1" operator="equal">
      <formula>"nein"</formula>
    </cfRule>
    <cfRule type="cellIs" dxfId="4" priority="2" operator="equal">
      <formula>"ja"</formula>
    </cfRule>
  </conditionalFormatting>
  <pageMargins left="0.7" right="0.7" top="0.78740157499999996" bottom="0.78740157499999996" header="0.3" footer="0.3"/>
  <pageSetup paperSize="9" scale="52" orientation="landscape" r:id="rId1"/>
  <headerFooter>
    <oddHeader>&amp;LVDV SUN Jahresschlussrechnung JJJJ&amp;R&amp;F</oddHeader>
    <oddFooter>&amp;C&amp;P&amp;R&amp;A</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DB30A-EDB6-477B-A0FA-B4D75B15270E}">
  <dimension ref="A1:R35"/>
  <sheetViews>
    <sheetView view="pageLayout" zoomScale="80" zoomScaleNormal="80" zoomScalePageLayoutView="80" workbookViewId="0">
      <selection activeCell="I33" sqref="I33"/>
    </sheetView>
  </sheetViews>
  <sheetFormatPr baseColWidth="10" defaultRowHeight="12.75"/>
  <cols>
    <col min="1" max="1" width="30.28515625" style="979" customWidth="1"/>
    <col min="2" max="10" width="18" style="979" customWidth="1"/>
    <col min="11" max="11" width="12.85546875" style="979" customWidth="1"/>
    <col min="12" max="12" width="14.140625" style="979" customWidth="1"/>
    <col min="13" max="14" width="18" style="979" customWidth="1"/>
    <col min="15" max="15" width="4" style="979" customWidth="1"/>
    <col min="16" max="16" width="11.42578125" style="979"/>
    <col min="17" max="17" width="1.28515625" style="979" customWidth="1"/>
    <col min="18" max="18" width="10.7109375" style="979" customWidth="1"/>
    <col min="19" max="16384" width="11.42578125" style="979"/>
  </cols>
  <sheetData>
    <row r="1" spans="1:18" ht="20.25">
      <c r="A1" s="973" t="s">
        <v>1522</v>
      </c>
    </row>
    <row r="3" spans="1:18" ht="15.75">
      <c r="A3" s="986" t="s">
        <v>975</v>
      </c>
    </row>
    <row r="4" spans="1:18" ht="7.9" customHeight="1" thickBot="1">
      <c r="A4" s="987"/>
    </row>
    <row r="5" spans="1:18" ht="13.5" thickBot="1">
      <c r="A5" s="988" t="s">
        <v>921</v>
      </c>
      <c r="B5" s="989">
        <v>0.02</v>
      </c>
      <c r="C5" s="3491" t="s">
        <v>1040</v>
      </c>
      <c r="D5" s="3492"/>
      <c r="E5" s="3493"/>
      <c r="F5" s="3493"/>
      <c r="G5" s="3493"/>
      <c r="H5" s="3493"/>
      <c r="I5" s="3493"/>
      <c r="J5" s="3493"/>
      <c r="K5" s="3493"/>
      <c r="L5" s="3493"/>
      <c r="M5" s="3493"/>
      <c r="N5" s="3493"/>
      <c r="O5" s="3493"/>
    </row>
    <row r="6" spans="1:18">
      <c r="A6" s="990" t="s">
        <v>922</v>
      </c>
      <c r="B6" s="3494" t="s">
        <v>923</v>
      </c>
      <c r="C6" s="3494"/>
      <c r="D6" s="3494"/>
      <c r="E6" s="3494"/>
      <c r="F6" s="3494"/>
      <c r="G6" s="3494"/>
      <c r="H6" s="3494"/>
      <c r="I6" s="3494"/>
      <c r="J6" s="3494"/>
      <c r="K6" s="3494"/>
      <c r="L6" s="3494"/>
      <c r="M6" s="3494"/>
      <c r="N6" s="3494"/>
      <c r="O6" s="3494"/>
    </row>
    <row r="7" spans="1:18">
      <c r="B7" s="3494" t="s">
        <v>968</v>
      </c>
      <c r="C7" s="3494"/>
      <c r="D7" s="3494"/>
      <c r="E7" s="3494"/>
      <c r="F7" s="3494"/>
      <c r="G7" s="3494"/>
      <c r="H7" s="3494"/>
      <c r="I7" s="3494"/>
      <c r="J7" s="3494"/>
      <c r="K7" s="3494"/>
      <c r="L7" s="3494"/>
      <c r="M7" s="3494"/>
      <c r="N7" s="3494"/>
      <c r="O7" s="3494"/>
    </row>
    <row r="9" spans="1:18" ht="15.75">
      <c r="A9" s="986" t="s">
        <v>1378</v>
      </c>
      <c r="J9" s="991"/>
    </row>
    <row r="10" spans="1:18" ht="18" customHeight="1">
      <c r="B10" s="992" t="s">
        <v>924</v>
      </c>
      <c r="C10" s="1816"/>
      <c r="D10" s="1816"/>
      <c r="E10" s="1818"/>
      <c r="F10" s="1818" t="s">
        <v>1354</v>
      </c>
      <c r="G10" s="1816"/>
      <c r="H10" s="1816"/>
      <c r="I10" s="1816"/>
      <c r="J10" s="1816"/>
      <c r="K10" s="1818" t="s">
        <v>1355</v>
      </c>
      <c r="L10" s="1818"/>
      <c r="M10" s="1819" t="s">
        <v>966</v>
      </c>
      <c r="N10" s="1818"/>
    </row>
    <row r="11" spans="1:18" ht="51">
      <c r="A11" s="993" t="s">
        <v>254</v>
      </c>
      <c r="B11" s="994" t="s">
        <v>967</v>
      </c>
      <c r="C11" s="2757" t="s">
        <v>1648</v>
      </c>
      <c r="D11" s="1813" t="s">
        <v>1349</v>
      </c>
      <c r="E11" s="995" t="s">
        <v>977</v>
      </c>
      <c r="F11" s="994" t="s">
        <v>1356</v>
      </c>
      <c r="G11" s="994" t="s">
        <v>925</v>
      </c>
      <c r="H11" s="994" t="s">
        <v>926</v>
      </c>
      <c r="I11" s="994" t="s">
        <v>927</v>
      </c>
      <c r="J11" s="994" t="s">
        <v>928</v>
      </c>
      <c r="K11" s="994" t="s">
        <v>929</v>
      </c>
      <c r="L11" s="3495" t="s">
        <v>930</v>
      </c>
      <c r="M11" s="994" t="s">
        <v>931</v>
      </c>
      <c r="N11" s="1817" t="s">
        <v>932</v>
      </c>
      <c r="O11" s="997"/>
      <c r="P11" s="997"/>
      <c r="Q11" s="997"/>
      <c r="R11" s="997"/>
    </row>
    <row r="12" spans="1:18">
      <c r="A12" s="998"/>
      <c r="B12" s="999" t="s">
        <v>1376</v>
      </c>
      <c r="C12" s="1825" t="s">
        <v>1376</v>
      </c>
      <c r="D12" s="1825" t="s">
        <v>1376</v>
      </c>
      <c r="E12" s="1825" t="s">
        <v>1376</v>
      </c>
      <c r="F12" s="1825" t="s">
        <v>1376</v>
      </c>
      <c r="G12" s="1825" t="s">
        <v>1376</v>
      </c>
      <c r="H12" s="1825" t="s">
        <v>1376</v>
      </c>
      <c r="I12" s="1825" t="s">
        <v>1376</v>
      </c>
      <c r="J12" s="1825" t="s">
        <v>1376</v>
      </c>
      <c r="K12" s="999"/>
      <c r="L12" s="3496"/>
      <c r="M12" s="1825" t="s">
        <v>1376</v>
      </c>
      <c r="N12" s="1825" t="s">
        <v>1376</v>
      </c>
    </row>
    <row r="13" spans="1:18" s="1005" customFormat="1" ht="13.5">
      <c r="A13" s="1001"/>
      <c r="B13" s="1002" t="s">
        <v>933</v>
      </c>
      <c r="C13" s="1002" t="s">
        <v>934</v>
      </c>
      <c r="D13" s="1002" t="s">
        <v>1006</v>
      </c>
      <c r="E13" s="1003" t="s">
        <v>1350</v>
      </c>
      <c r="F13" s="1004" t="s">
        <v>1360</v>
      </c>
      <c r="G13" s="1002" t="s">
        <v>935</v>
      </c>
      <c r="H13" s="1002" t="s">
        <v>936</v>
      </c>
      <c r="I13" s="1002" t="s">
        <v>937</v>
      </c>
      <c r="J13" s="1002" t="s">
        <v>938</v>
      </c>
      <c r="K13" s="1002" t="s">
        <v>1351</v>
      </c>
      <c r="L13" s="1002"/>
      <c r="M13" s="1002" t="s">
        <v>976</v>
      </c>
      <c r="N13" s="1002" t="s">
        <v>939</v>
      </c>
    </row>
    <row r="14" spans="1:18" ht="18.600000000000001" customHeight="1">
      <c r="A14" s="1006" t="s">
        <v>1526</v>
      </c>
      <c r="B14" s="1007">
        <v>350108.522</v>
      </c>
      <c r="C14" s="1008">
        <v>345591.63699999999</v>
      </c>
      <c r="D14" s="1008">
        <v>367.58</v>
      </c>
      <c r="E14" s="1009">
        <f>C14+D14+G14</f>
        <v>379970.98200000002</v>
      </c>
      <c r="F14" s="1007">
        <f>E14*$B$5</f>
        <v>7599.4196400000001</v>
      </c>
      <c r="G14" s="1010">
        <f>'34_Baumaßnahmen'!$H$28</f>
        <v>34011.764999999999</v>
      </c>
      <c r="H14" s="1011">
        <f>'34_Baumaßnahmen'!$H$27</f>
        <v>19220.805999999997</v>
      </c>
      <c r="I14" s="1010">
        <f>'34_Baumaßnahmen'!$I$26</f>
        <v>6823.6760000000004</v>
      </c>
      <c r="J14" s="1007">
        <f>$G$14+$H$14-$I$14</f>
        <v>46408.894999999997</v>
      </c>
      <c r="K14" s="1012">
        <f>$J$14/$E$14</f>
        <v>0.12213799789584984</v>
      </c>
      <c r="L14" s="983" t="str">
        <f>IF(K14&gt;$B$5,"ja","nein")</f>
        <v>ja</v>
      </c>
      <c r="M14" s="1007">
        <f>IF(J14&gt;F14,J14-F14,0)</f>
        <v>38809.475359999997</v>
      </c>
      <c r="N14" s="1007">
        <f t="shared" ref="N14:N20" si="0">IF(M14=0,0,M14/$M$21*$M$24)</f>
        <v>38809.475359999997</v>
      </c>
    </row>
    <row r="15" spans="1:18" ht="18.600000000000001" customHeight="1">
      <c r="A15" s="1006" t="s">
        <v>1527</v>
      </c>
      <c r="B15" s="2458" t="s">
        <v>792</v>
      </c>
      <c r="C15" s="1008"/>
      <c r="D15" s="1008"/>
      <c r="E15" s="1009">
        <f t="shared" ref="E15:E17" si="1">C15+D15+G15</f>
        <v>0</v>
      </c>
      <c r="F15" s="1007">
        <f>E15*$B$5</f>
        <v>0</v>
      </c>
      <c r="G15" s="1010"/>
      <c r="H15" s="1011"/>
      <c r="I15" s="1010"/>
      <c r="J15" s="1007">
        <f t="shared" ref="J15:J20" si="2">G15+H15-I15</f>
        <v>0</v>
      </c>
      <c r="K15" s="1012"/>
      <c r="L15" s="983" t="str">
        <f t="shared" ref="L15:L20" si="3">IF(K15&gt;$B$5,"ja","nein")</f>
        <v>nein</v>
      </c>
      <c r="M15" s="1007">
        <f>IF(J15&gt;F15,J15-F15,0)</f>
        <v>0</v>
      </c>
      <c r="N15" s="1007">
        <f t="shared" si="0"/>
        <v>0</v>
      </c>
    </row>
    <row r="16" spans="1:18" ht="18.600000000000001" customHeight="1">
      <c r="A16" s="1006" t="s">
        <v>1552</v>
      </c>
      <c r="B16" s="1007"/>
      <c r="C16" s="1008"/>
      <c r="D16" s="1008"/>
      <c r="E16" s="1009">
        <f t="shared" si="1"/>
        <v>0</v>
      </c>
      <c r="F16" s="1007">
        <f t="shared" ref="F16:F18" si="4">E16*$B$5</f>
        <v>0</v>
      </c>
      <c r="G16" s="1010"/>
      <c r="H16" s="1011"/>
      <c r="I16" s="1010"/>
      <c r="J16" s="1007">
        <f t="shared" si="2"/>
        <v>0</v>
      </c>
      <c r="K16" s="1012"/>
      <c r="L16" s="983" t="str">
        <f t="shared" si="3"/>
        <v>nein</v>
      </c>
      <c r="M16" s="1007">
        <f t="shared" ref="M16:M18" si="5">IF(J16&gt;F16,J16-F16,0)</f>
        <v>0</v>
      </c>
      <c r="N16" s="1007">
        <f t="shared" si="0"/>
        <v>0</v>
      </c>
    </row>
    <row r="17" spans="1:14" ht="18.600000000000001" customHeight="1">
      <c r="A17" s="1006" t="s">
        <v>1566</v>
      </c>
      <c r="B17" s="1007"/>
      <c r="C17" s="1008"/>
      <c r="D17" s="1008"/>
      <c r="E17" s="1009">
        <f t="shared" si="1"/>
        <v>0</v>
      </c>
      <c r="F17" s="1007">
        <f t="shared" si="4"/>
        <v>0</v>
      </c>
      <c r="G17" s="1010"/>
      <c r="H17" s="1011"/>
      <c r="I17" s="1010"/>
      <c r="J17" s="1007">
        <f t="shared" si="2"/>
        <v>0</v>
      </c>
      <c r="K17" s="1012"/>
      <c r="L17" s="983" t="str">
        <f t="shared" si="3"/>
        <v>nein</v>
      </c>
      <c r="M17" s="1007">
        <f t="shared" si="5"/>
        <v>0</v>
      </c>
      <c r="N17" s="1007">
        <f t="shared" si="0"/>
        <v>0</v>
      </c>
    </row>
    <row r="18" spans="1:14" ht="18.600000000000001" customHeight="1">
      <c r="A18" s="1006" t="s">
        <v>1528</v>
      </c>
      <c r="B18" s="1007"/>
      <c r="C18" s="1008"/>
      <c r="D18" s="1008"/>
      <c r="E18" s="1009">
        <f>C18+D18+G18</f>
        <v>0</v>
      </c>
      <c r="F18" s="1007">
        <f t="shared" si="4"/>
        <v>0</v>
      </c>
      <c r="G18" s="1010"/>
      <c r="H18" s="1011"/>
      <c r="I18" s="1010"/>
      <c r="J18" s="1007">
        <f t="shared" si="2"/>
        <v>0</v>
      </c>
      <c r="K18" s="1012"/>
      <c r="L18" s="983" t="str">
        <f t="shared" si="3"/>
        <v>nein</v>
      </c>
      <c r="M18" s="1007">
        <f t="shared" si="5"/>
        <v>0</v>
      </c>
      <c r="N18" s="1007">
        <f t="shared" si="0"/>
        <v>0</v>
      </c>
    </row>
    <row r="19" spans="1:14" ht="18.600000000000001" customHeight="1">
      <c r="A19" s="2451" t="s">
        <v>1666</v>
      </c>
      <c r="B19" s="1007"/>
      <c r="C19" s="1008"/>
      <c r="D19" s="1008"/>
      <c r="E19" s="1009">
        <f>C19+D19+G19</f>
        <v>0</v>
      </c>
      <c r="F19" s="1007">
        <f>E19*$B$5</f>
        <v>0</v>
      </c>
      <c r="G19" s="1010"/>
      <c r="H19" s="1011"/>
      <c r="I19" s="1010"/>
      <c r="J19" s="1007">
        <f t="shared" si="2"/>
        <v>0</v>
      </c>
      <c r="K19" s="1012"/>
      <c r="L19" s="983" t="str">
        <f>IF(K19&gt;$B$5,"ja","nein")</f>
        <v>nein</v>
      </c>
      <c r="M19" s="1007">
        <f>IF(J19&gt;F19,J19-F19,0)</f>
        <v>0</v>
      </c>
      <c r="N19" s="1007">
        <f t="shared" si="0"/>
        <v>0</v>
      </c>
    </row>
    <row r="20" spans="1:14" ht="18.600000000000001" customHeight="1">
      <c r="A20" s="2451" t="s">
        <v>1553</v>
      </c>
      <c r="B20" s="2452"/>
      <c r="C20" s="2453"/>
      <c r="D20" s="2453"/>
      <c r="E20" s="2454">
        <f>C20+D20+G20</f>
        <v>0</v>
      </c>
      <c r="F20" s="2452">
        <f>E20*$B$5</f>
        <v>0</v>
      </c>
      <c r="G20" s="2455"/>
      <c r="H20" s="2456"/>
      <c r="I20" s="2455"/>
      <c r="J20" s="2452">
        <f t="shared" si="2"/>
        <v>0</v>
      </c>
      <c r="K20" s="2457"/>
      <c r="L20" s="2446" t="str">
        <f t="shared" si="3"/>
        <v>nein</v>
      </c>
      <c r="M20" s="2452">
        <f>IF(J20&gt;F20,J20-F20,0)</f>
        <v>0</v>
      </c>
      <c r="N20" s="1007">
        <f t="shared" si="0"/>
        <v>0</v>
      </c>
    </row>
    <row r="21" spans="1:14" ht="18.600000000000001" customHeight="1">
      <c r="A21" s="1006" t="s">
        <v>743</v>
      </c>
      <c r="B21" s="1013">
        <f t="shared" ref="B21:J21" si="6">SUM(B14:B14)</f>
        <v>350108.522</v>
      </c>
      <c r="C21" s="1013">
        <f t="shared" si="6"/>
        <v>345591.63699999999</v>
      </c>
      <c r="D21" s="1013">
        <f t="shared" si="6"/>
        <v>367.58</v>
      </c>
      <c r="E21" s="1013">
        <f t="shared" si="6"/>
        <v>379970.98200000002</v>
      </c>
      <c r="F21" s="1013">
        <f>SUM(F14:F14)</f>
        <v>7599.4196400000001</v>
      </c>
      <c r="G21" s="1013">
        <f t="shared" si="6"/>
        <v>34011.764999999999</v>
      </c>
      <c r="H21" s="1013">
        <f t="shared" si="6"/>
        <v>19220.805999999997</v>
      </c>
      <c r="I21" s="1013">
        <f t="shared" si="6"/>
        <v>6823.6760000000004</v>
      </c>
      <c r="J21" s="1013">
        <f t="shared" si="6"/>
        <v>46408.894999999997</v>
      </c>
      <c r="K21" s="1014">
        <f>J21/E21</f>
        <v>0.12213799789584984</v>
      </c>
      <c r="L21" s="1015"/>
      <c r="M21" s="1013">
        <f>SUM(M14:M14)</f>
        <v>38809.475359999997</v>
      </c>
      <c r="N21" s="1013">
        <f>SUM(N14:N14)</f>
        <v>38809.475359999997</v>
      </c>
    </row>
    <row r="22" spans="1:14">
      <c r="E22" s="1016"/>
      <c r="H22" s="991"/>
      <c r="J22" s="1017"/>
      <c r="K22" s="1017"/>
      <c r="L22" s="1017"/>
    </row>
    <row r="23" spans="1:14">
      <c r="A23" s="974"/>
      <c r="B23" s="975"/>
    </row>
    <row r="24" spans="1:14">
      <c r="A24" s="987" t="s">
        <v>940</v>
      </c>
      <c r="E24" s="1018" t="s">
        <v>941</v>
      </c>
      <c r="F24" s="1019">
        <f>K21-$B$5</f>
        <v>0.10213799789584983</v>
      </c>
      <c r="G24" s="980"/>
      <c r="H24" s="980"/>
      <c r="I24" s="980" t="s">
        <v>942</v>
      </c>
      <c r="J24" s="1020"/>
      <c r="K24" s="1020"/>
      <c r="L24" s="1020"/>
      <c r="M24" s="1021">
        <f>F24*E21</f>
        <v>38809.475359999997</v>
      </c>
      <c r="N24" s="1022" t="s">
        <v>943</v>
      </c>
    </row>
    <row r="25" spans="1:14">
      <c r="A25" s="988"/>
      <c r="E25" s="980" t="s">
        <v>944</v>
      </c>
      <c r="F25" s="980"/>
      <c r="G25" s="980"/>
      <c r="H25" s="980"/>
      <c r="I25" s="980"/>
      <c r="J25" s="980"/>
      <c r="K25" s="1020"/>
      <c r="L25" s="1020"/>
      <c r="M25" s="1020"/>
      <c r="N25" s="1020"/>
    </row>
    <row r="26" spans="1:14">
      <c r="B26" s="976"/>
    </row>
    <row r="27" spans="1:14" ht="14.25">
      <c r="A27" s="1816" t="s">
        <v>1379</v>
      </c>
      <c r="B27" s="976"/>
    </row>
    <row r="28" spans="1:14" ht="14.25">
      <c r="A28" s="1816" t="s">
        <v>1353</v>
      </c>
    </row>
    <row r="30" spans="1:14">
      <c r="I30" s="2749"/>
    </row>
    <row r="31" spans="1:14">
      <c r="A31" s="985" t="s">
        <v>219</v>
      </c>
      <c r="B31" s="195" t="s">
        <v>224</v>
      </c>
    </row>
    <row r="32" spans="1:14">
      <c r="B32" s="195" t="s">
        <v>1645</v>
      </c>
    </row>
    <row r="34" spans="1:3">
      <c r="A34" s="335" t="s">
        <v>1434</v>
      </c>
      <c r="B34" s="335" t="s">
        <v>1435</v>
      </c>
      <c r="C34" s="1714"/>
    </row>
    <row r="35" spans="1:3">
      <c r="A35" s="335" t="s">
        <v>1554</v>
      </c>
      <c r="B35" s="335" t="s">
        <v>1550</v>
      </c>
      <c r="C35" s="2196" t="s">
        <v>1442</v>
      </c>
    </row>
  </sheetData>
  <sheetProtection algorithmName="SHA-512" hashValue="npz+v9f5h802Lj203c7IKNhh2J+WiNnKtyywxQLHak278cNFrSzMrNGxvIgGznWEV72f4T5wnbV1MRowpefUsQ==" saltValue="RnZwKLWcrneBndrmJg704A==" spinCount="100000" sheet="1" objects="1" scenarios="1"/>
  <mergeCells count="4">
    <mergeCell ref="C5:O5"/>
    <mergeCell ref="B6:O6"/>
    <mergeCell ref="B7:O7"/>
    <mergeCell ref="L11:L12"/>
  </mergeCells>
  <conditionalFormatting sqref="L14:L18 L20">
    <cfRule type="cellIs" dxfId="3" priority="3" operator="equal">
      <formula>"nein"</formula>
    </cfRule>
    <cfRule type="cellIs" dxfId="2" priority="4" operator="equal">
      <formula>"ja"</formula>
    </cfRule>
  </conditionalFormatting>
  <conditionalFormatting sqref="L19">
    <cfRule type="cellIs" dxfId="1" priority="1" operator="equal">
      <formula>"nein"</formula>
    </cfRule>
    <cfRule type="cellIs" dxfId="0" priority="2" operator="equal">
      <formula>"ja"</formula>
    </cfRule>
  </conditionalFormatting>
  <pageMargins left="0.7" right="0.7" top="0.78740157499999996" bottom="0.78740157499999996" header="0.3" footer="0.3"/>
  <pageSetup paperSize="9" scale="49" orientation="landscape" r:id="rId1"/>
  <headerFooter>
    <oddHeader>&amp;LVDV SUN Jahresschlussrechnung JJJJ&amp;R&amp;F</oddHeader>
    <oddFooter>&amp;C&amp;P&amp;R&amp;A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68C77-F2F0-4A62-B629-45BC5F0D7896}">
  <sheetPr>
    <tabColor rgb="FF0070C0"/>
  </sheetPr>
  <dimension ref="A1:K115"/>
  <sheetViews>
    <sheetView showGridLines="0" view="pageBreakPreview" zoomScale="80" zoomScaleNormal="100" zoomScaleSheetLayoutView="80" zoomScalePageLayoutView="80" workbookViewId="0">
      <selection activeCell="G24" sqref="G24"/>
    </sheetView>
  </sheetViews>
  <sheetFormatPr baseColWidth="10" defaultColWidth="11.42578125" defaultRowHeight="12.75"/>
  <cols>
    <col min="1" max="1" width="59" style="195" customWidth="1"/>
    <col min="2" max="2" width="15.5703125" style="195" customWidth="1"/>
    <col min="3" max="3" width="20.140625" style="195" customWidth="1"/>
    <col min="4" max="4" width="24.140625" style="195" customWidth="1"/>
    <col min="5" max="5" width="25.7109375" style="195" customWidth="1"/>
    <col min="6" max="6" width="2.5703125" style="195" customWidth="1"/>
    <col min="7" max="7" width="15.28515625" style="195" customWidth="1"/>
    <col min="8" max="16384" width="11.42578125" style="195"/>
  </cols>
  <sheetData>
    <row r="1" spans="1:11" ht="18">
      <c r="A1" s="2272" t="s">
        <v>1458</v>
      </c>
      <c r="B1" s="254"/>
      <c r="C1" s="369"/>
      <c r="D1" s="369"/>
      <c r="E1" s="255"/>
      <c r="F1" s="255"/>
      <c r="G1" s="342" t="s">
        <v>1461</v>
      </c>
    </row>
    <row r="2" spans="1:11" ht="15">
      <c r="A2" s="256"/>
      <c r="B2" s="257"/>
      <c r="C2" s="344" t="s">
        <v>1682</v>
      </c>
      <c r="D2" s="345">
        <v>6.5</v>
      </c>
      <c r="E2" s="257"/>
      <c r="F2" s="257"/>
      <c r="G2" s="370"/>
      <c r="H2" s="3041" t="s">
        <v>1675</v>
      </c>
      <c r="I2" s="3042"/>
      <c r="J2" s="3042"/>
      <c r="K2" s="3042"/>
    </row>
    <row r="3" spans="1:11" ht="18">
      <c r="A3" s="258" t="s">
        <v>255</v>
      </c>
      <c r="B3" s="257"/>
      <c r="C3" s="257"/>
      <c r="D3" s="257"/>
      <c r="E3" s="370"/>
      <c r="F3" s="259" t="s">
        <v>256</v>
      </c>
      <c r="G3" s="371" t="str">
        <f>INHALT!$A$2&amp;" "&amp;INHALT!$B$2</f>
        <v>Monat JJJJ</v>
      </c>
      <c r="H3" s="3042"/>
      <c r="I3" s="3042"/>
      <c r="J3" s="3042"/>
      <c r="K3" s="3042"/>
    </row>
    <row r="4" spans="1:11">
      <c r="A4" s="369"/>
      <c r="B4" s="369"/>
      <c r="C4" s="369"/>
      <c r="D4" s="369"/>
      <c r="E4" s="369"/>
      <c r="F4" s="369"/>
      <c r="G4" s="372"/>
    </row>
    <row r="5" spans="1:11">
      <c r="A5" s="373" t="s">
        <v>257</v>
      </c>
      <c r="B5" s="373" t="s">
        <v>156</v>
      </c>
      <c r="C5" s="373" t="s">
        <v>258</v>
      </c>
      <c r="D5" s="373" t="s">
        <v>782</v>
      </c>
      <c r="E5" s="374" t="s">
        <v>201</v>
      </c>
      <c r="F5" s="3040"/>
      <c r="G5" s="3040"/>
    </row>
    <row r="6" spans="1:11" ht="6.75" customHeight="1" thickBot="1">
      <c r="A6" s="260"/>
      <c r="B6" s="260"/>
      <c r="C6" s="260"/>
      <c r="D6" s="260"/>
      <c r="E6" s="260"/>
      <c r="F6" s="257"/>
      <c r="G6" s="257"/>
    </row>
    <row r="7" spans="1:11" ht="16.5" thickBot="1">
      <c r="A7" s="261" t="s">
        <v>259</v>
      </c>
      <c r="B7" s="262"/>
      <c r="C7" s="262"/>
      <c r="D7" s="263"/>
      <c r="E7" s="264">
        <f>SUM(E9:E18)</f>
        <v>0</v>
      </c>
      <c r="F7" s="729"/>
      <c r="G7" s="730"/>
    </row>
    <row r="8" spans="1:11" ht="5.85" customHeight="1" thickBot="1">
      <c r="A8" s="266"/>
      <c r="B8" s="267"/>
      <c r="C8" s="268"/>
      <c r="D8" s="269"/>
      <c r="E8" s="270"/>
      <c r="F8" s="731"/>
      <c r="G8" s="732"/>
    </row>
    <row r="9" spans="1:11" ht="13.5" thickBot="1">
      <c r="A9" s="272" t="s">
        <v>260</v>
      </c>
      <c r="B9" s="273"/>
      <c r="C9" s="274" t="s">
        <v>261</v>
      </c>
      <c r="D9" s="275">
        <f>$D$2*-1</f>
        <v>-6.5</v>
      </c>
      <c r="E9" s="276">
        <f>ROUND(D9*B9,2)</f>
        <v>0</v>
      </c>
      <c r="F9" s="731"/>
      <c r="G9" s="732"/>
    </row>
    <row r="10" spans="1:11" ht="26.25" thickBot="1">
      <c r="A10" s="272" t="s">
        <v>1707</v>
      </c>
      <c r="B10" s="273"/>
      <c r="C10" s="277" t="s">
        <v>262</v>
      </c>
      <c r="D10" s="275">
        <f>$D$2*-1</f>
        <v>-6.5</v>
      </c>
      <c r="E10" s="276">
        <f>ROUND(D10*B10,2)</f>
        <v>0</v>
      </c>
      <c r="F10" s="731"/>
      <c r="G10" s="2975" t="s">
        <v>1708</v>
      </c>
    </row>
    <row r="11" spans="1:11" ht="6.75" customHeight="1" thickBot="1">
      <c r="A11" s="272"/>
      <c r="B11" s="278"/>
      <c r="C11" s="277"/>
      <c r="D11" s="275"/>
      <c r="E11" s="276"/>
      <c r="F11" s="731"/>
      <c r="G11" s="732"/>
    </row>
    <row r="12" spans="1:11" ht="7.5" customHeight="1" thickBot="1">
      <c r="A12" s="272"/>
      <c r="B12" s="278"/>
      <c r="C12" s="277"/>
      <c r="D12" s="275"/>
      <c r="E12" s="276"/>
      <c r="F12" s="731"/>
      <c r="G12" s="732"/>
    </row>
    <row r="13" spans="1:11" ht="13.5" thickBot="1">
      <c r="A13" s="279" t="s">
        <v>263</v>
      </c>
      <c r="B13" s="273"/>
      <c r="C13" s="274" t="s">
        <v>261</v>
      </c>
      <c r="D13" s="275">
        <v>4</v>
      </c>
      <c r="E13" s="276">
        <f>ROUND(D13*B13,2)</f>
        <v>0</v>
      </c>
      <c r="F13" s="731"/>
      <c r="G13" s="732"/>
    </row>
    <row r="14" spans="1:11" ht="12.75" customHeight="1" thickBot="1">
      <c r="A14" s="272" t="s">
        <v>264</v>
      </c>
      <c r="B14" s="273"/>
      <c r="C14" s="277" t="s">
        <v>262</v>
      </c>
      <c r="D14" s="275">
        <v>3.2</v>
      </c>
      <c r="E14" s="276">
        <f>ROUND(D14*B14,2)</f>
        <v>0</v>
      </c>
      <c r="F14" s="731"/>
      <c r="G14" s="732"/>
    </row>
    <row r="15" spans="1:11" ht="12.75" customHeight="1" thickBot="1">
      <c r="A15" s="1734" t="s">
        <v>1315</v>
      </c>
      <c r="B15" s="1735"/>
      <c r="C15" s="277" t="s">
        <v>262</v>
      </c>
      <c r="D15" s="275">
        <v>3.2</v>
      </c>
      <c r="E15" s="276">
        <f>ROUND(D15*B15,2)</f>
        <v>0</v>
      </c>
      <c r="F15" s="731"/>
      <c r="G15" s="732"/>
    </row>
    <row r="16" spans="1:11" ht="12.75" customHeight="1" thickBot="1">
      <c r="A16" s="272"/>
      <c r="B16" s="278"/>
      <c r="C16" s="274"/>
      <c r="D16" s="275"/>
      <c r="E16" s="276"/>
      <c r="F16" s="731"/>
      <c r="G16" s="732"/>
    </row>
    <row r="17" spans="1:7" ht="30" customHeight="1" thickBot="1">
      <c r="A17" s="1723" t="s">
        <v>1309</v>
      </c>
      <c r="B17" s="273"/>
      <c r="C17" s="274" t="s">
        <v>261</v>
      </c>
      <c r="D17" s="275">
        <v>-1</v>
      </c>
      <c r="E17" s="276">
        <f>ROUND(D17*B17,2)</f>
        <v>0</v>
      </c>
      <c r="F17" s="731"/>
      <c r="G17" s="732"/>
    </row>
    <row r="18" spans="1:7" ht="12.75" customHeight="1" thickBot="1">
      <c r="A18" s="272" t="s">
        <v>1308</v>
      </c>
      <c r="B18" s="273"/>
      <c r="C18" s="274" t="s">
        <v>261</v>
      </c>
      <c r="D18" s="275">
        <v>-1</v>
      </c>
      <c r="E18" s="276">
        <f>ROUND(D18*B18,2)</f>
        <v>0</v>
      </c>
      <c r="F18" s="729"/>
      <c r="G18" s="733"/>
    </row>
    <row r="19" spans="1:7" ht="5.85" customHeight="1" thickBot="1">
      <c r="A19" s="280"/>
      <c r="B19" s="281"/>
      <c r="C19" s="282"/>
      <c r="D19" s="283"/>
      <c r="E19" s="284"/>
      <c r="F19" s="731"/>
      <c r="G19" s="732"/>
    </row>
    <row r="20" spans="1:7" ht="16.5" thickBot="1">
      <c r="A20" s="261" t="s">
        <v>265</v>
      </c>
      <c r="B20" s="262"/>
      <c r="C20" s="262"/>
      <c r="D20" s="263"/>
      <c r="E20" s="264">
        <f>SUM(E22:E29)</f>
        <v>0</v>
      </c>
      <c r="F20" s="729"/>
      <c r="G20" s="730"/>
    </row>
    <row r="21" spans="1:7" ht="11.25" customHeight="1" thickBot="1">
      <c r="A21" s="2639" t="s">
        <v>1327</v>
      </c>
      <c r="B21" s="267"/>
      <c r="C21" s="268"/>
      <c r="D21" s="285" t="s">
        <v>266</v>
      </c>
      <c r="E21" s="270"/>
      <c r="F21" s="731"/>
      <c r="G21" s="732"/>
    </row>
    <row r="22" spans="1:7" ht="26.25" thickBot="1">
      <c r="A22" s="2653" t="str">
        <f>'1a_Leistungsvolumen'!A6&amp;" "&amp;'1a_Leistungsvolumen'!B6</f>
        <v>RE 7 Erfurt - Suhl - Grimmenthal - Ebenhausen - Schweinfurt - Würzburg</v>
      </c>
      <c r="B22" s="689">
        <f>'2a_Linienpünktlichkeit '!$E$5</f>
        <v>95.685279187817258</v>
      </c>
      <c r="C22" s="274" t="s">
        <v>278</v>
      </c>
      <c r="D22" s="286">
        <f>('1a_Leistungsvolumen'!$D$21-'7_Statistik Zugausfälle'!$P$28)*'0c_Zsfsg. BEG GA Los A'!$D$2</f>
        <v>346664.5</v>
      </c>
      <c r="E22" s="2224">
        <f>ROUND(IF($B$22&gt;95,0,IF($B$22&gt;85,(95-$B$22)*-0.005*$D$22,10*-0.005*$D$22)),2)</f>
        <v>0</v>
      </c>
      <c r="F22" s="734"/>
      <c r="G22" s="735"/>
    </row>
    <row r="23" spans="1:7" ht="13.5" customHeight="1" thickBot="1">
      <c r="A23" s="2653" t="str">
        <f>'1a_Leistungsvolumen'!A7&amp;" "&amp;'1a_Leistungsvolumen'!B7</f>
        <v>RE 57 Bad Kissingen - Ebenhausen - Schweinfurt - Würzburg</v>
      </c>
      <c r="B23" s="689">
        <f>'2a_Linienpünktlichkeit '!$E$6</f>
        <v>96.84210526315789</v>
      </c>
      <c r="C23" s="274" t="s">
        <v>278</v>
      </c>
      <c r="D23" s="286">
        <f>('1a_Leistungsvolumen'!$D$22-'7_Statistik Zugausfälle'!$P$29)*'0c_Zsfsg. BEG GA Los A'!$D$2</f>
        <v>34664.5</v>
      </c>
      <c r="E23" s="2224">
        <f>ROUND(IF($B$23&gt;95,0,IF($B$23&gt;85,(95-$B$23)*-0.005*$D$23,10*-0.005*$D$23)),2)</f>
        <v>0</v>
      </c>
      <c r="F23" s="734"/>
      <c r="G23" s="735"/>
    </row>
    <row r="24" spans="1:7" ht="13.5" customHeight="1" thickBot="1">
      <c r="A24" s="2885" t="str">
        <f>'1a_Leistungsvolumen'!A10&amp;" "&amp;'1a_Leistungsvolumen'!B10</f>
        <v>RB 40 Erfurt - Suhl - Grimmenthal - Ebenhausen - Schweinfurt</v>
      </c>
      <c r="B24" s="2874">
        <f>'2a_Linienpünktlichkeit '!$E$9</f>
        <v>96.15384615384616</v>
      </c>
      <c r="C24" s="2875" t="s">
        <v>278</v>
      </c>
      <c r="D24" s="2876">
        <f>('1a_Leistungsvolumen'!$D$25-'7_Statistik Zugausfälle'!$P$33)*'0c_Zsfsg. BEG GA Los A'!$D$2</f>
        <v>0</v>
      </c>
      <c r="E24" s="2877">
        <f>ROUND(IF($B$24&gt;95,0,IF($B$24&gt;85,(95-$B$24)*-0.005*$D$24,10*-0.005*$D$24)),2)</f>
        <v>0</v>
      </c>
      <c r="F24" s="734"/>
      <c r="G24" s="2884" t="s">
        <v>1706</v>
      </c>
    </row>
    <row r="25" spans="1:7" ht="13.5" customHeight="1" thickBot="1">
      <c r="A25" s="2829" t="s">
        <v>792</v>
      </c>
      <c r="B25" s="689"/>
      <c r="C25" s="2830"/>
      <c r="D25" s="286"/>
      <c r="E25" s="2225"/>
      <c r="F25" s="734"/>
      <c r="G25" s="735"/>
    </row>
    <row r="26" spans="1:7" ht="13.5" customHeight="1" thickBot="1">
      <c r="A26" s="369"/>
      <c r="B26" s="689"/>
      <c r="C26" s="2830"/>
      <c r="D26" s="286"/>
      <c r="E26" s="2225"/>
      <c r="F26" s="734"/>
      <c r="G26" s="735"/>
    </row>
    <row r="27" spans="1:7" ht="13.5" customHeight="1" thickBot="1">
      <c r="A27" s="2653"/>
      <c r="B27" s="689"/>
      <c r="C27" s="2830"/>
      <c r="D27" s="286"/>
      <c r="E27" s="276"/>
      <c r="F27" s="734"/>
      <c r="G27" s="735"/>
    </row>
    <row r="28" spans="1:7" ht="4.5" customHeight="1" thickBot="1">
      <c r="B28" s="689"/>
      <c r="C28" s="274"/>
      <c r="D28" s="286"/>
      <c r="E28" s="276"/>
      <c r="F28" s="734"/>
      <c r="G28" s="735"/>
    </row>
    <row r="29" spans="1:7" ht="4.5" customHeight="1" thickBot="1">
      <c r="A29" s="272" t="str">
        <f>'1a_Leistungsvolumen'!A17&amp;" "&amp;'1a_Leistungsvolumen'!B17</f>
        <v xml:space="preserve"> </v>
      </c>
      <c r="B29" s="689"/>
      <c r="C29" s="274"/>
      <c r="D29" s="286"/>
      <c r="E29" s="276"/>
      <c r="F29" s="734"/>
      <c r="G29" s="735"/>
    </row>
    <row r="30" spans="1:7" ht="5.85" customHeight="1" thickBot="1">
      <c r="A30" s="287"/>
      <c r="B30" s="288"/>
      <c r="C30" s="289"/>
      <c r="D30" s="290"/>
      <c r="E30" s="271"/>
      <c r="F30" s="731"/>
      <c r="G30" s="732"/>
    </row>
    <row r="31" spans="1:7" ht="16.5" thickBot="1">
      <c r="A31" s="261" t="s">
        <v>1347</v>
      </c>
      <c r="B31" s="262"/>
      <c r="C31" s="262"/>
      <c r="D31" s="263"/>
      <c r="E31" s="264">
        <f>SUM(E33:E34)</f>
        <v>0</v>
      </c>
      <c r="F31" s="729"/>
      <c r="G31" s="730"/>
    </row>
    <row r="32" spans="1:7" ht="5.85" customHeight="1" thickBot="1">
      <c r="A32" s="287"/>
      <c r="B32" s="288"/>
      <c r="C32" s="289"/>
      <c r="D32" s="290"/>
      <c r="E32" s="271"/>
      <c r="F32" s="731"/>
      <c r="G32" s="728"/>
    </row>
    <row r="33" spans="1:7" ht="13.5" thickBot="1">
      <c r="A33" s="272" t="s">
        <v>691</v>
      </c>
      <c r="B33" s="273">
        <f>'1b_Mehr_Zusatzleistungen'!$B$7</f>
        <v>0</v>
      </c>
      <c r="C33" s="274" t="s">
        <v>261</v>
      </c>
      <c r="D33" s="275"/>
      <c r="E33" s="276">
        <f>'1b_Mehr_Zusatzleistungen'!$C$7</f>
        <v>0</v>
      </c>
      <c r="F33" s="729"/>
      <c r="G33" s="736"/>
    </row>
    <row r="34" spans="1:7" ht="13.5" thickBot="1">
      <c r="A34" s="287" t="s">
        <v>1339</v>
      </c>
      <c r="B34" s="273">
        <f>'1b_Mehr_Zusatzleistungen'!$B$8</f>
        <v>0</v>
      </c>
      <c r="C34" s="289" t="s">
        <v>261</v>
      </c>
      <c r="D34" s="290"/>
      <c r="E34" s="271">
        <f>'1b_Mehr_Zusatzleistungen'!$C$8</f>
        <v>0</v>
      </c>
      <c r="F34" s="731"/>
      <c r="G34" s="728"/>
    </row>
    <row r="35" spans="1:7" ht="16.5" thickBot="1">
      <c r="A35" s="261" t="s">
        <v>267</v>
      </c>
      <c r="B35" s="262"/>
      <c r="C35" s="262"/>
      <c r="D35" s="263"/>
      <c r="E35" s="264">
        <f>E37</f>
        <v>-1113</v>
      </c>
      <c r="F35" s="729"/>
      <c r="G35" s="730"/>
    </row>
    <row r="36" spans="1:7" ht="5.85" customHeight="1" thickBot="1">
      <c r="A36" s="266"/>
      <c r="B36" s="292"/>
      <c r="C36" s="268"/>
      <c r="D36" s="269"/>
      <c r="E36" s="270"/>
      <c r="F36" s="731"/>
      <c r="G36" s="728"/>
    </row>
    <row r="37" spans="1:7" ht="13.5" thickBot="1">
      <c r="A37" s="272" t="s">
        <v>268</v>
      </c>
      <c r="B37" s="273">
        <f>'9_Statistik Zugbildung'!$F$5</f>
        <v>742</v>
      </c>
      <c r="C37" s="274" t="s">
        <v>261</v>
      </c>
      <c r="D37" s="341">
        <v>-1.5</v>
      </c>
      <c r="E37" s="276">
        <f>ROUND($D$37*B37,2)</f>
        <v>-1113</v>
      </c>
      <c r="F37" s="731"/>
      <c r="G37" s="728"/>
    </row>
    <row r="38" spans="1:7" ht="5.85" customHeight="1" thickBot="1">
      <c r="A38" s="280"/>
      <c r="B38" s="281"/>
      <c r="C38" s="282"/>
      <c r="D38" s="283"/>
      <c r="E38" s="284"/>
      <c r="F38" s="731"/>
      <c r="G38" s="728"/>
    </row>
    <row r="39" spans="1:7" ht="30.75" thickBot="1">
      <c r="A39" s="261" t="s">
        <v>1262</v>
      </c>
      <c r="B39" s="262"/>
      <c r="C39" s="262"/>
      <c r="D39" s="263"/>
      <c r="E39" s="264">
        <f>SUM(E41:E44)</f>
        <v>-326.74083827197057</v>
      </c>
      <c r="F39" s="729"/>
      <c r="G39" s="730"/>
    </row>
    <row r="40" spans="1:7" ht="5.85" customHeight="1" thickBot="1">
      <c r="A40" s="294"/>
      <c r="B40" s="295"/>
      <c r="C40" s="296"/>
      <c r="D40" s="529"/>
      <c r="E40" s="297"/>
      <c r="F40" s="731"/>
      <c r="G40" s="728"/>
    </row>
    <row r="41" spans="1:7" ht="13.5" thickBot="1">
      <c r="A41" s="298" t="s">
        <v>1263</v>
      </c>
      <c r="B41" s="273">
        <f>'19a_Statistik_Kundenbetreuer '!$F$5</f>
        <v>128</v>
      </c>
      <c r="C41" s="527" t="s">
        <v>261</v>
      </c>
      <c r="D41" s="530">
        <v>-1</v>
      </c>
      <c r="E41" s="528">
        <f>ROUND($D$41*B41,2)</f>
        <v>-128</v>
      </c>
      <c r="F41" s="731"/>
      <c r="G41" s="728"/>
    </row>
    <row r="42" spans="1:7" ht="13.5" thickBot="1">
      <c r="A42" s="1650" t="s">
        <v>1264</v>
      </c>
      <c r="B42" s="1651"/>
      <c r="C42" s="1652"/>
      <c r="D42" s="530">
        <v>-1</v>
      </c>
      <c r="E42" s="2840">
        <f>-'20_Statistik SiP'!$F$7</f>
        <v>-113.7117682719706</v>
      </c>
      <c r="F42" s="731"/>
      <c r="G42" s="728"/>
    </row>
    <row r="43" spans="1:7" ht="13.5" thickBot="1">
      <c r="A43" s="1650" t="s">
        <v>1265</v>
      </c>
      <c r="B43" s="1654"/>
      <c r="C43" s="1652"/>
      <c r="D43" s="530"/>
      <c r="E43" s="1653">
        <f>-'19b_Aufgaben Zugpersonal'!$G$11</f>
        <v>-85.02906999999999</v>
      </c>
      <c r="F43" s="731"/>
      <c r="G43" s="728"/>
    </row>
    <row r="44" spans="1:7" ht="13.5" thickBot="1">
      <c r="A44" s="532" t="s">
        <v>495</v>
      </c>
      <c r="B44" s="690"/>
      <c r="C44" s="526"/>
      <c r="D44" s="531"/>
      <c r="E44" s="746">
        <f>'22_zusätzl. Personale'!$E$8</f>
        <v>0</v>
      </c>
      <c r="F44" s="731"/>
      <c r="G44" s="728"/>
    </row>
    <row r="45" spans="1:7" ht="5.85" customHeight="1" thickBot="1">
      <c r="A45" s="299"/>
      <c r="B45" s="300"/>
      <c r="C45" s="301"/>
      <c r="D45" s="302"/>
      <c r="E45" s="303"/>
      <c r="F45" s="731"/>
      <c r="G45" s="728"/>
    </row>
    <row r="46" spans="1:7" ht="16.5" thickBot="1">
      <c r="A46" s="261" t="s">
        <v>280</v>
      </c>
      <c r="B46" s="262"/>
      <c r="C46" s="262"/>
      <c r="D46" s="263"/>
      <c r="E46" s="264">
        <f>SUM(E48:E49)</f>
        <v>-194.35216</v>
      </c>
      <c r="F46" s="737"/>
      <c r="G46" s="730"/>
    </row>
    <row r="47" spans="1:7" ht="5.85" customHeight="1" thickBot="1">
      <c r="A47" s="266"/>
      <c r="B47" s="304"/>
      <c r="C47" s="268"/>
      <c r="D47" s="305"/>
      <c r="E47" s="270"/>
      <c r="F47" s="727"/>
      <c r="G47" s="728"/>
    </row>
    <row r="48" spans="1:7" ht="13.5" thickBot="1">
      <c r="A48" s="272" t="s">
        <v>269</v>
      </c>
      <c r="B48" s="1814">
        <f>'23a_Schäden an Fahrzeugen'!$D$9</f>
        <v>1</v>
      </c>
      <c r="C48" s="293" t="s">
        <v>1685</v>
      </c>
      <c r="D48" s="349">
        <v>-100</v>
      </c>
      <c r="E48" s="2831">
        <f>-'23a_Schäden an Fahrzeugen'!$F$7</f>
        <v>-182.20515</v>
      </c>
      <c r="F48" s="727"/>
      <c r="G48" s="728"/>
    </row>
    <row r="49" spans="1:7" ht="13.5" thickBot="1">
      <c r="A49" s="272" t="s">
        <v>270</v>
      </c>
      <c r="B49" s="1814">
        <f>'23a_Schäden an Fahrzeugen'!$D$6</f>
        <v>3</v>
      </c>
      <c r="C49" s="343" t="s">
        <v>1685</v>
      </c>
      <c r="D49" s="349">
        <v>-500</v>
      </c>
      <c r="E49" s="2831">
        <f>-'23a_Schäden an Fahrzeugen'!$F$10</f>
        <v>-12.14701</v>
      </c>
      <c r="F49" s="727"/>
      <c r="G49" s="728"/>
    </row>
    <row r="50" spans="1:7">
      <c r="A50" s="747" t="s">
        <v>1684</v>
      </c>
      <c r="B50" s="534">
        <f>'23a_Schäden an Fahrzeugen'!$D$12</f>
        <v>21</v>
      </c>
      <c r="C50" s="535" t="s">
        <v>1685</v>
      </c>
      <c r="D50" s="535"/>
      <c r="E50" s="2842">
        <f>-'23a_Schäden an Fahrzeugen'!$F$13</f>
        <v>-127.543605</v>
      </c>
      <c r="F50" s="727"/>
      <c r="G50" s="728"/>
    </row>
    <row r="51" spans="1:7" ht="5.25" customHeight="1" thickBot="1">
      <c r="A51" s="747"/>
      <c r="B51" s="534"/>
      <c r="C51" s="535"/>
      <c r="D51" s="535"/>
      <c r="E51" s="748"/>
      <c r="F51" s="727"/>
      <c r="G51" s="728"/>
    </row>
    <row r="52" spans="1:7" ht="16.5" customHeight="1" thickBot="1">
      <c r="A52" s="261" t="s">
        <v>492</v>
      </c>
      <c r="B52" s="262"/>
      <c r="C52" s="262"/>
      <c r="D52" s="263"/>
      <c r="E52" s="264">
        <f>SUM(E55:E58)</f>
        <v>-182.20515</v>
      </c>
      <c r="F52" s="737"/>
      <c r="G52" s="730"/>
    </row>
    <row r="53" spans="1:7" ht="5.85" customHeight="1" thickBot="1">
      <c r="A53" s="266"/>
      <c r="B53" s="304"/>
      <c r="C53" s="268"/>
      <c r="D53" s="305"/>
      <c r="E53" s="270"/>
      <c r="F53" s="731"/>
      <c r="G53" s="728"/>
    </row>
    <row r="54" spans="1:7" ht="6.75" customHeight="1" thickBot="1">
      <c r="A54" s="539"/>
      <c r="B54" s="536"/>
      <c r="C54" s="533"/>
      <c r="D54" s="537"/>
      <c r="E54" s="297"/>
      <c r="F54" s="731"/>
      <c r="G54" s="728"/>
    </row>
    <row r="55" spans="1:7" ht="13.5" customHeight="1" thickBot="1">
      <c r="A55" s="272" t="s">
        <v>749</v>
      </c>
      <c r="B55" s="1814"/>
      <c r="C55" s="293" t="s">
        <v>493</v>
      </c>
      <c r="D55" s="538">
        <v>-300</v>
      </c>
      <c r="E55" s="2846">
        <f>-'24_Außenreinigung'!K8</f>
        <v>-145.76411999999999</v>
      </c>
      <c r="F55" s="731"/>
      <c r="G55" s="728"/>
    </row>
    <row r="56" spans="1:7" ht="13.5" customHeight="1" thickBot="1">
      <c r="A56" s="272" t="s">
        <v>750</v>
      </c>
      <c r="B56" s="1814"/>
      <c r="C56" s="293" t="s">
        <v>493</v>
      </c>
      <c r="D56" s="538">
        <v>-300</v>
      </c>
      <c r="E56" s="2831">
        <f>-'25_Innenreinigung'!J8</f>
        <v>-36.441029999999998</v>
      </c>
      <c r="F56" s="731"/>
      <c r="G56" s="728"/>
    </row>
    <row r="57" spans="1:7" ht="6" customHeight="1" thickBot="1">
      <c r="A57" s="272"/>
      <c r="B57" s="524"/>
      <c r="C57" s="293"/>
      <c r="D57" s="538"/>
      <c r="E57" s="276"/>
      <c r="F57" s="731"/>
      <c r="G57" s="728"/>
    </row>
    <row r="58" spans="1:7" ht="7.5" customHeight="1" thickBot="1">
      <c r="A58" s="272"/>
      <c r="B58" s="524"/>
      <c r="C58" s="343"/>
      <c r="D58" s="538"/>
      <c r="E58" s="276"/>
      <c r="F58" s="731"/>
      <c r="G58" s="728"/>
    </row>
    <row r="59" spans="1:7" ht="5.85" customHeight="1" thickBot="1">
      <c r="A59" s="361"/>
      <c r="B59" s="362"/>
      <c r="C59" s="363"/>
      <c r="D59" s="364"/>
      <c r="E59" s="365"/>
      <c r="F59" s="731"/>
      <c r="G59" s="728"/>
    </row>
    <row r="60" spans="1:7" ht="16.5" thickBot="1">
      <c r="A60" s="261" t="s">
        <v>490</v>
      </c>
      <c r="B60" s="262"/>
      <c r="C60" s="262"/>
      <c r="D60" s="262"/>
      <c r="E60" s="264">
        <f>SUM(E62:E67)</f>
        <v>0</v>
      </c>
      <c r="F60" s="729"/>
      <c r="G60" s="730"/>
    </row>
    <row r="61" spans="1:7" ht="5.85" customHeight="1" thickBot="1">
      <c r="A61" s="266"/>
      <c r="B61" s="267"/>
      <c r="C61" s="268"/>
      <c r="D61" s="305"/>
      <c r="E61" s="270"/>
      <c r="F61" s="731"/>
      <c r="G61" s="728"/>
    </row>
    <row r="62" spans="1:7" ht="13.5" thickBot="1">
      <c r="A62" s="307" t="s">
        <v>501</v>
      </c>
      <c r="B62" s="1814"/>
      <c r="C62" s="293" t="s">
        <v>271</v>
      </c>
      <c r="D62" s="349">
        <v>-300</v>
      </c>
      <c r="E62" s="276">
        <f>ROUND($D$62*B62,2)</f>
        <v>0</v>
      </c>
      <c r="F62" s="738"/>
      <c r="G62" s="732"/>
    </row>
    <row r="63" spans="1:7" ht="13.5" thickBot="1">
      <c r="A63" s="308" t="s">
        <v>502</v>
      </c>
      <c r="B63" s="1814"/>
      <c r="C63" s="309" t="s">
        <v>272</v>
      </c>
      <c r="D63" s="350">
        <v>-30</v>
      </c>
      <c r="E63" s="276">
        <f>ROUND($D$63*B63,2)</f>
        <v>0</v>
      </c>
      <c r="F63" s="738"/>
      <c r="G63" s="732"/>
    </row>
    <row r="64" spans="1:7" ht="13.5" thickBot="1">
      <c r="A64" s="308" t="s">
        <v>273</v>
      </c>
      <c r="B64" s="1814"/>
      <c r="C64" s="293" t="s">
        <v>271</v>
      </c>
      <c r="D64" s="351">
        <v>-100</v>
      </c>
      <c r="E64" s="276">
        <f>ROUND($D$64*B64,2)</f>
        <v>0</v>
      </c>
      <c r="F64" s="738"/>
      <c r="G64" s="732"/>
    </row>
    <row r="65" spans="1:7" ht="13.5" thickBot="1">
      <c r="A65" s="308" t="s">
        <v>1243</v>
      </c>
      <c r="B65" s="1814"/>
      <c r="C65" s="293" t="s">
        <v>271</v>
      </c>
      <c r="D65" s="351">
        <v>-100</v>
      </c>
      <c r="E65" s="276">
        <f>ROUND($D$65*B65,2)</f>
        <v>0</v>
      </c>
      <c r="F65" s="738"/>
      <c r="G65" s="732"/>
    </row>
    <row r="66" spans="1:7" ht="13.5" thickBot="1">
      <c r="A66" s="308" t="s">
        <v>689</v>
      </c>
      <c r="B66" s="1814"/>
      <c r="C66" s="293" t="s">
        <v>271</v>
      </c>
      <c r="D66" s="351">
        <v>-30</v>
      </c>
      <c r="E66" s="276">
        <f>ROUND($D$66*B66,2)</f>
        <v>0</v>
      </c>
      <c r="F66" s="738"/>
      <c r="G66" s="732"/>
    </row>
    <row r="67" spans="1:7" ht="5.85" customHeight="1" thickBot="1">
      <c r="A67" s="355"/>
      <c r="B67" s="1815"/>
      <c r="C67" s="357"/>
      <c r="D67" s="358"/>
      <c r="E67" s="359"/>
      <c r="F67" s="739"/>
      <c r="G67" s="740"/>
    </row>
    <row r="68" spans="1:7" ht="16.5" thickBot="1">
      <c r="A68" s="261" t="s">
        <v>491</v>
      </c>
      <c r="B68" s="311"/>
      <c r="C68" s="311"/>
      <c r="D68" s="311"/>
      <c r="E68" s="264">
        <f>SUM(E71:E83)</f>
        <v>0</v>
      </c>
      <c r="F68" s="741"/>
      <c r="G68" s="730"/>
    </row>
    <row r="69" spans="1:7" ht="12.75" customHeight="1" thickBot="1">
      <c r="A69" s="2640" t="s">
        <v>1327</v>
      </c>
      <c r="B69" s="312"/>
      <c r="C69" s="313"/>
      <c r="D69" s="314"/>
      <c r="E69" s="315"/>
      <c r="F69" s="742"/>
      <c r="G69" s="728"/>
    </row>
    <row r="70" spans="1:7" ht="13.5" thickBot="1">
      <c r="A70" s="316" t="s">
        <v>285</v>
      </c>
      <c r="B70" s="317"/>
      <c r="C70" s="289"/>
      <c r="D70" s="318"/>
      <c r="E70" s="271"/>
      <c r="F70" s="742"/>
      <c r="G70" s="728"/>
    </row>
    <row r="71" spans="1:7" ht="26.25" thickBot="1">
      <c r="A71" s="2653" t="str">
        <f t="shared" ref="A71:A73" si="0">A22</f>
        <v>RE 7 Erfurt - Suhl - Grimmenthal - Ebenhausen - Schweinfurt - Würzburg</v>
      </c>
      <c r="B71" s="691"/>
      <c r="C71" s="274" t="s">
        <v>278</v>
      </c>
      <c r="D71" s="354">
        <f>ROUND(-100,2)</f>
        <v>-100</v>
      </c>
      <c r="E71" s="276">
        <f>ROUND($D$71*B71,2)</f>
        <v>0</v>
      </c>
      <c r="F71" s="738"/>
      <c r="G71" s="732"/>
    </row>
    <row r="72" spans="1:7" ht="13.5" thickBot="1">
      <c r="A72" s="2653" t="str">
        <f t="shared" si="0"/>
        <v>RE 57 Bad Kissingen - Ebenhausen - Schweinfurt - Würzburg</v>
      </c>
      <c r="B72" s="691"/>
      <c r="C72" s="274" t="s">
        <v>278</v>
      </c>
      <c r="D72" s="354">
        <f t="shared" ref="D72:D73" si="1">ROUND(-100,2)</f>
        <v>-100</v>
      </c>
      <c r="E72" s="276">
        <f>ROUND($D$72*B72,2)</f>
        <v>0</v>
      </c>
      <c r="F72" s="738"/>
      <c r="G72" s="732"/>
    </row>
    <row r="73" spans="1:7" ht="13.5" thickBot="1">
      <c r="A73" s="2885" t="str">
        <f t="shared" si="0"/>
        <v>RB 40 Erfurt - Suhl - Grimmenthal - Ebenhausen - Schweinfurt</v>
      </c>
      <c r="B73" s="2880"/>
      <c r="C73" s="2886" t="s">
        <v>278</v>
      </c>
      <c r="D73" s="2887">
        <f t="shared" si="1"/>
        <v>-100</v>
      </c>
      <c r="E73" s="2877">
        <f>ROUND($D$73*B73,2)</f>
        <v>0</v>
      </c>
      <c r="F73" s="738"/>
      <c r="G73" s="2883" t="s">
        <v>1706</v>
      </c>
    </row>
    <row r="74" spans="1:7" ht="13.5" thickBot="1">
      <c r="A74" s="2829" t="s">
        <v>792</v>
      </c>
      <c r="B74" s="691"/>
      <c r="C74" s="274"/>
      <c r="D74" s="354"/>
      <c r="E74" s="276"/>
      <c r="F74" s="738"/>
      <c r="G74" s="732"/>
    </row>
    <row r="75" spans="1:7" ht="13.5" thickBot="1">
      <c r="A75" s="2653"/>
      <c r="B75" s="691"/>
      <c r="C75" s="274"/>
      <c r="D75" s="354"/>
      <c r="E75" s="276"/>
      <c r="F75" s="738"/>
      <c r="G75" s="732"/>
    </row>
    <row r="76" spans="1:7" ht="13.5" thickBot="1">
      <c r="A76" s="2653"/>
      <c r="B76" s="691"/>
      <c r="C76" s="274"/>
      <c r="D76" s="354"/>
      <c r="E76" s="276"/>
      <c r="F76" s="738"/>
      <c r="G76" s="732"/>
    </row>
    <row r="77" spans="1:7" ht="13.5" thickBot="1">
      <c r="A77" s="272"/>
      <c r="B77" s="691"/>
      <c r="C77" s="274"/>
      <c r="D77" s="354"/>
      <c r="E77" s="276"/>
      <c r="F77" s="738"/>
      <c r="G77" s="732"/>
    </row>
    <row r="78" spans="1:7" ht="13.5" thickBot="1">
      <c r="A78" s="321" t="s">
        <v>274</v>
      </c>
      <c r="B78" s="691"/>
      <c r="C78" s="274"/>
      <c r="D78" s="354"/>
      <c r="E78" s="276"/>
      <c r="F78" s="738"/>
      <c r="G78" s="732"/>
    </row>
    <row r="79" spans="1:7" ht="5.85" customHeight="1" thickBot="1">
      <c r="A79" s="272"/>
      <c r="B79" s="319"/>
      <c r="C79" s="289"/>
      <c r="D79" s="320"/>
      <c r="E79" s="271"/>
      <c r="F79" s="731"/>
      <c r="G79" s="728"/>
    </row>
    <row r="80" spans="1:7" ht="12.75" customHeight="1" thickBot="1">
      <c r="A80" s="2655" t="s">
        <v>1327</v>
      </c>
      <c r="B80" s="319"/>
      <c r="C80" s="289"/>
      <c r="D80" s="320"/>
      <c r="E80" s="271"/>
      <c r="F80" s="731"/>
      <c r="G80" s="728"/>
    </row>
    <row r="81" spans="1:7" ht="13.5" thickBot="1">
      <c r="A81" s="323" t="s">
        <v>174</v>
      </c>
      <c r="B81" s="942"/>
      <c r="C81" s="301"/>
      <c r="D81" s="322"/>
      <c r="E81" s="2822"/>
      <c r="F81" s="731"/>
      <c r="G81" s="728"/>
    </row>
    <row r="82" spans="1:7" ht="13.5" thickBot="1">
      <c r="A82" s="325" t="s">
        <v>161</v>
      </c>
      <c r="B82" s="306"/>
      <c r="C82" s="324"/>
      <c r="D82" s="310"/>
      <c r="E82" s="2823"/>
      <c r="F82" s="743"/>
      <c r="G82" s="732"/>
    </row>
    <row r="83" spans="1:7" ht="13.5" thickBot="1">
      <c r="A83" s="1660"/>
      <c r="B83" s="1661"/>
      <c r="C83" s="324"/>
      <c r="D83" s="310"/>
      <c r="E83" s="2824"/>
      <c r="F83" s="743"/>
      <c r="G83" s="732"/>
    </row>
    <row r="84" spans="1:7" ht="13.5" thickBot="1">
      <c r="A84" s="1656"/>
      <c r="B84" s="1657"/>
      <c r="C84" s="324"/>
      <c r="D84" s="310"/>
      <c r="E84" s="2825"/>
      <c r="F84" s="743"/>
      <c r="G84" s="732"/>
    </row>
    <row r="85" spans="1:7" ht="5.85" customHeight="1" thickBot="1">
      <c r="A85" s="326"/>
      <c r="B85" s="327"/>
      <c r="C85" s="328"/>
      <c r="D85" s="329"/>
      <c r="E85" s="359"/>
      <c r="F85" s="731"/>
      <c r="G85" s="728"/>
    </row>
    <row r="86" spans="1:7" ht="15.75" customHeight="1" thickBot="1">
      <c r="A86" s="330" t="s">
        <v>275</v>
      </c>
      <c r="B86" s="331"/>
      <c r="C86" s="332"/>
      <c r="D86" s="332"/>
      <c r="E86" s="1655">
        <f>E68+E60+E52+E46+E39+E35+E31+E20+E7</f>
        <v>-1816.2981482719706</v>
      </c>
      <c r="F86" s="744"/>
      <c r="G86" s="730"/>
    </row>
    <row r="87" spans="1:7" ht="13.5" thickBot="1">
      <c r="A87" s="369"/>
      <c r="B87" s="369"/>
      <c r="C87" s="369"/>
      <c r="D87" s="369"/>
      <c r="E87" s="369"/>
      <c r="F87" s="333"/>
      <c r="G87" s="369"/>
    </row>
    <row r="88" spans="1:7" ht="16.5" thickBot="1">
      <c r="A88" s="261" t="s">
        <v>474</v>
      </c>
      <c r="B88" s="262"/>
      <c r="C88" s="262"/>
      <c r="D88" s="262"/>
      <c r="E88" s="265"/>
      <c r="F88" s="729"/>
    </row>
    <row r="89" spans="1:7" ht="6" customHeight="1" thickBot="1">
      <c r="A89" s="266"/>
      <c r="B89" s="267"/>
      <c r="C89" s="268"/>
      <c r="D89" s="305"/>
      <c r="E89" s="291"/>
      <c r="F89" s="731"/>
    </row>
    <row r="90" spans="1:7" ht="13.5" thickBot="1">
      <c r="A90" s="307" t="s">
        <v>487</v>
      </c>
      <c r="B90" s="524"/>
      <c r="C90" s="293"/>
      <c r="D90" s="349"/>
      <c r="E90" s="271">
        <f>'29_Infrastrukturkosten'!$P$14</f>
        <v>0</v>
      </c>
      <c r="F90" s="731"/>
    </row>
    <row r="91" spans="1:7" ht="13.5" thickBot="1">
      <c r="A91" s="308" t="s">
        <v>486</v>
      </c>
      <c r="B91" s="525"/>
      <c r="C91" s="309"/>
      <c r="D91" s="350"/>
      <c r="E91" s="271">
        <f>'29_Infrastrukturkosten'!$P$23</f>
        <v>0</v>
      </c>
      <c r="F91" s="731"/>
    </row>
    <row r="92" spans="1:7" ht="6" customHeight="1" thickBot="1">
      <c r="A92" s="355"/>
      <c r="B92" s="356"/>
      <c r="C92" s="357"/>
      <c r="D92" s="358"/>
      <c r="E92" s="360"/>
      <c r="F92" s="745"/>
    </row>
    <row r="93" spans="1:7" ht="16.5" thickBot="1">
      <c r="A93" s="330" t="s">
        <v>488</v>
      </c>
      <c r="B93" s="331"/>
      <c r="C93" s="332"/>
      <c r="D93" s="332"/>
      <c r="E93" s="346">
        <f>SUM(E90:E92)*-1</f>
        <v>0</v>
      </c>
      <c r="F93" s="744"/>
    </row>
    <row r="94" spans="1:7" ht="18">
      <c r="A94" s="334"/>
      <c r="B94" s="369"/>
      <c r="C94" s="369"/>
      <c r="D94" s="369"/>
      <c r="E94" s="369"/>
      <c r="F94" s="744"/>
      <c r="G94" s="369"/>
    </row>
    <row r="95" spans="1:7" ht="18">
      <c r="A95" s="334" t="s">
        <v>1503</v>
      </c>
      <c r="B95" s="335"/>
      <c r="C95" s="243"/>
      <c r="F95" s="333"/>
      <c r="G95" s="333"/>
    </row>
    <row r="96" spans="1:7">
      <c r="A96" s="376"/>
      <c r="B96" s="335"/>
      <c r="C96" s="243"/>
      <c r="D96" s="375"/>
      <c r="E96" s="333"/>
      <c r="F96" s="333"/>
      <c r="G96" s="333"/>
    </row>
    <row r="97" spans="1:7" ht="15">
      <c r="A97" s="377" t="s">
        <v>284</v>
      </c>
      <c r="B97" s="378"/>
      <c r="C97" s="379">
        <f>'1a_Leistungsvolumen'!$E$103</f>
        <v>0</v>
      </c>
      <c r="D97" s="375"/>
      <c r="E97" s="380"/>
      <c r="F97" s="333"/>
      <c r="G97" s="333"/>
    </row>
    <row r="98" spans="1:7" ht="15">
      <c r="A98" s="377" t="s">
        <v>793</v>
      </c>
      <c r="B98" s="381"/>
      <c r="C98" s="379">
        <f>E86</f>
        <v>-1816.2981482719706</v>
      </c>
      <c r="D98" s="375"/>
      <c r="E98" s="382"/>
      <c r="F98" s="333"/>
      <c r="G98" s="333"/>
    </row>
    <row r="99" spans="1:7" ht="15">
      <c r="A99" s="377" t="s">
        <v>794</v>
      </c>
      <c r="B99" s="381"/>
      <c r="C99" s="379">
        <f>E93</f>
        <v>0</v>
      </c>
      <c r="D99" s="375"/>
      <c r="E99" s="382"/>
      <c r="F99" s="333"/>
      <c r="G99" s="333"/>
    </row>
    <row r="100" spans="1:7" ht="15.75" thickBot="1">
      <c r="A100" s="383" t="str">
        <f>"Rate "&amp;G3&amp;":"</f>
        <v>Rate Monat JJJJ:</v>
      </c>
      <c r="B100" s="370"/>
      <c r="C100" s="384">
        <f>SUM(C97:C99)</f>
        <v>-1816.2981482719706</v>
      </c>
      <c r="D100" s="375"/>
      <c r="E100" s="333"/>
      <c r="F100" s="333"/>
      <c r="G100" s="333"/>
    </row>
    <row r="101" spans="1:7" ht="15.75" thickTop="1">
      <c r="A101" s="336"/>
      <c r="B101" s="337"/>
      <c r="C101" s="338"/>
      <c r="D101" s="338"/>
      <c r="E101" s="339"/>
      <c r="F101" s="339"/>
      <c r="G101" s="339"/>
    </row>
    <row r="102" spans="1:7">
      <c r="A102" s="369"/>
      <c r="B102" s="369"/>
      <c r="C102" s="369"/>
      <c r="D102" s="369"/>
      <c r="E102" s="369"/>
      <c r="F102" s="369"/>
      <c r="G102" s="369"/>
    </row>
    <row r="103" spans="1:7">
      <c r="A103" s="194" t="s">
        <v>219</v>
      </c>
      <c r="B103" s="2844" t="s">
        <v>224</v>
      </c>
      <c r="C103" s="2844"/>
      <c r="D103" s="2845"/>
      <c r="E103" s="2845"/>
      <c r="F103" s="369"/>
      <c r="G103" s="369"/>
    </row>
    <row r="104" spans="1:7">
      <c r="B104" s="2844" t="s">
        <v>1645</v>
      </c>
      <c r="C104" s="2844"/>
      <c r="D104" s="2845"/>
      <c r="E104" s="2845"/>
      <c r="F104" s="369"/>
      <c r="G104" s="369"/>
    </row>
    <row r="105" spans="1:7">
      <c r="D105" s="369"/>
      <c r="E105" s="369"/>
      <c r="F105" s="369"/>
      <c r="G105" s="369"/>
    </row>
    <row r="106" spans="1:7">
      <c r="A106" s="2267" t="s">
        <v>1434</v>
      </c>
      <c r="B106" s="2267" t="s">
        <v>1435</v>
      </c>
      <c r="C106"/>
      <c r="D106" s="369"/>
      <c r="E106" s="369"/>
      <c r="F106" s="369"/>
      <c r="G106" s="369"/>
    </row>
    <row r="107" spans="1:7">
      <c r="A107" s="2267" t="s">
        <v>1554</v>
      </c>
      <c r="B107" s="2267" t="s">
        <v>1550</v>
      </c>
      <c r="C107" s="2196" t="s">
        <v>1442</v>
      </c>
      <c r="D107" s="369"/>
      <c r="E107" s="369"/>
      <c r="F107" s="369"/>
      <c r="G107" s="369"/>
    </row>
    <row r="108" spans="1:7">
      <c r="A108" s="369"/>
      <c r="B108" s="369"/>
      <c r="C108" s="369"/>
      <c r="D108" s="369"/>
      <c r="E108" s="369"/>
      <c r="F108" s="369"/>
      <c r="G108" s="369"/>
    </row>
    <row r="109" spans="1:7">
      <c r="A109" s="369"/>
      <c r="B109" s="369"/>
      <c r="C109" s="369"/>
      <c r="D109" s="369"/>
      <c r="E109" s="369"/>
      <c r="F109" s="369"/>
      <c r="G109" s="369"/>
    </row>
    <row r="110" spans="1:7">
      <c r="A110" s="369"/>
      <c r="B110" s="369"/>
      <c r="C110" s="369"/>
      <c r="D110" s="369"/>
      <c r="E110" s="369"/>
      <c r="F110" s="369"/>
      <c r="G110" s="369"/>
    </row>
    <row r="111" spans="1:7">
      <c r="A111" s="369"/>
      <c r="B111" s="369"/>
      <c r="C111" s="369"/>
      <c r="D111" s="369"/>
      <c r="E111" s="369"/>
      <c r="F111" s="369"/>
      <c r="G111" s="369"/>
    </row>
    <row r="112" spans="1:7">
      <c r="A112" s="369"/>
      <c r="B112" s="369"/>
      <c r="C112" s="369"/>
      <c r="D112" s="369"/>
      <c r="E112" s="369"/>
      <c r="F112" s="369"/>
      <c r="G112" s="369"/>
    </row>
    <row r="113" spans="1:7">
      <c r="A113" s="369"/>
      <c r="B113" s="369"/>
      <c r="C113" s="369"/>
      <c r="D113" s="369"/>
      <c r="E113" s="369"/>
      <c r="F113" s="369"/>
      <c r="G113" s="369"/>
    </row>
    <row r="114" spans="1:7">
      <c r="A114" s="369"/>
      <c r="B114" s="369"/>
      <c r="C114" s="369"/>
      <c r="D114" s="369"/>
      <c r="E114" s="369"/>
      <c r="F114" s="369"/>
      <c r="G114" s="369"/>
    </row>
    <row r="115" spans="1:7">
      <c r="A115" s="369"/>
      <c r="B115" s="369"/>
      <c r="C115" s="369"/>
      <c r="D115" s="369"/>
      <c r="E115" s="369"/>
      <c r="F115" s="369"/>
      <c r="G115" s="369"/>
    </row>
  </sheetData>
  <sheetProtection algorithmName="SHA-512" hashValue="/cT7J5xNDRztEcMeU52mNwo1wJ1FVs9L4YneFd04V313KbjkN+NcNhwh45OiRd2x0JihFUXK7YEV1/6OaV7rnQ==" saltValue="tAwBucyU4zK0Fss+pweLRg==" spinCount="100000" sheet="1" objects="1" scenarios="1"/>
  <mergeCells count="2">
    <mergeCell ref="F5:G5"/>
    <mergeCell ref="H2:K3"/>
  </mergeCells>
  <pageMargins left="0.7" right="0.7" top="0.78740157499999996" bottom="0.78740157499999996" header="0.3" footer="0.3"/>
  <pageSetup paperSize="9" scale="42" orientation="portrait" r:id="rId1"/>
  <headerFooter>
    <oddHeader>&amp;LVDV SUN Jahresschlussrechnung JJJJ&amp;R&amp;KFF0000&amp;F</oddHeader>
    <oddFooter>&amp;C&amp;P&amp;R&amp;A</oddFooter>
  </headerFooter>
  <rowBreaks count="1" manualBreakCount="1">
    <brk id="46" max="10"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6BB42-C0FD-4AC1-B8F2-C5799143765F}">
  <sheetPr>
    <pageSetUpPr fitToPage="1"/>
  </sheetPr>
  <dimension ref="A1:T42"/>
  <sheetViews>
    <sheetView zoomScaleNormal="100" zoomScaleSheetLayoutView="80" zoomScalePageLayoutView="80" workbookViewId="0">
      <selection activeCell="N37" sqref="N37"/>
    </sheetView>
  </sheetViews>
  <sheetFormatPr baseColWidth="10" defaultColWidth="11.42578125" defaultRowHeight="12.75"/>
  <cols>
    <col min="1" max="1" width="10.5703125" style="1025" customWidth="1"/>
    <col min="2" max="2" width="12" style="1025" customWidth="1"/>
    <col min="3" max="4" width="15.7109375" style="1025" customWidth="1"/>
    <col min="5" max="6" width="12" style="1025" bestFit="1" customWidth="1"/>
    <col min="7" max="7" width="42.7109375" style="1025" customWidth="1"/>
    <col min="8" max="9" width="13.5703125" style="1025" customWidth="1"/>
    <col min="10" max="10" width="13.28515625" style="1025" bestFit="1" customWidth="1"/>
    <col min="11" max="12" width="11.28515625" style="1025" customWidth="1"/>
    <col min="13" max="13" width="15.85546875" style="1025" customWidth="1"/>
    <col min="14" max="14" width="14.5703125" style="1025" bestFit="1" customWidth="1"/>
    <col min="15" max="15" width="19.5703125" style="1025" bestFit="1" customWidth="1"/>
    <col min="16" max="16" width="24.42578125" style="1111" customWidth="1"/>
    <col min="17" max="17" width="11.42578125" style="1025"/>
    <col min="18" max="18" width="11.7109375" style="1025" customWidth="1"/>
    <col min="19" max="19" width="11.28515625" style="1025" customWidth="1"/>
    <col min="20" max="20" width="22.140625" style="1025" customWidth="1"/>
    <col min="21" max="16384" width="11.42578125" style="1025"/>
  </cols>
  <sheetData>
    <row r="1" spans="1:20" ht="15.75">
      <c r="A1" s="1023" t="s">
        <v>1523</v>
      </c>
      <c r="B1" s="1023"/>
      <c r="C1" s="1024"/>
      <c r="D1" s="1024"/>
      <c r="N1" s="1026"/>
    </row>
    <row r="2" spans="1:20">
      <c r="A2" s="1027"/>
      <c r="B2" s="1027"/>
      <c r="C2" s="1027"/>
      <c r="D2" s="1027"/>
      <c r="J2" s="1026"/>
    </row>
    <row r="3" spans="1:20">
      <c r="A3" s="1027"/>
      <c r="B3" s="1027"/>
      <c r="C3" s="1027"/>
      <c r="D3" s="1027"/>
      <c r="M3" s="1026"/>
    </row>
    <row r="4" spans="1:20" s="1031" customFormat="1" ht="63.75" hidden="1">
      <c r="A4" s="1028" t="s">
        <v>945</v>
      </c>
      <c r="B4" s="1029"/>
      <c r="C4" s="1030"/>
      <c r="D4" s="1030"/>
      <c r="I4" s="1032"/>
      <c r="J4" s="1032" t="s">
        <v>946</v>
      </c>
      <c r="K4" s="1032" t="s">
        <v>947</v>
      </c>
      <c r="P4" s="1112"/>
    </row>
    <row r="5" spans="1:20" s="1031" customFormat="1" ht="19.5" customHeight="1" thickBot="1">
      <c r="A5" s="1033" t="s">
        <v>1524</v>
      </c>
      <c r="B5" s="1034"/>
      <c r="C5" s="1030"/>
      <c r="D5" s="1030"/>
      <c r="I5" s="1035"/>
      <c r="N5" s="2733"/>
      <c r="P5" s="1112"/>
    </row>
    <row r="6" spans="1:20" s="1038" customFormat="1" ht="52.5" customHeight="1">
      <c r="A6" s="3497" t="s">
        <v>948</v>
      </c>
      <c r="B6" s="3498"/>
      <c r="C6" s="3499" t="s">
        <v>949</v>
      </c>
      <c r="D6" s="3499" t="s">
        <v>950</v>
      </c>
      <c r="E6" s="1036" t="s">
        <v>27</v>
      </c>
      <c r="F6" s="1036" t="s">
        <v>28</v>
      </c>
      <c r="G6" s="1036" t="s">
        <v>1348</v>
      </c>
      <c r="H6" s="1036" t="s">
        <v>826</v>
      </c>
      <c r="I6" s="1036" t="s">
        <v>951</v>
      </c>
      <c r="J6" s="1036" t="s">
        <v>952</v>
      </c>
      <c r="K6" s="1036" t="s">
        <v>953</v>
      </c>
      <c r="L6" s="1036" t="s">
        <v>954</v>
      </c>
      <c r="M6" s="1036" t="s">
        <v>955</v>
      </c>
      <c r="N6" s="1036" t="s">
        <v>956</v>
      </c>
      <c r="O6" s="1037" t="s">
        <v>957</v>
      </c>
      <c r="P6" s="1113" t="s">
        <v>1445</v>
      </c>
      <c r="Q6" s="1109" t="s">
        <v>958</v>
      </c>
      <c r="S6" s="1039" t="s">
        <v>959</v>
      </c>
      <c r="T6" s="1040" t="s">
        <v>965</v>
      </c>
    </row>
    <row r="7" spans="1:20" s="1038" customFormat="1">
      <c r="A7" s="1041"/>
      <c r="B7" s="1042" t="s">
        <v>960</v>
      </c>
      <c r="C7" s="3500"/>
      <c r="D7" s="3500"/>
      <c r="E7" s="1043"/>
      <c r="F7" s="1043"/>
      <c r="G7" s="1043" t="s">
        <v>961</v>
      </c>
      <c r="H7" s="1043" t="s">
        <v>1376</v>
      </c>
      <c r="I7" s="1043" t="s">
        <v>1376</v>
      </c>
      <c r="J7" s="1043" t="s">
        <v>1376</v>
      </c>
      <c r="K7" s="1043" t="s">
        <v>1376</v>
      </c>
      <c r="L7" s="1043" t="s">
        <v>1376</v>
      </c>
      <c r="M7" s="1043" t="s">
        <v>962</v>
      </c>
      <c r="N7" s="1043" t="s">
        <v>962</v>
      </c>
      <c r="O7" s="1044"/>
      <c r="P7" s="1114"/>
      <c r="Q7" s="1110"/>
      <c r="S7" s="1071"/>
    </row>
    <row r="8" spans="1:20" ht="14.25">
      <c r="A8" s="1045"/>
      <c r="B8" s="1046" t="s">
        <v>139</v>
      </c>
      <c r="C8" s="1046" t="s">
        <v>969</v>
      </c>
      <c r="D8" s="1046" t="s">
        <v>969</v>
      </c>
      <c r="E8" s="1047">
        <v>47120</v>
      </c>
      <c r="F8" s="1047">
        <v>47121</v>
      </c>
      <c r="G8" s="1048" t="s">
        <v>752</v>
      </c>
      <c r="H8" s="1049">
        <v>64.861999999999995</v>
      </c>
      <c r="I8" s="1049"/>
      <c r="J8" s="1049">
        <v>63.783999999999999</v>
      </c>
      <c r="K8" s="1049"/>
      <c r="L8" s="1049"/>
      <c r="M8" s="2743">
        <f t="shared" ref="M8:M14" si="0">N8*1.19</f>
        <v>543.95957909999993</v>
      </c>
      <c r="N8" s="2744">
        <v>457.10888999999997</v>
      </c>
      <c r="O8" s="1048"/>
      <c r="P8" s="1115" t="s">
        <v>1022</v>
      </c>
      <c r="Q8" s="2742">
        <v>7.1665133889376644</v>
      </c>
      <c r="S8" s="1048"/>
    </row>
    <row r="9" spans="1:20" ht="14.25">
      <c r="A9" s="1045"/>
      <c r="B9" s="1046" t="s">
        <v>139</v>
      </c>
      <c r="C9" s="1046" t="s">
        <v>969</v>
      </c>
      <c r="D9" s="1046" t="s">
        <v>969</v>
      </c>
      <c r="E9" s="1047">
        <v>47151</v>
      </c>
      <c r="F9" s="1047">
        <v>47174</v>
      </c>
      <c r="G9" s="1048" t="s">
        <v>752</v>
      </c>
      <c r="H9" s="2713">
        <v>3872.1689999999999</v>
      </c>
      <c r="I9" s="2713">
        <v>388.76799999999997</v>
      </c>
      <c r="J9" s="2713">
        <v>3872.1689999999999</v>
      </c>
      <c r="K9" s="2713"/>
      <c r="L9" s="2713"/>
      <c r="M9" s="2745">
        <f t="shared" si="0"/>
        <v>28376.499381999998</v>
      </c>
      <c r="N9" s="2746">
        <v>23845.7978</v>
      </c>
      <c r="O9" s="1048"/>
      <c r="P9" s="1116" t="s">
        <v>1022</v>
      </c>
      <c r="Q9" s="2742">
        <v>6.1582533716890975</v>
      </c>
      <c r="S9" s="1048" t="s">
        <v>70</v>
      </c>
    </row>
    <row r="10" spans="1:20" ht="14.25">
      <c r="A10" s="1045"/>
      <c r="B10" s="1046" t="s">
        <v>139</v>
      </c>
      <c r="C10" s="1046" t="s">
        <v>969</v>
      </c>
      <c r="D10" s="1046" t="s">
        <v>969</v>
      </c>
      <c r="E10" s="1047">
        <v>47171</v>
      </c>
      <c r="F10" s="1047">
        <v>47177</v>
      </c>
      <c r="G10" s="1048" t="s">
        <v>752</v>
      </c>
      <c r="H10" s="2713">
        <v>107.352</v>
      </c>
      <c r="I10" s="2713"/>
      <c r="J10" s="2713">
        <v>107.352</v>
      </c>
      <c r="K10" s="2713"/>
      <c r="L10" s="2713"/>
      <c r="M10" s="2745">
        <f t="shared" si="0"/>
        <v>805.06641599999989</v>
      </c>
      <c r="N10" s="2746">
        <v>676.52639999999997</v>
      </c>
      <c r="O10" s="1048"/>
      <c r="P10" s="1116" t="s">
        <v>1022</v>
      </c>
      <c r="Q10" s="2742">
        <v>6.3019450033534534</v>
      </c>
      <c r="S10" s="1048"/>
    </row>
    <row r="11" spans="1:20" ht="14.25">
      <c r="A11" s="1045"/>
      <c r="B11" s="2722" t="s">
        <v>139</v>
      </c>
      <c r="C11" s="2722" t="s">
        <v>969</v>
      </c>
      <c r="D11" s="2722" t="s">
        <v>969</v>
      </c>
      <c r="E11" s="2723">
        <v>47182</v>
      </c>
      <c r="F11" s="2723">
        <v>47188</v>
      </c>
      <c r="G11" s="1048" t="s">
        <v>752</v>
      </c>
      <c r="H11" s="1049">
        <v>9977.3259999999991</v>
      </c>
      <c r="I11" s="1049">
        <v>276.55799999999999</v>
      </c>
      <c r="J11" s="1049">
        <v>8705.9660000000003</v>
      </c>
      <c r="K11" s="1049">
        <v>164.77199999999999</v>
      </c>
      <c r="L11" s="1049"/>
      <c r="M11" s="2743">
        <f t="shared" si="0"/>
        <v>65553.960303999993</v>
      </c>
      <c r="N11" s="2746">
        <v>55087.361599999997</v>
      </c>
      <c r="O11" s="1048"/>
      <c r="P11" s="1116" t="s">
        <v>1022</v>
      </c>
      <c r="Q11" s="2742">
        <v>6.2100088628477126</v>
      </c>
      <c r="S11" s="1048" t="s">
        <v>70</v>
      </c>
      <c r="T11" s="1025" t="s">
        <v>1021</v>
      </c>
    </row>
    <row r="12" spans="1:20" ht="14.25">
      <c r="A12" s="1077" t="s">
        <v>978</v>
      </c>
      <c r="B12" s="2739" t="s">
        <v>139</v>
      </c>
      <c r="C12" s="2739" t="s">
        <v>969</v>
      </c>
      <c r="D12" s="2739" t="s">
        <v>969</v>
      </c>
      <c r="E12" s="2740">
        <v>47188</v>
      </c>
      <c r="F12" s="2740">
        <v>47210</v>
      </c>
      <c r="G12" s="1076" t="s">
        <v>756</v>
      </c>
      <c r="H12" s="2741">
        <v>34011.764999999999</v>
      </c>
      <c r="I12" s="2741">
        <f>5862.808+295.542</f>
        <v>6158.35</v>
      </c>
      <c r="J12" s="2741">
        <v>5254.1840000000002</v>
      </c>
      <c r="K12" s="2741">
        <v>120.345</v>
      </c>
      <c r="L12" s="2741">
        <v>0</v>
      </c>
      <c r="M12" s="2747">
        <f t="shared" si="0"/>
        <v>31981.836432</v>
      </c>
      <c r="N12" s="2748">
        <v>26875.4928</v>
      </c>
      <c r="O12" s="1048" t="s">
        <v>1646</v>
      </c>
      <c r="P12" s="1123" t="s">
        <v>1031</v>
      </c>
      <c r="Q12" s="2742">
        <v>5.0005298696871856</v>
      </c>
      <c r="S12" s="1048" t="s">
        <v>70</v>
      </c>
      <c r="T12" s="1025" t="s">
        <v>1022</v>
      </c>
    </row>
    <row r="13" spans="1:20" ht="14.25">
      <c r="A13" s="1045"/>
      <c r="B13" s="2722" t="s">
        <v>139</v>
      </c>
      <c r="C13" s="2722" t="s">
        <v>969</v>
      </c>
      <c r="D13" s="2722" t="s">
        <v>969</v>
      </c>
      <c r="E13" s="2723">
        <v>47238</v>
      </c>
      <c r="F13" s="2723">
        <v>47270</v>
      </c>
      <c r="G13" s="1048" t="s">
        <v>752</v>
      </c>
      <c r="H13" s="2713">
        <v>114.52</v>
      </c>
      <c r="I13" s="2713"/>
      <c r="J13" s="2713">
        <v>114.52</v>
      </c>
      <c r="K13" s="2713"/>
      <c r="L13" s="2713"/>
      <c r="M13" s="2745">
        <f t="shared" si="0"/>
        <v>802.61216000000002</v>
      </c>
      <c r="N13" s="2746">
        <v>674.46400000000006</v>
      </c>
      <c r="O13" s="1048" t="s">
        <v>1646</v>
      </c>
      <c r="P13" s="1116" t="s">
        <v>1022</v>
      </c>
      <c r="Q13" s="2742">
        <v>5.889486552567238</v>
      </c>
      <c r="S13" s="1048" t="s">
        <v>70</v>
      </c>
      <c r="T13" s="1025" t="s">
        <v>1021</v>
      </c>
    </row>
    <row r="14" spans="1:20" ht="14.25">
      <c r="A14" s="1045"/>
      <c r="B14" s="2722" t="s">
        <v>139</v>
      </c>
      <c r="C14" s="2722" t="s">
        <v>969</v>
      </c>
      <c r="D14" s="2722" t="s">
        <v>969</v>
      </c>
      <c r="E14" s="2723">
        <v>47248</v>
      </c>
      <c r="F14" s="2723">
        <v>47251</v>
      </c>
      <c r="G14" s="1048" t="s">
        <v>752</v>
      </c>
      <c r="H14" s="2713">
        <v>55.005000000000003</v>
      </c>
      <c r="I14" s="2713"/>
      <c r="J14" s="2713">
        <v>55.005000000000003</v>
      </c>
      <c r="K14" s="2713"/>
      <c r="L14" s="2713"/>
      <c r="M14" s="2745">
        <f t="shared" si="0"/>
        <v>497.43903999999998</v>
      </c>
      <c r="N14" s="2746">
        <v>418.01600000000002</v>
      </c>
      <c r="O14" s="1048" t="s">
        <v>1646</v>
      </c>
      <c r="P14" s="1116" t="s">
        <v>1647</v>
      </c>
      <c r="Q14" s="2742">
        <v>7.5996000363603313</v>
      </c>
      <c r="S14" s="1048"/>
    </row>
    <row r="15" spans="1:20" ht="14.25">
      <c r="A15" s="1045"/>
      <c r="B15" s="2722" t="s">
        <v>139</v>
      </c>
      <c r="C15" s="2722" t="s">
        <v>969</v>
      </c>
      <c r="D15" s="2722" t="s">
        <v>969</v>
      </c>
      <c r="E15" s="2723">
        <v>47259</v>
      </c>
      <c r="F15" s="2723">
        <v>47263</v>
      </c>
      <c r="G15" s="1048" t="s">
        <v>752</v>
      </c>
      <c r="H15" s="2713">
        <v>1742.25</v>
      </c>
      <c r="I15" s="2713"/>
      <c r="J15" s="2713">
        <v>1269</v>
      </c>
      <c r="K15" s="2713"/>
      <c r="L15" s="2713"/>
      <c r="M15" s="2745">
        <f t="shared" ref="M15:M22" si="1">N15*1.19</f>
        <v>8903.6085600000006</v>
      </c>
      <c r="N15" s="2746">
        <v>7482.0240000000003</v>
      </c>
      <c r="O15" s="1048" t="s">
        <v>1646</v>
      </c>
      <c r="P15" s="1116"/>
      <c r="Q15" s="2742">
        <v>5.8959999999999999</v>
      </c>
      <c r="S15" s="1048" t="s">
        <v>70</v>
      </c>
    </row>
    <row r="16" spans="1:20" ht="14.25">
      <c r="A16" s="1045"/>
      <c r="B16" s="2722" t="s">
        <v>139</v>
      </c>
      <c r="C16" s="2722" t="s">
        <v>969</v>
      </c>
      <c r="D16" s="2722" t="s">
        <v>969</v>
      </c>
      <c r="E16" s="2723">
        <v>47269</v>
      </c>
      <c r="F16" s="2723">
        <v>47274</v>
      </c>
      <c r="G16" s="1048" t="s">
        <v>752</v>
      </c>
      <c r="H16" s="2713">
        <v>507.6</v>
      </c>
      <c r="I16" s="2713"/>
      <c r="J16" s="2713">
        <v>507.6</v>
      </c>
      <c r="K16" s="2713"/>
      <c r="L16" s="2713"/>
      <c r="M16" s="2745">
        <f t="shared" ref="M16:M21" si="2">N16*1.19</f>
        <v>4747.81916</v>
      </c>
      <c r="N16" s="2746">
        <v>3989.7640000000001</v>
      </c>
      <c r="O16" s="1048" t="s">
        <v>1646</v>
      </c>
      <c r="P16" s="1116"/>
      <c r="Q16" s="2742">
        <v>7.8600551615445235</v>
      </c>
      <c r="S16" s="1048"/>
    </row>
    <row r="17" spans="1:19" ht="14.25">
      <c r="A17" s="1045"/>
      <c r="B17" s="2722" t="s">
        <v>139</v>
      </c>
      <c r="C17" s="2722" t="s">
        <v>969</v>
      </c>
      <c r="D17" s="2722" t="s">
        <v>969</v>
      </c>
      <c r="E17" s="2723">
        <v>47255</v>
      </c>
      <c r="F17" s="2723">
        <v>47258</v>
      </c>
      <c r="G17" s="1048" t="s">
        <v>752</v>
      </c>
      <c r="H17" s="2713">
        <v>9.8079999999999998</v>
      </c>
      <c r="I17" s="2713"/>
      <c r="J17" s="2713">
        <v>9.8079999999999998</v>
      </c>
      <c r="K17" s="2713"/>
      <c r="L17" s="2713"/>
      <c r="M17" s="2745">
        <f t="shared" si="2"/>
        <v>58.357599999999998</v>
      </c>
      <c r="N17" s="2746">
        <v>49.04</v>
      </c>
      <c r="O17" s="1048" t="s">
        <v>1646</v>
      </c>
      <c r="P17" s="1116"/>
      <c r="Q17" s="2742">
        <v>5</v>
      </c>
      <c r="S17" s="1048"/>
    </row>
    <row r="18" spans="1:19" ht="14.25">
      <c r="A18" s="1045"/>
      <c r="B18" s="2722" t="s">
        <v>139</v>
      </c>
      <c r="C18" s="2722" t="s">
        <v>969</v>
      </c>
      <c r="D18" s="2722" t="s">
        <v>969</v>
      </c>
      <c r="E18" s="2723">
        <v>47267</v>
      </c>
      <c r="F18" s="2723">
        <v>47268</v>
      </c>
      <c r="G18" s="1048" t="s">
        <v>752</v>
      </c>
      <c r="H18" s="2713">
        <v>21.29</v>
      </c>
      <c r="I18" s="2713"/>
      <c r="J18" s="2713">
        <v>7.4580000000000002</v>
      </c>
      <c r="K18" s="2713"/>
      <c r="L18" s="2713"/>
      <c r="M18" s="2745">
        <f t="shared" si="2"/>
        <v>49.820063999999995</v>
      </c>
      <c r="N18" s="2746">
        <v>41.865600000000001</v>
      </c>
      <c r="O18" s="1048"/>
      <c r="P18" s="1116"/>
      <c r="Q18" s="2742">
        <v>5.6135156878519714</v>
      </c>
      <c r="S18" s="1048"/>
    </row>
    <row r="19" spans="1:19" ht="14.25">
      <c r="A19" s="1045"/>
      <c r="B19" s="2722" t="s">
        <v>139</v>
      </c>
      <c r="C19" s="2722" t="s">
        <v>969</v>
      </c>
      <c r="D19" s="2722" t="s">
        <v>969</v>
      </c>
      <c r="E19" s="2723">
        <v>47280</v>
      </c>
      <c r="F19" s="2723">
        <v>47281</v>
      </c>
      <c r="G19" s="1048" t="s">
        <v>752</v>
      </c>
      <c r="H19" s="2713">
        <v>57.613999999999997</v>
      </c>
      <c r="I19" s="2713"/>
      <c r="J19" s="2713">
        <v>57.613999999999997</v>
      </c>
      <c r="K19" s="2713"/>
      <c r="L19" s="2713"/>
      <c r="M19" s="2745">
        <f t="shared" si="2"/>
        <v>518.084112</v>
      </c>
      <c r="N19" s="2746">
        <v>435.3648</v>
      </c>
      <c r="O19" s="1048"/>
      <c r="P19" s="1116"/>
      <c r="Q19" s="2742">
        <v>7.5565799979171731</v>
      </c>
      <c r="S19" s="1048"/>
    </row>
    <row r="20" spans="1:19" ht="14.25">
      <c r="A20" s="1045"/>
      <c r="B20" s="2722" t="s">
        <v>139</v>
      </c>
      <c r="C20" s="2722" t="s">
        <v>969</v>
      </c>
      <c r="D20" s="2722" t="s">
        <v>969</v>
      </c>
      <c r="E20" s="2723">
        <v>47402</v>
      </c>
      <c r="F20" s="2723">
        <v>47406</v>
      </c>
      <c r="G20" s="1048" t="s">
        <v>752</v>
      </c>
      <c r="H20" s="2713">
        <v>1073.52</v>
      </c>
      <c r="I20" s="2713"/>
      <c r="J20" s="2713">
        <v>1073.52</v>
      </c>
      <c r="K20" s="2713"/>
      <c r="L20" s="2713"/>
      <c r="M20" s="2745">
        <f t="shared" si="2"/>
        <v>9452.7964159999992</v>
      </c>
      <c r="N20" s="2746">
        <v>7943.5263999999997</v>
      </c>
      <c r="O20" s="1048"/>
      <c r="P20" s="1116"/>
      <c r="Q20" s="2742">
        <v>7.399514121767643</v>
      </c>
      <c r="S20" s="1048" t="s">
        <v>70</v>
      </c>
    </row>
    <row r="21" spans="1:19" ht="14.25">
      <c r="A21" s="1045"/>
      <c r="B21" s="2722" t="s">
        <v>139</v>
      </c>
      <c r="C21" s="2722" t="s">
        <v>969</v>
      </c>
      <c r="D21" s="2722" t="s">
        <v>969</v>
      </c>
      <c r="E21" s="2723">
        <v>47402</v>
      </c>
      <c r="F21" s="2723">
        <v>47415</v>
      </c>
      <c r="G21" s="1048" t="s">
        <v>752</v>
      </c>
      <c r="H21" s="2713">
        <v>429.40800000000002</v>
      </c>
      <c r="I21" s="2713"/>
      <c r="J21" s="2713">
        <v>429.40800000000002</v>
      </c>
      <c r="K21" s="2713"/>
      <c r="L21" s="2713"/>
      <c r="M21" s="2745">
        <f t="shared" si="2"/>
        <v>5738.3056639999995</v>
      </c>
      <c r="N21" s="2746">
        <v>4822.1055999999999</v>
      </c>
      <c r="O21" s="1048" t="s">
        <v>1646</v>
      </c>
      <c r="P21" s="1116" t="s">
        <v>1022</v>
      </c>
      <c r="Q21" s="2742">
        <v>11.229659438110142</v>
      </c>
      <c r="S21" s="1048"/>
    </row>
    <row r="22" spans="1:19" ht="14.25">
      <c r="A22" s="1045"/>
      <c r="B22" s="2722" t="s">
        <v>139</v>
      </c>
      <c r="C22" s="2722" t="s">
        <v>969</v>
      </c>
      <c r="D22" s="2722" t="s">
        <v>969</v>
      </c>
      <c r="E22" s="2723">
        <v>47217</v>
      </c>
      <c r="F22" s="2723">
        <v>47233</v>
      </c>
      <c r="G22" s="1048" t="s">
        <v>752</v>
      </c>
      <c r="H22" s="2713">
        <v>644.11199999999997</v>
      </c>
      <c r="I22" s="2713"/>
      <c r="J22" s="2713">
        <v>644.11199999999997</v>
      </c>
      <c r="K22" s="2713"/>
      <c r="L22" s="2713"/>
      <c r="M22" s="2745">
        <f t="shared" si="1"/>
        <v>8094.1681799999997</v>
      </c>
      <c r="N22" s="2746">
        <v>6801.8220000000001</v>
      </c>
      <c r="O22" s="1048" t="s">
        <v>1646</v>
      </c>
      <c r="P22" s="1116" t="s">
        <v>1022</v>
      </c>
      <c r="Q22" s="2742">
        <v>10.559998882181981</v>
      </c>
      <c r="S22" s="1048" t="s">
        <v>70</v>
      </c>
    </row>
    <row r="23" spans="1:19" ht="14.25">
      <c r="A23" s="1045"/>
      <c r="B23" s="2722" t="s">
        <v>139</v>
      </c>
      <c r="C23" s="2722" t="s">
        <v>969</v>
      </c>
      <c r="D23" s="2722" t="s">
        <v>969</v>
      </c>
      <c r="E23" s="2724">
        <v>47224</v>
      </c>
      <c r="F23" s="2723">
        <v>47229</v>
      </c>
      <c r="G23" s="1048" t="s">
        <v>752</v>
      </c>
      <c r="H23" s="2713">
        <v>543.97</v>
      </c>
      <c r="I23" s="2713"/>
      <c r="J23" s="2713">
        <v>543.97</v>
      </c>
      <c r="K23" s="2713"/>
      <c r="L23" s="2713"/>
      <c r="M23" s="2745">
        <f>N23*1.19</f>
        <v>3314.98776</v>
      </c>
      <c r="N23" s="2746">
        <v>2785.7040000000002</v>
      </c>
      <c r="O23" s="1048" t="s">
        <v>1646</v>
      </c>
      <c r="P23" s="1116" t="s">
        <v>1022</v>
      </c>
      <c r="Q23" s="2742">
        <v>5.1210618232623126</v>
      </c>
      <c r="S23" s="1048"/>
    </row>
    <row r="24" spans="1:19">
      <c r="A24" s="2566" t="s">
        <v>792</v>
      </c>
      <c r="B24" s="1052"/>
      <c r="C24" s="1046"/>
      <c r="D24" s="1046"/>
      <c r="E24" s="1053"/>
      <c r="F24" s="1047"/>
      <c r="G24" s="1048"/>
      <c r="H24" s="1049"/>
      <c r="I24" s="1049"/>
      <c r="J24" s="1049"/>
      <c r="K24" s="1049"/>
      <c r="L24" s="1049"/>
      <c r="M24" s="1050"/>
      <c r="N24" s="1051"/>
      <c r="O24" s="1048"/>
      <c r="P24" s="1116"/>
      <c r="Q24" s="1121"/>
      <c r="S24" s="1048"/>
    </row>
    <row r="25" spans="1:19" ht="13.5" thickBot="1">
      <c r="A25" s="1054"/>
      <c r="B25" s="1054"/>
      <c r="C25" s="1055"/>
      <c r="D25" s="1055"/>
      <c r="E25" s="1056"/>
      <c r="F25" s="1057"/>
      <c r="G25" s="1048"/>
      <c r="H25" s="1058"/>
      <c r="I25" s="1058"/>
      <c r="J25" s="1058"/>
      <c r="K25" s="1058"/>
      <c r="L25" s="1059"/>
      <c r="M25" s="1060"/>
      <c r="N25" s="1051"/>
      <c r="O25" s="1069"/>
      <c r="P25" s="1117"/>
      <c r="Q25" s="1122"/>
      <c r="S25" s="1048"/>
    </row>
    <row r="26" spans="1:19" s="1064" customFormat="1" ht="16.5" customHeight="1" thickBot="1">
      <c r="A26" s="1061" t="s">
        <v>35</v>
      </c>
      <c r="B26" s="1062"/>
      <c r="C26" s="1063"/>
      <c r="D26" s="1063"/>
      <c r="E26" s="1063"/>
      <c r="F26" s="1063"/>
      <c r="G26" s="1063" t="s">
        <v>1652</v>
      </c>
      <c r="H26" s="2725">
        <f>SUM(H8:H25)</f>
        <v>53232.570999999996</v>
      </c>
      <c r="I26" s="2726">
        <f>SUM(I8:I25)</f>
        <v>6823.6760000000004</v>
      </c>
      <c r="J26" s="2726">
        <f>SUM(J8:J25)</f>
        <v>22715.470000000005</v>
      </c>
      <c r="K26" s="2726">
        <f t="shared" ref="K26:N26" si="3">SUM(K8:K25)</f>
        <v>285.11699999999996</v>
      </c>
      <c r="L26" s="2726">
        <f t="shared" si="3"/>
        <v>0</v>
      </c>
      <c r="M26" s="2727">
        <f>SUM(M8:M25)</f>
        <v>169439.3208291</v>
      </c>
      <c r="N26" s="2727">
        <f t="shared" si="3"/>
        <v>142385.98389</v>
      </c>
      <c r="O26" s="1063"/>
      <c r="P26" s="1118"/>
      <c r="Q26" s="1070">
        <f>N26/(J26+K26+L26)</f>
        <v>6.1905369584697985</v>
      </c>
      <c r="S26" s="981"/>
    </row>
    <row r="27" spans="1:19" s="1064" customFormat="1" ht="16.5" customHeight="1" thickBot="1">
      <c r="A27" s="1072" t="s">
        <v>35</v>
      </c>
      <c r="B27" s="1072"/>
      <c r="C27" s="1073"/>
      <c r="D27" s="1073"/>
      <c r="E27" s="1073"/>
      <c r="F27" s="1073"/>
      <c r="G27" s="1073" t="s">
        <v>1653</v>
      </c>
      <c r="H27" s="2709">
        <f>H26-H12</f>
        <v>19220.805999999997</v>
      </c>
      <c r="I27" s="2710">
        <f>I26-I12</f>
        <v>665.32600000000002</v>
      </c>
      <c r="J27" s="2710">
        <f>J26-J12</f>
        <v>17461.286000000004</v>
      </c>
      <c r="K27" s="2710">
        <f t="shared" ref="K27:N27" si="4">K26-K12</f>
        <v>164.77199999999996</v>
      </c>
      <c r="L27" s="2710">
        <f t="shared" si="4"/>
        <v>0</v>
      </c>
      <c r="M27" s="2711">
        <f>M26-M12</f>
        <v>137457.48439709999</v>
      </c>
      <c r="N27" s="2712">
        <f t="shared" si="4"/>
        <v>115510.49109</v>
      </c>
      <c r="O27" s="1073"/>
      <c r="P27" s="1119"/>
      <c r="Q27" s="1074"/>
      <c r="S27" s="1075"/>
    </row>
    <row r="28" spans="1:19" s="1064" customFormat="1" ht="16.5" customHeight="1" thickBot="1">
      <c r="A28" s="1072" t="s">
        <v>35</v>
      </c>
      <c r="B28" s="1072"/>
      <c r="C28" s="1073"/>
      <c r="D28" s="1073"/>
      <c r="E28" s="1073"/>
      <c r="F28" s="1073"/>
      <c r="G28" s="1073" t="s">
        <v>1654</v>
      </c>
      <c r="H28" s="2750">
        <f>$H$26-$H$27</f>
        <v>34011.764999999999</v>
      </c>
      <c r="I28" s="2750">
        <f>$I$26-$I$27</f>
        <v>6158.35</v>
      </c>
      <c r="J28" s="2750">
        <f>$J$26-$J$27</f>
        <v>5254.1840000000011</v>
      </c>
      <c r="K28" s="2750">
        <f>$K$26-$K$27</f>
        <v>120.345</v>
      </c>
      <c r="L28" s="2750">
        <f>$L$26-$L$27</f>
        <v>0</v>
      </c>
      <c r="M28" s="2751">
        <f>$M$26-$M$27</f>
        <v>31981.836432000011</v>
      </c>
      <c r="N28" s="2751">
        <f>$N$26-$N$27</f>
        <v>26875.492800000007</v>
      </c>
      <c r="O28" s="1073"/>
      <c r="P28" s="1119"/>
      <c r="Q28" s="1074"/>
      <c r="S28" s="1075"/>
    </row>
    <row r="29" spans="1:19">
      <c r="G29" s="2780"/>
      <c r="H29" s="2734"/>
      <c r="I29" s="2734"/>
      <c r="J29" s="2734"/>
      <c r="K29" s="2735"/>
      <c r="L29" s="2736"/>
      <c r="M29" s="2737"/>
      <c r="N29" s="2737"/>
    </row>
    <row r="30" spans="1:19">
      <c r="G30" s="2781"/>
      <c r="H30" s="2734"/>
      <c r="I30" s="2734"/>
      <c r="J30" s="2734"/>
      <c r="K30" s="2735"/>
      <c r="L30" s="2736"/>
      <c r="M30" s="2737"/>
      <c r="N30" s="2738"/>
    </row>
    <row r="31" spans="1:19">
      <c r="D31" s="2717"/>
      <c r="E31" s="2718"/>
      <c r="F31" s="2718"/>
      <c r="G31" s="2719"/>
      <c r="H31" s="2720"/>
      <c r="I31" s="2721"/>
      <c r="J31" s="1120"/>
      <c r="N31" s="1065"/>
    </row>
    <row r="32" spans="1:19" ht="16.5" thickBot="1">
      <c r="A32" s="1033" t="s">
        <v>1525</v>
      </c>
    </row>
    <row r="33" spans="1:20" ht="51">
      <c r="A33" s="3501" t="s">
        <v>948</v>
      </c>
      <c r="B33" s="3502"/>
      <c r="C33" s="3503" t="s">
        <v>949</v>
      </c>
      <c r="D33" s="3503" t="s">
        <v>950</v>
      </c>
      <c r="E33" s="2707" t="s">
        <v>27</v>
      </c>
      <c r="F33" s="2707" t="s">
        <v>28</v>
      </c>
      <c r="G33" s="2707" t="s">
        <v>1348</v>
      </c>
      <c r="H33" s="2707" t="s">
        <v>826</v>
      </c>
      <c r="I33" s="2707" t="s">
        <v>951</v>
      </c>
      <c r="J33" s="2707" t="s">
        <v>952</v>
      </c>
      <c r="K33" s="2707" t="s">
        <v>953</v>
      </c>
      <c r="L33" s="2707" t="s">
        <v>954</v>
      </c>
      <c r="M33" s="2707" t="s">
        <v>955</v>
      </c>
      <c r="N33" s="2707" t="s">
        <v>956</v>
      </c>
      <c r="O33" s="2563" t="s">
        <v>957</v>
      </c>
      <c r="P33" s="2564" t="s">
        <v>1445</v>
      </c>
      <c r="Q33" s="2565" t="s">
        <v>958</v>
      </c>
      <c r="R33" s="1038"/>
      <c r="S33" s="1039" t="s">
        <v>959</v>
      </c>
      <c r="T33" s="1040" t="s">
        <v>965</v>
      </c>
    </row>
    <row r="34" spans="1:20">
      <c r="A34" s="2714"/>
      <c r="B34" s="2715" t="s">
        <v>960</v>
      </c>
      <c r="C34" s="3500"/>
      <c r="D34" s="3500"/>
      <c r="E34" s="2706"/>
      <c r="F34" s="2706"/>
      <c r="G34" s="2706" t="s">
        <v>961</v>
      </c>
      <c r="H34" s="2706" t="s">
        <v>1376</v>
      </c>
      <c r="I34" s="2706" t="s">
        <v>1376</v>
      </c>
      <c r="J34" s="2706" t="s">
        <v>1376</v>
      </c>
      <c r="K34" s="2706" t="s">
        <v>1376</v>
      </c>
      <c r="L34" s="2706" t="s">
        <v>1376</v>
      </c>
      <c r="M34" s="2706" t="s">
        <v>962</v>
      </c>
      <c r="N34" s="2706" t="s">
        <v>962</v>
      </c>
      <c r="O34" s="2716"/>
      <c r="P34" s="1114"/>
      <c r="Q34" s="1110"/>
      <c r="R34" s="1038"/>
      <c r="S34" s="1071"/>
      <c r="T34" s="1038"/>
    </row>
    <row r="35" spans="1:20">
      <c r="A35" s="1849" t="s">
        <v>792</v>
      </c>
    </row>
    <row r="38" spans="1:20">
      <c r="A38" s="985" t="s">
        <v>219</v>
      </c>
      <c r="B38" s="195" t="s">
        <v>224</v>
      </c>
    </row>
    <row r="39" spans="1:20">
      <c r="B39" s="195" t="s">
        <v>1645</v>
      </c>
    </row>
    <row r="41" spans="1:20">
      <c r="A41" s="335" t="s">
        <v>1434</v>
      </c>
      <c r="B41" s="335" t="s">
        <v>1435</v>
      </c>
      <c r="C41" s="1714"/>
    </row>
    <row r="42" spans="1:20">
      <c r="A42" s="335" t="s">
        <v>1554</v>
      </c>
      <c r="B42" s="335" t="s">
        <v>1550</v>
      </c>
      <c r="C42" s="2196" t="s">
        <v>1442</v>
      </c>
    </row>
  </sheetData>
  <sheetProtection algorithmName="SHA-512" hashValue="dnRh09evBhUgIir0xMp1/+eoAS00gSx+CG4XKibYl9oxzg0Bz3m5JVBEEc4/xkL58i3wDxCddxf7vRen2wMhzg==" saltValue="gOaNQ6Rbpfwr1WsZ3qpumA==" spinCount="100000" sheet="1" objects="1" scenarios="1"/>
  <mergeCells count="6">
    <mergeCell ref="A6:B6"/>
    <mergeCell ref="C6:C7"/>
    <mergeCell ref="D6:D7"/>
    <mergeCell ref="A33:B33"/>
    <mergeCell ref="C33:C34"/>
    <mergeCell ref="D33:D34"/>
  </mergeCells>
  <pageMargins left="0.7" right="0.7" top="0.78740157499999996" bottom="0.78740157499999996" header="0.3" footer="0.3"/>
  <pageSetup paperSize="8" scale="62" orientation="landscape" r:id="rId1"/>
  <headerFooter>
    <oddHeader>&amp;LVDV SUN Jahresschlussrechnung JJJJ&amp;R&amp;F</oddHeader>
    <oddFooter>&amp;C&amp;P&amp;R&amp;A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39BD9-11DE-48B3-A430-C1C6D2F73AD5}">
  <sheetPr>
    <tabColor rgb="FF0070C0"/>
  </sheetPr>
  <dimension ref="A1:K115"/>
  <sheetViews>
    <sheetView showGridLines="0" view="pageBreakPreview" zoomScale="80" zoomScaleNormal="100" zoomScaleSheetLayoutView="80" zoomScalePageLayoutView="80" workbookViewId="0">
      <selection activeCell="K37" sqref="K37"/>
    </sheetView>
  </sheetViews>
  <sheetFormatPr baseColWidth="10" defaultColWidth="11.42578125" defaultRowHeight="12.75"/>
  <cols>
    <col min="1" max="1" width="59" style="195" customWidth="1"/>
    <col min="2" max="2" width="15.5703125" style="195" customWidth="1"/>
    <col min="3" max="3" width="20.140625" style="195" customWidth="1"/>
    <col min="4" max="4" width="24.140625" style="195" customWidth="1"/>
    <col min="5" max="5" width="25.7109375" style="195" customWidth="1"/>
    <col min="6" max="6" width="2.5703125" style="195" customWidth="1"/>
    <col min="7" max="7" width="15.28515625" style="195" customWidth="1"/>
    <col min="8" max="16384" width="11.42578125" style="195"/>
  </cols>
  <sheetData>
    <row r="1" spans="1:11" ht="18">
      <c r="A1" s="2272" t="s">
        <v>1458</v>
      </c>
      <c r="B1" s="254"/>
      <c r="C1" s="369"/>
      <c r="D1" s="369"/>
      <c r="E1" s="255"/>
      <c r="F1" s="255"/>
      <c r="G1" s="342" t="s">
        <v>1469</v>
      </c>
    </row>
    <row r="2" spans="1:11" ht="15">
      <c r="A2" s="256"/>
      <c r="B2" s="257"/>
      <c r="C2" s="344" t="s">
        <v>1683</v>
      </c>
      <c r="D2" s="345">
        <v>6.5</v>
      </c>
      <c r="E2" s="257"/>
      <c r="F2" s="257"/>
      <c r="G2" s="370"/>
      <c r="H2" s="3041" t="s">
        <v>1675</v>
      </c>
      <c r="I2" s="3042"/>
      <c r="J2" s="3042"/>
      <c r="K2" s="3042"/>
    </row>
    <row r="3" spans="1:11" ht="18">
      <c r="A3" s="258" t="s">
        <v>255</v>
      </c>
      <c r="B3" s="257"/>
      <c r="C3" s="257"/>
      <c r="D3" s="257"/>
      <c r="E3" s="370"/>
      <c r="F3" s="259" t="s">
        <v>256</v>
      </c>
      <c r="G3" s="371" t="str">
        <f>INHALT!$A$2&amp;" "&amp;INHALT!$B$2</f>
        <v>Monat JJJJ</v>
      </c>
      <c r="H3" s="3042"/>
      <c r="I3" s="3042"/>
      <c r="J3" s="3042"/>
      <c r="K3" s="3042"/>
    </row>
    <row r="4" spans="1:11">
      <c r="A4" s="369"/>
      <c r="B4" s="369"/>
      <c r="C4" s="369"/>
      <c r="D4" s="369"/>
      <c r="E4" s="369"/>
      <c r="F4" s="369"/>
      <c r="G4" s="372"/>
    </row>
    <row r="5" spans="1:11">
      <c r="A5" s="373" t="s">
        <v>257</v>
      </c>
      <c r="B5" s="373" t="s">
        <v>156</v>
      </c>
      <c r="C5" s="373" t="s">
        <v>258</v>
      </c>
      <c r="D5" s="373" t="s">
        <v>782</v>
      </c>
      <c r="E5" s="374" t="s">
        <v>201</v>
      </c>
      <c r="F5" s="3040"/>
      <c r="G5" s="3040"/>
    </row>
    <row r="6" spans="1:11" ht="6.75" customHeight="1" thickBot="1">
      <c r="A6" s="260"/>
      <c r="B6" s="260"/>
      <c r="C6" s="260"/>
      <c r="D6" s="260"/>
      <c r="E6" s="260"/>
      <c r="F6" s="257"/>
      <c r="G6" s="257"/>
    </row>
    <row r="7" spans="1:11" ht="16.5" thickBot="1">
      <c r="A7" s="261" t="s">
        <v>259</v>
      </c>
      <c r="B7" s="262"/>
      <c r="C7" s="262"/>
      <c r="D7" s="263"/>
      <c r="E7" s="264">
        <f>SUM(E9:E18)</f>
        <v>0</v>
      </c>
      <c r="F7" s="729"/>
      <c r="G7" s="730"/>
    </row>
    <row r="8" spans="1:11" ht="5.85" customHeight="1" thickBot="1">
      <c r="A8" s="266"/>
      <c r="B8" s="267"/>
      <c r="C8" s="268"/>
      <c r="D8" s="269"/>
      <c r="E8" s="270"/>
      <c r="F8" s="731"/>
      <c r="G8" s="732"/>
    </row>
    <row r="9" spans="1:11" ht="13.5" thickBot="1">
      <c r="A9" s="272" t="s">
        <v>260</v>
      </c>
      <c r="B9" s="273"/>
      <c r="C9" s="274" t="s">
        <v>261</v>
      </c>
      <c r="D9" s="275">
        <f>$D$2*-1</f>
        <v>-6.5</v>
      </c>
      <c r="E9" s="276">
        <f>ROUND(D9*B9,2)</f>
        <v>0</v>
      </c>
      <c r="F9" s="731"/>
      <c r="G9" s="732"/>
    </row>
    <row r="10" spans="1:11" ht="26.25" thickBot="1">
      <c r="A10" s="272" t="s">
        <v>1707</v>
      </c>
      <c r="B10" s="273"/>
      <c r="C10" s="277" t="s">
        <v>262</v>
      </c>
      <c r="D10" s="275">
        <f>$D$2*-1</f>
        <v>-6.5</v>
      </c>
      <c r="E10" s="276">
        <f>ROUND(D10*B10,2)</f>
        <v>0</v>
      </c>
      <c r="F10" s="731"/>
      <c r="G10" s="2975" t="s">
        <v>1708</v>
      </c>
    </row>
    <row r="11" spans="1:11" ht="6.75" customHeight="1" thickBot="1">
      <c r="A11" s="272"/>
      <c r="B11" s="278"/>
      <c r="C11" s="277"/>
      <c r="D11" s="275"/>
      <c r="E11" s="276"/>
      <c r="F11" s="731"/>
      <c r="G11" s="732"/>
    </row>
    <row r="12" spans="1:11" ht="7.5" customHeight="1" thickBot="1">
      <c r="A12" s="272"/>
      <c r="B12" s="278"/>
      <c r="C12" s="277"/>
      <c r="D12" s="275"/>
      <c r="E12" s="276"/>
      <c r="F12" s="731"/>
      <c r="G12" s="732"/>
    </row>
    <row r="13" spans="1:11" ht="13.5" thickBot="1">
      <c r="A13" s="279" t="s">
        <v>263</v>
      </c>
      <c r="B13" s="273"/>
      <c r="C13" s="274" t="s">
        <v>261</v>
      </c>
      <c r="D13" s="275">
        <v>4</v>
      </c>
      <c r="E13" s="276">
        <f>ROUND(D13*B13,2)</f>
        <v>0</v>
      </c>
      <c r="F13" s="731"/>
      <c r="G13" s="732"/>
    </row>
    <row r="14" spans="1:11" ht="12.75" customHeight="1" thickBot="1">
      <c r="A14" s="272" t="s">
        <v>264</v>
      </c>
      <c r="B14" s="273"/>
      <c r="C14" s="277" t="s">
        <v>262</v>
      </c>
      <c r="D14" s="275">
        <v>3.2</v>
      </c>
      <c r="E14" s="276">
        <f>ROUND(D14*B14,2)</f>
        <v>0</v>
      </c>
      <c r="F14" s="731"/>
      <c r="G14" s="732"/>
    </row>
    <row r="15" spans="1:11" ht="12.75" customHeight="1" thickBot="1">
      <c r="A15" s="1734" t="s">
        <v>1315</v>
      </c>
      <c r="B15" s="1735"/>
      <c r="C15" s="277" t="s">
        <v>262</v>
      </c>
      <c r="D15" s="275">
        <v>3.2</v>
      </c>
      <c r="E15" s="276">
        <f>ROUND(D15*B15,2)</f>
        <v>0</v>
      </c>
      <c r="F15" s="731"/>
      <c r="G15" s="732"/>
    </row>
    <row r="16" spans="1:11" ht="12.75" customHeight="1" thickBot="1">
      <c r="A16" s="272"/>
      <c r="B16" s="278"/>
      <c r="C16" s="274"/>
      <c r="D16" s="275"/>
      <c r="E16" s="276"/>
      <c r="F16" s="731"/>
      <c r="G16" s="732"/>
    </row>
    <row r="17" spans="1:7" ht="30" customHeight="1" thickBot="1">
      <c r="A17" s="1723" t="s">
        <v>1309</v>
      </c>
      <c r="B17" s="273"/>
      <c r="C17" s="274" t="s">
        <v>261</v>
      </c>
      <c r="D17" s="275">
        <v>-1</v>
      </c>
      <c r="E17" s="276">
        <f>ROUND(D17*B17,2)</f>
        <v>0</v>
      </c>
      <c r="F17" s="731"/>
      <c r="G17" s="732"/>
    </row>
    <row r="18" spans="1:7" ht="12.75" customHeight="1" thickBot="1">
      <c r="A18" s="272" t="s">
        <v>1308</v>
      </c>
      <c r="B18" s="273"/>
      <c r="C18" s="274" t="s">
        <v>261</v>
      </c>
      <c r="D18" s="275">
        <v>-1</v>
      </c>
      <c r="E18" s="276">
        <f>ROUND(D18*B18,2)</f>
        <v>0</v>
      </c>
      <c r="F18" s="729"/>
      <c r="G18" s="733"/>
    </row>
    <row r="19" spans="1:7" ht="5.85" customHeight="1" thickBot="1">
      <c r="A19" s="280"/>
      <c r="B19" s="281"/>
      <c r="C19" s="282"/>
      <c r="D19" s="283"/>
      <c r="E19" s="284"/>
      <c r="F19" s="731"/>
      <c r="G19" s="732"/>
    </row>
    <row r="20" spans="1:7" ht="16.5" thickBot="1">
      <c r="A20" s="261" t="s">
        <v>265</v>
      </c>
      <c r="B20" s="262"/>
      <c r="C20" s="262"/>
      <c r="D20" s="263"/>
      <c r="E20" s="264">
        <f>SUM(E22:E29)</f>
        <v>0</v>
      </c>
      <c r="F20" s="729"/>
      <c r="G20" s="730"/>
    </row>
    <row r="21" spans="1:7" ht="11.25" customHeight="1" thickBot="1">
      <c r="A21" s="2639" t="s">
        <v>1327</v>
      </c>
      <c r="B21" s="267"/>
      <c r="C21" s="268"/>
      <c r="D21" s="285" t="s">
        <v>266</v>
      </c>
      <c r="E21" s="270"/>
      <c r="F21" s="731"/>
      <c r="G21" s="732"/>
    </row>
    <row r="22" spans="1:7" ht="26.25" thickBot="1">
      <c r="A22" s="2653" t="str">
        <f>'1a_Leistungsvolumen'!A15&amp;" "&amp;'1a_Leistungsvolumen'!B15</f>
        <v>RB 50 Gemünden - Hammelburg - Bad Kissingen - Ebenhausen - Schweinfurt</v>
      </c>
      <c r="B22" s="689">
        <f>'2a_Linienpünktlichkeit '!$E$14</f>
        <v>99.485294117647058</v>
      </c>
      <c r="C22" s="2789" t="s">
        <v>278</v>
      </c>
      <c r="D22" s="286">
        <f>('1a_Leistungsvolumen'!$G$30-'7_Statistik Zugausfälle'!$P$39)*'0d_Zsfsg. BEG GA Los B'!$D$2</f>
        <v>442000</v>
      </c>
      <c r="E22" s="2224">
        <f>ROUND(IF($B$22&gt;95,0,IF($B$22&gt;85,(95-$B$22)*-0.005*$D$22,10*-0.005*$D$22)),2)</f>
        <v>0</v>
      </c>
      <c r="F22" s="734"/>
      <c r="G22" s="735"/>
    </row>
    <row r="23" spans="1:7" ht="13.5" customHeight="1" thickBot="1">
      <c r="A23" s="2653" t="str">
        <f>'1a_Leistungsvolumen'!A16&amp;" "&amp;'1a_Leistungsvolumen'!B16</f>
        <v>RB 59 Meiningen - Bad Neustadt - Ebenhausen - Schweinfurt</v>
      </c>
      <c r="B23" s="689">
        <f>'2a_Linienpünktlichkeit '!$E$15</f>
        <v>99.055118110236222</v>
      </c>
      <c r="C23" s="2789" t="s">
        <v>278</v>
      </c>
      <c r="D23" s="286">
        <f>('1a_Leistungsvolumen'!$G$31-'7_Statistik Zugausfälle'!$P$42)*'0d_Zsfsg. BEG GA Los B'!$D$2</f>
        <v>65000</v>
      </c>
      <c r="E23" s="2224">
        <f>ROUND(IF($B$23&gt;95,0,IF($B$23&gt;85,(95-$B$23)*-0.005*$D$23,10*-0.005*$D$23)),2)</f>
        <v>0</v>
      </c>
      <c r="F23" s="734"/>
      <c r="G23" s="735"/>
    </row>
    <row r="24" spans="1:7" ht="13.5" customHeight="1" thickBot="1">
      <c r="A24" s="2829" t="s">
        <v>792</v>
      </c>
      <c r="B24" s="689"/>
      <c r="C24" s="2821"/>
      <c r="D24" s="2832"/>
      <c r="E24" s="2225"/>
      <c r="F24" s="734"/>
      <c r="G24" s="735"/>
    </row>
    <row r="25" spans="1:7" ht="13.5" customHeight="1" thickBot="1">
      <c r="A25" s="2653"/>
      <c r="B25" s="689"/>
      <c r="C25" s="2821"/>
      <c r="D25" s="2832"/>
      <c r="E25" s="2225"/>
      <c r="F25" s="734"/>
      <c r="G25" s="735"/>
    </row>
    <row r="26" spans="1:7" ht="13.5" customHeight="1" thickBot="1">
      <c r="A26" s="369"/>
      <c r="B26" s="689"/>
      <c r="C26" s="2821"/>
      <c r="D26" s="2833"/>
      <c r="E26" s="2225"/>
      <c r="F26" s="734"/>
      <c r="G26" s="735"/>
    </row>
    <row r="27" spans="1:7" ht="13.5" customHeight="1" thickBot="1">
      <c r="A27" s="2653"/>
      <c r="B27" s="689"/>
      <c r="C27" s="2821"/>
      <c r="D27" s="2832"/>
      <c r="E27" s="2225"/>
      <c r="F27" s="734"/>
      <c r="G27" s="735"/>
    </row>
    <row r="28" spans="1:7" ht="4.5" customHeight="1" thickBot="1">
      <c r="B28" s="689"/>
      <c r="C28" s="274"/>
      <c r="D28" s="286"/>
      <c r="E28" s="276"/>
      <c r="F28" s="734"/>
      <c r="G28" s="735"/>
    </row>
    <row r="29" spans="1:7" ht="4.5" customHeight="1" thickBot="1">
      <c r="A29" s="272" t="str">
        <f>'1a_Leistungsvolumen'!A17&amp;" "&amp;'1a_Leistungsvolumen'!B17</f>
        <v xml:space="preserve"> </v>
      </c>
      <c r="B29" s="689"/>
      <c r="C29" s="274"/>
      <c r="D29" s="286"/>
      <c r="E29" s="276"/>
      <c r="F29" s="734"/>
      <c r="G29" s="735"/>
    </row>
    <row r="30" spans="1:7" ht="5.85" customHeight="1" thickBot="1">
      <c r="A30" s="287"/>
      <c r="B30" s="288"/>
      <c r="C30" s="289"/>
      <c r="D30" s="290"/>
      <c r="E30" s="271"/>
      <c r="F30" s="731"/>
      <c r="G30" s="732"/>
    </row>
    <row r="31" spans="1:7" ht="16.5" thickBot="1">
      <c r="A31" s="261" t="s">
        <v>1347</v>
      </c>
      <c r="B31" s="262"/>
      <c r="C31" s="262"/>
      <c r="D31" s="263"/>
      <c r="E31" s="264">
        <f>SUM(E33:E34)</f>
        <v>0</v>
      </c>
      <c r="F31" s="729"/>
      <c r="G31" s="730"/>
    </row>
    <row r="32" spans="1:7" ht="5.85" customHeight="1" thickBot="1">
      <c r="A32" s="287"/>
      <c r="B32" s="288"/>
      <c r="C32" s="289"/>
      <c r="D32" s="290"/>
      <c r="E32" s="271"/>
      <c r="F32" s="731"/>
      <c r="G32" s="728"/>
    </row>
    <row r="33" spans="1:7" ht="13.5" thickBot="1">
      <c r="A33" s="272" t="s">
        <v>691</v>
      </c>
      <c r="B33" s="273">
        <f>'1b_Mehr_Zusatzleistungen'!$B$13</f>
        <v>0</v>
      </c>
      <c r="C33" s="274" t="s">
        <v>261</v>
      </c>
      <c r="D33" s="275"/>
      <c r="E33" s="276">
        <f>'1b_Mehr_Zusatzleistungen'!$C$13</f>
        <v>0</v>
      </c>
      <c r="F33" s="729"/>
      <c r="G33" s="736"/>
    </row>
    <row r="34" spans="1:7" ht="13.5" thickBot="1">
      <c r="A34" s="287" t="s">
        <v>1339</v>
      </c>
      <c r="B34" s="273">
        <f>'1b_Mehr_Zusatzleistungen'!$B$14</f>
        <v>0</v>
      </c>
      <c r="C34" s="289" t="s">
        <v>261</v>
      </c>
      <c r="D34" s="290"/>
      <c r="E34" s="271">
        <f>'1b_Mehr_Zusatzleistungen'!$C$14</f>
        <v>0</v>
      </c>
      <c r="F34" s="731"/>
      <c r="G34" s="728"/>
    </row>
    <row r="35" spans="1:7" ht="16.5" thickBot="1">
      <c r="A35" s="261" t="s">
        <v>267</v>
      </c>
      <c r="B35" s="262"/>
      <c r="C35" s="262"/>
      <c r="D35" s="263"/>
      <c r="E35" s="264">
        <f>E37</f>
        <v>-403.5</v>
      </c>
      <c r="F35" s="729"/>
      <c r="G35" s="730"/>
    </row>
    <row r="36" spans="1:7" ht="5.85" customHeight="1" thickBot="1">
      <c r="A36" s="266"/>
      <c r="B36" s="292"/>
      <c r="C36" s="268"/>
      <c r="D36" s="269"/>
      <c r="E36" s="270"/>
      <c r="F36" s="731"/>
      <c r="G36" s="728"/>
    </row>
    <row r="37" spans="1:7" ht="13.5" thickBot="1">
      <c r="A37" s="272" t="s">
        <v>268</v>
      </c>
      <c r="B37" s="273">
        <f>'9_Statistik Zugbildung'!$I$5</f>
        <v>269</v>
      </c>
      <c r="C37" s="274" t="s">
        <v>261</v>
      </c>
      <c r="D37" s="341">
        <v>-1.5</v>
      </c>
      <c r="E37" s="276">
        <f>ROUND($D$37*B37,2)</f>
        <v>-403.5</v>
      </c>
      <c r="F37" s="731"/>
      <c r="G37" s="728"/>
    </row>
    <row r="38" spans="1:7" ht="5.85" customHeight="1" thickBot="1">
      <c r="A38" s="280"/>
      <c r="B38" s="281"/>
      <c r="C38" s="282"/>
      <c r="D38" s="283"/>
      <c r="E38" s="284"/>
      <c r="F38" s="731"/>
      <c r="G38" s="728"/>
    </row>
    <row r="39" spans="1:7" ht="30.75" thickBot="1">
      <c r="A39" s="261" t="s">
        <v>1262</v>
      </c>
      <c r="B39" s="262"/>
      <c r="C39" s="262"/>
      <c r="D39" s="263"/>
      <c r="E39" s="264">
        <f>SUM(E41:E44)</f>
        <v>-375.46198858946116</v>
      </c>
      <c r="F39" s="729"/>
      <c r="G39" s="730"/>
    </row>
    <row r="40" spans="1:7" ht="5.85" customHeight="1" thickBot="1">
      <c r="A40" s="294"/>
      <c r="B40" s="295"/>
      <c r="C40" s="296"/>
      <c r="D40" s="529"/>
      <c r="E40" s="297"/>
      <c r="F40" s="731"/>
      <c r="G40" s="728"/>
    </row>
    <row r="41" spans="1:7" ht="13.5" thickBot="1">
      <c r="A41" s="298" t="s">
        <v>1263</v>
      </c>
      <c r="B41" s="273">
        <f>'19a_Statistik_Kundenbetreuer '!$I$5</f>
        <v>0</v>
      </c>
      <c r="C41" s="527" t="s">
        <v>261</v>
      </c>
      <c r="D41" s="530">
        <v>-1</v>
      </c>
      <c r="E41" s="528">
        <f>ROUND($D$41*B41,2)</f>
        <v>0</v>
      </c>
      <c r="F41" s="731"/>
      <c r="G41" s="728"/>
    </row>
    <row r="42" spans="1:7" ht="13.5" thickBot="1">
      <c r="A42" s="1650" t="s">
        <v>1264</v>
      </c>
      <c r="B42" s="1651"/>
      <c r="C42" s="1652"/>
      <c r="D42" s="530">
        <v>-1</v>
      </c>
      <c r="E42" s="2840">
        <f>-'20_Statistik SiP'!$I$7</f>
        <v>-214.82472858946116</v>
      </c>
      <c r="F42" s="731"/>
      <c r="G42" s="728"/>
    </row>
    <row r="43" spans="1:7" ht="13.5" thickBot="1">
      <c r="A43" s="1650" t="s">
        <v>1265</v>
      </c>
      <c r="B43" s="1654"/>
      <c r="C43" s="1652"/>
      <c r="D43" s="530"/>
      <c r="E43" s="1653">
        <f>-'19b_Aufgaben Zugpersonal'!$J$11</f>
        <v>-160.63726000000003</v>
      </c>
      <c r="F43" s="731"/>
      <c r="G43" s="728"/>
    </row>
    <row r="44" spans="1:7" ht="13.5" thickBot="1">
      <c r="A44" s="532" t="s">
        <v>495</v>
      </c>
      <c r="B44" s="690"/>
      <c r="C44" s="526"/>
      <c r="D44" s="531"/>
      <c r="E44" s="746">
        <f>'22_zusätzl. Personale'!$H$8</f>
        <v>0</v>
      </c>
      <c r="F44" s="731"/>
      <c r="G44" s="728"/>
    </row>
    <row r="45" spans="1:7" ht="5.85" customHeight="1" thickBot="1">
      <c r="A45" s="299"/>
      <c r="B45" s="300"/>
      <c r="C45" s="301"/>
      <c r="D45" s="302"/>
      <c r="E45" s="303"/>
      <c r="F45" s="731"/>
      <c r="G45" s="728"/>
    </row>
    <row r="46" spans="1:7" ht="16.5" thickBot="1">
      <c r="A46" s="261" t="s">
        <v>280</v>
      </c>
      <c r="B46" s="262"/>
      <c r="C46" s="262"/>
      <c r="D46" s="263"/>
      <c r="E46" s="264">
        <f>SUM(E48:E49)</f>
        <v>-367.17088000000001</v>
      </c>
      <c r="F46" s="737"/>
      <c r="G46" s="730"/>
    </row>
    <row r="47" spans="1:7" ht="5.85" customHeight="1" thickBot="1">
      <c r="A47" s="266"/>
      <c r="B47" s="304"/>
      <c r="C47" s="268"/>
      <c r="D47" s="305"/>
      <c r="E47" s="270"/>
      <c r="F47" s="727"/>
      <c r="G47" s="728"/>
    </row>
    <row r="48" spans="1:7" ht="13.5" thickBot="1">
      <c r="A48" s="272" t="s">
        <v>269</v>
      </c>
      <c r="B48" s="1814">
        <f>'23a_Schäden an Fahrzeugen'!$D$9</f>
        <v>1</v>
      </c>
      <c r="C48" s="293" t="s">
        <v>1685</v>
      </c>
      <c r="D48" s="349">
        <v>-100</v>
      </c>
      <c r="E48" s="2831">
        <f>-'23a_Schäden an Fahrzeugen'!$I$7</f>
        <v>-344.22270000000003</v>
      </c>
      <c r="F48" s="727"/>
      <c r="G48" s="728"/>
    </row>
    <row r="49" spans="1:7" ht="13.5" thickBot="1">
      <c r="A49" s="272" t="s">
        <v>270</v>
      </c>
      <c r="B49" s="1814">
        <f>'23a_Schäden an Fahrzeugen'!$D$6</f>
        <v>3</v>
      </c>
      <c r="C49" s="343" t="s">
        <v>1685</v>
      </c>
      <c r="D49" s="349">
        <v>-500</v>
      </c>
      <c r="E49" s="2831">
        <f>-'23a_Schäden an Fahrzeugen'!$I$10</f>
        <v>-22.948180000000001</v>
      </c>
      <c r="F49" s="727"/>
      <c r="G49" s="728"/>
    </row>
    <row r="50" spans="1:7" ht="13.5" customHeight="1">
      <c r="A50" s="747" t="s">
        <v>1684</v>
      </c>
      <c r="B50" s="534">
        <f>'23a_Schäden an Fahrzeugen'!$D$12</f>
        <v>21</v>
      </c>
      <c r="C50" s="535" t="s">
        <v>1685</v>
      </c>
      <c r="D50" s="535"/>
      <c r="E50" s="2842">
        <f>-'23a_Schäden an Fahrzeugen'!$I$13</f>
        <v>-240.95589000000001</v>
      </c>
      <c r="F50" s="727"/>
      <c r="G50" s="728"/>
    </row>
    <row r="51" spans="1:7" ht="5.85" customHeight="1" thickBot="1">
      <c r="A51" s="747"/>
      <c r="B51" s="534"/>
      <c r="C51" s="535"/>
      <c r="D51" s="535"/>
      <c r="E51" s="748"/>
      <c r="F51" s="727"/>
      <c r="G51" s="728"/>
    </row>
    <row r="52" spans="1:7" ht="16.5" customHeight="1" thickBot="1">
      <c r="A52" s="261" t="s">
        <v>492</v>
      </c>
      <c r="B52" s="262"/>
      <c r="C52" s="262"/>
      <c r="D52" s="263"/>
      <c r="E52" s="264">
        <f>SUM(E55:E58)</f>
        <v>-344.22270000000003</v>
      </c>
      <c r="F52" s="737"/>
      <c r="G52" s="730"/>
    </row>
    <row r="53" spans="1:7" ht="5.85" customHeight="1" thickBot="1">
      <c r="A53" s="266"/>
      <c r="B53" s="304"/>
      <c r="C53" s="268"/>
      <c r="D53" s="305"/>
      <c r="E53" s="270"/>
      <c r="F53" s="731"/>
      <c r="G53" s="728"/>
    </row>
    <row r="54" spans="1:7" ht="6.75" customHeight="1" thickBot="1">
      <c r="A54" s="539"/>
      <c r="B54" s="536"/>
      <c r="C54" s="533"/>
      <c r="D54" s="537"/>
      <c r="E54" s="297"/>
      <c r="F54" s="731"/>
      <c r="G54" s="728"/>
    </row>
    <row r="55" spans="1:7" ht="13.5" customHeight="1" thickBot="1">
      <c r="A55" s="272" t="s">
        <v>749</v>
      </c>
      <c r="B55" s="1814"/>
      <c r="C55" s="293" t="s">
        <v>493</v>
      </c>
      <c r="D55" s="538">
        <v>-300</v>
      </c>
      <c r="E55" s="2846">
        <f>-'24_Außenreinigung'!N8</f>
        <v>-275.37816000000004</v>
      </c>
      <c r="F55" s="731"/>
      <c r="G55" s="728"/>
    </row>
    <row r="56" spans="1:7" ht="13.5" customHeight="1" thickBot="1">
      <c r="A56" s="272" t="s">
        <v>750</v>
      </c>
      <c r="B56" s="1814"/>
      <c r="C56" s="293" t="s">
        <v>493</v>
      </c>
      <c r="D56" s="538">
        <v>-300</v>
      </c>
      <c r="E56" s="2831">
        <f>-'25_Innenreinigung'!M8</f>
        <v>-68.844540000000009</v>
      </c>
      <c r="F56" s="731"/>
      <c r="G56" s="728"/>
    </row>
    <row r="57" spans="1:7" ht="6" customHeight="1" thickBot="1">
      <c r="A57" s="272"/>
      <c r="B57" s="524"/>
      <c r="C57" s="293"/>
      <c r="D57" s="538"/>
      <c r="E57" s="276"/>
      <c r="F57" s="731"/>
      <c r="G57" s="728"/>
    </row>
    <row r="58" spans="1:7" ht="7.5" customHeight="1" thickBot="1">
      <c r="A58" s="272"/>
      <c r="B58" s="524"/>
      <c r="C58" s="343"/>
      <c r="D58" s="538"/>
      <c r="E58" s="276"/>
      <c r="F58" s="731"/>
      <c r="G58" s="728"/>
    </row>
    <row r="59" spans="1:7" ht="5.85" customHeight="1" thickBot="1">
      <c r="A59" s="361"/>
      <c r="B59" s="362"/>
      <c r="C59" s="363"/>
      <c r="D59" s="364"/>
      <c r="E59" s="365"/>
      <c r="F59" s="731"/>
      <c r="G59" s="728"/>
    </row>
    <row r="60" spans="1:7" ht="16.5" thickBot="1">
      <c r="A60" s="261" t="s">
        <v>490</v>
      </c>
      <c r="B60" s="262"/>
      <c r="C60" s="262"/>
      <c r="D60" s="262"/>
      <c r="E60" s="264">
        <f>SUM(E62:E67)</f>
        <v>0</v>
      </c>
      <c r="F60" s="729"/>
      <c r="G60" s="730"/>
    </row>
    <row r="61" spans="1:7" ht="5.85" customHeight="1" thickBot="1">
      <c r="A61" s="266"/>
      <c r="B61" s="267"/>
      <c r="C61" s="268"/>
      <c r="D61" s="305"/>
      <c r="E61" s="270"/>
      <c r="F61" s="731"/>
      <c r="G61" s="728"/>
    </row>
    <row r="62" spans="1:7" ht="13.5" thickBot="1">
      <c r="A62" s="307" t="s">
        <v>501</v>
      </c>
      <c r="B62" s="1814"/>
      <c r="C62" s="293" t="s">
        <v>271</v>
      </c>
      <c r="D62" s="349">
        <v>-300</v>
      </c>
      <c r="E62" s="276">
        <f>ROUND($D$62*B62,2)</f>
        <v>0</v>
      </c>
      <c r="F62" s="738"/>
      <c r="G62" s="732"/>
    </row>
    <row r="63" spans="1:7" ht="13.5" thickBot="1">
      <c r="A63" s="308" t="s">
        <v>502</v>
      </c>
      <c r="B63" s="1814"/>
      <c r="C63" s="309" t="s">
        <v>272</v>
      </c>
      <c r="D63" s="350">
        <v>-30</v>
      </c>
      <c r="E63" s="276">
        <f>ROUND($D$63*B63,2)</f>
        <v>0</v>
      </c>
      <c r="F63" s="738"/>
      <c r="G63" s="732"/>
    </row>
    <row r="64" spans="1:7" ht="13.5" thickBot="1">
      <c r="A64" s="308" t="s">
        <v>273</v>
      </c>
      <c r="B64" s="1814"/>
      <c r="C64" s="293" t="s">
        <v>271</v>
      </c>
      <c r="D64" s="351">
        <v>-100</v>
      </c>
      <c r="E64" s="276">
        <f>ROUND($D$64*B64,2)</f>
        <v>0</v>
      </c>
      <c r="F64" s="738"/>
      <c r="G64" s="732"/>
    </row>
    <row r="65" spans="1:7" ht="13.5" thickBot="1">
      <c r="A65" s="308" t="s">
        <v>1243</v>
      </c>
      <c r="B65" s="1814"/>
      <c r="C65" s="293" t="s">
        <v>271</v>
      </c>
      <c r="D65" s="351">
        <v>-100</v>
      </c>
      <c r="E65" s="276">
        <f>ROUND($D$65*B65,2)</f>
        <v>0</v>
      </c>
      <c r="F65" s="738"/>
      <c r="G65" s="732"/>
    </row>
    <row r="66" spans="1:7" ht="13.5" thickBot="1">
      <c r="A66" s="308" t="s">
        <v>689</v>
      </c>
      <c r="B66" s="1814"/>
      <c r="C66" s="293" t="s">
        <v>271</v>
      </c>
      <c r="D66" s="351">
        <v>-30</v>
      </c>
      <c r="E66" s="276">
        <f>ROUND($D$66*B66,2)</f>
        <v>0</v>
      </c>
      <c r="F66" s="738"/>
      <c r="G66" s="732"/>
    </row>
    <row r="67" spans="1:7" ht="5.85" customHeight="1" thickBot="1">
      <c r="A67" s="355"/>
      <c r="B67" s="1815"/>
      <c r="C67" s="357"/>
      <c r="D67" s="358"/>
      <c r="E67" s="359"/>
      <c r="F67" s="739"/>
      <c r="G67" s="740"/>
    </row>
    <row r="68" spans="1:7" ht="16.5" thickBot="1">
      <c r="A68" s="261" t="s">
        <v>491</v>
      </c>
      <c r="B68" s="311"/>
      <c r="C68" s="311"/>
      <c r="D68" s="311"/>
      <c r="E68" s="264">
        <f>SUM(E71:E83)</f>
        <v>0</v>
      </c>
      <c r="F68" s="741"/>
      <c r="G68" s="730"/>
    </row>
    <row r="69" spans="1:7" ht="11.25" customHeight="1" thickBot="1">
      <c r="A69" s="2640" t="s">
        <v>1327</v>
      </c>
      <c r="B69" s="312"/>
      <c r="C69" s="313"/>
      <c r="D69" s="314"/>
      <c r="E69" s="315"/>
      <c r="F69" s="742"/>
      <c r="G69" s="728"/>
    </row>
    <row r="70" spans="1:7" ht="13.5" thickBot="1">
      <c r="A70" s="316" t="s">
        <v>285</v>
      </c>
      <c r="B70" s="317"/>
      <c r="C70" s="289"/>
      <c r="D70" s="318"/>
      <c r="E70" s="271"/>
      <c r="F70" s="742"/>
      <c r="G70" s="728"/>
    </row>
    <row r="71" spans="1:7" ht="26.25" thickBot="1">
      <c r="A71" s="2653" t="str">
        <f t="shared" ref="A71:A72" si="0">A22</f>
        <v>RB 50 Gemünden - Hammelburg - Bad Kissingen - Ebenhausen - Schweinfurt</v>
      </c>
      <c r="B71" s="691"/>
      <c r="C71" s="274" t="s">
        <v>278</v>
      </c>
      <c r="D71" s="354">
        <f>ROUND(-100,2)</f>
        <v>-100</v>
      </c>
      <c r="E71" s="276">
        <f>ROUND($D$71*B71,2)</f>
        <v>0</v>
      </c>
      <c r="F71" s="738"/>
      <c r="G71" s="732"/>
    </row>
    <row r="72" spans="1:7" ht="13.5" thickBot="1">
      <c r="A72" s="2653" t="str">
        <f t="shared" si="0"/>
        <v>RB 59 Meiningen - Bad Neustadt - Ebenhausen - Schweinfurt</v>
      </c>
      <c r="B72" s="691"/>
      <c r="C72" s="274" t="s">
        <v>278</v>
      </c>
      <c r="D72" s="354">
        <f t="shared" ref="D72" si="1">ROUND(-100,2)</f>
        <v>-100</v>
      </c>
      <c r="E72" s="276">
        <f>ROUND($D$72*B72,2)</f>
        <v>0</v>
      </c>
      <c r="F72" s="738"/>
      <c r="G72" s="732"/>
    </row>
    <row r="73" spans="1:7" ht="13.5" thickBot="1">
      <c r="A73" s="2829" t="s">
        <v>792</v>
      </c>
      <c r="B73" s="691"/>
      <c r="C73" s="274"/>
      <c r="D73" s="354"/>
      <c r="E73" s="276"/>
      <c r="F73" s="738"/>
      <c r="G73" s="732"/>
    </row>
    <row r="74" spans="1:7" ht="13.5" thickBot="1">
      <c r="A74" s="2653"/>
      <c r="B74" s="691"/>
      <c r="C74" s="274"/>
      <c r="D74" s="354"/>
      <c r="E74" s="276"/>
      <c r="F74" s="738"/>
      <c r="G74" s="732"/>
    </row>
    <row r="75" spans="1:7" ht="13.5" thickBot="1">
      <c r="A75" s="2653"/>
      <c r="B75" s="691"/>
      <c r="C75" s="274"/>
      <c r="D75" s="354"/>
      <c r="E75" s="276"/>
      <c r="F75" s="738"/>
      <c r="G75" s="732"/>
    </row>
    <row r="76" spans="1:7" ht="13.5" thickBot="1">
      <c r="A76" s="2653"/>
      <c r="B76" s="691"/>
      <c r="C76" s="274"/>
      <c r="D76" s="354"/>
      <c r="E76" s="276"/>
      <c r="F76" s="738"/>
      <c r="G76" s="732"/>
    </row>
    <row r="77" spans="1:7" ht="13.5" thickBot="1">
      <c r="A77" s="272"/>
      <c r="B77" s="691"/>
      <c r="C77" s="274"/>
      <c r="D77" s="354"/>
      <c r="E77" s="276"/>
      <c r="F77" s="738"/>
      <c r="G77" s="732"/>
    </row>
    <row r="78" spans="1:7" ht="13.5" thickBot="1">
      <c r="A78" s="321" t="s">
        <v>274</v>
      </c>
      <c r="B78" s="691"/>
      <c r="C78" s="274"/>
      <c r="D78" s="354"/>
      <c r="E78" s="276"/>
      <c r="F78" s="738"/>
      <c r="G78" s="732"/>
    </row>
    <row r="79" spans="1:7" ht="5.85" customHeight="1" thickBot="1">
      <c r="A79" s="272"/>
      <c r="B79" s="319"/>
      <c r="C79" s="289"/>
      <c r="D79" s="320"/>
      <c r="E79" s="271"/>
      <c r="F79" s="731"/>
      <c r="G79" s="728"/>
    </row>
    <row r="80" spans="1:7" ht="11.25" customHeight="1" thickBot="1">
      <c r="A80" s="2655" t="s">
        <v>1327</v>
      </c>
      <c r="B80" s="319"/>
      <c r="C80" s="289"/>
      <c r="D80" s="320"/>
      <c r="E80" s="271"/>
      <c r="F80" s="731"/>
      <c r="G80" s="728"/>
    </row>
    <row r="81" spans="1:7" ht="13.5" thickBot="1">
      <c r="A81" s="323" t="s">
        <v>174</v>
      </c>
      <c r="B81" s="942"/>
      <c r="C81" s="301"/>
      <c r="D81" s="322"/>
      <c r="E81" s="2822"/>
      <c r="F81" s="731"/>
      <c r="G81" s="728"/>
    </row>
    <row r="82" spans="1:7" ht="13.5" thickBot="1">
      <c r="A82" s="325" t="s">
        <v>161</v>
      </c>
      <c r="B82" s="306"/>
      <c r="C82" s="324"/>
      <c r="D82" s="310"/>
      <c r="E82" s="2823"/>
      <c r="F82" s="743"/>
      <c r="G82" s="732"/>
    </row>
    <row r="83" spans="1:7" ht="13.5" thickBot="1">
      <c r="A83" s="1660"/>
      <c r="B83" s="1661"/>
      <c r="C83" s="324"/>
      <c r="D83" s="310"/>
      <c r="E83" s="2824"/>
      <c r="F83" s="743"/>
      <c r="G83" s="732"/>
    </row>
    <row r="84" spans="1:7" ht="13.5" thickBot="1">
      <c r="A84" s="1656"/>
      <c r="B84" s="1657"/>
      <c r="C84" s="324"/>
      <c r="D84" s="310"/>
      <c r="E84" s="2825"/>
      <c r="F84" s="743"/>
      <c r="G84" s="732"/>
    </row>
    <row r="85" spans="1:7" ht="5.85" customHeight="1" thickBot="1">
      <c r="A85" s="326"/>
      <c r="B85" s="327"/>
      <c r="C85" s="328"/>
      <c r="D85" s="329"/>
      <c r="E85" s="359"/>
      <c r="F85" s="731"/>
      <c r="G85" s="728"/>
    </row>
    <row r="86" spans="1:7" ht="15.75" customHeight="1" thickBot="1">
      <c r="A86" s="330" t="s">
        <v>275</v>
      </c>
      <c r="B86" s="331"/>
      <c r="C86" s="332"/>
      <c r="D86" s="332"/>
      <c r="E86" s="1655">
        <f>E68+E60+E52+E46+E39+E35+E31+E20+E7</f>
        <v>-1490.3555685894612</v>
      </c>
      <c r="F86" s="744"/>
      <c r="G86" s="730"/>
    </row>
    <row r="87" spans="1:7" ht="13.5" thickBot="1">
      <c r="A87" s="369"/>
      <c r="B87" s="369"/>
      <c r="C87" s="369"/>
      <c r="D87" s="369"/>
      <c r="E87" s="369"/>
      <c r="F87" s="333"/>
      <c r="G87" s="369"/>
    </row>
    <row r="88" spans="1:7" ht="16.5" thickBot="1">
      <c r="A88" s="261" t="s">
        <v>474</v>
      </c>
      <c r="B88" s="262"/>
      <c r="C88" s="262"/>
      <c r="D88" s="262"/>
      <c r="E88" s="265"/>
      <c r="F88" s="729"/>
    </row>
    <row r="89" spans="1:7" ht="6" customHeight="1" thickBot="1">
      <c r="A89" s="266"/>
      <c r="B89" s="267"/>
      <c r="C89" s="268"/>
      <c r="D89" s="305"/>
      <c r="E89" s="291"/>
      <c r="F89" s="731"/>
    </row>
    <row r="90" spans="1:7" ht="13.5" thickBot="1">
      <c r="A90" s="307" t="s">
        <v>487</v>
      </c>
      <c r="B90" s="524"/>
      <c r="C90" s="293"/>
      <c r="D90" s="349"/>
      <c r="E90" s="271">
        <f>'29_Infrastrukturkosten'!T14</f>
        <v>0</v>
      </c>
      <c r="F90" s="731"/>
    </row>
    <row r="91" spans="1:7" ht="13.5" thickBot="1">
      <c r="A91" s="308" t="s">
        <v>486</v>
      </c>
      <c r="B91" s="525"/>
      <c r="C91" s="309"/>
      <c r="D91" s="350"/>
      <c r="E91" s="271">
        <f>'29_Infrastrukturkosten'!T23</f>
        <v>0</v>
      </c>
      <c r="F91" s="731"/>
    </row>
    <row r="92" spans="1:7" ht="6" customHeight="1" thickBot="1">
      <c r="A92" s="355"/>
      <c r="B92" s="356"/>
      <c r="C92" s="357"/>
      <c r="D92" s="358"/>
      <c r="E92" s="360"/>
      <c r="F92" s="745"/>
    </row>
    <row r="93" spans="1:7" ht="16.5" thickBot="1">
      <c r="A93" s="330" t="s">
        <v>488</v>
      </c>
      <c r="B93" s="331"/>
      <c r="C93" s="332"/>
      <c r="D93" s="332"/>
      <c r="E93" s="346">
        <f>SUM(E90:E92)*-1</f>
        <v>0</v>
      </c>
      <c r="F93" s="744"/>
    </row>
    <row r="94" spans="1:7" ht="18">
      <c r="A94" s="334"/>
      <c r="B94" s="369"/>
      <c r="C94" s="369"/>
      <c r="D94" s="369"/>
      <c r="E94" s="369"/>
      <c r="F94" s="744"/>
      <c r="G94" s="369"/>
    </row>
    <row r="95" spans="1:7" ht="18">
      <c r="A95" s="334" t="s">
        <v>1503</v>
      </c>
      <c r="B95" s="335"/>
      <c r="C95" s="243"/>
      <c r="F95" s="333"/>
      <c r="G95" s="333"/>
    </row>
    <row r="96" spans="1:7">
      <c r="A96" s="376"/>
      <c r="B96" s="335"/>
      <c r="C96" s="243"/>
      <c r="D96" s="375"/>
      <c r="E96" s="333"/>
      <c r="F96" s="333"/>
      <c r="G96" s="333"/>
    </row>
    <row r="97" spans="1:7" ht="15">
      <c r="A97" s="377" t="s">
        <v>284</v>
      </c>
      <c r="B97" s="378"/>
      <c r="C97" s="379">
        <f>'1a_Leistungsvolumen'!$F$103</f>
        <v>0</v>
      </c>
      <c r="D97" s="375"/>
      <c r="E97" s="380"/>
      <c r="F97" s="333"/>
      <c r="G97" s="333"/>
    </row>
    <row r="98" spans="1:7" ht="15">
      <c r="A98" s="377" t="s">
        <v>793</v>
      </c>
      <c r="B98" s="381"/>
      <c r="C98" s="379">
        <f>E86</f>
        <v>-1490.3555685894612</v>
      </c>
      <c r="D98" s="375"/>
      <c r="E98" s="382"/>
      <c r="F98" s="333"/>
      <c r="G98" s="333"/>
    </row>
    <row r="99" spans="1:7" ht="15">
      <c r="A99" s="377" t="s">
        <v>794</v>
      </c>
      <c r="B99" s="381"/>
      <c r="C99" s="379">
        <f>E93</f>
        <v>0</v>
      </c>
      <c r="D99" s="375"/>
      <c r="E99" s="382"/>
      <c r="F99" s="333"/>
      <c r="G99" s="333"/>
    </row>
    <row r="100" spans="1:7" ht="15.75" thickBot="1">
      <c r="A100" s="383" t="str">
        <f>"Rate "&amp;G3&amp;":"</f>
        <v>Rate Monat JJJJ:</v>
      </c>
      <c r="B100" s="370"/>
      <c r="C100" s="384">
        <f>SUM(C97:C99)</f>
        <v>-1490.3555685894612</v>
      </c>
      <c r="D100" s="375"/>
      <c r="E100" s="333"/>
      <c r="F100" s="333"/>
      <c r="G100" s="333"/>
    </row>
    <row r="101" spans="1:7" ht="15.75" thickTop="1">
      <c r="A101" s="336"/>
      <c r="B101" s="337"/>
      <c r="C101" s="338"/>
      <c r="D101" s="338"/>
      <c r="E101" s="339"/>
      <c r="F101" s="339"/>
      <c r="G101" s="339"/>
    </row>
    <row r="102" spans="1:7">
      <c r="A102" s="369"/>
      <c r="B102" s="369"/>
      <c r="C102" s="369"/>
      <c r="D102" s="369"/>
      <c r="E102" s="369"/>
      <c r="F102" s="369"/>
      <c r="G102" s="369"/>
    </row>
    <row r="103" spans="1:7">
      <c r="A103" s="194" t="s">
        <v>219</v>
      </c>
      <c r="B103" s="2844" t="s">
        <v>224</v>
      </c>
      <c r="C103" s="2844"/>
      <c r="D103" s="2845"/>
      <c r="E103" s="2845"/>
      <c r="F103" s="369"/>
      <c r="G103" s="369"/>
    </row>
    <row r="104" spans="1:7">
      <c r="B104" s="2844" t="s">
        <v>1645</v>
      </c>
      <c r="C104" s="2844"/>
      <c r="D104" s="2845"/>
      <c r="E104" s="2845"/>
      <c r="F104" s="369"/>
      <c r="G104" s="369"/>
    </row>
    <row r="105" spans="1:7">
      <c r="D105" s="369"/>
      <c r="E105" s="369"/>
      <c r="F105" s="369"/>
      <c r="G105" s="369"/>
    </row>
    <row r="106" spans="1:7">
      <c r="A106" s="2267" t="s">
        <v>1434</v>
      </c>
      <c r="B106" s="2267" t="s">
        <v>1435</v>
      </c>
      <c r="C106"/>
      <c r="D106" s="369"/>
      <c r="E106" s="369"/>
      <c r="F106" s="369"/>
      <c r="G106" s="369"/>
    </row>
    <row r="107" spans="1:7">
      <c r="A107" s="2267" t="s">
        <v>1554</v>
      </c>
      <c r="B107" s="2267" t="s">
        <v>1550</v>
      </c>
      <c r="C107" s="2196" t="s">
        <v>1442</v>
      </c>
      <c r="D107" s="369"/>
      <c r="E107" s="369"/>
      <c r="F107" s="369"/>
      <c r="G107" s="369"/>
    </row>
    <row r="108" spans="1:7">
      <c r="A108" s="369"/>
      <c r="B108" s="369"/>
      <c r="C108" s="369"/>
      <c r="D108" s="369"/>
      <c r="E108" s="369"/>
      <c r="F108" s="369"/>
      <c r="G108" s="369"/>
    </row>
    <row r="109" spans="1:7">
      <c r="A109" s="369"/>
      <c r="B109" s="369"/>
      <c r="C109" s="369"/>
      <c r="D109" s="369"/>
      <c r="E109" s="369"/>
      <c r="F109" s="369"/>
      <c r="G109" s="369"/>
    </row>
    <row r="110" spans="1:7">
      <c r="A110" s="369"/>
      <c r="B110" s="369"/>
      <c r="C110" s="369"/>
      <c r="D110" s="369"/>
      <c r="E110" s="369"/>
      <c r="F110" s="369"/>
      <c r="G110" s="369"/>
    </row>
    <row r="111" spans="1:7">
      <c r="A111" s="369"/>
      <c r="B111" s="369"/>
      <c r="C111" s="369"/>
      <c r="D111" s="369"/>
      <c r="E111" s="369"/>
      <c r="F111" s="369"/>
      <c r="G111" s="369"/>
    </row>
    <row r="112" spans="1:7">
      <c r="A112" s="369"/>
      <c r="B112" s="369"/>
      <c r="C112" s="369"/>
      <c r="D112" s="369"/>
      <c r="E112" s="369"/>
      <c r="F112" s="369"/>
      <c r="G112" s="369"/>
    </row>
    <row r="113" spans="1:7">
      <c r="A113" s="369"/>
      <c r="B113" s="369"/>
      <c r="C113" s="369"/>
      <c r="D113" s="369"/>
      <c r="E113" s="369"/>
      <c r="F113" s="369"/>
      <c r="G113" s="369"/>
    </row>
    <row r="114" spans="1:7">
      <c r="A114" s="369"/>
      <c r="B114" s="369"/>
      <c r="C114" s="369"/>
      <c r="D114" s="369"/>
      <c r="E114" s="369"/>
      <c r="F114" s="369"/>
      <c r="G114" s="369"/>
    </row>
    <row r="115" spans="1:7">
      <c r="A115" s="369"/>
      <c r="B115" s="369"/>
      <c r="C115" s="369"/>
      <c r="D115" s="369"/>
      <c r="E115" s="369"/>
      <c r="F115" s="369"/>
      <c r="G115" s="369"/>
    </row>
  </sheetData>
  <sheetProtection algorithmName="SHA-512" hashValue="QhahfpmqUNrUZecjxQPpEAPGl+u4y7KgSSmd+iZjcabbFTGfwThyJHs6rOusYK6zDJVAxH2peBjrkdHQRHIWnw==" saltValue="JyvmfRVBltNDWqnv7kflmA==" spinCount="100000" sheet="1" objects="1" scenarios="1"/>
  <mergeCells count="2">
    <mergeCell ref="F5:G5"/>
    <mergeCell ref="H2:K3"/>
  </mergeCells>
  <pageMargins left="0.7" right="0.7" top="0.78740157499999996" bottom="0.78740157499999996" header="0.3" footer="0.3"/>
  <pageSetup paperSize="9" scale="42" orientation="portrait" r:id="rId1"/>
  <headerFooter>
    <oddHeader>&amp;LVDV SUN Jahresschlussrechnung JJJJ&amp;R&amp;KFF0000&amp;F</oddHeader>
    <oddFooter>&amp;C&amp;P&amp;R&amp;A</oddFooter>
  </headerFooter>
  <rowBreaks count="1" manualBreakCount="1">
    <brk id="46"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27670-384F-4F15-A736-D712C286A345}">
  <sheetPr>
    <tabColor rgb="FF0070C0"/>
  </sheetPr>
  <dimension ref="A1:K116"/>
  <sheetViews>
    <sheetView showGridLines="0" view="pageBreakPreview" zoomScale="80" zoomScaleNormal="100" zoomScaleSheetLayoutView="80" zoomScalePageLayoutView="80" workbookViewId="0">
      <selection activeCell="L20" sqref="L20"/>
    </sheetView>
  </sheetViews>
  <sheetFormatPr baseColWidth="10" defaultColWidth="11.42578125" defaultRowHeight="12.75"/>
  <cols>
    <col min="1" max="1" width="58.140625" style="195" bestFit="1" customWidth="1"/>
    <col min="2" max="2" width="17.85546875" style="195" customWidth="1"/>
    <col min="3" max="3" width="30.42578125" style="195" customWidth="1"/>
    <col min="4" max="4" width="21.140625" style="195" customWidth="1"/>
    <col min="5" max="5" width="25.7109375" style="195" customWidth="1"/>
    <col min="6" max="6" width="2.5703125" style="195" customWidth="1"/>
    <col min="7" max="7" width="15.28515625" style="195" customWidth="1"/>
    <col min="8" max="16384" width="11.42578125" style="195"/>
  </cols>
  <sheetData>
    <row r="1" spans="1:11" ht="18">
      <c r="A1" s="2272" t="s">
        <v>1458</v>
      </c>
      <c r="B1" s="254"/>
      <c r="C1" s="369"/>
      <c r="D1" s="369"/>
      <c r="E1" s="255"/>
      <c r="F1" s="255"/>
      <c r="G1" s="342" t="s">
        <v>1470</v>
      </c>
    </row>
    <row r="2" spans="1:11" ht="15">
      <c r="A2" s="256"/>
      <c r="B2" s="257"/>
      <c r="C2" s="344" t="s">
        <v>1676</v>
      </c>
      <c r="D2" s="345">
        <v>6.5</v>
      </c>
      <c r="E2" s="257"/>
      <c r="F2" s="257"/>
      <c r="G2" s="370"/>
      <c r="H2" s="3041" t="s">
        <v>1675</v>
      </c>
      <c r="I2" s="3042"/>
      <c r="J2" s="3042"/>
      <c r="K2" s="3042"/>
    </row>
    <row r="3" spans="1:11" ht="15">
      <c r="A3" s="256"/>
      <c r="B3" s="209"/>
      <c r="D3" s="345"/>
      <c r="E3" s="257"/>
      <c r="F3" s="257"/>
      <c r="G3" s="370"/>
      <c r="H3" s="3042"/>
      <c r="I3" s="3042"/>
      <c r="J3" s="3042"/>
      <c r="K3" s="3042"/>
    </row>
    <row r="4" spans="1:11" ht="18">
      <c r="A4" s="258" t="s">
        <v>255</v>
      </c>
      <c r="B4" s="257"/>
      <c r="C4" s="257"/>
      <c r="D4" s="257"/>
      <c r="E4" s="370"/>
      <c r="F4" s="259" t="s">
        <v>256</v>
      </c>
      <c r="G4" s="371" t="str">
        <f>INHALT!$A$2&amp;" "&amp;INHALT!$B$2</f>
        <v>Monat JJJJ</v>
      </c>
    </row>
    <row r="5" spans="1:11">
      <c r="A5" s="369"/>
      <c r="B5" s="369"/>
      <c r="C5" s="369"/>
      <c r="D5" s="369"/>
      <c r="E5" s="369"/>
      <c r="F5" s="369"/>
      <c r="G5" s="372"/>
    </row>
    <row r="6" spans="1:11">
      <c r="A6" s="373" t="s">
        <v>257</v>
      </c>
      <c r="B6" s="373" t="s">
        <v>156</v>
      </c>
      <c r="C6" s="373" t="s">
        <v>258</v>
      </c>
      <c r="D6" s="373" t="s">
        <v>782</v>
      </c>
      <c r="E6" s="374" t="s">
        <v>201</v>
      </c>
      <c r="F6" s="3040"/>
      <c r="G6" s="3040"/>
    </row>
    <row r="7" spans="1:11" ht="6.75" customHeight="1" thickBot="1">
      <c r="A7" s="260"/>
      <c r="B7" s="260"/>
      <c r="C7" s="260"/>
      <c r="D7" s="260"/>
      <c r="E7" s="260"/>
      <c r="F7" s="257"/>
      <c r="G7" s="257"/>
    </row>
    <row r="8" spans="1:11" ht="16.5" thickBot="1">
      <c r="A8" s="261" t="s">
        <v>259</v>
      </c>
      <c r="B8" s="262"/>
      <c r="C8" s="262"/>
      <c r="D8" s="263"/>
      <c r="E8" s="264">
        <f>SUM(E10:E18)</f>
        <v>0</v>
      </c>
      <c r="F8" s="729"/>
      <c r="G8" s="730"/>
    </row>
    <row r="9" spans="1:11" ht="5.85" customHeight="1" thickBot="1">
      <c r="A9" s="266"/>
      <c r="B9" s="267"/>
      <c r="C9" s="268"/>
      <c r="D9" s="269"/>
      <c r="E9" s="270"/>
      <c r="F9" s="731"/>
      <c r="G9" s="732"/>
    </row>
    <row r="10" spans="1:11" ht="13.5" thickBot="1">
      <c r="A10" s="272" t="s">
        <v>260</v>
      </c>
      <c r="B10" s="273"/>
      <c r="C10" s="274" t="s">
        <v>261</v>
      </c>
      <c r="D10" s="275">
        <f>$D$2*-1</f>
        <v>-6.5</v>
      </c>
      <c r="E10" s="276">
        <f>ROUND(D10*B10,2)</f>
        <v>0</v>
      </c>
      <c r="F10" s="731"/>
      <c r="G10" s="732"/>
    </row>
    <row r="11" spans="1:11" ht="26.25" thickBot="1">
      <c r="A11" s="272" t="s">
        <v>1707</v>
      </c>
      <c r="B11" s="273"/>
      <c r="C11" s="277" t="s">
        <v>262</v>
      </c>
      <c r="D11" s="275">
        <f>$D$2*-1</f>
        <v>-6.5</v>
      </c>
      <c r="E11" s="276">
        <f>ROUND(D11*B11,2)</f>
        <v>0</v>
      </c>
      <c r="F11" s="731"/>
      <c r="G11" s="2975" t="s">
        <v>1708</v>
      </c>
    </row>
    <row r="12" spans="1:11" ht="10.5" customHeight="1" thickBot="1">
      <c r="A12" s="2183"/>
      <c r="B12" s="2184"/>
      <c r="C12" s="2185" t="s">
        <v>261</v>
      </c>
      <c r="D12" s="275">
        <f>$D$3*-1</f>
        <v>0</v>
      </c>
      <c r="E12" s="276">
        <f>ROUND(D12*B12,2)</f>
        <v>0</v>
      </c>
      <c r="F12" s="731"/>
      <c r="G12" s="732"/>
    </row>
    <row r="13" spans="1:11" ht="13.5" thickBot="1">
      <c r="A13" s="279" t="s">
        <v>263</v>
      </c>
      <c r="B13" s="273"/>
      <c r="C13" s="274" t="s">
        <v>261</v>
      </c>
      <c r="D13" s="275">
        <v>4</v>
      </c>
      <c r="E13" s="276">
        <f t="shared" ref="E13:E15" si="0">ROUND(D13*B13,2)</f>
        <v>0</v>
      </c>
      <c r="F13" s="731"/>
      <c r="G13" s="732"/>
    </row>
    <row r="14" spans="1:11" ht="12.75" customHeight="1" thickBot="1">
      <c r="A14" s="272" t="s">
        <v>264</v>
      </c>
      <c r="B14" s="273"/>
      <c r="C14" s="277" t="s">
        <v>262</v>
      </c>
      <c r="D14" s="275">
        <v>3.2</v>
      </c>
      <c r="E14" s="276">
        <f t="shared" si="0"/>
        <v>0</v>
      </c>
      <c r="F14" s="731"/>
      <c r="G14" s="732"/>
    </row>
    <row r="15" spans="1:11" ht="12.75" customHeight="1" thickBot="1">
      <c r="A15" s="1734" t="s">
        <v>1315</v>
      </c>
      <c r="B15" s="1735"/>
      <c r="C15" s="277" t="s">
        <v>262</v>
      </c>
      <c r="D15" s="275">
        <v>3.2</v>
      </c>
      <c r="E15" s="276">
        <f t="shared" si="0"/>
        <v>0</v>
      </c>
      <c r="F15" s="731"/>
      <c r="G15" s="732"/>
    </row>
    <row r="16" spans="1:11" ht="12.75" customHeight="1" thickBot="1">
      <c r="A16" s="272"/>
      <c r="B16" s="278"/>
      <c r="C16" s="274"/>
      <c r="D16" s="275"/>
      <c r="E16" s="276"/>
      <c r="F16" s="731"/>
      <c r="G16" s="732"/>
    </row>
    <row r="17" spans="1:7" ht="30" customHeight="1" thickBot="1">
      <c r="A17" s="1723" t="s">
        <v>1309</v>
      </c>
      <c r="B17" s="273"/>
      <c r="C17" s="274" t="s">
        <v>261</v>
      </c>
      <c r="D17" s="275">
        <v>-1</v>
      </c>
      <c r="E17" s="276">
        <f>ROUND(D17*B17,2)</f>
        <v>0</v>
      </c>
      <c r="F17" s="731"/>
      <c r="G17" s="732"/>
    </row>
    <row r="18" spans="1:7" ht="19.5" customHeight="1" thickBot="1">
      <c r="A18" s="272" t="s">
        <v>1680</v>
      </c>
      <c r="B18" s="273"/>
      <c r="C18" s="274" t="s">
        <v>261</v>
      </c>
      <c r="D18" s="275">
        <v>-1</v>
      </c>
      <c r="E18" s="276">
        <f>ROUND(D18*B18,2)</f>
        <v>0</v>
      </c>
      <c r="F18" s="729"/>
      <c r="G18" s="733"/>
    </row>
    <row r="19" spans="1:7" ht="5.85" customHeight="1" thickBot="1">
      <c r="A19" s="280"/>
      <c r="B19" s="281"/>
      <c r="C19" s="282"/>
      <c r="D19" s="283"/>
      <c r="E19" s="284"/>
      <c r="F19" s="731"/>
      <c r="G19" s="732"/>
    </row>
    <row r="20" spans="1:7" ht="16.5" thickBot="1">
      <c r="A20" s="261" t="s">
        <v>265</v>
      </c>
      <c r="B20" s="262"/>
      <c r="C20" s="262"/>
      <c r="D20" s="263"/>
      <c r="E20" s="264">
        <f>SUM(E22:E29)</f>
        <v>-9895.33</v>
      </c>
      <c r="F20" s="729"/>
      <c r="G20" s="730"/>
    </row>
    <row r="21" spans="1:7" ht="11.25" customHeight="1" thickBot="1">
      <c r="A21" s="2639" t="s">
        <v>1327</v>
      </c>
      <c r="B21" s="267"/>
      <c r="C21" s="268"/>
      <c r="D21" s="285" t="s">
        <v>266</v>
      </c>
      <c r="E21" s="270"/>
      <c r="F21" s="731"/>
      <c r="G21" s="732"/>
    </row>
    <row r="22" spans="1:7" ht="18.75" thickBot="1">
      <c r="A22" s="2653" t="str">
        <f>'1a_Leistungsvolumen'!A9&amp;" "&amp;'1a_Leistungsvolumen'!B9</f>
        <v>RS 5 Würzburg - Seligenstadt - Volkach-Astheim</v>
      </c>
      <c r="B22" s="689">
        <f>'2a_Linienpünktlichkeit '!$E$8</f>
        <v>94.850948509485107</v>
      </c>
      <c r="C22" s="274" t="s">
        <v>278</v>
      </c>
      <c r="D22" s="286">
        <f>('1a_Leistungsvolumen'!$E$24-'7_Statistik Zugausfälle'!$P$31)*'0e_Zsfsg. BEG O Los A'!$D$2</f>
        <v>195000</v>
      </c>
      <c r="E22" s="2224">
        <f>ROUND(IF($B$22&gt;95,0,IF($B$22&gt;85,(95-$B$22)*-0.005*$D$22,10*-0.005*$D$22)),2)</f>
        <v>-145.33000000000001</v>
      </c>
      <c r="F22" s="734"/>
      <c r="G22" s="735"/>
    </row>
    <row r="23" spans="1:7" ht="13.5" customHeight="1" thickBot="1">
      <c r="A23" s="2653"/>
      <c r="B23" s="689"/>
      <c r="C23" s="2830" t="s">
        <v>278</v>
      </c>
      <c r="E23" s="2225">
        <f>ROUND(IF(B23&gt;95,0,IF(B23&gt;85,(95-B23)*-0.005*D22,10*-0.005*D22)),2)</f>
        <v>-9750</v>
      </c>
      <c r="F23" s="734"/>
      <c r="G23" s="735"/>
    </row>
    <row r="24" spans="1:7" ht="13.5" customHeight="1" thickBot="1">
      <c r="A24" s="2786"/>
      <c r="B24" s="2186"/>
      <c r="C24" s="2835"/>
      <c r="D24" s="2787"/>
      <c r="E24" s="2226"/>
      <c r="F24" s="734"/>
      <c r="G24" s="735"/>
    </row>
    <row r="25" spans="1:7" ht="13.5" customHeight="1" thickBot="1">
      <c r="A25" s="2829" t="s">
        <v>792</v>
      </c>
      <c r="B25" s="689"/>
      <c r="C25" s="2830"/>
      <c r="D25" s="2832"/>
      <c r="E25" s="2225"/>
      <c r="F25" s="734"/>
      <c r="G25" s="735"/>
    </row>
    <row r="26" spans="1:7" ht="13.5" customHeight="1" thickBot="1">
      <c r="A26" s="2653"/>
      <c r="B26" s="689"/>
      <c r="C26" s="2830"/>
      <c r="D26" s="2832"/>
      <c r="E26" s="2225"/>
      <c r="F26" s="734"/>
      <c r="G26" s="735"/>
    </row>
    <row r="27" spans="1:7" ht="13.5" customHeight="1" thickBot="1">
      <c r="A27" s="369"/>
      <c r="B27" s="689"/>
      <c r="C27" s="2830"/>
      <c r="D27" s="2832"/>
      <c r="E27" s="2225"/>
      <c r="F27" s="734"/>
      <c r="G27" s="735"/>
    </row>
    <row r="28" spans="1:7" ht="4.5" customHeight="1" thickBot="1">
      <c r="B28" s="689"/>
      <c r="C28" s="274"/>
      <c r="D28" s="286"/>
      <c r="E28" s="276"/>
      <c r="F28" s="734"/>
      <c r="G28" s="735"/>
    </row>
    <row r="29" spans="1:7" ht="4.5" customHeight="1" thickBot="1">
      <c r="A29" s="272" t="str">
        <f>'1a_Leistungsvolumen'!A17&amp;" "&amp;'1a_Leistungsvolumen'!B17</f>
        <v xml:space="preserve"> </v>
      </c>
      <c r="B29" s="689"/>
      <c r="C29" s="274"/>
      <c r="D29" s="286"/>
      <c r="E29" s="276"/>
      <c r="F29" s="734"/>
      <c r="G29" s="735"/>
    </row>
    <row r="30" spans="1:7" ht="5.85" customHeight="1" thickBot="1">
      <c r="A30" s="287"/>
      <c r="B30" s="288"/>
      <c r="C30" s="289"/>
      <c r="D30" s="290"/>
      <c r="E30" s="271"/>
      <c r="F30" s="731"/>
      <c r="G30" s="732"/>
    </row>
    <row r="31" spans="1:7" ht="16.5" thickBot="1">
      <c r="A31" s="261" t="s">
        <v>1347</v>
      </c>
      <c r="B31" s="262"/>
      <c r="C31" s="262"/>
      <c r="D31" s="263"/>
      <c r="E31" s="264">
        <f>SUM(E33:E34)</f>
        <v>0</v>
      </c>
      <c r="F31" s="729"/>
      <c r="G31" s="730"/>
    </row>
    <row r="32" spans="1:7" ht="5.85" customHeight="1" thickBot="1">
      <c r="A32" s="287"/>
      <c r="B32" s="288"/>
      <c r="C32" s="289"/>
      <c r="D32" s="290"/>
      <c r="E32" s="271"/>
      <c r="F32" s="731"/>
      <c r="G32" s="728"/>
    </row>
    <row r="33" spans="1:7" ht="13.5" thickBot="1">
      <c r="A33" s="272" t="s">
        <v>691</v>
      </c>
      <c r="B33" s="273">
        <f>'1b_Mehr_Zusatzleistungen'!$B$9</f>
        <v>0</v>
      </c>
      <c r="C33" s="274" t="s">
        <v>261</v>
      </c>
      <c r="D33" s="275"/>
      <c r="E33" s="276">
        <f>'1b_Mehr_Zusatzleistungen'!$C$9</f>
        <v>0</v>
      </c>
      <c r="F33" s="729"/>
      <c r="G33" s="736"/>
    </row>
    <row r="34" spans="1:7" ht="13.5" thickBot="1">
      <c r="A34" s="287" t="s">
        <v>1339</v>
      </c>
      <c r="B34" s="273">
        <f>'1b_Mehr_Zusatzleistungen'!$B$10</f>
        <v>0</v>
      </c>
      <c r="C34" s="289" t="s">
        <v>261</v>
      </c>
      <c r="D34" s="290"/>
      <c r="E34" s="271">
        <f>'1b_Mehr_Zusatzleistungen'!$C$10</f>
        <v>0</v>
      </c>
      <c r="F34" s="731"/>
      <c r="G34" s="728"/>
    </row>
    <row r="35" spans="1:7" ht="16.5" thickBot="1">
      <c r="A35" s="261" t="s">
        <v>267</v>
      </c>
      <c r="B35" s="262"/>
      <c r="C35" s="262"/>
      <c r="D35" s="263"/>
      <c r="E35" s="264">
        <f>E37</f>
        <v>-351</v>
      </c>
      <c r="F35" s="729"/>
      <c r="G35" s="730"/>
    </row>
    <row r="36" spans="1:7" ht="5.85" customHeight="1" thickBot="1">
      <c r="A36" s="266"/>
      <c r="B36" s="292"/>
      <c r="C36" s="268"/>
      <c r="D36" s="269"/>
      <c r="E36" s="270"/>
      <c r="F36" s="731"/>
      <c r="G36" s="728"/>
    </row>
    <row r="37" spans="1:7" ht="13.5" thickBot="1">
      <c r="A37" s="272" t="s">
        <v>1677</v>
      </c>
      <c r="B37" s="273">
        <f>'9_Statistik Zugbildung'!$G$5</f>
        <v>234</v>
      </c>
      <c r="C37" s="274" t="s">
        <v>261</v>
      </c>
      <c r="D37" s="341">
        <v>-1.5</v>
      </c>
      <c r="E37" s="276">
        <f>ROUND($D$37*B37,2)</f>
        <v>-351</v>
      </c>
      <c r="F37" s="731"/>
      <c r="G37" s="728"/>
    </row>
    <row r="38" spans="1:7" ht="5.85" customHeight="1" thickBot="1">
      <c r="A38" s="280"/>
      <c r="B38" s="281"/>
      <c r="C38" s="282"/>
      <c r="D38" s="283"/>
      <c r="E38" s="284"/>
      <c r="F38" s="731"/>
      <c r="G38" s="728"/>
    </row>
    <row r="39" spans="1:7" ht="30.75" thickBot="1">
      <c r="A39" s="261" t="s">
        <v>1262</v>
      </c>
      <c r="B39" s="262"/>
      <c r="C39" s="262"/>
      <c r="D39" s="263"/>
      <c r="E39" s="264">
        <f>SUM(E41:E44)</f>
        <v>-6971.6288507673798</v>
      </c>
      <c r="F39" s="729"/>
      <c r="G39" s="730"/>
    </row>
    <row r="40" spans="1:7" ht="5.85" customHeight="1" thickBot="1">
      <c r="A40" s="294"/>
      <c r="B40" s="295"/>
      <c r="C40" s="296"/>
      <c r="D40" s="529"/>
      <c r="E40" s="297"/>
      <c r="F40" s="731"/>
      <c r="G40" s="728"/>
    </row>
    <row r="41" spans="1:7" ht="13.5" thickBot="1">
      <c r="A41" s="298" t="s">
        <v>1263</v>
      </c>
      <c r="B41" s="273">
        <f>'19a_Statistik_Kundenbetreuer '!$G$5</f>
        <v>6870</v>
      </c>
      <c r="C41" s="527" t="s">
        <v>261</v>
      </c>
      <c r="D41" s="530">
        <v>-1</v>
      </c>
      <c r="E41" s="528">
        <f>ROUND($D$41*B41,2)</f>
        <v>-6870</v>
      </c>
      <c r="F41" s="731"/>
      <c r="G41" s="728"/>
    </row>
    <row r="42" spans="1:7" ht="13.5" thickBot="1">
      <c r="A42" s="1650" t="s">
        <v>1264</v>
      </c>
      <c r="B42" s="1651"/>
      <c r="C42" s="1652"/>
      <c r="D42" s="530">
        <v>-1</v>
      </c>
      <c r="E42" s="2840">
        <f>-'20_Statistik SiP'!$G$7</f>
        <v>-58.148070767380311</v>
      </c>
      <c r="F42" s="731"/>
      <c r="G42" s="728"/>
    </row>
    <row r="43" spans="1:7" ht="13.5" thickBot="1">
      <c r="A43" s="1650" t="s">
        <v>1265</v>
      </c>
      <c r="B43" s="1654"/>
      <c r="C43" s="1652"/>
      <c r="D43" s="530"/>
      <c r="E43" s="1653">
        <f>-'19b_Aufgaben Zugpersonal'!$H$11</f>
        <v>-43.480780000000003</v>
      </c>
      <c r="F43" s="731"/>
      <c r="G43" s="728"/>
    </row>
    <row r="44" spans="1:7" ht="13.5" thickBot="1">
      <c r="A44" s="532" t="s">
        <v>495</v>
      </c>
      <c r="B44" s="690"/>
      <c r="C44" s="526"/>
      <c r="D44" s="531"/>
      <c r="E44" s="746">
        <f>'22_zusätzl. Personale'!$F$8</f>
        <v>0</v>
      </c>
      <c r="F44" s="731"/>
      <c r="G44" s="728"/>
    </row>
    <row r="45" spans="1:7" ht="5.85" customHeight="1" thickBot="1">
      <c r="A45" s="299"/>
      <c r="B45" s="300"/>
      <c r="C45" s="301"/>
      <c r="D45" s="302"/>
      <c r="E45" s="303"/>
      <c r="F45" s="731"/>
      <c r="G45" s="728"/>
    </row>
    <row r="46" spans="1:7" ht="16.5" thickBot="1">
      <c r="A46" s="261" t="s">
        <v>280</v>
      </c>
      <c r="B46" s="262"/>
      <c r="C46" s="262"/>
      <c r="D46" s="263"/>
      <c r="E46" s="264">
        <f>SUM(E48:E49)</f>
        <v>-99.384640000000005</v>
      </c>
      <c r="F46" s="737"/>
      <c r="G46" s="730"/>
    </row>
    <row r="47" spans="1:7" ht="5.85" customHeight="1" thickBot="1">
      <c r="A47" s="266"/>
      <c r="B47" s="304"/>
      <c r="C47" s="268"/>
      <c r="D47" s="305"/>
      <c r="E47" s="270"/>
      <c r="F47" s="727"/>
      <c r="G47" s="728"/>
    </row>
    <row r="48" spans="1:7" ht="13.5" thickBot="1">
      <c r="A48" s="272" t="s">
        <v>269</v>
      </c>
      <c r="B48" s="1814">
        <f>'23a_Schäden an Fahrzeugen'!$D$9</f>
        <v>1</v>
      </c>
      <c r="C48" s="293" t="s">
        <v>1685</v>
      </c>
      <c r="D48" s="349">
        <v>-100</v>
      </c>
      <c r="E48" s="2831">
        <f>-'23a_Schäden an Fahrzeugen'!$G$7</f>
        <v>-93.173100000000005</v>
      </c>
      <c r="F48" s="727"/>
      <c r="G48" s="728"/>
    </row>
    <row r="49" spans="1:7" ht="13.5" thickBot="1">
      <c r="A49" s="272" t="s">
        <v>270</v>
      </c>
      <c r="B49" s="1814">
        <f>'23a_Schäden an Fahrzeugen'!$D$6</f>
        <v>3</v>
      </c>
      <c r="C49" s="343" t="s">
        <v>1685</v>
      </c>
      <c r="D49" s="349">
        <v>-500</v>
      </c>
      <c r="E49" s="2831">
        <f>-'23a_Schäden an Fahrzeugen'!$G$10</f>
        <v>-6.2115400000000003</v>
      </c>
      <c r="F49" s="727"/>
      <c r="G49" s="728"/>
    </row>
    <row r="50" spans="1:7" ht="15.75" customHeight="1">
      <c r="A50" s="747" t="s">
        <v>1684</v>
      </c>
      <c r="B50" s="534">
        <f>'23a_Schäden an Fahrzeugen'!$D$12</f>
        <v>21</v>
      </c>
      <c r="C50" s="535" t="s">
        <v>1685</v>
      </c>
      <c r="D50" s="535"/>
      <c r="E50" s="2842">
        <f>-'23a_Schäden an Fahrzeugen'!$G$13</f>
        <v>-65.221170000000001</v>
      </c>
      <c r="F50" s="727"/>
      <c r="G50" s="728"/>
    </row>
    <row r="51" spans="1:7" ht="5.85" customHeight="1" thickBot="1">
      <c r="A51" s="747"/>
      <c r="B51" s="534"/>
      <c r="C51" s="535"/>
      <c r="D51" s="535"/>
      <c r="E51" s="748"/>
      <c r="F51" s="727"/>
      <c r="G51" s="728"/>
    </row>
    <row r="52" spans="1:7" ht="16.5" customHeight="1" thickBot="1">
      <c r="A52" s="261" t="s">
        <v>492</v>
      </c>
      <c r="B52" s="262"/>
      <c r="C52" s="262"/>
      <c r="D52" s="263"/>
      <c r="E52" s="264">
        <f>SUM(E55:E58)</f>
        <v>-93.173100000000005</v>
      </c>
      <c r="F52" s="737"/>
      <c r="G52" s="730"/>
    </row>
    <row r="53" spans="1:7" ht="5.85" customHeight="1" thickBot="1">
      <c r="A53" s="266"/>
      <c r="B53" s="304"/>
      <c r="C53" s="268"/>
      <c r="D53" s="305"/>
      <c r="E53" s="270"/>
      <c r="F53" s="731"/>
      <c r="G53" s="728"/>
    </row>
    <row r="54" spans="1:7" ht="6.75" customHeight="1" thickBot="1">
      <c r="A54" s="539"/>
      <c r="B54" s="536"/>
      <c r="C54" s="533"/>
      <c r="D54" s="537"/>
      <c r="E54" s="297"/>
      <c r="F54" s="731"/>
      <c r="G54" s="728"/>
    </row>
    <row r="55" spans="1:7" ht="13.5" customHeight="1" thickBot="1">
      <c r="A55" s="272" t="s">
        <v>749</v>
      </c>
      <c r="B55" s="1814"/>
      <c r="C55" s="293" t="s">
        <v>493</v>
      </c>
      <c r="D55" s="538">
        <v>-300</v>
      </c>
      <c r="E55" s="2846">
        <f>-'24_Außenreinigung'!L8</f>
        <v>-74.538480000000007</v>
      </c>
      <c r="F55" s="731"/>
      <c r="G55" s="728"/>
    </row>
    <row r="56" spans="1:7" ht="13.5" customHeight="1" thickBot="1">
      <c r="A56" s="272" t="s">
        <v>750</v>
      </c>
      <c r="B56" s="1814"/>
      <c r="C56" s="293" t="s">
        <v>493</v>
      </c>
      <c r="D56" s="538">
        <v>-300</v>
      </c>
      <c r="E56" s="2831">
        <f>-'25_Innenreinigung'!K8</f>
        <v>-18.634620000000002</v>
      </c>
      <c r="F56" s="731"/>
      <c r="G56" s="728"/>
    </row>
    <row r="57" spans="1:7" ht="6" customHeight="1" thickBot="1">
      <c r="A57" s="272"/>
      <c r="B57" s="524"/>
      <c r="C57" s="293"/>
      <c r="D57" s="538"/>
      <c r="E57" s="276"/>
      <c r="F57" s="731"/>
      <c r="G57" s="728"/>
    </row>
    <row r="58" spans="1:7" ht="7.5" customHeight="1" thickBot="1">
      <c r="A58" s="272"/>
      <c r="B58" s="524"/>
      <c r="C58" s="343"/>
      <c r="D58" s="538"/>
      <c r="E58" s="276"/>
      <c r="F58" s="731"/>
      <c r="G58" s="728"/>
    </row>
    <row r="59" spans="1:7" ht="5.85" customHeight="1" thickBot="1">
      <c r="A59" s="361"/>
      <c r="B59" s="362"/>
      <c r="C59" s="363"/>
      <c r="D59" s="364"/>
      <c r="E59" s="365"/>
      <c r="F59" s="731"/>
      <c r="G59" s="728"/>
    </row>
    <row r="60" spans="1:7" ht="16.5" thickBot="1">
      <c r="A60" s="261" t="s">
        <v>490</v>
      </c>
      <c r="B60" s="262"/>
      <c r="C60" s="262"/>
      <c r="D60" s="262"/>
      <c r="E60" s="264">
        <f>SUM(E62:E67)</f>
        <v>0</v>
      </c>
      <c r="F60" s="729"/>
      <c r="G60" s="730"/>
    </row>
    <row r="61" spans="1:7" ht="5.85" customHeight="1" thickBot="1">
      <c r="A61" s="266"/>
      <c r="B61" s="267"/>
      <c r="C61" s="268"/>
      <c r="D61" s="305"/>
      <c r="E61" s="270"/>
      <c r="F61" s="731"/>
      <c r="G61" s="728"/>
    </row>
    <row r="62" spans="1:7" ht="13.5" thickBot="1">
      <c r="A62" s="307" t="s">
        <v>501</v>
      </c>
      <c r="B62" s="1814"/>
      <c r="C62" s="293" t="s">
        <v>271</v>
      </c>
      <c r="D62" s="349">
        <v>-300</v>
      </c>
      <c r="E62" s="276">
        <f>ROUND($D$62*B62,2)</f>
        <v>0</v>
      </c>
      <c r="F62" s="738"/>
      <c r="G62" s="732"/>
    </row>
    <row r="63" spans="1:7" ht="13.5" thickBot="1">
      <c r="A63" s="308" t="s">
        <v>502</v>
      </c>
      <c r="B63" s="1814"/>
      <c r="C63" s="309" t="s">
        <v>272</v>
      </c>
      <c r="D63" s="350">
        <v>-30</v>
      </c>
      <c r="E63" s="276">
        <f>ROUND($D$63*B63,2)</f>
        <v>0</v>
      </c>
      <c r="F63" s="738"/>
      <c r="G63" s="732"/>
    </row>
    <row r="64" spans="1:7" ht="13.5" thickBot="1">
      <c r="A64" s="308" t="s">
        <v>273</v>
      </c>
      <c r="B64" s="1814"/>
      <c r="C64" s="293" t="s">
        <v>271</v>
      </c>
      <c r="D64" s="351">
        <v>-100</v>
      </c>
      <c r="E64" s="276">
        <f>ROUND($D$64*B64,2)</f>
        <v>0</v>
      </c>
      <c r="F64" s="738"/>
      <c r="G64" s="732"/>
    </row>
    <row r="65" spans="1:7" ht="13.5" thickBot="1">
      <c r="A65" s="308" t="s">
        <v>1243</v>
      </c>
      <c r="B65" s="1814"/>
      <c r="C65" s="293" t="s">
        <v>271</v>
      </c>
      <c r="D65" s="351">
        <v>-100</v>
      </c>
      <c r="E65" s="276">
        <f>ROUND($D$65*B65,2)</f>
        <v>0</v>
      </c>
      <c r="F65" s="738"/>
      <c r="G65" s="732"/>
    </row>
    <row r="66" spans="1:7" ht="13.5" thickBot="1">
      <c r="A66" s="308" t="s">
        <v>689</v>
      </c>
      <c r="B66" s="1814"/>
      <c r="C66" s="293" t="s">
        <v>271</v>
      </c>
      <c r="D66" s="351">
        <v>-30</v>
      </c>
      <c r="E66" s="276">
        <f>ROUND($D$66*B66,2)</f>
        <v>0</v>
      </c>
      <c r="F66" s="738"/>
      <c r="G66" s="732"/>
    </row>
    <row r="67" spans="1:7" ht="5.85" customHeight="1" thickBot="1">
      <c r="A67" s="355"/>
      <c r="B67" s="1815"/>
      <c r="C67" s="357"/>
      <c r="D67" s="358"/>
      <c r="E67" s="359"/>
      <c r="F67" s="739"/>
      <c r="G67" s="740"/>
    </row>
    <row r="68" spans="1:7" ht="16.5" thickBot="1">
      <c r="A68" s="261" t="s">
        <v>491</v>
      </c>
      <c r="B68" s="311"/>
      <c r="C68" s="311"/>
      <c r="D68" s="311"/>
      <c r="E68" s="264">
        <f>SUM(E71:E84)</f>
        <v>0</v>
      </c>
      <c r="F68" s="741"/>
      <c r="G68" s="730"/>
    </row>
    <row r="69" spans="1:7" ht="9.75" customHeight="1" thickBot="1">
      <c r="A69" s="2640" t="s">
        <v>1327</v>
      </c>
      <c r="B69" s="312"/>
      <c r="C69" s="313"/>
      <c r="D69" s="314"/>
      <c r="E69" s="315"/>
      <c r="F69" s="742"/>
      <c r="G69" s="728"/>
    </row>
    <row r="70" spans="1:7" ht="13.5" thickBot="1">
      <c r="A70" s="316" t="s">
        <v>285</v>
      </c>
      <c r="B70" s="317"/>
      <c r="C70" s="289"/>
      <c r="D70" s="318"/>
      <c r="E70" s="271"/>
      <c r="F70" s="742"/>
      <c r="G70" s="728"/>
    </row>
    <row r="71" spans="1:7" ht="13.5" thickBot="1">
      <c r="A71" s="2653" t="str">
        <f>A22</f>
        <v>RS 5 Würzburg - Seligenstadt - Volkach-Astheim</v>
      </c>
      <c r="B71" s="691"/>
      <c r="C71" s="274" t="s">
        <v>278</v>
      </c>
      <c r="D71" s="354">
        <f>ROUND(-100,2)</f>
        <v>-100</v>
      </c>
      <c r="E71" s="276">
        <f>ROUND($D$71*B71,2)</f>
        <v>0</v>
      </c>
      <c r="F71" s="738"/>
      <c r="G71" s="732"/>
    </row>
    <row r="72" spans="1:7" ht="13.5" thickBot="1">
      <c r="A72" s="2653"/>
      <c r="B72" s="691"/>
      <c r="C72" s="274"/>
      <c r="D72" s="354"/>
      <c r="E72" s="276"/>
      <c r="F72" s="738"/>
      <c r="G72" s="732"/>
    </row>
    <row r="73" spans="1:7" ht="13.5" thickBot="1">
      <c r="A73" s="2788"/>
      <c r="B73" s="2197"/>
      <c r="C73" s="2198"/>
      <c r="D73" s="2199"/>
      <c r="E73" s="2200"/>
      <c r="F73" s="738"/>
      <c r="G73" s="732"/>
    </row>
    <row r="74" spans="1:7" ht="13.5" thickBot="1">
      <c r="A74" s="2653"/>
      <c r="B74" s="691"/>
      <c r="C74" s="274"/>
      <c r="D74" s="354"/>
      <c r="E74" s="276"/>
      <c r="F74" s="738"/>
      <c r="G74" s="732"/>
    </row>
    <row r="75" spans="1:7" ht="13.5" thickBot="1">
      <c r="A75" s="2829" t="s">
        <v>792</v>
      </c>
      <c r="B75" s="691"/>
      <c r="C75" s="274"/>
      <c r="D75" s="354"/>
      <c r="E75" s="276"/>
      <c r="F75" s="738"/>
      <c r="G75" s="732"/>
    </row>
    <row r="76" spans="1:7" ht="13.5" thickBot="1">
      <c r="A76" s="2653"/>
      <c r="B76" s="691"/>
      <c r="C76" s="274"/>
      <c r="D76" s="354"/>
      <c r="E76" s="276"/>
      <c r="F76" s="738"/>
      <c r="G76" s="732"/>
    </row>
    <row r="77" spans="1:7" ht="13.5" thickBot="1">
      <c r="A77" s="2653"/>
      <c r="B77" s="691"/>
      <c r="C77" s="274"/>
      <c r="D77" s="354"/>
      <c r="E77" s="276"/>
      <c r="F77" s="738"/>
      <c r="G77" s="732"/>
    </row>
    <row r="78" spans="1:7" ht="13.5" thickBot="1">
      <c r="A78" s="272"/>
      <c r="B78" s="691"/>
      <c r="C78" s="274"/>
      <c r="D78" s="354"/>
      <c r="E78" s="276"/>
      <c r="F78" s="738"/>
      <c r="G78" s="732"/>
    </row>
    <row r="79" spans="1:7" ht="13.5" thickBot="1">
      <c r="A79" s="321" t="s">
        <v>274</v>
      </c>
      <c r="B79" s="691"/>
      <c r="C79" s="274"/>
      <c r="D79" s="354"/>
      <c r="E79" s="276"/>
      <c r="F79" s="738"/>
      <c r="G79" s="732"/>
    </row>
    <row r="80" spans="1:7" ht="5.85" customHeight="1" thickBot="1">
      <c r="A80" s="272"/>
      <c r="B80" s="319"/>
      <c r="C80" s="289"/>
      <c r="D80" s="320"/>
      <c r="E80" s="271"/>
      <c r="F80" s="731"/>
      <c r="G80" s="728"/>
    </row>
    <row r="81" spans="1:7" ht="11.25" customHeight="1" thickBot="1">
      <c r="A81" s="2655" t="s">
        <v>1327</v>
      </c>
      <c r="B81" s="319"/>
      <c r="C81" s="289"/>
      <c r="D81" s="320"/>
      <c r="E81" s="271"/>
      <c r="F81" s="731"/>
      <c r="G81" s="728"/>
    </row>
    <row r="82" spans="1:7" ht="13.5" thickBot="1">
      <c r="A82" s="323" t="s">
        <v>174</v>
      </c>
      <c r="B82" s="942"/>
      <c r="C82" s="301"/>
      <c r="D82" s="322"/>
      <c r="E82" s="2822"/>
      <c r="F82" s="731"/>
      <c r="G82" s="728"/>
    </row>
    <row r="83" spans="1:7" ht="13.5" thickBot="1">
      <c r="A83" s="325" t="s">
        <v>161</v>
      </c>
      <c r="B83" s="306"/>
      <c r="C83" s="324"/>
      <c r="D83" s="310"/>
      <c r="E83" s="2823"/>
      <c r="F83" s="743"/>
      <c r="G83" s="732"/>
    </row>
    <row r="84" spans="1:7" ht="13.5" thickBot="1">
      <c r="A84" s="1660"/>
      <c r="B84" s="1661"/>
      <c r="C84" s="324"/>
      <c r="D84" s="310"/>
      <c r="E84" s="2824"/>
      <c r="F84" s="743"/>
      <c r="G84" s="732"/>
    </row>
    <row r="85" spans="1:7" ht="13.5" thickBot="1">
      <c r="A85" s="1656"/>
      <c r="B85" s="1657"/>
      <c r="C85" s="324"/>
      <c r="D85" s="310"/>
      <c r="E85" s="2825"/>
      <c r="F85" s="743"/>
      <c r="G85" s="732"/>
    </row>
    <row r="86" spans="1:7" ht="5.85" customHeight="1" thickBot="1">
      <c r="A86" s="326"/>
      <c r="B86" s="327"/>
      <c r="C86" s="328"/>
      <c r="D86" s="329"/>
      <c r="E86" s="359"/>
      <c r="F86" s="731"/>
      <c r="G86" s="728"/>
    </row>
    <row r="87" spans="1:7" ht="15.75" customHeight="1" thickBot="1">
      <c r="A87" s="330" t="s">
        <v>275</v>
      </c>
      <c r="B87" s="331"/>
      <c r="C87" s="332"/>
      <c r="D87" s="332"/>
      <c r="E87" s="1655">
        <f>E68+E60+E52+E46+E39+E35+E31+E20+E8</f>
        <v>-17410.51659076738</v>
      </c>
      <c r="F87" s="744"/>
      <c r="G87" s="730"/>
    </row>
    <row r="88" spans="1:7" ht="13.5" thickBot="1">
      <c r="A88" s="369"/>
      <c r="B88" s="369"/>
      <c r="C88" s="369"/>
      <c r="D88" s="369"/>
      <c r="E88" s="369"/>
      <c r="F88" s="333"/>
      <c r="G88" s="369"/>
    </row>
    <row r="89" spans="1:7" ht="16.5" thickBot="1">
      <c r="A89" s="261" t="s">
        <v>474</v>
      </c>
      <c r="B89" s="262"/>
      <c r="C89" s="262"/>
      <c r="D89" s="262"/>
      <c r="E89" s="265"/>
      <c r="F89" s="729"/>
    </row>
    <row r="90" spans="1:7" ht="6" customHeight="1" thickBot="1">
      <c r="A90" s="266"/>
      <c r="B90" s="267"/>
      <c r="C90" s="268"/>
      <c r="D90" s="305"/>
      <c r="E90" s="291"/>
      <c r="F90" s="731"/>
    </row>
    <row r="91" spans="1:7" ht="13.5" thickBot="1">
      <c r="A91" s="307" t="s">
        <v>487</v>
      </c>
      <c r="B91" s="524"/>
      <c r="C91" s="293"/>
      <c r="D91" s="349"/>
      <c r="E91" s="271">
        <f>'29_Infrastrukturkosten'!X14</f>
        <v>0</v>
      </c>
      <c r="F91" s="731"/>
    </row>
    <row r="92" spans="1:7" ht="13.5" thickBot="1">
      <c r="A92" s="308" t="s">
        <v>486</v>
      </c>
      <c r="B92" s="525"/>
      <c r="C92" s="309"/>
      <c r="D92" s="350"/>
      <c r="E92" s="271">
        <f>'29_Infrastrukturkosten'!X23</f>
        <v>0</v>
      </c>
      <c r="F92" s="731"/>
    </row>
    <row r="93" spans="1:7" ht="6" customHeight="1" thickBot="1">
      <c r="A93" s="355"/>
      <c r="B93" s="356"/>
      <c r="C93" s="357"/>
      <c r="D93" s="358"/>
      <c r="E93" s="360"/>
      <c r="F93" s="745"/>
    </row>
    <row r="94" spans="1:7" ht="16.5" thickBot="1">
      <c r="A94" s="330" t="s">
        <v>488</v>
      </c>
      <c r="B94" s="331"/>
      <c r="C94" s="332"/>
      <c r="D94" s="332"/>
      <c r="E94" s="346">
        <f>SUM(E91:E93)*-1</f>
        <v>0</v>
      </c>
      <c r="F94" s="744"/>
    </row>
    <row r="95" spans="1:7" ht="18">
      <c r="A95" s="334"/>
      <c r="B95" s="369"/>
      <c r="C95" s="369"/>
      <c r="D95" s="369"/>
      <c r="E95" s="369"/>
      <c r="F95" s="744"/>
      <c r="G95" s="369"/>
    </row>
    <row r="96" spans="1:7" ht="18">
      <c r="A96" s="334" t="s">
        <v>1503</v>
      </c>
      <c r="B96" s="335"/>
      <c r="C96" s="243"/>
      <c r="F96" s="333"/>
      <c r="G96" s="333"/>
    </row>
    <row r="97" spans="1:11">
      <c r="A97" s="376"/>
      <c r="B97" s="335"/>
      <c r="C97" s="243"/>
      <c r="D97" s="375"/>
      <c r="E97" s="333"/>
      <c r="F97" s="333"/>
      <c r="G97" s="333"/>
    </row>
    <row r="98" spans="1:11" ht="15">
      <c r="A98" s="377" t="s">
        <v>284</v>
      </c>
      <c r="B98" s="378"/>
      <c r="C98" s="379">
        <f>'1a_Leistungsvolumen'!$G$103</f>
        <v>0</v>
      </c>
      <c r="D98" s="375"/>
      <c r="E98" s="380"/>
      <c r="F98" s="333"/>
      <c r="G98" s="333"/>
      <c r="K98" s="197"/>
    </row>
    <row r="99" spans="1:11" ht="15">
      <c r="A99" s="377" t="s">
        <v>793</v>
      </c>
      <c r="B99" s="381"/>
      <c r="C99" s="379">
        <f>E87</f>
        <v>-17410.51659076738</v>
      </c>
      <c r="D99" s="375"/>
      <c r="E99" s="382"/>
      <c r="F99" s="333"/>
      <c r="G99" s="333"/>
      <c r="K99" s="197"/>
    </row>
    <row r="100" spans="1:11" ht="15">
      <c r="A100" s="377" t="s">
        <v>794</v>
      </c>
      <c r="B100" s="381"/>
      <c r="C100" s="379">
        <f>E94</f>
        <v>0</v>
      </c>
      <c r="D100" s="375"/>
      <c r="E100" s="382"/>
      <c r="F100" s="333"/>
      <c r="G100" s="333"/>
    </row>
    <row r="101" spans="1:11" ht="15.75" thickBot="1">
      <c r="A101" s="383" t="str">
        <f>"Rate "&amp;G4&amp;":"</f>
        <v>Rate Monat JJJJ:</v>
      </c>
      <c r="B101" s="370"/>
      <c r="C101" s="384">
        <f>SUM(C98:C100)</f>
        <v>-17410.51659076738</v>
      </c>
      <c r="D101" s="375"/>
      <c r="E101" s="333"/>
      <c r="F101" s="333"/>
      <c r="G101" s="333"/>
    </row>
    <row r="102" spans="1:11" ht="15.75" thickTop="1">
      <c r="A102" s="336"/>
      <c r="B102" s="337"/>
      <c r="C102" s="338"/>
      <c r="D102" s="338"/>
      <c r="E102" s="339"/>
      <c r="F102" s="339"/>
      <c r="G102" s="339"/>
    </row>
    <row r="103" spans="1:11">
      <c r="A103" s="197"/>
      <c r="B103" s="197"/>
      <c r="C103"/>
      <c r="D103" s="197"/>
      <c r="E103" s="369"/>
      <c r="F103" s="369"/>
      <c r="G103" s="369"/>
    </row>
    <row r="104" spans="1:11">
      <c r="A104" s="197"/>
      <c r="B104" s="197"/>
      <c r="C104" s="2196"/>
      <c r="D104" s="197"/>
      <c r="E104" s="369"/>
      <c r="F104" s="369"/>
      <c r="G104" s="369"/>
    </row>
    <row r="105" spans="1:11">
      <c r="A105" s="194" t="s">
        <v>219</v>
      </c>
      <c r="B105" s="2844" t="s">
        <v>224</v>
      </c>
      <c r="C105" s="2844"/>
      <c r="D105" s="2845"/>
      <c r="E105" s="2845"/>
      <c r="F105" s="369"/>
      <c r="G105" s="369"/>
    </row>
    <row r="106" spans="1:11">
      <c r="B106" s="2844" t="s">
        <v>1645</v>
      </c>
      <c r="C106" s="2844"/>
      <c r="D106" s="2845"/>
      <c r="E106" s="2845"/>
      <c r="F106" s="369"/>
      <c r="G106" s="369"/>
    </row>
    <row r="107" spans="1:11">
      <c r="D107" s="369"/>
      <c r="E107" s="369"/>
      <c r="F107" s="369"/>
      <c r="G107" s="369"/>
    </row>
    <row r="108" spans="1:11">
      <c r="A108" s="2267" t="s">
        <v>1434</v>
      </c>
      <c r="B108" s="2267" t="s">
        <v>1435</v>
      </c>
      <c r="C108"/>
      <c r="D108" s="369"/>
      <c r="E108" s="369"/>
      <c r="F108" s="369"/>
      <c r="G108" s="369"/>
    </row>
    <row r="109" spans="1:11">
      <c r="A109" s="2267" t="s">
        <v>1554</v>
      </c>
      <c r="B109" s="2267" t="s">
        <v>1550</v>
      </c>
      <c r="C109" s="2196" t="s">
        <v>1442</v>
      </c>
      <c r="D109" s="369"/>
      <c r="E109" s="369"/>
      <c r="F109" s="369"/>
      <c r="G109" s="369"/>
    </row>
    <row r="110" spans="1:11">
      <c r="A110" s="369"/>
      <c r="B110" s="369"/>
      <c r="C110" s="369"/>
      <c r="D110" s="369"/>
      <c r="E110" s="369"/>
      <c r="F110" s="369"/>
      <c r="G110" s="369"/>
    </row>
    <row r="111" spans="1:11">
      <c r="A111" s="369"/>
      <c r="B111" s="369"/>
      <c r="C111" s="369"/>
      <c r="D111" s="369"/>
      <c r="E111" s="369"/>
      <c r="F111" s="369"/>
      <c r="G111" s="369"/>
    </row>
    <row r="112" spans="1:11">
      <c r="A112" s="369"/>
      <c r="B112" s="369"/>
      <c r="C112" s="369"/>
      <c r="D112" s="369"/>
      <c r="E112" s="369"/>
      <c r="F112" s="369"/>
      <c r="G112" s="369"/>
    </row>
    <row r="113" spans="1:7">
      <c r="A113" s="369"/>
      <c r="B113" s="369"/>
      <c r="C113" s="369"/>
      <c r="D113" s="369"/>
      <c r="E113" s="369"/>
      <c r="F113" s="369"/>
      <c r="G113" s="369"/>
    </row>
    <row r="114" spans="1:7">
      <c r="A114" s="369"/>
      <c r="B114" s="369"/>
      <c r="C114" s="369"/>
      <c r="D114" s="369"/>
      <c r="E114" s="369"/>
      <c r="F114" s="369"/>
      <c r="G114" s="369"/>
    </row>
    <row r="115" spans="1:7">
      <c r="A115" s="369"/>
      <c r="B115" s="369"/>
      <c r="C115" s="369"/>
      <c r="D115" s="369"/>
      <c r="E115" s="369"/>
      <c r="F115" s="369"/>
      <c r="G115" s="369"/>
    </row>
    <row r="116" spans="1:7">
      <c r="A116" s="369"/>
      <c r="B116" s="369"/>
      <c r="C116" s="369"/>
      <c r="D116" s="369"/>
      <c r="E116" s="369"/>
      <c r="F116" s="369"/>
      <c r="G116" s="369"/>
    </row>
  </sheetData>
  <sheetProtection algorithmName="SHA-512" hashValue="wmmO7ENr8vh4H9dd9qc5oeSTl7mjVK5qr1Rq+6lkYg03oh8lma6rsUs3KO469/J3g0xC63CuWrRl1pOwHcj4tg==" saltValue="KmizdfOwCgL84b9EjhdC+A==" spinCount="100000" sheet="1" objects="1" scenarios="1"/>
  <mergeCells count="2">
    <mergeCell ref="F6:G6"/>
    <mergeCell ref="H2:K3"/>
  </mergeCells>
  <pageMargins left="0.7" right="0.7" top="0.78740157499999996" bottom="0.78740157499999996" header="0.3" footer="0.3"/>
  <pageSetup paperSize="9" scale="41" orientation="portrait" r:id="rId1"/>
  <headerFooter>
    <oddHeader>&amp;LVDV SUN Jahresschlussrechnung JJJJ&amp;R&amp;KFF0000&amp;F</oddHeader>
    <oddFooter>&amp;C&amp;P&amp;R&amp;A</oddFooter>
  </headerFooter>
  <rowBreaks count="1" manualBreakCount="1">
    <brk id="46"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035DC-8F6D-4C22-AF2E-129A94C6F962}">
  <sheetPr>
    <tabColor rgb="FF0070C0"/>
  </sheetPr>
  <dimension ref="A1:K115"/>
  <sheetViews>
    <sheetView showGridLines="0" view="pageBreakPreview" zoomScale="80" zoomScaleNormal="100" zoomScaleSheetLayoutView="80" zoomScalePageLayoutView="80" workbookViewId="0">
      <selection activeCell="J42" sqref="J42"/>
    </sheetView>
  </sheetViews>
  <sheetFormatPr baseColWidth="10" defaultColWidth="11.42578125" defaultRowHeight="12.75"/>
  <cols>
    <col min="1" max="1" width="59" style="195" customWidth="1"/>
    <col min="2" max="2" width="15.5703125" style="195" customWidth="1"/>
    <col min="3" max="3" width="20.140625" style="195" customWidth="1"/>
    <col min="4" max="4" width="24.140625" style="195" customWidth="1"/>
    <col min="5" max="5" width="25.7109375" style="195" customWidth="1"/>
    <col min="6" max="6" width="2.5703125" style="195" customWidth="1"/>
    <col min="7" max="7" width="15.28515625" style="195" customWidth="1"/>
    <col min="8" max="10" width="11.42578125" style="195"/>
    <col min="11" max="11" width="16.5703125" style="195" customWidth="1"/>
    <col min="12" max="16384" width="11.42578125" style="195"/>
  </cols>
  <sheetData>
    <row r="1" spans="1:11" ht="18">
      <c r="A1" s="2272" t="s">
        <v>1458</v>
      </c>
      <c r="B1" s="254"/>
      <c r="C1" s="369"/>
      <c r="D1" s="369"/>
      <c r="E1" s="255"/>
      <c r="F1" s="255"/>
      <c r="G1" s="342" t="s">
        <v>1667</v>
      </c>
    </row>
    <row r="2" spans="1:11" ht="15">
      <c r="A2" s="256"/>
      <c r="B2" s="257"/>
      <c r="C2" s="344" t="s">
        <v>1678</v>
      </c>
      <c r="D2" s="345">
        <v>6.5</v>
      </c>
      <c r="E2" s="257"/>
      <c r="F2" s="257"/>
      <c r="G2" s="370"/>
      <c r="H2" s="3041" t="s">
        <v>1675</v>
      </c>
      <c r="I2" s="3042"/>
      <c r="J2" s="3042"/>
      <c r="K2" s="3042"/>
    </row>
    <row r="3" spans="1:11" ht="18">
      <c r="A3" s="258" t="s">
        <v>255</v>
      </c>
      <c r="B3" s="257"/>
      <c r="C3" s="257"/>
      <c r="D3" s="257"/>
      <c r="E3" s="370"/>
      <c r="F3" s="259" t="s">
        <v>256</v>
      </c>
      <c r="G3" s="371" t="str">
        <f>INHALT!$A$2&amp;" "&amp;INHALT!$B$2</f>
        <v>Monat JJJJ</v>
      </c>
      <c r="H3" s="3042"/>
      <c r="I3" s="3042"/>
      <c r="J3" s="3042"/>
      <c r="K3" s="3042"/>
    </row>
    <row r="4" spans="1:11">
      <c r="A4" s="369"/>
      <c r="B4" s="369"/>
      <c r="C4" s="369"/>
      <c r="D4" s="369"/>
      <c r="E4" s="369"/>
      <c r="F4" s="369"/>
      <c r="G4" s="372"/>
    </row>
    <row r="5" spans="1:11">
      <c r="A5" s="373" t="s">
        <v>257</v>
      </c>
      <c r="B5" s="373" t="s">
        <v>156</v>
      </c>
      <c r="C5" s="373" t="s">
        <v>258</v>
      </c>
      <c r="D5" s="373" t="s">
        <v>782</v>
      </c>
      <c r="E5" s="374" t="s">
        <v>201</v>
      </c>
      <c r="F5" s="3040"/>
      <c r="G5" s="3040"/>
    </row>
    <row r="6" spans="1:11" ht="6.75" customHeight="1" thickBot="1">
      <c r="A6" s="260"/>
      <c r="B6" s="260"/>
      <c r="C6" s="260"/>
      <c r="D6" s="260"/>
      <c r="E6" s="260"/>
      <c r="F6" s="257"/>
      <c r="G6" s="257"/>
    </row>
    <row r="7" spans="1:11" ht="16.5" thickBot="1">
      <c r="A7" s="261" t="s">
        <v>259</v>
      </c>
      <c r="B7" s="262"/>
      <c r="C7" s="262"/>
      <c r="D7" s="263"/>
      <c r="E7" s="264">
        <f>SUM(E9:E18)</f>
        <v>0</v>
      </c>
      <c r="F7" s="729"/>
      <c r="G7" s="730"/>
    </row>
    <row r="8" spans="1:11" ht="5.85" customHeight="1" thickBot="1">
      <c r="A8" s="266"/>
      <c r="B8" s="267"/>
      <c r="C8" s="268"/>
      <c r="D8" s="269"/>
      <c r="E8" s="270"/>
      <c r="F8" s="731"/>
      <c r="G8" s="732"/>
    </row>
    <row r="9" spans="1:11" ht="13.5" thickBot="1">
      <c r="A9" s="272" t="s">
        <v>260</v>
      </c>
      <c r="B9" s="273"/>
      <c r="C9" s="274" t="s">
        <v>261</v>
      </c>
      <c r="D9" s="275">
        <f>$D$2*-1</f>
        <v>-6.5</v>
      </c>
      <c r="E9" s="276">
        <f>ROUND(D9*B9,2)</f>
        <v>0</v>
      </c>
      <c r="F9" s="731"/>
      <c r="G9" s="732"/>
    </row>
    <row r="10" spans="1:11" ht="26.25" thickBot="1">
      <c r="A10" s="272" t="s">
        <v>1707</v>
      </c>
      <c r="B10" s="273"/>
      <c r="C10" s="277" t="s">
        <v>262</v>
      </c>
      <c r="D10" s="275">
        <f>$D$2*-1</f>
        <v>-6.5</v>
      </c>
      <c r="E10" s="276">
        <f>ROUND(D10*B10,2)</f>
        <v>0</v>
      </c>
      <c r="F10" s="731"/>
      <c r="G10" s="2975" t="s">
        <v>1708</v>
      </c>
    </row>
    <row r="11" spans="1:11" ht="6.75" customHeight="1" thickBot="1">
      <c r="A11" s="272"/>
      <c r="B11" s="278"/>
      <c r="C11" s="277"/>
      <c r="D11" s="275"/>
      <c r="E11" s="276"/>
      <c r="F11" s="731"/>
      <c r="G11" s="732"/>
    </row>
    <row r="12" spans="1:11" ht="7.5" customHeight="1" thickBot="1">
      <c r="A12" s="272"/>
      <c r="B12" s="278"/>
      <c r="C12" s="277"/>
      <c r="D12" s="275"/>
      <c r="E12" s="276"/>
      <c r="F12" s="731"/>
      <c r="G12" s="732"/>
    </row>
    <row r="13" spans="1:11" ht="13.5" thickBot="1">
      <c r="A13" s="279" t="s">
        <v>263</v>
      </c>
      <c r="B13" s="273"/>
      <c r="C13" s="274" t="s">
        <v>261</v>
      </c>
      <c r="D13" s="275">
        <v>4</v>
      </c>
      <c r="E13" s="276">
        <f>ROUND(D13*B13,2)</f>
        <v>0</v>
      </c>
      <c r="F13" s="731"/>
      <c r="G13" s="732"/>
    </row>
    <row r="14" spans="1:11" ht="12.75" customHeight="1" thickBot="1">
      <c r="A14" s="272" t="s">
        <v>264</v>
      </c>
      <c r="B14" s="273"/>
      <c r="C14" s="277" t="s">
        <v>262</v>
      </c>
      <c r="D14" s="275">
        <v>3.2</v>
      </c>
      <c r="E14" s="276">
        <f>ROUND(D14*B14,2)</f>
        <v>0</v>
      </c>
      <c r="F14" s="731"/>
      <c r="G14" s="732"/>
    </row>
    <row r="15" spans="1:11" ht="12.75" customHeight="1" thickBot="1">
      <c r="A15" s="1734" t="s">
        <v>1315</v>
      </c>
      <c r="B15" s="1735"/>
      <c r="C15" s="277" t="s">
        <v>262</v>
      </c>
      <c r="D15" s="275">
        <v>3.2</v>
      </c>
      <c r="E15" s="276">
        <f>ROUND(D15*B15,2)</f>
        <v>0</v>
      </c>
      <c r="F15" s="731"/>
      <c r="G15" s="732"/>
    </row>
    <row r="16" spans="1:11" ht="12.75" customHeight="1" thickBot="1">
      <c r="A16" s="272"/>
      <c r="B16" s="278"/>
      <c r="C16" s="274"/>
      <c r="D16" s="275"/>
      <c r="E16" s="276"/>
      <c r="F16" s="731"/>
      <c r="G16" s="732"/>
    </row>
    <row r="17" spans="1:7" ht="30" customHeight="1" thickBot="1">
      <c r="A17" s="1723" t="s">
        <v>1679</v>
      </c>
      <c r="B17" s="273"/>
      <c r="C17" s="274" t="s">
        <v>261</v>
      </c>
      <c r="D17" s="275">
        <v>-1</v>
      </c>
      <c r="E17" s="276">
        <f>ROUND(D17*B17,2)</f>
        <v>0</v>
      </c>
      <c r="F17" s="731"/>
      <c r="G17" s="732"/>
    </row>
    <row r="18" spans="1:7" ht="12.75" customHeight="1" thickBot="1">
      <c r="A18" s="272" t="s">
        <v>1680</v>
      </c>
      <c r="B18" s="273"/>
      <c r="C18" s="274" t="s">
        <v>261</v>
      </c>
      <c r="D18" s="275">
        <v>-1</v>
      </c>
      <c r="E18" s="276">
        <f>ROUND(D18*B18,2)</f>
        <v>0</v>
      </c>
      <c r="F18" s="729"/>
      <c r="G18" s="733"/>
    </row>
    <row r="19" spans="1:7" ht="5.85" customHeight="1" thickBot="1">
      <c r="A19" s="280"/>
      <c r="B19" s="281"/>
      <c r="C19" s="282"/>
      <c r="D19" s="283"/>
      <c r="E19" s="284"/>
      <c r="F19" s="731"/>
      <c r="G19" s="732"/>
    </row>
    <row r="20" spans="1:7" ht="16.5" thickBot="1">
      <c r="A20" s="261" t="s">
        <v>265</v>
      </c>
      <c r="B20" s="262"/>
      <c r="C20" s="262"/>
      <c r="D20" s="263"/>
      <c r="E20" s="264">
        <f>SUM(E22:E29)</f>
        <v>0</v>
      </c>
      <c r="F20" s="729"/>
      <c r="G20" s="730"/>
    </row>
    <row r="21" spans="1:7" ht="11.25" customHeight="1" thickBot="1">
      <c r="A21" s="2639" t="s">
        <v>1327</v>
      </c>
      <c r="B21" s="267"/>
      <c r="C21" s="268"/>
      <c r="D21" s="285" t="s">
        <v>266</v>
      </c>
      <c r="E21" s="270"/>
      <c r="F21" s="731"/>
      <c r="G21" s="732"/>
    </row>
    <row r="22" spans="1:7" ht="26.25" thickBot="1">
      <c r="A22" s="2653" t="str">
        <f>'1a_Leistungsvolumen'!A15&amp;" "&amp;'1a_Leistungsvolumen'!B15</f>
        <v>RB 50 Gemünden - Hammelburg - Bad Kissingen - Ebenhausen - Schweinfurt</v>
      </c>
      <c r="B22" s="689">
        <f>'2a_Linienpünktlichkeit '!E14</f>
        <v>99.485294117647058</v>
      </c>
      <c r="C22" s="2789" t="s">
        <v>278</v>
      </c>
      <c r="D22" s="286">
        <f>('1a_Leistungsvolumen'!$H$30-'7_Statistik Zugausfälle'!$P$40)*'0f_Zsfsg. BEG O Los B'!$D$2</f>
        <v>91000</v>
      </c>
      <c r="E22" s="2224">
        <f>ROUND(IF($B$22&gt;95,0,IF($B$22&gt;85,(95-$B$22)*-0.005*$D$22,10*-0.005*$D$22)),2)</f>
        <v>0</v>
      </c>
      <c r="F22" s="734"/>
      <c r="G22" s="735"/>
    </row>
    <row r="23" spans="1:7" ht="13.5" customHeight="1" thickBot="1">
      <c r="A23" s="2829" t="s">
        <v>792</v>
      </c>
      <c r="B23" s="689"/>
      <c r="C23" s="2789"/>
      <c r="D23" s="286"/>
      <c r="E23" s="2224"/>
      <c r="F23" s="734"/>
      <c r="G23" s="735"/>
    </row>
    <row r="24" spans="1:7" ht="13.5" customHeight="1" thickBot="1">
      <c r="A24" s="2653"/>
      <c r="B24" s="689"/>
      <c r="C24" s="2789"/>
      <c r="D24" s="286"/>
      <c r="E24" s="2224"/>
      <c r="F24" s="734"/>
      <c r="G24" s="735"/>
    </row>
    <row r="25" spans="1:7" ht="13.5" customHeight="1" thickBot="1">
      <c r="A25" s="2653"/>
      <c r="B25" s="689"/>
      <c r="C25" s="2789"/>
      <c r="D25" s="286"/>
      <c r="E25" s="2224"/>
      <c r="F25" s="734"/>
      <c r="G25" s="735"/>
    </row>
    <row r="26" spans="1:7" ht="13.5" customHeight="1" thickBot="1">
      <c r="A26" s="369"/>
      <c r="B26" s="689"/>
      <c r="C26" s="2789"/>
      <c r="E26" s="2224"/>
      <c r="F26" s="734"/>
      <c r="G26" s="735"/>
    </row>
    <row r="27" spans="1:7" ht="13.5" customHeight="1" thickBot="1">
      <c r="A27" s="2653"/>
      <c r="B27" s="689"/>
      <c r="C27" s="2789"/>
      <c r="D27" s="286"/>
      <c r="E27" s="276"/>
      <c r="F27" s="734"/>
      <c r="G27" s="735"/>
    </row>
    <row r="28" spans="1:7" ht="4.5" customHeight="1" thickBot="1">
      <c r="B28" s="689"/>
      <c r="C28" s="274"/>
      <c r="D28" s="286"/>
      <c r="E28" s="276"/>
      <c r="F28" s="734"/>
      <c r="G28" s="735"/>
    </row>
    <row r="29" spans="1:7" ht="4.5" customHeight="1" thickBot="1">
      <c r="A29" s="272" t="str">
        <f>'1a_Leistungsvolumen'!A17&amp;" "&amp;'1a_Leistungsvolumen'!B17</f>
        <v xml:space="preserve"> </v>
      </c>
      <c r="B29" s="689"/>
      <c r="C29" s="274"/>
      <c r="D29" s="286"/>
      <c r="E29" s="276"/>
      <c r="F29" s="734"/>
      <c r="G29" s="735"/>
    </row>
    <row r="30" spans="1:7" ht="5.85" customHeight="1" thickBot="1">
      <c r="A30" s="287"/>
      <c r="B30" s="288"/>
      <c r="C30" s="289"/>
      <c r="D30" s="290"/>
      <c r="E30" s="271"/>
      <c r="F30" s="731"/>
      <c r="G30" s="732"/>
    </row>
    <row r="31" spans="1:7" ht="16.5" thickBot="1">
      <c r="A31" s="261" t="s">
        <v>1347</v>
      </c>
      <c r="B31" s="262"/>
      <c r="C31" s="262"/>
      <c r="D31" s="263"/>
      <c r="E31" s="264">
        <f>SUM(E33:E34)</f>
        <v>0</v>
      </c>
      <c r="F31" s="729"/>
      <c r="G31" s="730"/>
    </row>
    <row r="32" spans="1:7" ht="5.85" customHeight="1" thickBot="1">
      <c r="A32" s="287"/>
      <c r="B32" s="288"/>
      <c r="C32" s="289"/>
      <c r="D32" s="290"/>
      <c r="E32" s="271"/>
      <c r="F32" s="731"/>
      <c r="G32" s="728"/>
    </row>
    <row r="33" spans="1:7" ht="13.5" thickBot="1">
      <c r="A33" s="272" t="s">
        <v>691</v>
      </c>
      <c r="B33" s="273">
        <f>'1b_Mehr_Zusatzleistungen'!$B$15</f>
        <v>0</v>
      </c>
      <c r="C33" s="274" t="s">
        <v>261</v>
      </c>
      <c r="D33" s="275"/>
      <c r="E33" s="276">
        <f>'1b_Mehr_Zusatzleistungen'!$C$15</f>
        <v>0</v>
      </c>
      <c r="F33" s="729"/>
      <c r="G33" s="736"/>
    </row>
    <row r="34" spans="1:7" ht="13.5" thickBot="1">
      <c r="A34" s="287" t="s">
        <v>1339</v>
      </c>
      <c r="B34" s="273">
        <f>'1b_Mehr_Zusatzleistungen'!$B$16</f>
        <v>0</v>
      </c>
      <c r="C34" s="289" t="s">
        <v>261</v>
      </c>
      <c r="D34" s="290"/>
      <c r="E34" s="271">
        <f>'1b_Mehr_Zusatzleistungen'!$C$16</f>
        <v>0</v>
      </c>
      <c r="F34" s="731"/>
      <c r="G34" s="728"/>
    </row>
    <row r="35" spans="1:7" ht="16.5" thickBot="1">
      <c r="A35" s="261" t="s">
        <v>267</v>
      </c>
      <c r="B35" s="262"/>
      <c r="C35" s="262"/>
      <c r="D35" s="263"/>
      <c r="E35" s="264">
        <f>E37</f>
        <v>0</v>
      </c>
      <c r="F35" s="729"/>
      <c r="G35" s="730"/>
    </row>
    <row r="36" spans="1:7" ht="5.85" customHeight="1" thickBot="1">
      <c r="A36" s="266"/>
      <c r="B36" s="292"/>
      <c r="C36" s="268"/>
      <c r="D36" s="269"/>
      <c r="E36" s="270"/>
      <c r="F36" s="731"/>
      <c r="G36" s="728"/>
    </row>
    <row r="37" spans="1:7" ht="13.5" thickBot="1">
      <c r="A37" s="272" t="s">
        <v>268</v>
      </c>
      <c r="B37" s="273">
        <f>'9_Statistik Zugbildung'!$J$5</f>
        <v>0</v>
      </c>
      <c r="C37" s="274" t="s">
        <v>261</v>
      </c>
      <c r="D37" s="341">
        <v>-1.5</v>
      </c>
      <c r="E37" s="276">
        <f>ROUND($D$37*B37,2)</f>
        <v>0</v>
      </c>
      <c r="F37" s="731"/>
      <c r="G37" s="728"/>
    </row>
    <row r="38" spans="1:7" ht="5.85" customHeight="1" thickBot="1">
      <c r="A38" s="280"/>
      <c r="B38" s="281"/>
      <c r="C38" s="282"/>
      <c r="D38" s="283"/>
      <c r="E38" s="284"/>
      <c r="F38" s="731"/>
      <c r="G38" s="728"/>
    </row>
    <row r="39" spans="1:7" ht="30.75" thickBot="1">
      <c r="A39" s="261" t="s">
        <v>1262</v>
      </c>
      <c r="B39" s="262"/>
      <c r="C39" s="262"/>
      <c r="D39" s="263"/>
      <c r="E39" s="264">
        <f>SUM(E41:E44)</f>
        <v>-47.991447199310144</v>
      </c>
      <c r="F39" s="729"/>
      <c r="G39" s="730"/>
    </row>
    <row r="40" spans="1:7" ht="5.85" customHeight="1" thickBot="1">
      <c r="A40" s="294"/>
      <c r="B40" s="295"/>
      <c r="C40" s="296"/>
      <c r="D40" s="529"/>
      <c r="E40" s="297"/>
      <c r="F40" s="731"/>
      <c r="G40" s="728"/>
    </row>
    <row r="41" spans="1:7" ht="13.5" thickBot="1">
      <c r="A41" s="298" t="s">
        <v>1263</v>
      </c>
      <c r="B41" s="273">
        <f>'19a_Statistik_Kundenbetreuer '!$J$5</f>
        <v>0</v>
      </c>
      <c r="C41" s="527" t="s">
        <v>261</v>
      </c>
      <c r="D41" s="530">
        <v>-1</v>
      </c>
      <c r="E41" s="528">
        <f>ROUND($D$41*B41,2)</f>
        <v>0</v>
      </c>
      <c r="F41" s="731"/>
      <c r="G41" s="728"/>
    </row>
    <row r="42" spans="1:7" ht="13.5" thickBot="1">
      <c r="A42" s="1650" t="s">
        <v>1264</v>
      </c>
      <c r="B42" s="1651"/>
      <c r="C42" s="1652"/>
      <c r="D42" s="530">
        <v>-1</v>
      </c>
      <c r="E42" s="2840">
        <f>-'20_Statistik SiP'!$J$7</f>
        <v>-27.458837199310143</v>
      </c>
      <c r="F42" s="731"/>
      <c r="G42" s="728"/>
    </row>
    <row r="43" spans="1:7" ht="13.5" thickBot="1">
      <c r="A43" s="1650" t="s">
        <v>1265</v>
      </c>
      <c r="B43" s="1654"/>
      <c r="C43" s="1652"/>
      <c r="D43" s="530"/>
      <c r="E43" s="1653">
        <f>-'19b_Aufgaben Zugpersonal'!$K$11</f>
        <v>-20.532609999999998</v>
      </c>
      <c r="F43" s="731"/>
      <c r="G43" s="728"/>
    </row>
    <row r="44" spans="1:7" ht="13.5" thickBot="1">
      <c r="A44" s="532" t="s">
        <v>495</v>
      </c>
      <c r="B44" s="690"/>
      <c r="C44" s="526"/>
      <c r="D44" s="531"/>
      <c r="E44" s="746">
        <f>'22_zusätzl. Personale'!$I$8</f>
        <v>0</v>
      </c>
      <c r="F44" s="731"/>
      <c r="G44" s="728"/>
    </row>
    <row r="45" spans="1:7" ht="5.85" customHeight="1" thickBot="1">
      <c r="A45" s="299"/>
      <c r="B45" s="300"/>
      <c r="C45" s="301"/>
      <c r="D45" s="302"/>
      <c r="E45" s="303"/>
      <c r="F45" s="731"/>
      <c r="G45" s="728"/>
    </row>
    <row r="46" spans="1:7" ht="16.5" thickBot="1">
      <c r="A46" s="261" t="s">
        <v>280</v>
      </c>
      <c r="B46" s="262"/>
      <c r="C46" s="262"/>
      <c r="D46" s="263"/>
      <c r="E46" s="264">
        <f>SUM(E48:E49)</f>
        <v>-46.93168</v>
      </c>
      <c r="F46" s="737"/>
      <c r="G46" s="730"/>
    </row>
    <row r="47" spans="1:7" ht="5.85" customHeight="1" thickBot="1">
      <c r="A47" s="266"/>
      <c r="B47" s="304"/>
      <c r="C47" s="268"/>
      <c r="D47" s="305"/>
      <c r="E47" s="270"/>
      <c r="F47" s="727"/>
      <c r="G47" s="728"/>
    </row>
    <row r="48" spans="1:7" ht="13.5" thickBot="1">
      <c r="A48" s="272" t="s">
        <v>269</v>
      </c>
      <c r="B48" s="1814">
        <f>'23a_Schäden an Fahrzeugen'!$D$9</f>
        <v>1</v>
      </c>
      <c r="C48" s="293" t="s">
        <v>1685</v>
      </c>
      <c r="D48" s="349">
        <v>-100</v>
      </c>
      <c r="E48" s="2831">
        <f>-'23a_Schäden an Fahrzeugen'!$J$7</f>
        <v>-43.998449999999998</v>
      </c>
      <c r="F48" s="727"/>
      <c r="G48" s="728"/>
    </row>
    <row r="49" spans="1:7" ht="13.5" thickBot="1">
      <c r="A49" s="272" t="s">
        <v>270</v>
      </c>
      <c r="B49" s="1814">
        <f>'23a_Schäden an Fahrzeugen'!$D$6</f>
        <v>3</v>
      </c>
      <c r="C49" s="343" t="s">
        <v>1685</v>
      </c>
      <c r="D49" s="349">
        <v>-500</v>
      </c>
      <c r="E49" s="2831">
        <f>-'23a_Schäden an Fahrzeugen'!$J$10</f>
        <v>-2.93323</v>
      </c>
      <c r="F49" s="727"/>
      <c r="G49" s="728"/>
    </row>
    <row r="50" spans="1:7" ht="12" customHeight="1">
      <c r="A50" s="747" t="s">
        <v>1684</v>
      </c>
      <c r="B50" s="534">
        <f>'23a_Schäden an Fahrzeugen'!$D$12</f>
        <v>21</v>
      </c>
      <c r="C50" s="535" t="s">
        <v>1685</v>
      </c>
      <c r="D50" s="535"/>
      <c r="E50" s="2842">
        <f>-'23a_Schäden an Fahrzeugen'!$J$13</f>
        <v>-30.798915000000001</v>
      </c>
      <c r="F50" s="727"/>
      <c r="G50" s="728"/>
    </row>
    <row r="51" spans="1:7" ht="5.85" customHeight="1" thickBot="1">
      <c r="A51" s="747"/>
      <c r="B51" s="534"/>
      <c r="C51" s="535"/>
      <c r="D51" s="535"/>
      <c r="E51" s="748"/>
      <c r="F51" s="727"/>
      <c r="G51" s="728"/>
    </row>
    <row r="52" spans="1:7" ht="16.5" customHeight="1" thickBot="1">
      <c r="A52" s="261" t="s">
        <v>492</v>
      </c>
      <c r="B52" s="262"/>
      <c r="C52" s="262"/>
      <c r="D52" s="263"/>
      <c r="E52" s="264">
        <f>SUM(E55:E58)</f>
        <v>-43.998449999999998</v>
      </c>
      <c r="F52" s="737"/>
      <c r="G52" s="730"/>
    </row>
    <row r="53" spans="1:7" ht="5.85" customHeight="1" thickBot="1">
      <c r="A53" s="266"/>
      <c r="B53" s="304"/>
      <c r="C53" s="268"/>
      <c r="D53" s="305"/>
      <c r="E53" s="270"/>
      <c r="F53" s="731"/>
      <c r="G53" s="728"/>
    </row>
    <row r="54" spans="1:7" ht="6.75" customHeight="1" thickBot="1">
      <c r="A54" s="539"/>
      <c r="B54" s="536"/>
      <c r="C54" s="533"/>
      <c r="D54" s="537"/>
      <c r="E54" s="297"/>
      <c r="F54" s="731"/>
      <c r="G54" s="728"/>
    </row>
    <row r="55" spans="1:7" ht="13.5" customHeight="1" thickBot="1">
      <c r="A55" s="272" t="s">
        <v>749</v>
      </c>
      <c r="B55" s="1814"/>
      <c r="C55" s="293" t="s">
        <v>493</v>
      </c>
      <c r="D55" s="538">
        <v>-300</v>
      </c>
      <c r="E55" s="2846">
        <f>-'24_Außenreinigung'!O8</f>
        <v>-35.19876</v>
      </c>
      <c r="F55" s="731"/>
      <c r="G55" s="728"/>
    </row>
    <row r="56" spans="1:7" ht="13.5" customHeight="1" thickBot="1">
      <c r="A56" s="272" t="s">
        <v>750</v>
      </c>
      <c r="B56" s="1814"/>
      <c r="C56" s="293" t="s">
        <v>493</v>
      </c>
      <c r="D56" s="538">
        <v>-300</v>
      </c>
      <c r="E56" s="2831">
        <f>-'25_Innenreinigung'!N8</f>
        <v>-8.79969</v>
      </c>
      <c r="F56" s="731"/>
      <c r="G56" s="728"/>
    </row>
    <row r="57" spans="1:7" ht="6" customHeight="1" thickBot="1">
      <c r="A57" s="272"/>
      <c r="B57" s="524"/>
      <c r="C57" s="293"/>
      <c r="D57" s="538"/>
      <c r="E57" s="276"/>
      <c r="F57" s="731"/>
      <c r="G57" s="728"/>
    </row>
    <row r="58" spans="1:7" ht="7.5" customHeight="1" thickBot="1">
      <c r="A58" s="272"/>
      <c r="B58" s="524"/>
      <c r="C58" s="343"/>
      <c r="D58" s="538"/>
      <c r="E58" s="276"/>
      <c r="F58" s="731"/>
      <c r="G58" s="728"/>
    </row>
    <row r="59" spans="1:7" ht="5.85" customHeight="1" thickBot="1">
      <c r="A59" s="361"/>
      <c r="B59" s="362"/>
      <c r="C59" s="363"/>
      <c r="D59" s="364"/>
      <c r="E59" s="365"/>
      <c r="F59" s="731"/>
      <c r="G59" s="728"/>
    </row>
    <row r="60" spans="1:7" ht="16.5" thickBot="1">
      <c r="A60" s="261" t="s">
        <v>490</v>
      </c>
      <c r="B60" s="262"/>
      <c r="C60" s="262"/>
      <c r="D60" s="262"/>
      <c r="E60" s="264">
        <f>SUM(E62:E67)</f>
        <v>0</v>
      </c>
      <c r="F60" s="729"/>
      <c r="G60" s="730"/>
    </row>
    <row r="61" spans="1:7" ht="5.85" customHeight="1" thickBot="1">
      <c r="A61" s="266"/>
      <c r="B61" s="267"/>
      <c r="C61" s="268"/>
      <c r="D61" s="305"/>
      <c r="E61" s="270"/>
      <c r="F61" s="731"/>
      <c r="G61" s="728"/>
    </row>
    <row r="62" spans="1:7" ht="13.5" thickBot="1">
      <c r="A62" s="307" t="s">
        <v>501</v>
      </c>
      <c r="B62" s="1814"/>
      <c r="C62" s="293" t="s">
        <v>271</v>
      </c>
      <c r="D62" s="349">
        <v>-300</v>
      </c>
      <c r="E62" s="276">
        <f>ROUND($D$62*B62,2)</f>
        <v>0</v>
      </c>
      <c r="F62" s="738"/>
      <c r="G62" s="732"/>
    </row>
    <row r="63" spans="1:7" ht="13.5" thickBot="1">
      <c r="A63" s="308" t="s">
        <v>502</v>
      </c>
      <c r="B63" s="1814"/>
      <c r="C63" s="309" t="s">
        <v>272</v>
      </c>
      <c r="D63" s="350">
        <v>-30</v>
      </c>
      <c r="E63" s="276">
        <f>ROUND($D$63*B63,2)</f>
        <v>0</v>
      </c>
      <c r="F63" s="738"/>
      <c r="G63" s="732"/>
    </row>
    <row r="64" spans="1:7" ht="13.5" thickBot="1">
      <c r="A64" s="308" t="s">
        <v>273</v>
      </c>
      <c r="B64" s="1814"/>
      <c r="C64" s="293" t="s">
        <v>271</v>
      </c>
      <c r="D64" s="351">
        <v>-100</v>
      </c>
      <c r="E64" s="276">
        <f>ROUND($D$64*B64,2)</f>
        <v>0</v>
      </c>
      <c r="F64" s="738"/>
      <c r="G64" s="732"/>
    </row>
    <row r="65" spans="1:7" ht="13.5" thickBot="1">
      <c r="A65" s="308" t="s">
        <v>1243</v>
      </c>
      <c r="B65" s="1814"/>
      <c r="C65" s="293" t="s">
        <v>271</v>
      </c>
      <c r="D65" s="351">
        <v>-100</v>
      </c>
      <c r="E65" s="276">
        <f>ROUND($D$65*B65,2)</f>
        <v>0</v>
      </c>
      <c r="F65" s="738"/>
      <c r="G65" s="732"/>
    </row>
    <row r="66" spans="1:7" ht="13.5" thickBot="1">
      <c r="A66" s="308" t="s">
        <v>689</v>
      </c>
      <c r="B66" s="1814"/>
      <c r="C66" s="293" t="s">
        <v>271</v>
      </c>
      <c r="D66" s="351">
        <v>-30</v>
      </c>
      <c r="E66" s="276">
        <f>ROUND($D$66*B66,2)</f>
        <v>0</v>
      </c>
      <c r="F66" s="738"/>
      <c r="G66" s="732"/>
    </row>
    <row r="67" spans="1:7" ht="5.85" customHeight="1" thickBot="1">
      <c r="A67" s="355"/>
      <c r="B67" s="1815"/>
      <c r="C67" s="357"/>
      <c r="D67" s="358"/>
      <c r="E67" s="359"/>
      <c r="F67" s="739"/>
      <c r="G67" s="740"/>
    </row>
    <row r="68" spans="1:7" ht="16.5" thickBot="1">
      <c r="A68" s="261" t="s">
        <v>491</v>
      </c>
      <c r="B68" s="311"/>
      <c r="C68" s="311"/>
      <c r="D68" s="311"/>
      <c r="E68" s="264">
        <f>SUM(E71:E83)</f>
        <v>0</v>
      </c>
      <c r="F68" s="741"/>
      <c r="G68" s="730"/>
    </row>
    <row r="69" spans="1:7" ht="11.25" customHeight="1" thickBot="1">
      <c r="A69" s="2640" t="s">
        <v>1327</v>
      </c>
      <c r="B69" s="312"/>
      <c r="C69" s="313"/>
      <c r="D69" s="314"/>
      <c r="E69" s="315"/>
      <c r="F69" s="742"/>
      <c r="G69" s="728"/>
    </row>
    <row r="70" spans="1:7" ht="13.5" thickBot="1">
      <c r="A70" s="316" t="s">
        <v>285</v>
      </c>
      <c r="B70" s="317"/>
      <c r="C70" s="289"/>
      <c r="D70" s="318"/>
      <c r="E70" s="271"/>
      <c r="F70" s="742"/>
      <c r="G70" s="728"/>
    </row>
    <row r="71" spans="1:7" ht="26.25" thickBot="1">
      <c r="A71" s="2653" t="str">
        <f t="shared" ref="A71" si="0">A22</f>
        <v>RB 50 Gemünden - Hammelburg - Bad Kissingen - Ebenhausen - Schweinfurt</v>
      </c>
      <c r="B71" s="691"/>
      <c r="C71" s="274" t="s">
        <v>278</v>
      </c>
      <c r="D71" s="354">
        <f>ROUND(-100,2)</f>
        <v>-100</v>
      </c>
      <c r="E71" s="276">
        <f>ROUND($D$71*B71,2)</f>
        <v>0</v>
      </c>
      <c r="F71" s="738"/>
      <c r="G71" s="732"/>
    </row>
    <row r="72" spans="1:7" ht="13.5" thickBot="1">
      <c r="A72" s="2829" t="s">
        <v>792</v>
      </c>
      <c r="B72" s="691"/>
      <c r="C72" s="274"/>
      <c r="D72" s="354"/>
      <c r="E72" s="276"/>
      <c r="F72" s="738"/>
      <c r="G72" s="732"/>
    </row>
    <row r="73" spans="1:7" ht="13.5" thickBot="1">
      <c r="A73" s="2653"/>
      <c r="B73" s="691"/>
      <c r="C73" s="274"/>
      <c r="D73" s="354"/>
      <c r="E73" s="276"/>
      <c r="F73" s="738"/>
      <c r="G73" s="732"/>
    </row>
    <row r="74" spans="1:7" ht="13.5" thickBot="1">
      <c r="A74" s="2653"/>
      <c r="B74" s="691"/>
      <c r="C74" s="274"/>
      <c r="D74" s="354"/>
      <c r="E74" s="276"/>
      <c r="F74" s="738"/>
      <c r="G74" s="732"/>
    </row>
    <row r="75" spans="1:7" ht="13.5" thickBot="1">
      <c r="A75" s="2653"/>
      <c r="B75" s="691"/>
      <c r="C75" s="274"/>
      <c r="D75" s="354"/>
      <c r="E75" s="276"/>
      <c r="F75" s="738"/>
      <c r="G75" s="732"/>
    </row>
    <row r="76" spans="1:7" ht="13.5" thickBot="1">
      <c r="A76" s="2653"/>
      <c r="B76" s="691"/>
      <c r="C76" s="274"/>
      <c r="D76" s="354"/>
      <c r="E76" s="276"/>
      <c r="F76" s="738"/>
      <c r="G76" s="732"/>
    </row>
    <row r="77" spans="1:7" ht="13.5" thickBot="1">
      <c r="A77" s="272"/>
      <c r="B77" s="691"/>
      <c r="C77" s="274"/>
      <c r="D77" s="354"/>
      <c r="E77" s="276"/>
      <c r="F77" s="738"/>
      <c r="G77" s="732"/>
    </row>
    <row r="78" spans="1:7" ht="13.5" thickBot="1">
      <c r="A78" s="321" t="s">
        <v>274</v>
      </c>
      <c r="B78" s="691"/>
      <c r="C78" s="274"/>
      <c r="D78" s="354"/>
      <c r="E78" s="276"/>
      <c r="F78" s="738"/>
      <c r="G78" s="732"/>
    </row>
    <row r="79" spans="1:7" ht="0.75" customHeight="1" thickBot="1">
      <c r="A79" s="272"/>
      <c r="B79" s="319"/>
      <c r="C79" s="289"/>
      <c r="D79" s="320"/>
      <c r="E79" s="271"/>
      <c r="F79" s="731"/>
      <c r="G79" s="728"/>
    </row>
    <row r="80" spans="1:7" ht="11.25" customHeight="1" thickBot="1">
      <c r="A80" s="2655" t="s">
        <v>1327</v>
      </c>
      <c r="B80" s="319"/>
      <c r="C80" s="289"/>
      <c r="D80" s="320"/>
      <c r="E80" s="271"/>
      <c r="F80" s="731"/>
      <c r="G80" s="728"/>
    </row>
    <row r="81" spans="1:7" ht="13.5" thickBot="1">
      <c r="A81" s="323" t="s">
        <v>174</v>
      </c>
      <c r="B81" s="942"/>
      <c r="C81" s="301"/>
      <c r="D81" s="322"/>
      <c r="E81" s="2822"/>
      <c r="F81" s="731"/>
      <c r="G81" s="728"/>
    </row>
    <row r="82" spans="1:7" ht="13.5" thickBot="1">
      <c r="A82" s="325" t="s">
        <v>161</v>
      </c>
      <c r="B82" s="306"/>
      <c r="C82" s="324"/>
      <c r="D82" s="310"/>
      <c r="E82" s="2823"/>
      <c r="F82" s="743"/>
      <c r="G82" s="732"/>
    </row>
    <row r="83" spans="1:7" ht="13.5" thickBot="1">
      <c r="A83" s="1660"/>
      <c r="B83" s="1661"/>
      <c r="C83" s="324"/>
      <c r="D83" s="310"/>
      <c r="E83" s="2824"/>
      <c r="F83" s="743"/>
      <c r="G83" s="732"/>
    </row>
    <row r="84" spans="1:7" ht="13.5" thickBot="1">
      <c r="A84" s="1656"/>
      <c r="B84" s="1657"/>
      <c r="C84" s="324"/>
      <c r="D84" s="310"/>
      <c r="E84" s="2825"/>
      <c r="F84" s="743"/>
      <c r="G84" s="732"/>
    </row>
    <row r="85" spans="1:7" ht="5.85" customHeight="1" thickBot="1">
      <c r="A85" s="326"/>
      <c r="B85" s="327"/>
      <c r="C85" s="328"/>
      <c r="D85" s="329"/>
      <c r="E85" s="359"/>
      <c r="F85" s="731"/>
      <c r="G85" s="728"/>
    </row>
    <row r="86" spans="1:7" ht="15.75" customHeight="1" thickBot="1">
      <c r="A86" s="330" t="s">
        <v>275</v>
      </c>
      <c r="B86" s="331"/>
      <c r="C86" s="332"/>
      <c r="D86" s="332"/>
      <c r="E86" s="1655">
        <f>E68+E60+E52+E46+E39+E35+E31+E20+E7</f>
        <v>-138.92157719931015</v>
      </c>
      <c r="F86" s="744"/>
      <c r="G86" s="730"/>
    </row>
    <row r="87" spans="1:7" ht="13.5" thickBot="1">
      <c r="A87" s="369"/>
      <c r="B87" s="369"/>
      <c r="C87" s="369"/>
      <c r="D87" s="369"/>
      <c r="E87" s="369"/>
      <c r="F87" s="333"/>
      <c r="G87" s="369"/>
    </row>
    <row r="88" spans="1:7" ht="16.5" thickBot="1">
      <c r="A88" s="261" t="s">
        <v>474</v>
      </c>
      <c r="B88" s="262"/>
      <c r="C88" s="262"/>
      <c r="D88" s="262"/>
      <c r="E88" s="265"/>
      <c r="F88" s="729"/>
    </row>
    <row r="89" spans="1:7" ht="6" customHeight="1" thickBot="1">
      <c r="A89" s="266"/>
      <c r="B89" s="267"/>
      <c r="C89" s="268"/>
      <c r="D89" s="305"/>
      <c r="E89" s="291"/>
      <c r="F89" s="731"/>
    </row>
    <row r="90" spans="1:7" ht="13.5" thickBot="1">
      <c r="A90" s="307" t="s">
        <v>487</v>
      </c>
      <c r="B90" s="524"/>
      <c r="C90" s="293"/>
      <c r="D90" s="349"/>
      <c r="E90" s="271">
        <f>'29_Infrastrukturkosten'!Z14</f>
        <v>0</v>
      </c>
      <c r="F90" s="731"/>
    </row>
    <row r="91" spans="1:7" ht="13.5" thickBot="1">
      <c r="A91" s="308" t="s">
        <v>486</v>
      </c>
      <c r="B91" s="525"/>
      <c r="C91" s="309"/>
      <c r="D91" s="350"/>
      <c r="E91" s="271">
        <f>'29_Infrastrukturkosten'!Z23</f>
        <v>0</v>
      </c>
      <c r="F91" s="731"/>
    </row>
    <row r="92" spans="1:7" ht="6" customHeight="1" thickBot="1">
      <c r="A92" s="355"/>
      <c r="B92" s="356"/>
      <c r="C92" s="357"/>
      <c r="D92" s="358"/>
      <c r="E92" s="360"/>
      <c r="F92" s="745"/>
    </row>
    <row r="93" spans="1:7" ht="16.5" thickBot="1">
      <c r="A93" s="330" t="s">
        <v>488</v>
      </c>
      <c r="B93" s="331"/>
      <c r="C93" s="332"/>
      <c r="D93" s="332"/>
      <c r="E93" s="346">
        <f>SUM(E90:E92)*-1</f>
        <v>0</v>
      </c>
      <c r="F93" s="744"/>
    </row>
    <row r="94" spans="1:7" ht="18">
      <c r="A94" s="334"/>
      <c r="B94" s="369"/>
      <c r="C94" s="369"/>
      <c r="D94" s="369"/>
      <c r="E94" s="369"/>
      <c r="F94" s="744"/>
      <c r="G94" s="369"/>
    </row>
    <row r="95" spans="1:7" ht="18">
      <c r="A95" s="334" t="s">
        <v>1503</v>
      </c>
      <c r="B95" s="335"/>
      <c r="C95" s="243"/>
      <c r="F95" s="333"/>
      <c r="G95" s="333"/>
    </row>
    <row r="96" spans="1:7">
      <c r="A96" s="376"/>
      <c r="B96" s="335"/>
      <c r="C96" s="243"/>
      <c r="D96" s="375"/>
      <c r="E96" s="333"/>
      <c r="F96" s="333"/>
      <c r="G96" s="333"/>
    </row>
    <row r="97" spans="1:7" ht="15">
      <c r="A97" s="377" t="s">
        <v>284</v>
      </c>
      <c r="B97" s="378"/>
      <c r="C97" s="379">
        <f>'1a_Leistungsvolumen'!$F$103</f>
        <v>0</v>
      </c>
      <c r="D97" s="375"/>
      <c r="E97" s="380"/>
      <c r="F97" s="333"/>
      <c r="G97" s="333"/>
    </row>
    <row r="98" spans="1:7" ht="15">
      <c r="A98" s="377" t="s">
        <v>793</v>
      </c>
      <c r="B98" s="381"/>
      <c r="C98" s="379">
        <f>E86</f>
        <v>-138.92157719931015</v>
      </c>
      <c r="D98" s="375"/>
      <c r="E98" s="382"/>
      <c r="F98" s="333"/>
      <c r="G98" s="333"/>
    </row>
    <row r="99" spans="1:7" ht="15">
      <c r="A99" s="377" t="s">
        <v>794</v>
      </c>
      <c r="B99" s="381"/>
      <c r="C99" s="379">
        <f>E93</f>
        <v>0</v>
      </c>
      <c r="D99" s="375"/>
      <c r="E99" s="382"/>
      <c r="F99" s="333"/>
      <c r="G99" s="333"/>
    </row>
    <row r="100" spans="1:7" ht="15.75" thickBot="1">
      <c r="A100" s="383" t="str">
        <f>"Rate "&amp;G3&amp;":"</f>
        <v>Rate Monat JJJJ:</v>
      </c>
      <c r="B100" s="370"/>
      <c r="C100" s="384">
        <f>SUM(C97:C99)</f>
        <v>-138.92157719931015</v>
      </c>
      <c r="D100" s="375"/>
      <c r="E100" s="333"/>
      <c r="F100" s="333"/>
      <c r="G100" s="333"/>
    </row>
    <row r="101" spans="1:7" ht="15.75" thickTop="1">
      <c r="A101" s="336"/>
      <c r="B101" s="337"/>
      <c r="C101" s="338"/>
      <c r="D101" s="338"/>
      <c r="E101" s="339"/>
      <c r="F101" s="339"/>
      <c r="G101" s="339"/>
    </row>
    <row r="102" spans="1:7">
      <c r="A102" s="369"/>
      <c r="B102" s="369"/>
      <c r="C102" s="369"/>
      <c r="D102" s="369"/>
      <c r="E102" s="369"/>
      <c r="F102" s="369"/>
      <c r="G102" s="369"/>
    </row>
    <row r="103" spans="1:7">
      <c r="A103" s="194" t="s">
        <v>219</v>
      </c>
      <c r="B103" s="2844" t="s">
        <v>224</v>
      </c>
      <c r="C103" s="2844"/>
      <c r="D103" s="2845"/>
      <c r="E103" s="2845"/>
      <c r="F103" s="369"/>
      <c r="G103" s="369"/>
    </row>
    <row r="104" spans="1:7">
      <c r="B104" s="2844" t="s">
        <v>1645</v>
      </c>
      <c r="C104" s="2844"/>
      <c r="D104" s="2845"/>
      <c r="E104" s="2845"/>
      <c r="F104" s="369"/>
      <c r="G104" s="369"/>
    </row>
    <row r="105" spans="1:7">
      <c r="D105" s="369"/>
      <c r="E105" s="369"/>
      <c r="F105" s="369"/>
      <c r="G105" s="369"/>
    </row>
    <row r="106" spans="1:7">
      <c r="A106" s="2267" t="s">
        <v>1434</v>
      </c>
      <c r="B106" s="2267" t="s">
        <v>1435</v>
      </c>
      <c r="C106"/>
      <c r="D106" s="369"/>
      <c r="E106" s="369"/>
      <c r="F106" s="369"/>
      <c r="G106" s="369"/>
    </row>
    <row r="107" spans="1:7">
      <c r="A107" s="2267" t="s">
        <v>1554</v>
      </c>
      <c r="B107" s="2267" t="s">
        <v>1550</v>
      </c>
      <c r="C107" s="2196" t="s">
        <v>1442</v>
      </c>
      <c r="D107" s="369"/>
      <c r="E107" s="369"/>
      <c r="F107" s="369"/>
      <c r="G107" s="369"/>
    </row>
    <row r="108" spans="1:7">
      <c r="A108" s="369"/>
      <c r="B108" s="369"/>
      <c r="C108" s="369"/>
      <c r="D108" s="369"/>
      <c r="E108" s="369"/>
      <c r="F108" s="369"/>
      <c r="G108" s="369"/>
    </row>
    <row r="109" spans="1:7">
      <c r="A109" s="369"/>
      <c r="B109" s="369"/>
      <c r="C109" s="369"/>
      <c r="D109" s="369"/>
      <c r="E109" s="369"/>
      <c r="F109" s="369"/>
      <c r="G109" s="369"/>
    </row>
    <row r="110" spans="1:7">
      <c r="A110" s="369"/>
      <c r="B110" s="369"/>
      <c r="C110" s="369"/>
      <c r="D110" s="369"/>
      <c r="E110" s="369"/>
      <c r="F110" s="369"/>
      <c r="G110" s="369"/>
    </row>
    <row r="111" spans="1:7">
      <c r="A111" s="369"/>
      <c r="B111" s="369"/>
      <c r="C111" s="369"/>
      <c r="D111" s="369"/>
      <c r="E111" s="369"/>
      <c r="F111" s="369"/>
      <c r="G111" s="369"/>
    </row>
    <row r="112" spans="1:7">
      <c r="A112" s="369"/>
      <c r="B112" s="369"/>
      <c r="C112" s="369"/>
      <c r="D112" s="369"/>
      <c r="E112" s="369"/>
      <c r="F112" s="369"/>
      <c r="G112" s="369"/>
    </row>
    <row r="113" spans="1:7">
      <c r="A113" s="369"/>
      <c r="B113" s="369"/>
      <c r="C113" s="369"/>
      <c r="D113" s="369"/>
      <c r="E113" s="369"/>
      <c r="F113" s="369"/>
      <c r="G113" s="369"/>
    </row>
    <row r="114" spans="1:7">
      <c r="A114" s="369"/>
      <c r="B114" s="369"/>
      <c r="C114" s="369"/>
      <c r="D114" s="369"/>
      <c r="E114" s="369"/>
      <c r="F114" s="369"/>
      <c r="G114" s="369"/>
    </row>
    <row r="115" spans="1:7">
      <c r="A115" s="369"/>
      <c r="B115" s="369"/>
      <c r="C115" s="369"/>
      <c r="D115" s="369"/>
      <c r="E115" s="369"/>
      <c r="F115" s="369"/>
      <c r="G115" s="369"/>
    </row>
  </sheetData>
  <sheetProtection algorithmName="SHA-512" hashValue="KPcSEurwnzgFoy1KCuOgOwoHTV1VzErsER/kPVH5WHrzDWD6onpf5chXKRpcaYHCLeM7XTJxRKzNOX+5rBWmWA==" saltValue="/m/S3WAM6fVRKtbAiLxRKQ==" spinCount="100000" sheet="1" objects="1" scenarios="1"/>
  <mergeCells count="2">
    <mergeCell ref="F5:G5"/>
    <mergeCell ref="H2:K3"/>
  </mergeCells>
  <pageMargins left="0.7" right="0.7" top="0.78740157499999996" bottom="0.78740157499999996" header="0.3" footer="0.3"/>
  <pageSetup paperSize="9" scale="41" orientation="portrait" r:id="rId1"/>
  <headerFooter>
    <oddHeader>&amp;LVDV SUN Jahresschlussrechnung JJJJ&amp;R&amp;KFF0000&amp;F</oddHeader>
    <oddFooter>&amp;C&amp;P&amp;R&amp;A</oddFooter>
  </headerFooter>
  <rowBreaks count="1" manualBreakCount="1">
    <brk id="46" max="10"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60</vt:i4>
      </vt:variant>
      <vt:variant>
        <vt:lpstr>Benannte Bereiche</vt:lpstr>
      </vt:variant>
      <vt:variant>
        <vt:i4>24</vt:i4>
      </vt:variant>
    </vt:vector>
  </HeadingPairs>
  <TitlesOfParts>
    <vt:vector size="84" baseType="lpstr">
      <vt:lpstr>INHALT</vt:lpstr>
      <vt:lpstr>QUALITÄTSANALYSE</vt:lpstr>
      <vt:lpstr>0_Zsfsg. Thüringen GA Los A</vt:lpstr>
      <vt:lpstr>0a_Zsfsg. Thüringen GA Los B</vt:lpstr>
      <vt:lpstr>0b_Zsfsg. Thüringen O Los B</vt:lpstr>
      <vt:lpstr>0c_Zsfsg. BEG GA Los A</vt:lpstr>
      <vt:lpstr>0d_Zsfsg. BEG GA Los B</vt:lpstr>
      <vt:lpstr>0e_Zsfsg. BEG O Los A</vt:lpstr>
      <vt:lpstr>0f_Zsfsg. BEG O Los B</vt:lpstr>
      <vt:lpstr>1a_Leistungsvolumen</vt:lpstr>
      <vt:lpstr>1b_Mehr_Zusatzleistungen</vt:lpstr>
      <vt:lpstr>2a_Linienpünktlichkeit </vt:lpstr>
      <vt:lpstr>2b_Pünktlichkeitsdaten</vt:lpstr>
      <vt:lpstr>2c_Anwendung Pünktlichwertung</vt:lpstr>
      <vt:lpstr>2d_Züge unter 85%</vt:lpstr>
      <vt:lpstr>2e_Verspätungsursachen</vt:lpstr>
      <vt:lpstr>3_Nachweis Anschluss</vt:lpstr>
      <vt:lpstr>4_Operative Zugausfälle</vt:lpstr>
      <vt:lpstr>5_Planmäßige Zugausfälle </vt:lpstr>
      <vt:lpstr>6a_Verspätungsausfälle &gt;Takt</vt:lpstr>
      <vt:lpstr>6b_Abfahrten vor Plan</vt:lpstr>
      <vt:lpstr>6c_Nichtbedienung Halte</vt:lpstr>
      <vt:lpstr>7_Statistik Zugausfälle</vt:lpstr>
      <vt:lpstr>8_Abweichungen Zugbildung</vt:lpstr>
      <vt:lpstr>9_Statistik Zugbildung</vt:lpstr>
      <vt:lpstr>10_Vereinbarung Zugbildung</vt:lpstr>
      <vt:lpstr>11_Vertriebsstellen</vt:lpstr>
      <vt:lpstr>12_stationäre FAA</vt:lpstr>
      <vt:lpstr>13_Entwerter</vt:lpstr>
      <vt:lpstr>14a_Abweichungen pbV,vbV</vt:lpstr>
      <vt:lpstr>14b_Abw pbV,vbV_USZ</vt:lpstr>
      <vt:lpstr>14c_Abw pbV,vbV_UA</vt:lpstr>
      <vt:lpstr>15_Störungen stationäre FAA</vt:lpstr>
      <vt:lpstr>16_Störungen Entwerter</vt:lpstr>
      <vt:lpstr>17_Störungen mobile Terminals</vt:lpstr>
      <vt:lpstr>18_Besetzung KiN_SiP</vt:lpstr>
      <vt:lpstr>19a_Statistik_Kundenbetreuer </vt:lpstr>
      <vt:lpstr>19b_Aufgaben Zugpersonal</vt:lpstr>
      <vt:lpstr>20_Statistik SiP</vt:lpstr>
      <vt:lpstr>21_Sicherheit</vt:lpstr>
      <vt:lpstr>22_zusätzl. Personale</vt:lpstr>
      <vt:lpstr>23a_Schäden an Fahrzeugen</vt:lpstr>
      <vt:lpstr>23b_Fahrzeugstatus</vt:lpstr>
      <vt:lpstr>24_Außenreinigung</vt:lpstr>
      <vt:lpstr>25_Innenreinigung</vt:lpstr>
      <vt:lpstr>26_Fahrgastinformation</vt:lpstr>
      <vt:lpstr>27a_Beschwerdestatistik</vt:lpstr>
      <vt:lpstr>27b_Kundengarantien</vt:lpstr>
      <vt:lpstr>28a_Erfüllungssquote AFZS</vt:lpstr>
      <vt:lpstr>28b_Details Ausfall AFZS</vt:lpstr>
      <vt:lpstr>29_Infrastrukturkosten</vt:lpstr>
      <vt:lpstr>30_Erlösprognose</vt:lpstr>
      <vt:lpstr>31_Kassentechn. Einnahmen</vt:lpstr>
      <vt:lpstr>32_Anschlussmanagement</vt:lpstr>
      <vt:lpstr>33a_Beträge Minderung_Vergütung</vt:lpstr>
      <vt:lpstr>33b_Qualität SEV BNV</vt:lpstr>
      <vt:lpstr>34_3. Ausgleich Baumaßnahmen</vt:lpstr>
      <vt:lpstr>34_2. SEV Baumaßnahmen</vt:lpstr>
      <vt:lpstr>34_1. Ausfälle Baumaßnahmen</vt:lpstr>
      <vt:lpstr>34_Baumaßnahmen</vt:lpstr>
      <vt:lpstr>'33b_Qualität SEV BNV'!_Hlk160175170</vt:lpstr>
      <vt:lpstr>'0_Zsfsg. Thüringen GA Los A'!Druckbereich</vt:lpstr>
      <vt:lpstr>'0a_Zsfsg. Thüringen GA Los B'!Druckbereich</vt:lpstr>
      <vt:lpstr>'0b_Zsfsg. Thüringen O Los B'!Druckbereich</vt:lpstr>
      <vt:lpstr>'0c_Zsfsg. BEG GA Los A'!Druckbereich</vt:lpstr>
      <vt:lpstr>'0d_Zsfsg. BEG GA Los B'!Druckbereich</vt:lpstr>
      <vt:lpstr>'0e_Zsfsg. BEG O Los A'!Druckbereich</vt:lpstr>
      <vt:lpstr>'0f_Zsfsg. BEG O Los B'!Druckbereich</vt:lpstr>
      <vt:lpstr>'23a_Schäden an Fahrzeugen'!Druckbereich</vt:lpstr>
      <vt:lpstr>'23b_Fahrzeugstatus'!Druckbereich</vt:lpstr>
      <vt:lpstr>'24_Außenreinigung'!Druckbereich</vt:lpstr>
      <vt:lpstr>'25_Innenreinigung'!Druckbereich</vt:lpstr>
      <vt:lpstr>'26_Fahrgastinformation'!Druckbereich</vt:lpstr>
      <vt:lpstr>'33b_Qualität SEV BNV'!Druckbereich</vt:lpstr>
      <vt:lpstr>'34_3. Ausgleich Baumaßnahmen'!Druckbereich</vt:lpstr>
      <vt:lpstr>'12_stationäre FAA'!Drucktitel</vt:lpstr>
      <vt:lpstr>'13_Entwerter'!Drucktitel</vt:lpstr>
      <vt:lpstr>'18_Besetzung KiN_SiP'!Drucktitel</vt:lpstr>
      <vt:lpstr>'21_Sicherheit'!Drucktitel</vt:lpstr>
      <vt:lpstr>'23a_Schäden an Fahrzeugen'!Drucktitel</vt:lpstr>
      <vt:lpstr>'27a_Beschwerdestatistik'!Drucktitel</vt:lpstr>
      <vt:lpstr>'27b_Kundengarantien'!Drucktitel</vt:lpstr>
      <vt:lpstr>'23a_Schäden an Fahrzeugen'!Suchergebnis</vt:lpstr>
      <vt:lpstr>'32_Anschlussmanagement'!Suchkriterien</vt:lpstr>
    </vt:vector>
  </TitlesOfParts>
  <Company>NASA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NASA GmbH</dc:creator>
  <cp:lastModifiedBy>TLBV Hoffmann, Isabel</cp:lastModifiedBy>
  <cp:lastPrinted>2024-03-21T12:42:15Z</cp:lastPrinted>
  <dcterms:created xsi:type="dcterms:W3CDTF">2006-02-27T13:49:08Z</dcterms:created>
  <dcterms:modified xsi:type="dcterms:W3CDTF">2026-03-04T12:21:40Z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