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Ellmerich\Ausschreibungen\2026\Amt 60\30.ZVS.4-60-1-2026 (L) Reinigung Schulen Roboter\03 VU\1-Vorbereitungen\Los 3 und 3a Domgymnasium\"/>
    </mc:Choice>
  </mc:AlternateContent>
  <xr:revisionPtr revIDLastSave="0" documentId="13_ncr:1_{61ABAB3F-D3F8-4559-8631-4EF8D6B7AC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gebot - UHR, GR" sheetId="5" r:id="rId1"/>
    <sheet name="LV_ges" sheetId="2" r:id="rId2"/>
    <sheet name="Nebenangebot" sheetId="1" r:id="rId3"/>
    <sheet name="Grundreinigung" sheetId="3" r:id="rId4"/>
    <sheet name="Angebot - Glasreinigung" sheetId="4" r:id="rId5"/>
  </sheets>
  <definedNames>
    <definedName name="_xlnm.Print_Area" localSheetId="4">'Angebot - Glasreinigung'!$A$1:$J$250</definedName>
    <definedName name="_xlnm.Print_Area" localSheetId="1">LV_ges!$A$1:$X$239</definedName>
    <definedName name="_xlnm.Print_Titles" localSheetId="4">'Angebot - Glasreinigung'!$7:$7</definedName>
    <definedName name="_xlnm.Print_Titles" localSheetId="1">LV_ges!$1:$3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5" l="1"/>
  <c r="D13" i="5"/>
  <c r="H251" i="4"/>
  <c r="H252" i="4"/>
  <c r="D11" i="5"/>
  <c r="D67" i="1"/>
  <c r="D65" i="1"/>
  <c r="D70" i="1" s="1"/>
  <c r="D17" i="5" l="1"/>
  <c r="E10" i="4"/>
  <c r="F10" i="4"/>
  <c r="E11" i="4"/>
  <c r="F11" i="4" s="1"/>
  <c r="J11" i="4" s="1"/>
  <c r="E12" i="4"/>
  <c r="F12" i="4"/>
  <c r="J12" i="4" s="1"/>
  <c r="E13" i="4"/>
  <c r="F13" i="4" s="1"/>
  <c r="J13" i="4" s="1"/>
  <c r="E14" i="4"/>
  <c r="F14" i="4"/>
  <c r="J14" i="4" s="1"/>
  <c r="E15" i="4"/>
  <c r="F15" i="4" s="1"/>
  <c r="J15" i="4" s="1"/>
  <c r="E16" i="4"/>
  <c r="F16" i="4"/>
  <c r="J16" i="4" s="1"/>
  <c r="E17" i="4"/>
  <c r="F17" i="4" s="1"/>
  <c r="J17" i="4" s="1"/>
  <c r="E18" i="4"/>
  <c r="F18" i="4"/>
  <c r="J18" i="4" s="1"/>
  <c r="E19" i="4"/>
  <c r="F19" i="4" s="1"/>
  <c r="J19" i="4" s="1"/>
  <c r="E20" i="4"/>
  <c r="F20" i="4"/>
  <c r="J20" i="4" s="1"/>
  <c r="E21" i="4"/>
  <c r="F21" i="4" s="1"/>
  <c r="J21" i="4" s="1"/>
  <c r="E22" i="4"/>
  <c r="F22" i="4"/>
  <c r="J22" i="4" s="1"/>
  <c r="E23" i="4"/>
  <c r="F23" i="4" s="1"/>
  <c r="J23" i="4" s="1"/>
  <c r="E24" i="4"/>
  <c r="F24" i="4"/>
  <c r="J24" i="4" s="1"/>
  <c r="E25" i="4"/>
  <c r="F25" i="4" s="1"/>
  <c r="J25" i="4" s="1"/>
  <c r="E28" i="4"/>
  <c r="F28" i="4" s="1"/>
  <c r="E29" i="4"/>
  <c r="F29" i="4"/>
  <c r="J29" i="4" s="1"/>
  <c r="E30" i="4"/>
  <c r="F30" i="4" s="1"/>
  <c r="J30" i="4" s="1"/>
  <c r="E31" i="4"/>
  <c r="F31" i="4"/>
  <c r="J31" i="4" s="1"/>
  <c r="E32" i="4"/>
  <c r="F32" i="4" s="1"/>
  <c r="J32" i="4" s="1"/>
  <c r="E33" i="4"/>
  <c r="F33" i="4"/>
  <c r="J33" i="4" s="1"/>
  <c r="E34" i="4"/>
  <c r="F34" i="4" s="1"/>
  <c r="J34" i="4" s="1"/>
  <c r="E35" i="4"/>
  <c r="F35" i="4"/>
  <c r="J35" i="4" s="1"/>
  <c r="E36" i="4"/>
  <c r="F36" i="4" s="1"/>
  <c r="J36" i="4" s="1"/>
  <c r="E37" i="4"/>
  <c r="F37" i="4"/>
  <c r="J37" i="4" s="1"/>
  <c r="E38" i="4"/>
  <c r="F38" i="4" s="1"/>
  <c r="J38" i="4" s="1"/>
  <c r="E39" i="4"/>
  <c r="F39" i="4"/>
  <c r="J39" i="4" s="1"/>
  <c r="E40" i="4"/>
  <c r="F40" i="4" s="1"/>
  <c r="J40" i="4" s="1"/>
  <c r="E41" i="4"/>
  <c r="F41" i="4"/>
  <c r="J41" i="4" s="1"/>
  <c r="E42" i="4"/>
  <c r="F42" i="4" s="1"/>
  <c r="J42" i="4" s="1"/>
  <c r="E43" i="4"/>
  <c r="F43" i="4"/>
  <c r="J43" i="4" s="1"/>
  <c r="E44" i="4"/>
  <c r="F44" i="4" s="1"/>
  <c r="J44" i="4" s="1"/>
  <c r="E45" i="4"/>
  <c r="F45" i="4"/>
  <c r="J45" i="4" s="1"/>
  <c r="E46" i="4"/>
  <c r="F46" i="4" s="1"/>
  <c r="J46" i="4" s="1"/>
  <c r="E47" i="4"/>
  <c r="F47" i="4"/>
  <c r="J47" i="4" s="1"/>
  <c r="E48" i="4"/>
  <c r="F48" i="4" s="1"/>
  <c r="J48" i="4" s="1"/>
  <c r="E49" i="4"/>
  <c r="F49" i="4"/>
  <c r="J49" i="4" s="1"/>
  <c r="F50" i="4"/>
  <c r="J50" i="4" s="1"/>
  <c r="F51" i="4"/>
  <c r="J51" i="4" s="1"/>
  <c r="E52" i="4"/>
  <c r="F52" i="4" s="1"/>
  <c r="J52" i="4" s="1"/>
  <c r="F53" i="4"/>
  <c r="J53" i="4"/>
  <c r="E54" i="4"/>
  <c r="F54" i="4"/>
  <c r="J54" i="4" s="1"/>
  <c r="F55" i="4"/>
  <c r="J55" i="4" s="1"/>
  <c r="F56" i="4"/>
  <c r="J56" i="4" s="1"/>
  <c r="F57" i="4"/>
  <c r="J57" i="4" s="1"/>
  <c r="F58" i="4"/>
  <c r="J58" i="4" s="1"/>
  <c r="E61" i="4"/>
  <c r="F61" i="4"/>
  <c r="J61" i="4" s="1"/>
  <c r="E62" i="4"/>
  <c r="F62" i="4" s="1"/>
  <c r="J62" i="4" s="1"/>
  <c r="E63" i="4"/>
  <c r="F63" i="4"/>
  <c r="J63" i="4" s="1"/>
  <c r="E64" i="4"/>
  <c r="F64" i="4" s="1"/>
  <c r="J64" i="4" s="1"/>
  <c r="E65" i="4"/>
  <c r="F65" i="4"/>
  <c r="J65" i="4" s="1"/>
  <c r="E66" i="4"/>
  <c r="F66" i="4" s="1"/>
  <c r="J66" i="4" s="1"/>
  <c r="E67" i="4"/>
  <c r="F67" i="4"/>
  <c r="J67" i="4" s="1"/>
  <c r="E68" i="4"/>
  <c r="F68" i="4" s="1"/>
  <c r="J68" i="4" s="1"/>
  <c r="E69" i="4"/>
  <c r="F69" i="4"/>
  <c r="J69" i="4" s="1"/>
  <c r="E70" i="4"/>
  <c r="F70" i="4" s="1"/>
  <c r="J70" i="4" s="1"/>
  <c r="E71" i="4"/>
  <c r="F71" i="4"/>
  <c r="J71" i="4" s="1"/>
  <c r="E72" i="4"/>
  <c r="F72" i="4" s="1"/>
  <c r="J72" i="4" s="1"/>
  <c r="E73" i="4"/>
  <c r="F73" i="4"/>
  <c r="J73" i="4" s="1"/>
  <c r="E74" i="4"/>
  <c r="F74" i="4" s="1"/>
  <c r="J74" i="4" s="1"/>
  <c r="E75" i="4"/>
  <c r="F75" i="4"/>
  <c r="J75" i="4" s="1"/>
  <c r="E76" i="4"/>
  <c r="F76" i="4" s="1"/>
  <c r="J76" i="4" s="1"/>
  <c r="E77" i="4"/>
  <c r="F77" i="4"/>
  <c r="J77" i="4" s="1"/>
  <c r="E78" i="4"/>
  <c r="F78" i="4" s="1"/>
  <c r="J78" i="4" s="1"/>
  <c r="E79" i="4"/>
  <c r="F79" i="4"/>
  <c r="J79" i="4" s="1"/>
  <c r="E80" i="4"/>
  <c r="F80" i="4" s="1"/>
  <c r="J80" i="4" s="1"/>
  <c r="E81" i="4"/>
  <c r="F81" i="4"/>
  <c r="J81" i="4" s="1"/>
  <c r="E82" i="4"/>
  <c r="F82" i="4" s="1"/>
  <c r="J82" i="4" s="1"/>
  <c r="E83" i="4"/>
  <c r="F83" i="4"/>
  <c r="J83" i="4" s="1"/>
  <c r="E84" i="4"/>
  <c r="F84" i="4" s="1"/>
  <c r="J84" i="4" s="1"/>
  <c r="J85" i="4"/>
  <c r="F86" i="4"/>
  <c r="J86" i="4" s="1"/>
  <c r="E89" i="4"/>
  <c r="F89" i="4"/>
  <c r="E90" i="4"/>
  <c r="F90" i="4" s="1"/>
  <c r="J90" i="4" s="1"/>
  <c r="E91" i="4"/>
  <c r="F91" i="4"/>
  <c r="J91" i="4" s="1"/>
  <c r="E92" i="4"/>
  <c r="F92" i="4" s="1"/>
  <c r="J92" i="4" s="1"/>
  <c r="E93" i="4"/>
  <c r="F93" i="4"/>
  <c r="J93" i="4" s="1"/>
  <c r="J94" i="4"/>
  <c r="E95" i="4"/>
  <c r="F95" i="4"/>
  <c r="J95" i="4" s="1"/>
  <c r="E96" i="4"/>
  <c r="F96" i="4" s="1"/>
  <c r="J96" i="4" s="1"/>
  <c r="E97" i="4"/>
  <c r="F97" i="4"/>
  <c r="J97" i="4" s="1"/>
  <c r="E98" i="4"/>
  <c r="F98" i="4" s="1"/>
  <c r="J98" i="4" s="1"/>
  <c r="E99" i="4"/>
  <c r="F99" i="4"/>
  <c r="J99" i="4" s="1"/>
  <c r="E100" i="4"/>
  <c r="F100" i="4" s="1"/>
  <c r="J100" i="4" s="1"/>
  <c r="E101" i="4"/>
  <c r="F101" i="4"/>
  <c r="J101" i="4" s="1"/>
  <c r="E102" i="4"/>
  <c r="F102" i="4" s="1"/>
  <c r="J102" i="4" s="1"/>
  <c r="E103" i="4"/>
  <c r="F103" i="4"/>
  <c r="J103" i="4" s="1"/>
  <c r="E104" i="4"/>
  <c r="F104" i="4" s="1"/>
  <c r="J104" i="4" s="1"/>
  <c r="E105" i="4"/>
  <c r="F105" i="4"/>
  <c r="J105" i="4" s="1"/>
  <c r="E106" i="4"/>
  <c r="F106" i="4" s="1"/>
  <c r="J106" i="4" s="1"/>
  <c r="E107" i="4"/>
  <c r="F107" i="4"/>
  <c r="J107" i="4" s="1"/>
  <c r="E108" i="4"/>
  <c r="F108" i="4" s="1"/>
  <c r="J108" i="4" s="1"/>
  <c r="E109" i="4"/>
  <c r="F109" i="4"/>
  <c r="J109" i="4" s="1"/>
  <c r="F110" i="4"/>
  <c r="J110" i="4" s="1"/>
  <c r="E111" i="4"/>
  <c r="F111" i="4" s="1"/>
  <c r="J111" i="4" s="1"/>
  <c r="E112" i="4"/>
  <c r="F112" i="4"/>
  <c r="J112" i="4" s="1"/>
  <c r="F113" i="4"/>
  <c r="J113" i="4" s="1"/>
  <c r="E116" i="4"/>
  <c r="F116" i="4"/>
  <c r="J116" i="4" s="1"/>
  <c r="E117" i="4"/>
  <c r="F117" i="4" s="1"/>
  <c r="J117" i="4" s="1"/>
  <c r="E118" i="4"/>
  <c r="F118" i="4"/>
  <c r="J118" i="4" s="1"/>
  <c r="E119" i="4"/>
  <c r="F119" i="4" s="1"/>
  <c r="J119" i="4" s="1"/>
  <c r="F120" i="4"/>
  <c r="J120" i="4"/>
  <c r="E121" i="4"/>
  <c r="F121" i="4"/>
  <c r="J121" i="4" s="1"/>
  <c r="E122" i="4"/>
  <c r="F122" i="4" s="1"/>
  <c r="J122" i="4" s="1"/>
  <c r="E123" i="4"/>
  <c r="F123" i="4"/>
  <c r="J123" i="4" s="1"/>
  <c r="E124" i="4"/>
  <c r="F124" i="4" s="1"/>
  <c r="J124" i="4" s="1"/>
  <c r="E125" i="4"/>
  <c r="F125" i="4"/>
  <c r="J125" i="4" s="1"/>
  <c r="E126" i="4"/>
  <c r="F126" i="4"/>
  <c r="J126" i="4"/>
  <c r="E132" i="4"/>
  <c r="F132" i="4"/>
  <c r="J132" i="4"/>
  <c r="E133" i="4"/>
  <c r="F133" i="4" s="1"/>
  <c r="E134" i="4"/>
  <c r="F134" i="4"/>
  <c r="J134" i="4"/>
  <c r="F135" i="4"/>
  <c r="J135" i="4" s="1"/>
  <c r="J136" i="4"/>
  <c r="E137" i="4"/>
  <c r="F137" i="4"/>
  <c r="J137" i="4"/>
  <c r="E138" i="4"/>
  <c r="F138" i="4" s="1"/>
  <c r="J138" i="4" s="1"/>
  <c r="F139" i="4"/>
  <c r="J139" i="4"/>
  <c r="F140" i="4"/>
  <c r="J140" i="4"/>
  <c r="E141" i="4"/>
  <c r="F141" i="4"/>
  <c r="J141" i="4" s="1"/>
  <c r="F142" i="4"/>
  <c r="J142" i="4"/>
  <c r="E143" i="4"/>
  <c r="F143" i="4" s="1"/>
  <c r="J143" i="4" s="1"/>
  <c r="E144" i="4"/>
  <c r="F144" i="4"/>
  <c r="J144" i="4"/>
  <c r="F145" i="4"/>
  <c r="J145" i="4" s="1"/>
  <c r="E146" i="4"/>
  <c r="F146" i="4" s="1"/>
  <c r="J146" i="4" s="1"/>
  <c r="E147" i="4"/>
  <c r="F147" i="4"/>
  <c r="J147" i="4" s="1"/>
  <c r="E148" i="4"/>
  <c r="F148" i="4" s="1"/>
  <c r="J148" i="4" s="1"/>
  <c r="E149" i="4"/>
  <c r="F149" i="4"/>
  <c r="J149" i="4" s="1"/>
  <c r="E150" i="4"/>
  <c r="F150" i="4" s="1"/>
  <c r="J150" i="4" s="1"/>
  <c r="E151" i="4"/>
  <c r="F151" i="4"/>
  <c r="J151" i="4" s="1"/>
  <c r="E152" i="4"/>
  <c r="F152" i="4" s="1"/>
  <c r="J152" i="4" s="1"/>
  <c r="E153" i="4"/>
  <c r="F153" i="4"/>
  <c r="J153" i="4" s="1"/>
  <c r="E156" i="4"/>
  <c r="F156" i="4"/>
  <c r="J156" i="4"/>
  <c r="E157" i="4"/>
  <c r="F157" i="4" s="1"/>
  <c r="E158" i="4"/>
  <c r="F158" i="4"/>
  <c r="J158" i="4"/>
  <c r="E159" i="4"/>
  <c r="F159" i="4" s="1"/>
  <c r="J159" i="4" s="1"/>
  <c r="E160" i="4"/>
  <c r="F160" i="4"/>
  <c r="J160" i="4"/>
  <c r="E161" i="4"/>
  <c r="F161" i="4" s="1"/>
  <c r="J161" i="4" s="1"/>
  <c r="E162" i="4"/>
  <c r="F162" i="4"/>
  <c r="J162" i="4"/>
  <c r="E163" i="4"/>
  <c r="F163" i="4" s="1"/>
  <c r="J163" i="4" s="1"/>
  <c r="E164" i="4"/>
  <c r="F164" i="4"/>
  <c r="J164" i="4"/>
  <c r="E165" i="4"/>
  <c r="F165" i="4" s="1"/>
  <c r="J165" i="4" s="1"/>
  <c r="E166" i="4"/>
  <c r="F166" i="4"/>
  <c r="J166" i="4"/>
  <c r="E167" i="4"/>
  <c r="F167" i="4" s="1"/>
  <c r="J167" i="4" s="1"/>
  <c r="E168" i="4"/>
  <c r="F168" i="4"/>
  <c r="J168" i="4"/>
  <c r="E169" i="4"/>
  <c r="F169" i="4" s="1"/>
  <c r="J169" i="4" s="1"/>
  <c r="E170" i="4"/>
  <c r="F170" i="4"/>
  <c r="J170" i="4"/>
  <c r="E171" i="4"/>
  <c r="F171" i="4" s="1"/>
  <c r="J171" i="4" s="1"/>
  <c r="E172" i="4"/>
  <c r="F172" i="4"/>
  <c r="J172" i="4"/>
  <c r="E173" i="4"/>
  <c r="F173" i="4"/>
  <c r="J173" i="4"/>
  <c r="E174" i="4"/>
  <c r="F174" i="4"/>
  <c r="J174" i="4"/>
  <c r="E175" i="4"/>
  <c r="F175" i="4"/>
  <c r="J175" i="4"/>
  <c r="E176" i="4"/>
  <c r="F176" i="4"/>
  <c r="J176" i="4"/>
  <c r="E177" i="4"/>
  <c r="F177" i="4"/>
  <c r="J177" i="4"/>
  <c r="F178" i="4"/>
  <c r="J178" i="4"/>
  <c r="E179" i="4"/>
  <c r="F179" i="4" s="1"/>
  <c r="J179" i="4" s="1"/>
  <c r="E180" i="4"/>
  <c r="F180" i="4" s="1"/>
  <c r="J180" i="4" s="1"/>
  <c r="E181" i="4"/>
  <c r="F181" i="4" s="1"/>
  <c r="J181" i="4" s="1"/>
  <c r="E182" i="4"/>
  <c r="F182" i="4" s="1"/>
  <c r="J182" i="4" s="1"/>
  <c r="E183" i="4"/>
  <c r="F183" i="4" s="1"/>
  <c r="J183" i="4" s="1"/>
  <c r="E186" i="4"/>
  <c r="F186" i="4"/>
  <c r="J186" i="4"/>
  <c r="E187" i="4"/>
  <c r="F187" i="4"/>
  <c r="J187" i="4"/>
  <c r="E188" i="4"/>
  <c r="F188" i="4"/>
  <c r="J188" i="4"/>
  <c r="E189" i="4"/>
  <c r="F189" i="4"/>
  <c r="J189" i="4"/>
  <c r="E190" i="4"/>
  <c r="F190" i="4"/>
  <c r="J190" i="4"/>
  <c r="E191" i="4"/>
  <c r="F191" i="4"/>
  <c r="J191" i="4"/>
  <c r="E192" i="4"/>
  <c r="F192" i="4"/>
  <c r="J192" i="4"/>
  <c r="E193" i="4"/>
  <c r="F193" i="4"/>
  <c r="J193" i="4"/>
  <c r="E194" i="4"/>
  <c r="F194" i="4"/>
  <c r="J194" i="4"/>
  <c r="E195" i="4"/>
  <c r="F195" i="4"/>
  <c r="J195" i="4"/>
  <c r="E196" i="4"/>
  <c r="F196" i="4"/>
  <c r="J196" i="4"/>
  <c r="E197" i="4"/>
  <c r="F197" i="4"/>
  <c r="J197" i="4"/>
  <c r="E198" i="4"/>
  <c r="F198" i="4"/>
  <c r="F207" i="4" s="1"/>
  <c r="J198" i="4"/>
  <c r="E199" i="4"/>
  <c r="F199" i="4"/>
  <c r="J199" i="4"/>
  <c r="E200" i="4"/>
  <c r="F200" i="4"/>
  <c r="J200" i="4"/>
  <c r="E201" i="4"/>
  <c r="F201" i="4"/>
  <c r="J201" i="4"/>
  <c r="E202" i="4"/>
  <c r="F202" i="4"/>
  <c r="J202" i="4"/>
  <c r="E203" i="4"/>
  <c r="F203" i="4"/>
  <c r="J203" i="4"/>
  <c r="E204" i="4"/>
  <c r="F204" i="4"/>
  <c r="J204" i="4"/>
  <c r="E205" i="4"/>
  <c r="F205" i="4"/>
  <c r="J205" i="4"/>
  <c r="E206" i="4"/>
  <c r="F206" i="4"/>
  <c r="J206" i="4"/>
  <c r="E209" i="4"/>
  <c r="F209" i="4"/>
  <c r="J209" i="4" s="1"/>
  <c r="E210" i="4"/>
  <c r="F210" i="4"/>
  <c r="J210" i="4" s="1"/>
  <c r="E211" i="4"/>
  <c r="F211" i="4"/>
  <c r="J211" i="4" s="1"/>
  <c r="E212" i="4"/>
  <c r="F212" i="4"/>
  <c r="J212" i="4" s="1"/>
  <c r="E213" i="4"/>
  <c r="F213" i="4"/>
  <c r="J213" i="4" s="1"/>
  <c r="E214" i="4"/>
  <c r="F214" i="4"/>
  <c r="J214" i="4" s="1"/>
  <c r="E215" i="4"/>
  <c r="F215" i="4"/>
  <c r="J215" i="4" s="1"/>
  <c r="E216" i="4"/>
  <c r="F216" i="4"/>
  <c r="J216" i="4" s="1"/>
  <c r="E217" i="4"/>
  <c r="F217" i="4"/>
  <c r="J217" i="4" s="1"/>
  <c r="E218" i="4"/>
  <c r="F218" i="4"/>
  <c r="J218" i="4" s="1"/>
  <c r="F219" i="4"/>
  <c r="J219" i="4"/>
  <c r="E220" i="4"/>
  <c r="F220" i="4"/>
  <c r="J220" i="4"/>
  <c r="E221" i="4"/>
  <c r="F221" i="4"/>
  <c r="J221" i="4"/>
  <c r="E222" i="4"/>
  <c r="F222" i="4"/>
  <c r="J222" i="4"/>
  <c r="E223" i="4"/>
  <c r="F223" i="4"/>
  <c r="J223" i="4"/>
  <c r="E226" i="4"/>
  <c r="F226" i="4"/>
  <c r="J226" i="4" s="1"/>
  <c r="E227" i="4"/>
  <c r="F227" i="4"/>
  <c r="J227" i="4" s="1"/>
  <c r="E228" i="4"/>
  <c r="F228" i="4"/>
  <c r="J228" i="4" s="1"/>
  <c r="E229" i="4"/>
  <c r="F229" i="4"/>
  <c r="J229" i="4" s="1"/>
  <c r="E230" i="4"/>
  <c r="F230" i="4"/>
  <c r="J230" i="4" s="1"/>
  <c r="J233" i="4"/>
  <c r="J234" i="4"/>
  <c r="J235" i="4"/>
  <c r="J236" i="4"/>
  <c r="J238" i="4"/>
  <c r="F240" i="4"/>
  <c r="A6" i="3"/>
  <c r="E13" i="3"/>
  <c r="G13" i="3"/>
  <c r="E14" i="3"/>
  <c r="G14" i="3" s="1"/>
  <c r="E15" i="3"/>
  <c r="G15" i="3" s="1"/>
  <c r="E16" i="3"/>
  <c r="G16" i="3"/>
  <c r="E17" i="3"/>
  <c r="G17" i="3" s="1"/>
  <c r="E19" i="3"/>
  <c r="G19" i="3" s="1"/>
  <c r="E22" i="3"/>
  <c r="G22" i="3"/>
  <c r="E23" i="3"/>
  <c r="G23" i="3" s="1"/>
  <c r="E24" i="3"/>
  <c r="G24" i="3" s="1"/>
  <c r="E25" i="3"/>
  <c r="G25" i="3"/>
  <c r="E26" i="3"/>
  <c r="G26" i="3" s="1"/>
  <c r="S1" i="2"/>
  <c r="D5" i="2"/>
  <c r="F6" i="2"/>
  <c r="G6" i="2"/>
  <c r="F7" i="2"/>
  <c r="G7" i="2" s="1"/>
  <c r="F8" i="2"/>
  <c r="G8" i="2" s="1"/>
  <c r="I8" i="2" s="1"/>
  <c r="K8" i="2" s="1"/>
  <c r="L8" i="2" s="1"/>
  <c r="M8" i="2"/>
  <c r="F9" i="2"/>
  <c r="G9" i="2"/>
  <c r="F10" i="2"/>
  <c r="G10" i="2" s="1"/>
  <c r="V10" i="2"/>
  <c r="F11" i="2"/>
  <c r="G11" i="2" s="1"/>
  <c r="I11" i="2" s="1"/>
  <c r="K11" i="2" s="1"/>
  <c r="L11" i="2" s="1"/>
  <c r="M11" i="2"/>
  <c r="F12" i="2"/>
  <c r="G12" i="2"/>
  <c r="I12" i="2" s="1"/>
  <c r="K12" i="2" s="1"/>
  <c r="L12" i="2" s="1"/>
  <c r="M12" i="2" s="1"/>
  <c r="F13" i="2"/>
  <c r="G13" i="2" s="1"/>
  <c r="I13" i="2" s="1"/>
  <c r="K13" i="2"/>
  <c r="L13" i="2" s="1"/>
  <c r="M13" i="2" s="1"/>
  <c r="F14" i="2"/>
  <c r="G14" i="2" s="1"/>
  <c r="I14" i="2" s="1"/>
  <c r="K14" i="2" s="1"/>
  <c r="L14" i="2" s="1"/>
  <c r="M14" i="2" s="1"/>
  <c r="F15" i="2"/>
  <c r="G15" i="2"/>
  <c r="I15" i="2" s="1"/>
  <c r="K15" i="2" s="1"/>
  <c r="L15" i="2" s="1"/>
  <c r="M15" i="2" s="1"/>
  <c r="F16" i="2"/>
  <c r="G16" i="2" s="1"/>
  <c r="I16" i="2" s="1"/>
  <c r="K16" i="2" s="1"/>
  <c r="L16" i="2" s="1"/>
  <c r="M16" i="2" s="1"/>
  <c r="F17" i="2"/>
  <c r="G17" i="2" s="1"/>
  <c r="I17" i="2" s="1"/>
  <c r="F18" i="2"/>
  <c r="G18" i="2"/>
  <c r="I18" i="2" s="1"/>
  <c r="K18" i="2" s="1"/>
  <c r="L18" i="2" s="1"/>
  <c r="M18" i="2" s="1"/>
  <c r="F19" i="2"/>
  <c r="G19" i="2" s="1"/>
  <c r="I19" i="2" s="1"/>
  <c r="K19" i="2"/>
  <c r="L19" i="2" s="1"/>
  <c r="M19" i="2" s="1"/>
  <c r="F20" i="2"/>
  <c r="G20" i="2" s="1"/>
  <c r="F21" i="2"/>
  <c r="G21" i="2"/>
  <c r="D23" i="2"/>
  <c r="F24" i="2"/>
  <c r="G24" i="2" s="1"/>
  <c r="F25" i="2"/>
  <c r="G25" i="2"/>
  <c r="I25" i="2"/>
  <c r="K25" i="2" s="1"/>
  <c r="L25" i="2" s="1"/>
  <c r="F26" i="2"/>
  <c r="G26" i="2"/>
  <c r="I26" i="2" s="1"/>
  <c r="K26" i="2" s="1"/>
  <c r="L26" i="2" s="1"/>
  <c r="M26" i="2" s="1"/>
  <c r="F27" i="2"/>
  <c r="G27" i="2" s="1"/>
  <c r="I27" i="2" s="1"/>
  <c r="K27" i="2" s="1"/>
  <c r="L27" i="2" s="1"/>
  <c r="M27" i="2" s="1"/>
  <c r="F28" i="2"/>
  <c r="G28" i="2"/>
  <c r="I28" i="2"/>
  <c r="K28" i="2" s="1"/>
  <c r="L28" i="2" s="1"/>
  <c r="M28" i="2" s="1"/>
  <c r="F29" i="2"/>
  <c r="G29" i="2"/>
  <c r="I29" i="2" s="1"/>
  <c r="K29" i="2" s="1"/>
  <c r="L29" i="2"/>
  <c r="M29" i="2" s="1"/>
  <c r="F30" i="2"/>
  <c r="G30" i="2" s="1"/>
  <c r="I30" i="2" s="1"/>
  <c r="K30" i="2" s="1"/>
  <c r="L30" i="2" s="1"/>
  <c r="M30" i="2" s="1"/>
  <c r="F31" i="2"/>
  <c r="G31" i="2"/>
  <c r="I31" i="2"/>
  <c r="K31" i="2" s="1"/>
  <c r="L31" i="2" s="1"/>
  <c r="M31" i="2" s="1"/>
  <c r="F32" i="2"/>
  <c r="G32" i="2"/>
  <c r="I32" i="2" s="1"/>
  <c r="K32" i="2" s="1"/>
  <c r="L32" i="2" s="1"/>
  <c r="M32" i="2" s="1"/>
  <c r="F33" i="2"/>
  <c r="G33" i="2" s="1"/>
  <c r="I33" i="2" s="1"/>
  <c r="K33" i="2" s="1"/>
  <c r="L33" i="2" s="1"/>
  <c r="M33" i="2"/>
  <c r="F34" i="2"/>
  <c r="G34" i="2"/>
  <c r="I34" i="2" s="1"/>
  <c r="K34" i="2" s="1"/>
  <c r="L34" i="2" s="1"/>
  <c r="F35" i="2"/>
  <c r="G35" i="2"/>
  <c r="I35" i="2" s="1"/>
  <c r="K35" i="2" s="1"/>
  <c r="L35" i="2" s="1"/>
  <c r="M35" i="2" s="1"/>
  <c r="F36" i="2"/>
  <c r="G36" i="2"/>
  <c r="I36" i="2" s="1"/>
  <c r="K36" i="2" s="1"/>
  <c r="L36" i="2" s="1"/>
  <c r="M36" i="2" s="1"/>
  <c r="F37" i="2"/>
  <c r="G37" i="2"/>
  <c r="I37" i="2"/>
  <c r="K37" i="2" s="1"/>
  <c r="L37" i="2" s="1"/>
  <c r="M37" i="2" s="1"/>
  <c r="F38" i="2"/>
  <c r="G38" i="2"/>
  <c r="I38" i="2" s="1"/>
  <c r="K38" i="2" s="1"/>
  <c r="L38" i="2" s="1"/>
  <c r="M38" i="2" s="1"/>
  <c r="F39" i="2"/>
  <c r="G39" i="2"/>
  <c r="I39" i="2"/>
  <c r="K39" i="2" s="1"/>
  <c r="L39" i="2" s="1"/>
  <c r="F40" i="2"/>
  <c r="G40" i="2"/>
  <c r="I40" i="2" s="1"/>
  <c r="K40" i="2" s="1"/>
  <c r="L40" i="2" s="1"/>
  <c r="M40" i="2" s="1"/>
  <c r="F41" i="2"/>
  <c r="G41" i="2"/>
  <c r="I41" i="2"/>
  <c r="K41" i="2" s="1"/>
  <c r="L41" i="2" s="1"/>
  <c r="M41" i="2" s="1"/>
  <c r="F42" i="2"/>
  <c r="G42" i="2"/>
  <c r="I42" i="2" s="1"/>
  <c r="K42" i="2" s="1"/>
  <c r="L42" i="2" s="1"/>
  <c r="M42" i="2" s="1"/>
  <c r="F43" i="2"/>
  <c r="G43" i="2"/>
  <c r="I43" i="2"/>
  <c r="K43" i="2" s="1"/>
  <c r="L43" i="2" s="1"/>
  <c r="M43" i="2" s="1"/>
  <c r="F44" i="2"/>
  <c r="G44" i="2"/>
  <c r="I44" i="2" s="1"/>
  <c r="K44" i="2" s="1"/>
  <c r="L44" i="2" s="1"/>
  <c r="M44" i="2" s="1"/>
  <c r="F45" i="2"/>
  <c r="G45" i="2"/>
  <c r="I45" i="2" s="1"/>
  <c r="K45" i="2" s="1"/>
  <c r="L45" i="2" s="1"/>
  <c r="M45" i="2" s="1"/>
  <c r="F46" i="2"/>
  <c r="G46" i="2"/>
  <c r="I46" i="2" s="1"/>
  <c r="K46" i="2" s="1"/>
  <c r="L46" i="2" s="1"/>
  <c r="M46" i="2" s="1"/>
  <c r="F47" i="2"/>
  <c r="G47" i="2"/>
  <c r="I47" i="2" s="1"/>
  <c r="K47" i="2" s="1"/>
  <c r="L47" i="2" s="1"/>
  <c r="M47" i="2" s="1"/>
  <c r="F48" i="2"/>
  <c r="G48" i="2"/>
  <c r="I48" i="2" s="1"/>
  <c r="K48" i="2" s="1"/>
  <c r="L48" i="2" s="1"/>
  <c r="M48" i="2" s="1"/>
  <c r="F49" i="2"/>
  <c r="G49" i="2"/>
  <c r="I49" i="2"/>
  <c r="K49" i="2" s="1"/>
  <c r="L49" i="2" s="1"/>
  <c r="M49" i="2" s="1"/>
  <c r="F50" i="2"/>
  <c r="G50" i="2"/>
  <c r="I50" i="2" s="1"/>
  <c r="K50" i="2" s="1"/>
  <c r="L50" i="2" s="1"/>
  <c r="M50" i="2" s="1"/>
  <c r="F51" i="2"/>
  <c r="G51" i="2"/>
  <c r="I51" i="2"/>
  <c r="K51" i="2" s="1"/>
  <c r="L51" i="2" s="1"/>
  <c r="M51" i="2" s="1"/>
  <c r="F52" i="2"/>
  <c r="G52" i="2"/>
  <c r="I52" i="2" s="1"/>
  <c r="K52" i="2" s="1"/>
  <c r="L52" i="2" s="1"/>
  <c r="M52" i="2" s="1"/>
  <c r="F53" i="2"/>
  <c r="G53" i="2"/>
  <c r="I53" i="2"/>
  <c r="K53" i="2" s="1"/>
  <c r="L53" i="2" s="1"/>
  <c r="M53" i="2" s="1"/>
  <c r="F54" i="2"/>
  <c r="G54" i="2" s="1"/>
  <c r="I54" i="2" s="1"/>
  <c r="K54" i="2" s="1"/>
  <c r="L54" i="2" s="1"/>
  <c r="M54" i="2" s="1"/>
  <c r="D57" i="2"/>
  <c r="F58" i="2"/>
  <c r="G58" i="2" s="1"/>
  <c r="I58" i="2" s="1"/>
  <c r="K58" i="2" s="1"/>
  <c r="L58" i="2" s="1"/>
  <c r="M58" i="2" s="1"/>
  <c r="F59" i="2"/>
  <c r="G59" i="2" s="1"/>
  <c r="I59" i="2" s="1"/>
  <c r="K59" i="2" s="1"/>
  <c r="L59" i="2" s="1"/>
  <c r="M59" i="2" s="1"/>
  <c r="F60" i="2"/>
  <c r="G60" i="2"/>
  <c r="I60" i="2" s="1"/>
  <c r="K60" i="2" s="1"/>
  <c r="L60" i="2" s="1"/>
  <c r="M60" i="2" s="1"/>
  <c r="F61" i="2"/>
  <c r="G61" i="2" s="1"/>
  <c r="I61" i="2" s="1"/>
  <c r="K61" i="2" s="1"/>
  <c r="L61" i="2" s="1"/>
  <c r="M61" i="2" s="1"/>
  <c r="F62" i="2"/>
  <c r="G62" i="2"/>
  <c r="I62" i="2" s="1"/>
  <c r="K62" i="2" s="1"/>
  <c r="L62" i="2" s="1"/>
  <c r="M62" i="2"/>
  <c r="F63" i="2"/>
  <c r="G63" i="2" s="1"/>
  <c r="I63" i="2" s="1"/>
  <c r="K63" i="2" s="1"/>
  <c r="L63" i="2" s="1"/>
  <c r="M63" i="2" s="1"/>
  <c r="F64" i="2"/>
  <c r="G64" i="2" s="1"/>
  <c r="I64" i="2" s="1"/>
  <c r="K64" i="2" s="1"/>
  <c r="L64" i="2" s="1"/>
  <c r="M64" i="2" s="1"/>
  <c r="F65" i="2"/>
  <c r="G65" i="2" s="1"/>
  <c r="I65" i="2" s="1"/>
  <c r="K65" i="2" s="1"/>
  <c r="L65" i="2" s="1"/>
  <c r="M65" i="2" s="1"/>
  <c r="F66" i="2"/>
  <c r="G66" i="2" s="1"/>
  <c r="F67" i="2"/>
  <c r="G67" i="2" s="1"/>
  <c r="I67" i="2" s="1"/>
  <c r="K67" i="2" s="1"/>
  <c r="L67" i="2" s="1"/>
  <c r="M67" i="2" s="1"/>
  <c r="F68" i="2"/>
  <c r="G68" i="2"/>
  <c r="I68" i="2" s="1"/>
  <c r="K68" i="2" s="1"/>
  <c r="L68" i="2" s="1"/>
  <c r="M68" i="2"/>
  <c r="F69" i="2"/>
  <c r="G69" i="2" s="1"/>
  <c r="I69" i="2" s="1"/>
  <c r="K69" i="2" s="1"/>
  <c r="L69" i="2" s="1"/>
  <c r="M69" i="2" s="1"/>
  <c r="F70" i="2"/>
  <c r="G70" i="2" s="1"/>
  <c r="I70" i="2" s="1"/>
  <c r="K70" i="2" s="1"/>
  <c r="L70" i="2" s="1"/>
  <c r="M70" i="2" s="1"/>
  <c r="F71" i="2"/>
  <c r="G71" i="2" s="1"/>
  <c r="I71" i="2" s="1"/>
  <c r="K71" i="2" s="1"/>
  <c r="L71" i="2" s="1"/>
  <c r="M71" i="2" s="1"/>
  <c r="F72" i="2"/>
  <c r="G72" i="2"/>
  <c r="I72" i="2" s="1"/>
  <c r="K72" i="2" s="1"/>
  <c r="L72" i="2" s="1"/>
  <c r="M72" i="2" s="1"/>
  <c r="F73" i="2"/>
  <c r="G73" i="2" s="1"/>
  <c r="I73" i="2" s="1"/>
  <c r="K73" i="2" s="1"/>
  <c r="L73" i="2" s="1"/>
  <c r="M73" i="2" s="1"/>
  <c r="F74" i="2"/>
  <c r="G74" i="2"/>
  <c r="I74" i="2" s="1"/>
  <c r="K74" i="2" s="1"/>
  <c r="L74" i="2" s="1"/>
  <c r="M74" i="2"/>
  <c r="F75" i="2"/>
  <c r="G75" i="2" s="1"/>
  <c r="I75" i="2" s="1"/>
  <c r="K75" i="2" s="1"/>
  <c r="L75" i="2" s="1"/>
  <c r="M75" i="2" s="1"/>
  <c r="F76" i="2"/>
  <c r="G76" i="2" s="1"/>
  <c r="I76" i="2" s="1"/>
  <c r="K76" i="2" s="1"/>
  <c r="L76" i="2" s="1"/>
  <c r="M76" i="2" s="1"/>
  <c r="F77" i="2"/>
  <c r="G77" i="2" s="1"/>
  <c r="I77" i="2" s="1"/>
  <c r="K77" i="2" s="1"/>
  <c r="L77" i="2" s="1"/>
  <c r="M77" i="2" s="1"/>
  <c r="F78" i="2"/>
  <c r="G78" i="2" s="1"/>
  <c r="I78" i="2" s="1"/>
  <c r="K78" i="2" s="1"/>
  <c r="L78" i="2" s="1"/>
  <c r="M78" i="2" s="1"/>
  <c r="F79" i="2"/>
  <c r="G79" i="2"/>
  <c r="I79" i="2"/>
  <c r="K79" i="2"/>
  <c r="L79" i="2" s="1"/>
  <c r="M79" i="2" s="1"/>
  <c r="F80" i="2"/>
  <c r="G80" i="2"/>
  <c r="I80" i="2" s="1"/>
  <c r="K80" i="2" s="1"/>
  <c r="L80" i="2" s="1"/>
  <c r="M80" i="2" s="1"/>
  <c r="D82" i="2"/>
  <c r="F83" i="2"/>
  <c r="G83" i="2"/>
  <c r="I83" i="2" s="1"/>
  <c r="K83" i="2" s="1"/>
  <c r="L83" i="2" s="1"/>
  <c r="M83" i="2" s="1"/>
  <c r="F84" i="2"/>
  <c r="G84" i="2"/>
  <c r="I84" i="2"/>
  <c r="K84" i="2" s="1"/>
  <c r="L84" i="2" s="1"/>
  <c r="M84" i="2" s="1"/>
  <c r="F85" i="2"/>
  <c r="G85" i="2"/>
  <c r="I85" i="2" s="1"/>
  <c r="K85" i="2" s="1"/>
  <c r="L85" i="2" s="1"/>
  <c r="M85" i="2" s="1"/>
  <c r="F86" i="2"/>
  <c r="G86" i="2"/>
  <c r="I86" i="2"/>
  <c r="K86" i="2" s="1"/>
  <c r="L86" i="2" s="1"/>
  <c r="M86" i="2" s="1"/>
  <c r="F87" i="2"/>
  <c r="G87" i="2"/>
  <c r="I87" i="2" s="1"/>
  <c r="K87" i="2" s="1"/>
  <c r="L87" i="2" s="1"/>
  <c r="M87" i="2" s="1"/>
  <c r="F88" i="2"/>
  <c r="G88" i="2"/>
  <c r="I88" i="2"/>
  <c r="K88" i="2"/>
  <c r="L88" i="2" s="1"/>
  <c r="M88" i="2" s="1"/>
  <c r="F89" i="2"/>
  <c r="G89" i="2" s="1"/>
  <c r="I89" i="2" s="1"/>
  <c r="K89" i="2" s="1"/>
  <c r="L89" i="2" s="1"/>
  <c r="M89" i="2" s="1"/>
  <c r="F90" i="2"/>
  <c r="G90" i="2"/>
  <c r="I90" i="2" s="1"/>
  <c r="K90" i="2" s="1"/>
  <c r="L90" i="2" s="1"/>
  <c r="M90" i="2" s="1"/>
  <c r="F91" i="2"/>
  <c r="G91" i="2"/>
  <c r="I91" i="2"/>
  <c r="K91" i="2" s="1"/>
  <c r="L91" i="2" s="1"/>
  <c r="M91" i="2" s="1"/>
  <c r="F92" i="2"/>
  <c r="G92" i="2" s="1"/>
  <c r="I92" i="2" s="1"/>
  <c r="K92" i="2" s="1"/>
  <c r="L92" i="2" s="1"/>
  <c r="M92" i="2" s="1"/>
  <c r="F93" i="2"/>
  <c r="G93" i="2"/>
  <c r="I93" i="2" s="1"/>
  <c r="K93" i="2" s="1"/>
  <c r="L93" i="2" s="1"/>
  <c r="M93" i="2" s="1"/>
  <c r="F94" i="2"/>
  <c r="G94" i="2"/>
  <c r="I94" i="2"/>
  <c r="K94" i="2"/>
  <c r="L94" i="2" s="1"/>
  <c r="M94" i="2" s="1"/>
  <c r="F95" i="2"/>
  <c r="G95" i="2" s="1"/>
  <c r="I95" i="2" s="1"/>
  <c r="K95" i="2" s="1"/>
  <c r="L95" i="2" s="1"/>
  <c r="M95" i="2" s="1"/>
  <c r="F96" i="2"/>
  <c r="G96" i="2" s="1"/>
  <c r="I96" i="2" s="1"/>
  <c r="K96" i="2" s="1"/>
  <c r="L96" i="2" s="1"/>
  <c r="M96" i="2" s="1"/>
  <c r="F97" i="2"/>
  <c r="G97" i="2"/>
  <c r="I97" i="2"/>
  <c r="K97" i="2"/>
  <c r="L97" i="2" s="1"/>
  <c r="M97" i="2" s="1"/>
  <c r="F98" i="2"/>
  <c r="G98" i="2" s="1"/>
  <c r="I98" i="2" s="1"/>
  <c r="K98" i="2" s="1"/>
  <c r="L98" i="2" s="1"/>
  <c r="M98" i="2" s="1"/>
  <c r="F99" i="2"/>
  <c r="G99" i="2"/>
  <c r="I99" i="2" s="1"/>
  <c r="K99" i="2" s="1"/>
  <c r="L99" i="2" s="1"/>
  <c r="M99" i="2" s="1"/>
  <c r="F100" i="2"/>
  <c r="G100" i="2"/>
  <c r="I100" i="2"/>
  <c r="U25" i="2" s="1"/>
  <c r="K100" i="2"/>
  <c r="L100" i="2" s="1"/>
  <c r="M100" i="2" s="1"/>
  <c r="F101" i="2"/>
  <c r="G101" i="2" s="1"/>
  <c r="I101" i="2" s="1"/>
  <c r="K101" i="2" s="1"/>
  <c r="L101" i="2" s="1"/>
  <c r="M101" i="2" s="1"/>
  <c r="F102" i="2"/>
  <c r="G102" i="2" s="1"/>
  <c r="I102" i="2" s="1"/>
  <c r="K102" i="2" s="1"/>
  <c r="L102" i="2" s="1"/>
  <c r="M102" i="2" s="1"/>
  <c r="D104" i="2"/>
  <c r="F106" i="2"/>
  <c r="G106" i="2"/>
  <c r="I106" i="2" s="1"/>
  <c r="K106" i="2" s="1"/>
  <c r="L106" i="2" s="1"/>
  <c r="M106" i="2" s="1"/>
  <c r="F107" i="2"/>
  <c r="G107" i="2"/>
  <c r="I107" i="2" s="1"/>
  <c r="K107" i="2" s="1"/>
  <c r="L107" i="2" s="1"/>
  <c r="M107" i="2"/>
  <c r="F108" i="2"/>
  <c r="G108" i="2" s="1"/>
  <c r="I108" i="2" s="1"/>
  <c r="K108" i="2" s="1"/>
  <c r="L108" i="2" s="1"/>
  <c r="M108" i="2"/>
  <c r="F109" i="2"/>
  <c r="G109" i="2"/>
  <c r="I109" i="2" s="1"/>
  <c r="K109" i="2" s="1"/>
  <c r="L109" i="2" s="1"/>
  <c r="M109" i="2" s="1"/>
  <c r="F110" i="2"/>
  <c r="G110" i="2"/>
  <c r="I110" i="2" s="1"/>
  <c r="K110" i="2" s="1"/>
  <c r="L110" i="2" s="1"/>
  <c r="M110" i="2"/>
  <c r="F111" i="2"/>
  <c r="G111" i="2" s="1"/>
  <c r="I111" i="2" s="1"/>
  <c r="K111" i="2" s="1"/>
  <c r="L111" i="2" s="1"/>
  <c r="M111" i="2"/>
  <c r="F112" i="2"/>
  <c r="G112" i="2"/>
  <c r="I112" i="2"/>
  <c r="K112" i="2" s="1"/>
  <c r="L112" i="2" s="1"/>
  <c r="M112" i="2" s="1"/>
  <c r="F113" i="2"/>
  <c r="G113" i="2"/>
  <c r="I113" i="2" s="1"/>
  <c r="K113" i="2" s="1"/>
  <c r="L113" i="2" s="1"/>
  <c r="M113" i="2"/>
  <c r="F114" i="2"/>
  <c r="G114" i="2" s="1"/>
  <c r="I114" i="2" s="1"/>
  <c r="K114" i="2" s="1"/>
  <c r="L114" i="2" s="1"/>
  <c r="M114" i="2"/>
  <c r="F115" i="2"/>
  <c r="G115" i="2"/>
  <c r="I115" i="2" s="1"/>
  <c r="K115" i="2" s="1"/>
  <c r="L115" i="2" s="1"/>
  <c r="M115" i="2" s="1"/>
  <c r="F116" i="2"/>
  <c r="G116" i="2"/>
  <c r="I116" i="2" s="1"/>
  <c r="K116" i="2" s="1"/>
  <c r="L116" i="2" s="1"/>
  <c r="M116" i="2"/>
  <c r="C118" i="2"/>
  <c r="D120" i="2"/>
  <c r="F121" i="2"/>
  <c r="G121" i="2" s="1"/>
  <c r="I121" i="2" s="1"/>
  <c r="K121" i="2"/>
  <c r="L121" i="2" s="1"/>
  <c r="M121" i="2" s="1"/>
  <c r="F122" i="2"/>
  <c r="G122" i="2" s="1"/>
  <c r="I122" i="2" s="1"/>
  <c r="K122" i="2" s="1"/>
  <c r="L122" i="2" s="1"/>
  <c r="M122" i="2"/>
  <c r="F123" i="2"/>
  <c r="G123" i="2" s="1"/>
  <c r="I123" i="2" s="1"/>
  <c r="K123" i="2"/>
  <c r="L123" i="2"/>
  <c r="M123" i="2" s="1"/>
  <c r="F124" i="2"/>
  <c r="G124" i="2" s="1"/>
  <c r="I124" i="2" s="1"/>
  <c r="K124" i="2"/>
  <c r="L124" i="2" s="1"/>
  <c r="M124" i="2"/>
  <c r="F125" i="2"/>
  <c r="G125" i="2" s="1"/>
  <c r="I125" i="2" s="1"/>
  <c r="K125" i="2" s="1"/>
  <c r="L125" i="2" s="1"/>
  <c r="M125" i="2" s="1"/>
  <c r="F126" i="2"/>
  <c r="G126" i="2" s="1"/>
  <c r="I126" i="2" s="1"/>
  <c r="K126" i="2"/>
  <c r="L126" i="2"/>
  <c r="M126" i="2" s="1"/>
  <c r="F127" i="2"/>
  <c r="G127" i="2" s="1"/>
  <c r="I127" i="2" s="1"/>
  <c r="K127" i="2"/>
  <c r="L127" i="2" s="1"/>
  <c r="M127" i="2" s="1"/>
  <c r="F128" i="2"/>
  <c r="G128" i="2" s="1"/>
  <c r="I128" i="2" s="1"/>
  <c r="K128" i="2" s="1"/>
  <c r="L128" i="2" s="1"/>
  <c r="M128" i="2" s="1"/>
  <c r="F129" i="2"/>
  <c r="G129" i="2" s="1"/>
  <c r="I129" i="2" s="1"/>
  <c r="K129" i="2"/>
  <c r="L129" i="2"/>
  <c r="M129" i="2" s="1"/>
  <c r="F130" i="2"/>
  <c r="G130" i="2" s="1"/>
  <c r="I130" i="2" s="1"/>
  <c r="K130" i="2"/>
  <c r="L130" i="2" s="1"/>
  <c r="M130" i="2" s="1"/>
  <c r="F131" i="2"/>
  <c r="G131" i="2" s="1"/>
  <c r="I131" i="2" s="1"/>
  <c r="K131" i="2" s="1"/>
  <c r="L131" i="2" s="1"/>
  <c r="M131" i="2"/>
  <c r="F132" i="2"/>
  <c r="G132" i="2" s="1"/>
  <c r="I132" i="2" s="1"/>
  <c r="K132" i="2"/>
  <c r="L132" i="2"/>
  <c r="M132" i="2" s="1"/>
  <c r="F133" i="2"/>
  <c r="G133" i="2" s="1"/>
  <c r="I133" i="2" s="1"/>
  <c r="K133" i="2"/>
  <c r="L133" i="2" s="1"/>
  <c r="M133" i="2"/>
  <c r="F134" i="2"/>
  <c r="G134" i="2" s="1"/>
  <c r="I134" i="2" s="1"/>
  <c r="K134" i="2" s="1"/>
  <c r="L134" i="2" s="1"/>
  <c r="M134" i="2" s="1"/>
  <c r="F135" i="2"/>
  <c r="G135" i="2" s="1"/>
  <c r="I135" i="2" s="1"/>
  <c r="K135" i="2" s="1"/>
  <c r="L135" i="2" s="1"/>
  <c r="M135" i="2" s="1"/>
  <c r="F136" i="2"/>
  <c r="G136" i="2" s="1"/>
  <c r="I136" i="2" s="1"/>
  <c r="K136" i="2"/>
  <c r="L136" i="2" s="1"/>
  <c r="M136" i="2" s="1"/>
  <c r="F137" i="2"/>
  <c r="G137" i="2" s="1"/>
  <c r="I137" i="2" s="1"/>
  <c r="K137" i="2" s="1"/>
  <c r="L137" i="2" s="1"/>
  <c r="M137" i="2"/>
  <c r="F138" i="2"/>
  <c r="G138" i="2" s="1"/>
  <c r="I138" i="2" s="1"/>
  <c r="K138" i="2"/>
  <c r="L138" i="2" s="1"/>
  <c r="M138" i="2" s="1"/>
  <c r="F139" i="2"/>
  <c r="G139" i="2" s="1"/>
  <c r="I139" i="2" s="1"/>
  <c r="K139" i="2"/>
  <c r="L139" i="2"/>
  <c r="M139" i="2"/>
  <c r="F140" i="2"/>
  <c r="G140" i="2" s="1"/>
  <c r="I140" i="2" s="1"/>
  <c r="K140" i="2" s="1"/>
  <c r="L140" i="2" s="1"/>
  <c r="M140" i="2" s="1"/>
  <c r="F141" i="2"/>
  <c r="G141" i="2" s="1"/>
  <c r="I141" i="2" s="1"/>
  <c r="K141" i="2" s="1"/>
  <c r="L141" i="2" s="1"/>
  <c r="M141" i="2" s="1"/>
  <c r="D143" i="2"/>
  <c r="F144" i="2"/>
  <c r="G144" i="2" s="1"/>
  <c r="I144" i="2" s="1"/>
  <c r="K144" i="2" s="1"/>
  <c r="L144" i="2" s="1"/>
  <c r="M144" i="2" s="1"/>
  <c r="F145" i="2"/>
  <c r="G145" i="2" s="1"/>
  <c r="I145" i="2"/>
  <c r="K145" i="2"/>
  <c r="L145" i="2" s="1"/>
  <c r="M145" i="2" s="1"/>
  <c r="F146" i="2"/>
  <c r="G146" i="2" s="1"/>
  <c r="I146" i="2"/>
  <c r="K146" i="2"/>
  <c r="L146" i="2"/>
  <c r="M146" i="2" s="1"/>
  <c r="F147" i="2"/>
  <c r="G147" i="2" s="1"/>
  <c r="I147" i="2" s="1"/>
  <c r="K147" i="2" s="1"/>
  <c r="L147" i="2" s="1"/>
  <c r="M147" i="2" s="1"/>
  <c r="F148" i="2"/>
  <c r="G148" i="2" s="1"/>
  <c r="I148" i="2"/>
  <c r="K148" i="2" s="1"/>
  <c r="L148" i="2" s="1"/>
  <c r="M148" i="2" s="1"/>
  <c r="F149" i="2"/>
  <c r="G149" i="2" s="1"/>
  <c r="I149" i="2" s="1"/>
  <c r="K149" i="2" s="1"/>
  <c r="L149" i="2" s="1"/>
  <c r="M149" i="2" s="1"/>
  <c r="F150" i="2"/>
  <c r="G150" i="2" s="1"/>
  <c r="I150" i="2"/>
  <c r="K150" i="2" s="1"/>
  <c r="L150" i="2" s="1"/>
  <c r="M150" i="2" s="1"/>
  <c r="F151" i="2"/>
  <c r="G151" i="2" s="1"/>
  <c r="I151" i="2"/>
  <c r="K151" i="2"/>
  <c r="L151" i="2"/>
  <c r="M151" i="2" s="1"/>
  <c r="F152" i="2"/>
  <c r="G152" i="2" s="1"/>
  <c r="I152" i="2"/>
  <c r="K152" i="2"/>
  <c r="L152" i="2"/>
  <c r="M152" i="2"/>
  <c r="F153" i="2"/>
  <c r="G153" i="2" s="1"/>
  <c r="I153" i="2" s="1"/>
  <c r="K153" i="2" s="1"/>
  <c r="L153" i="2"/>
  <c r="M153" i="2" s="1"/>
  <c r="F154" i="2"/>
  <c r="G154" i="2" s="1"/>
  <c r="I154" i="2"/>
  <c r="K154" i="2" s="1"/>
  <c r="L154" i="2" s="1"/>
  <c r="M154" i="2"/>
  <c r="F155" i="2"/>
  <c r="G155" i="2" s="1"/>
  <c r="I155" i="2"/>
  <c r="K155" i="2" s="1"/>
  <c r="L155" i="2" s="1"/>
  <c r="M155" i="2" s="1"/>
  <c r="F156" i="2"/>
  <c r="G156" i="2" s="1"/>
  <c r="I156" i="2"/>
  <c r="K156" i="2"/>
  <c r="L156" i="2" s="1"/>
  <c r="M156" i="2" s="1"/>
  <c r="F157" i="2"/>
  <c r="G157" i="2" s="1"/>
  <c r="I157" i="2"/>
  <c r="K157" i="2"/>
  <c r="L157" i="2"/>
  <c r="M157" i="2"/>
  <c r="F158" i="2"/>
  <c r="G158" i="2" s="1"/>
  <c r="I158" i="2"/>
  <c r="K158" i="2"/>
  <c r="L158" i="2"/>
  <c r="M158" i="2"/>
  <c r="F159" i="2"/>
  <c r="G159" i="2" s="1"/>
  <c r="I159" i="2" s="1"/>
  <c r="K159" i="2" s="1"/>
  <c r="L159" i="2" s="1"/>
  <c r="M159" i="2" s="1"/>
  <c r="F160" i="2"/>
  <c r="G160" i="2" s="1"/>
  <c r="I160" i="2"/>
  <c r="K160" i="2" s="1"/>
  <c r="L160" i="2" s="1"/>
  <c r="M160" i="2"/>
  <c r="F161" i="2"/>
  <c r="G161" i="2" s="1"/>
  <c r="I161" i="2" s="1"/>
  <c r="K161" i="2" s="1"/>
  <c r="L161" i="2" s="1"/>
  <c r="M161" i="2" s="1"/>
  <c r="F162" i="2"/>
  <c r="G162" i="2" s="1"/>
  <c r="I162" i="2"/>
  <c r="K162" i="2"/>
  <c r="L162" i="2"/>
  <c r="M162" i="2" s="1"/>
  <c r="F163" i="2"/>
  <c r="G163" i="2"/>
  <c r="I163" i="2" s="1"/>
  <c r="K163" i="2" s="1"/>
  <c r="L163" i="2" s="1"/>
  <c r="M163" i="2" s="1"/>
  <c r="F164" i="2"/>
  <c r="G164" i="2"/>
  <c r="I164" i="2"/>
  <c r="K164" i="2" s="1"/>
  <c r="L164" i="2" s="1"/>
  <c r="M164" i="2" s="1"/>
  <c r="F165" i="2"/>
  <c r="G165" i="2"/>
  <c r="I165" i="2" s="1"/>
  <c r="K165" i="2" s="1"/>
  <c r="L165" i="2" s="1"/>
  <c r="M165" i="2" s="1"/>
  <c r="D167" i="2"/>
  <c r="F168" i="2"/>
  <c r="G168" i="2"/>
  <c r="I168" i="2" s="1"/>
  <c r="K168" i="2" s="1"/>
  <c r="L168" i="2" s="1"/>
  <c r="M168" i="2" s="1"/>
  <c r="F169" i="2"/>
  <c r="G169" i="2"/>
  <c r="I169" i="2"/>
  <c r="K169" i="2"/>
  <c r="L169" i="2" s="1"/>
  <c r="M169" i="2" s="1"/>
  <c r="F170" i="2"/>
  <c r="G170" i="2"/>
  <c r="I170" i="2" s="1"/>
  <c r="K170" i="2" s="1"/>
  <c r="L170" i="2" s="1"/>
  <c r="M170" i="2" s="1"/>
  <c r="F171" i="2"/>
  <c r="G171" i="2"/>
  <c r="I171" i="2" s="1"/>
  <c r="K171" i="2" s="1"/>
  <c r="L171" i="2" s="1"/>
  <c r="M171" i="2" s="1"/>
  <c r="F172" i="2"/>
  <c r="G172" i="2"/>
  <c r="I172" i="2"/>
  <c r="K172" i="2"/>
  <c r="L172" i="2" s="1"/>
  <c r="M172" i="2" s="1"/>
  <c r="F173" i="2"/>
  <c r="G173" i="2"/>
  <c r="I173" i="2" s="1"/>
  <c r="K173" i="2" s="1"/>
  <c r="L173" i="2" s="1"/>
  <c r="M173" i="2" s="1"/>
  <c r="F174" i="2"/>
  <c r="G174" i="2"/>
  <c r="I174" i="2" s="1"/>
  <c r="K174" i="2" s="1"/>
  <c r="L174" i="2" s="1"/>
  <c r="M174" i="2" s="1"/>
  <c r="F175" i="2"/>
  <c r="G175" i="2"/>
  <c r="I175" i="2"/>
  <c r="K175" i="2"/>
  <c r="L175" i="2" s="1"/>
  <c r="M175" i="2" s="1"/>
  <c r="F176" i="2"/>
  <c r="G176" i="2" s="1"/>
  <c r="I176" i="2" s="1"/>
  <c r="K176" i="2" s="1"/>
  <c r="L176" i="2" s="1"/>
  <c r="M176" i="2" s="1"/>
  <c r="F177" i="2"/>
  <c r="G177" i="2"/>
  <c r="I177" i="2" s="1"/>
  <c r="K177" i="2" s="1"/>
  <c r="L177" i="2" s="1"/>
  <c r="M177" i="2" s="1"/>
  <c r="F178" i="2"/>
  <c r="G178" i="2" s="1"/>
  <c r="I178" i="2" s="1"/>
  <c r="K178" i="2" s="1"/>
  <c r="L178" i="2" s="1"/>
  <c r="M178" i="2" s="1"/>
  <c r="F179" i="2"/>
  <c r="G179" i="2"/>
  <c r="I179" i="2" s="1"/>
  <c r="K179" i="2" s="1"/>
  <c r="L179" i="2" s="1"/>
  <c r="M179" i="2" s="1"/>
  <c r="F180" i="2"/>
  <c r="G180" i="2"/>
  <c r="I180" i="2"/>
  <c r="K180" i="2" s="1"/>
  <c r="L180" i="2" s="1"/>
  <c r="M180" i="2" s="1"/>
  <c r="F181" i="2"/>
  <c r="G181" i="2"/>
  <c r="I181" i="2"/>
  <c r="K181" i="2"/>
  <c r="L181" i="2" s="1"/>
  <c r="M181" i="2" s="1"/>
  <c r="F182" i="2"/>
  <c r="G182" i="2" s="1"/>
  <c r="I182" i="2" s="1"/>
  <c r="K182" i="2" s="1"/>
  <c r="L182" i="2" s="1"/>
  <c r="M182" i="2" s="1"/>
  <c r="F183" i="2"/>
  <c r="G183" i="2"/>
  <c r="I183" i="2" s="1"/>
  <c r="K183" i="2" s="1"/>
  <c r="L183" i="2" s="1"/>
  <c r="M183" i="2" s="1"/>
  <c r="F184" i="2"/>
  <c r="G184" i="2" s="1"/>
  <c r="I184" i="2" s="1"/>
  <c r="K184" i="2" s="1"/>
  <c r="L184" i="2" s="1"/>
  <c r="M184" i="2" s="1"/>
  <c r="D186" i="2"/>
  <c r="F187" i="2"/>
  <c r="G187" i="2" s="1"/>
  <c r="I187" i="2" s="1"/>
  <c r="K187" i="2" s="1"/>
  <c r="L187" i="2" s="1"/>
  <c r="M187" i="2" s="1"/>
  <c r="F188" i="2"/>
  <c r="G188" i="2"/>
  <c r="I188" i="2" s="1"/>
  <c r="K188" i="2" s="1"/>
  <c r="L188" i="2" s="1"/>
  <c r="M188" i="2" s="1"/>
  <c r="F189" i="2"/>
  <c r="G189" i="2"/>
  <c r="I189" i="2"/>
  <c r="K189" i="2" s="1"/>
  <c r="L189" i="2" s="1"/>
  <c r="M189" i="2" s="1"/>
  <c r="F190" i="2"/>
  <c r="G190" i="2"/>
  <c r="I190" i="2"/>
  <c r="K190" i="2" s="1"/>
  <c r="L190" i="2"/>
  <c r="M190" i="2" s="1"/>
  <c r="F191" i="2"/>
  <c r="G191" i="2" s="1"/>
  <c r="I191" i="2" s="1"/>
  <c r="K191" i="2" s="1"/>
  <c r="L191" i="2" s="1"/>
  <c r="M191" i="2" s="1"/>
  <c r="F192" i="2"/>
  <c r="G192" i="2"/>
  <c r="I192" i="2" s="1"/>
  <c r="K192" i="2" s="1"/>
  <c r="L192" i="2" s="1"/>
  <c r="M192" i="2" s="1"/>
  <c r="F193" i="2"/>
  <c r="G193" i="2" s="1"/>
  <c r="I193" i="2" s="1"/>
  <c r="K193" i="2" s="1"/>
  <c r="L193" i="2" s="1"/>
  <c r="M193" i="2" s="1"/>
  <c r="F194" i="2"/>
  <c r="G194" i="2"/>
  <c r="I194" i="2" s="1"/>
  <c r="K194" i="2" s="1"/>
  <c r="L194" i="2" s="1"/>
  <c r="M194" i="2" s="1"/>
  <c r="F195" i="2"/>
  <c r="G195" i="2"/>
  <c r="I195" i="2"/>
  <c r="K195" i="2" s="1"/>
  <c r="L195" i="2" s="1"/>
  <c r="M195" i="2" s="1"/>
  <c r="F196" i="2"/>
  <c r="G196" i="2"/>
  <c r="I196" i="2"/>
  <c r="K196" i="2" s="1"/>
  <c r="L196" i="2"/>
  <c r="M196" i="2" s="1"/>
  <c r="F197" i="2"/>
  <c r="G197" i="2" s="1"/>
  <c r="I197" i="2" s="1"/>
  <c r="K197" i="2" s="1"/>
  <c r="L197" i="2" s="1"/>
  <c r="M197" i="2" s="1"/>
  <c r="F198" i="2"/>
  <c r="G198" i="2"/>
  <c r="I198" i="2" s="1"/>
  <c r="K198" i="2" s="1"/>
  <c r="L198" i="2" s="1"/>
  <c r="M198" i="2" s="1"/>
  <c r="F199" i="2"/>
  <c r="G199" i="2" s="1"/>
  <c r="I199" i="2" s="1"/>
  <c r="K199" i="2" s="1"/>
  <c r="L199" i="2" s="1"/>
  <c r="M199" i="2" s="1"/>
  <c r="D201" i="2"/>
  <c r="F202" i="2"/>
  <c r="G202" i="2" s="1"/>
  <c r="I202" i="2" s="1"/>
  <c r="K202" i="2" s="1"/>
  <c r="L202" i="2" s="1"/>
  <c r="M202" i="2" s="1"/>
  <c r="F203" i="2"/>
  <c r="G203" i="2"/>
  <c r="I203" i="2" s="1"/>
  <c r="K203" i="2" s="1"/>
  <c r="L203" i="2" s="1"/>
  <c r="M203" i="2" s="1"/>
  <c r="F204" i="2"/>
  <c r="G204" i="2"/>
  <c r="I204" i="2" s="1"/>
  <c r="K204" i="2" s="1"/>
  <c r="L204" i="2" s="1"/>
  <c r="M204" i="2" s="1"/>
  <c r="C206" i="2"/>
  <c r="D207" i="2"/>
  <c r="F208" i="2"/>
  <c r="G208" i="2"/>
  <c r="I208" i="2" s="1"/>
  <c r="K208" i="2" s="1"/>
  <c r="L208" i="2" s="1"/>
  <c r="M208" i="2" s="1"/>
  <c r="F209" i="2"/>
  <c r="G209" i="2"/>
  <c r="I209" i="2" s="1"/>
  <c r="K209" i="2" s="1"/>
  <c r="L209" i="2" s="1"/>
  <c r="M209" i="2" s="1"/>
  <c r="F210" i="2"/>
  <c r="G210" i="2"/>
  <c r="I210" i="2" s="1"/>
  <c r="K210" i="2" s="1"/>
  <c r="L210" i="2" s="1"/>
  <c r="M210" i="2" s="1"/>
  <c r="F211" i="2"/>
  <c r="F212" i="2"/>
  <c r="G212" i="2" s="1"/>
  <c r="I212" i="2" s="1"/>
  <c r="K212" i="2" s="1"/>
  <c r="L212" i="2" s="1"/>
  <c r="M212" i="2" s="1"/>
  <c r="F214" i="2"/>
  <c r="G214" i="2" s="1"/>
  <c r="I214" i="2" s="1"/>
  <c r="K214" i="2" s="1"/>
  <c r="L214" i="2" s="1"/>
  <c r="M214" i="2" s="1"/>
  <c r="F215" i="2"/>
  <c r="G215" i="2" s="1"/>
  <c r="I215" i="2" s="1"/>
  <c r="K215" i="2" s="1"/>
  <c r="L215" i="2" s="1"/>
  <c r="M215" i="2" s="1"/>
  <c r="F216" i="2"/>
  <c r="G216" i="2" s="1"/>
  <c r="I216" i="2" s="1"/>
  <c r="K216" i="2" s="1"/>
  <c r="L216" i="2" s="1"/>
  <c r="M216" i="2" s="1"/>
  <c r="F217" i="2"/>
  <c r="G217" i="2" s="1"/>
  <c r="I217" i="2" s="1"/>
  <c r="K217" i="2" s="1"/>
  <c r="L217" i="2" s="1"/>
  <c r="M217" i="2" s="1"/>
  <c r="F218" i="2"/>
  <c r="G218" i="2" s="1"/>
  <c r="I218" i="2" s="1"/>
  <c r="K218" i="2" s="1"/>
  <c r="L218" i="2" s="1"/>
  <c r="M218" i="2" s="1"/>
  <c r="F220" i="2"/>
  <c r="G220" i="2" s="1"/>
  <c r="I220" i="2" s="1"/>
  <c r="K220" i="2" s="1"/>
  <c r="L220" i="2" s="1"/>
  <c r="M220" i="2" s="1"/>
  <c r="F221" i="2"/>
  <c r="G221" i="2" s="1"/>
  <c r="I221" i="2" s="1"/>
  <c r="K221" i="2" s="1"/>
  <c r="L221" i="2" s="1"/>
  <c r="M221" i="2" s="1"/>
  <c r="F222" i="2"/>
  <c r="G222" i="2" s="1"/>
  <c r="I222" i="2" s="1"/>
  <c r="K222" i="2" s="1"/>
  <c r="L222" i="2" s="1"/>
  <c r="M222" i="2" s="1"/>
  <c r="F223" i="2"/>
  <c r="G223" i="2" s="1"/>
  <c r="I223" i="2" s="1"/>
  <c r="K223" i="2" s="1"/>
  <c r="L223" i="2" s="1"/>
  <c r="M223" i="2" s="1"/>
  <c r="F224" i="2"/>
  <c r="G224" i="2" s="1"/>
  <c r="I224" i="2" s="1"/>
  <c r="K224" i="2" s="1"/>
  <c r="L224" i="2" s="1"/>
  <c r="M224" i="2" s="1"/>
  <c r="C226" i="2"/>
  <c r="C227" i="2" s="1"/>
  <c r="J28" i="4" l="1"/>
  <c r="F59" i="4"/>
  <c r="J133" i="4"/>
  <c r="F154" i="4"/>
  <c r="F184" i="4"/>
  <c r="J157" i="4"/>
  <c r="F114" i="4"/>
  <c r="F26" i="4"/>
  <c r="F231" i="4"/>
  <c r="F232" i="4" s="1"/>
  <c r="F127" i="4"/>
  <c r="J89" i="4"/>
  <c r="J10" i="4"/>
  <c r="F87" i="4"/>
  <c r="F224" i="4"/>
  <c r="G31" i="3"/>
  <c r="E28" i="3"/>
  <c r="G227" i="2"/>
  <c r="I66" i="2"/>
  <c r="K66" i="2" s="1"/>
  <c r="L66" i="2" s="1"/>
  <c r="M66" i="2" s="1"/>
  <c r="T6" i="2"/>
  <c r="S27" i="2"/>
  <c r="T15" i="2"/>
  <c r="V24" i="2"/>
  <c r="M39" i="2"/>
  <c r="T7" i="2"/>
  <c r="I7" i="2"/>
  <c r="V22" i="2"/>
  <c r="M25" i="2"/>
  <c r="V19" i="2"/>
  <c r="T24" i="2"/>
  <c r="M34" i="2"/>
  <c r="V23" i="2"/>
  <c r="I9" i="2"/>
  <c r="T11" i="2"/>
  <c r="I6" i="2"/>
  <c r="T4" i="2"/>
  <c r="S30" i="2"/>
  <c r="U31" i="2"/>
  <c r="T12" i="2"/>
  <c r="I24" i="2"/>
  <c r="K24" i="2" s="1"/>
  <c r="L24" i="2" s="1"/>
  <c r="M24" i="2" s="1"/>
  <c r="T18" i="2"/>
  <c r="I20" i="2"/>
  <c r="T16" i="2"/>
  <c r="S5" i="2"/>
  <c r="V13" i="2"/>
  <c r="V25" i="2"/>
  <c r="T27" i="2"/>
  <c r="V28" i="2"/>
  <c r="T30" i="2"/>
  <c r="V31" i="2"/>
  <c r="S26" i="2"/>
  <c r="U27" i="2"/>
  <c r="S29" i="2"/>
  <c r="U30" i="2"/>
  <c r="S32" i="2"/>
  <c r="T26" i="2"/>
  <c r="V27" i="2"/>
  <c r="T29" i="2"/>
  <c r="V30" i="2"/>
  <c r="T32" i="2"/>
  <c r="U26" i="2"/>
  <c r="S28" i="2"/>
  <c r="U29" i="2"/>
  <c r="S31" i="2"/>
  <c r="U32" i="2"/>
  <c r="U22" i="2"/>
  <c r="T25" i="2"/>
  <c r="V26" i="2"/>
  <c r="T28" i="2"/>
  <c r="V29" i="2"/>
  <c r="T31" i="2"/>
  <c r="V32" i="2"/>
  <c r="T21" i="2"/>
  <c r="U15" i="2"/>
  <c r="K17" i="2"/>
  <c r="L17" i="2" s="1"/>
  <c r="U28" i="2"/>
  <c r="I21" i="2"/>
  <c r="T17" i="2"/>
  <c r="T14" i="2"/>
  <c r="I10" i="2"/>
  <c r="S24" i="2"/>
  <c r="T9" i="2"/>
  <c r="S21" i="2"/>
  <c r="U19" i="2"/>
  <c r="S18" i="2"/>
  <c r="S15" i="2"/>
  <c r="U13" i="2"/>
  <c r="S12" i="2"/>
  <c r="U10" i="2"/>
  <c r="S9" i="2"/>
  <c r="S6" i="2"/>
  <c r="S25" i="2"/>
  <c r="U23" i="2"/>
  <c r="T22" i="2"/>
  <c r="V20" i="2"/>
  <c r="T19" i="2"/>
  <c r="T13" i="2"/>
  <c r="T10" i="2"/>
  <c r="V8" i="2"/>
  <c r="V5" i="2"/>
  <c r="T23" i="2"/>
  <c r="S22" i="2"/>
  <c r="U20" i="2"/>
  <c r="S19" i="2"/>
  <c r="S16" i="2"/>
  <c r="S13" i="2"/>
  <c r="S10" i="2"/>
  <c r="U8" i="2"/>
  <c r="S7" i="2"/>
  <c r="U5" i="2"/>
  <c r="U24" i="2"/>
  <c r="S23" i="2"/>
  <c r="V21" i="2"/>
  <c r="T20" i="2"/>
  <c r="V18" i="2"/>
  <c r="V12" i="2"/>
  <c r="V9" i="2"/>
  <c r="T8" i="2"/>
  <c r="V6" i="2"/>
  <c r="T5" i="2"/>
  <c r="S4" i="2"/>
  <c r="U21" i="2"/>
  <c r="S20" i="2"/>
  <c r="U18" i="2"/>
  <c r="S17" i="2"/>
  <c r="S14" i="2"/>
  <c r="U12" i="2"/>
  <c r="S11" i="2"/>
  <c r="U9" i="2"/>
  <c r="S8" i="2"/>
  <c r="U6" i="2"/>
  <c r="J241" i="4" l="1"/>
  <c r="F128" i="4"/>
  <c r="F241" i="4" s="1"/>
  <c r="G33" i="3"/>
  <c r="G35" i="3"/>
  <c r="U7" i="2"/>
  <c r="K7" i="2"/>
  <c r="L7" i="2" s="1"/>
  <c r="K9" i="2"/>
  <c r="L9" i="2" s="1"/>
  <c r="U11" i="2"/>
  <c r="S33" i="2"/>
  <c r="K20" i="2"/>
  <c r="L20" i="2" s="1"/>
  <c r="U16" i="2"/>
  <c r="T33" i="2"/>
  <c r="K21" i="2"/>
  <c r="L21" i="2" s="1"/>
  <c r="U17" i="2"/>
  <c r="K6" i="2"/>
  <c r="L6" i="2" s="1"/>
  <c r="U4" i="2"/>
  <c r="V15" i="2"/>
  <c r="M17" i="2"/>
  <c r="U14" i="2"/>
  <c r="K10" i="2"/>
  <c r="L10" i="2" s="1"/>
  <c r="V17" i="2" l="1"/>
  <c r="M21" i="2"/>
  <c r="M9" i="2"/>
  <c r="V11" i="2"/>
  <c r="U33" i="2"/>
  <c r="V16" i="2"/>
  <c r="M20" i="2"/>
  <c r="M6" i="2"/>
  <c r="V4" i="2"/>
  <c r="M10" i="2"/>
  <c r="V14" i="2"/>
  <c r="M7" i="2"/>
  <c r="V7" i="2"/>
  <c r="V33" i="2" l="1"/>
</calcChain>
</file>

<file path=xl/sharedStrings.xml><?xml version="1.0" encoding="utf-8"?>
<sst xmlns="http://schemas.openxmlformats.org/spreadsheetml/2006/main" count="1458" uniqueCount="573">
  <si>
    <t>Landratsamt Burgenlandkreis</t>
  </si>
  <si>
    <t>Bauamt</t>
  </si>
  <si>
    <t>SG Zentrales Gebäude- und</t>
  </si>
  <si>
    <t>Liegenschaftsmangement</t>
  </si>
  <si>
    <t>Schönburger Straße 41</t>
  </si>
  <si>
    <t>06618 Naumburg</t>
  </si>
  <si>
    <t>Objekt</t>
  </si>
  <si>
    <t>Leistungsgegenstand:</t>
  </si>
  <si>
    <t xml:space="preserve">Reinigung des Hallenboden Turnhalle </t>
  </si>
  <si>
    <t>Reinigungstechnik:</t>
  </si>
  <si>
    <t>Flächenangabe:</t>
  </si>
  <si>
    <t>Bodenart:</t>
  </si>
  <si>
    <t xml:space="preserve">Einsatz von Reinigungsroboter </t>
  </si>
  <si>
    <t xml:space="preserve">Saugen, Wischen, </t>
  </si>
  <si>
    <t>Funktionsanforderung:</t>
  </si>
  <si>
    <t>Reinigungszeit:</t>
  </si>
  <si>
    <t xml:space="preserve"> ab 23:00 Uhr bis  06:00 Uhr</t>
  </si>
  <si>
    <t>Montag bis Freitag/Samstag früh</t>
  </si>
  <si>
    <t>(durch Schulsport und anschließendem</t>
  </si>
  <si>
    <t>Vereinssport bis 22:00 Uhr nicht anders möglich)</t>
  </si>
  <si>
    <t>Bedingungen:</t>
  </si>
  <si>
    <t>Technik wird vom Auftragnehmer gestellt</t>
  </si>
  <si>
    <t>technische Voraussetzungen sind vom</t>
  </si>
  <si>
    <t>Auftragnehmer zu schaffen</t>
  </si>
  <si>
    <t>Bedienung  der Technik durch Auftragnehmer</t>
  </si>
  <si>
    <t>(Programmierung, Befüllung mit Wasser und</t>
  </si>
  <si>
    <t>Reinigungsmittel, Säuberung und Leerung</t>
  </si>
  <si>
    <t>sowie Wartung und Reparatur)</t>
  </si>
  <si>
    <t>Preis pro Monat:</t>
  </si>
  <si>
    <t>netto:</t>
  </si>
  <si>
    <t>Mwst:</t>
  </si>
  <si>
    <t>brutto:</t>
  </si>
  <si>
    <t>€</t>
  </si>
  <si>
    <t>Bearbeitung der Flächen, die nicht mit dem Reinigungsroboter erreicht werden:</t>
  </si>
  <si>
    <t>Anzahl Arbeitskraft:</t>
  </si>
  <si>
    <t>Leistung m²/h</t>
  </si>
  <si>
    <t>Preis/Monat</t>
  </si>
  <si>
    <t>Zusammenfassung:</t>
  </si>
  <si>
    <t>Arbeitskraft Preis/Monat brutto</t>
  </si>
  <si>
    <t>Vor Abgabe eines Nebenangebotes ist der Bieter verpflichtet mit der Objetkbesichtigung zur Gebäudreinigung die örtlichen Gegebenheiten in der Turnhalle  und die technischen Voraussetzungen zum Einsatz des Reinigungsroboters zu prüfen.</t>
  </si>
  <si>
    <t>ALTERNATIV-/NEBENANGEBOT für Postion Turnhalle-Hallenboden</t>
  </si>
  <si>
    <t>(für Einsatz Reinigungsroboter)</t>
  </si>
  <si>
    <t>Arbeitszeit /Monat</t>
  </si>
  <si>
    <t>Stundenverrechnungssatz</t>
  </si>
  <si>
    <t>Einsatz Reinigungsroboter Preis/Monat brutto</t>
  </si>
  <si>
    <t>Gesamtpreis brutto pro Monat für Position Turnhallenreinigung beim Einsatz eines Wischroboters:</t>
  </si>
  <si>
    <t>Datum, Name des Erklärenden</t>
  </si>
  <si>
    <t>Domgymnasium</t>
  </si>
  <si>
    <t>273,70 m²</t>
  </si>
  <si>
    <t>Parkettsportboden</t>
  </si>
  <si>
    <t>(vgl. Reinigungsplan Zeile 208 Sportraum)</t>
  </si>
  <si>
    <t>Thomas-Müntzer-Straße 22/23</t>
  </si>
  <si>
    <t>Gesamtsumme</t>
  </si>
  <si>
    <t>Summe Turnhalle</t>
  </si>
  <si>
    <t>U-Fl</t>
  </si>
  <si>
    <t>Umkleideraum</t>
  </si>
  <si>
    <t>WC-Fl</t>
  </si>
  <si>
    <t>Duschen/WC</t>
  </si>
  <si>
    <t>Behinderten</t>
  </si>
  <si>
    <t>WC Lehrer li.</t>
  </si>
  <si>
    <t>WC Lehrer re.</t>
  </si>
  <si>
    <t>Regier.Dusche</t>
  </si>
  <si>
    <t>B-Fl</t>
  </si>
  <si>
    <t>Regieraum</t>
  </si>
  <si>
    <t>Fl-Fl</t>
  </si>
  <si>
    <t>Flur</t>
  </si>
  <si>
    <t>M</t>
  </si>
  <si>
    <t>Lg-Li</t>
  </si>
  <si>
    <t>Geräter.li</t>
  </si>
  <si>
    <t>Geräter.re</t>
  </si>
  <si>
    <t>Nebenangebot Reinigungs-roboter möglich (siehe Beiblatt)</t>
  </si>
  <si>
    <t>Th-Pk</t>
  </si>
  <si>
    <t>Sportraum</t>
  </si>
  <si>
    <t>Turnhalle</t>
  </si>
  <si>
    <t>Summe Haus 2</t>
  </si>
  <si>
    <t>K-Li</t>
  </si>
  <si>
    <t>Klausurraum</t>
  </si>
  <si>
    <t>DG 03</t>
  </si>
  <si>
    <t>Tr-St</t>
  </si>
  <si>
    <t>Treppenhaus 2</t>
  </si>
  <si>
    <t>DG 02</t>
  </si>
  <si>
    <t>Treppenhaus 1</t>
  </si>
  <si>
    <t>DG 04</t>
  </si>
  <si>
    <t>Dachgeschoss</t>
  </si>
  <si>
    <t>Flur 2</t>
  </si>
  <si>
    <t xml:space="preserve">2.OG13           </t>
  </si>
  <si>
    <t>Flur 1</t>
  </si>
  <si>
    <t>2.OG 12</t>
  </si>
  <si>
    <t>F-Li</t>
  </si>
  <si>
    <t>Kunstraum 2</t>
  </si>
  <si>
    <t>2.OG 11</t>
  </si>
  <si>
    <t>Lm-Li</t>
  </si>
  <si>
    <t>Vorbereitung Kunst</t>
  </si>
  <si>
    <t>2.OG 10</t>
  </si>
  <si>
    <t>Keine Reinigung</t>
  </si>
  <si>
    <t>A-Pk</t>
  </si>
  <si>
    <t>Aula</t>
  </si>
  <si>
    <t>2.OG 9</t>
  </si>
  <si>
    <t>Vorbereitung Physik</t>
  </si>
  <si>
    <t>2.OG 8</t>
  </si>
  <si>
    <t>Physik</t>
  </si>
  <si>
    <t>2.OG 7</t>
  </si>
  <si>
    <t>Klassenraum</t>
  </si>
  <si>
    <t>2.OG 6</t>
  </si>
  <si>
    <t>2.OG 5</t>
  </si>
  <si>
    <t>2.OG 4</t>
  </si>
  <si>
    <t>2.OG 3</t>
  </si>
  <si>
    <t>2.OG 2</t>
  </si>
  <si>
    <t>Kunstraum 1</t>
  </si>
  <si>
    <t>2.OG 1</t>
  </si>
  <si>
    <t>2. Obergeschoss</t>
  </si>
  <si>
    <t>B-Li</t>
  </si>
  <si>
    <t>Lehrerzimmer</t>
  </si>
  <si>
    <t>1.OG 17</t>
  </si>
  <si>
    <t>Flur 4</t>
  </si>
  <si>
    <t>1.OG 16</t>
  </si>
  <si>
    <t>Flur 3</t>
  </si>
  <si>
    <t>1.OG 15</t>
  </si>
  <si>
    <t>1.OG 14</t>
  </si>
  <si>
    <t>1.OG 13</t>
  </si>
  <si>
    <t>Biologie</t>
  </si>
  <si>
    <t>1.OG 12</t>
  </si>
  <si>
    <t>Vorbereitung Biologie</t>
  </si>
  <si>
    <t>1.OG 11</t>
  </si>
  <si>
    <t>1.OG 10</t>
  </si>
  <si>
    <t>1.OG 9</t>
  </si>
  <si>
    <t>Vorbereitung Chemie</t>
  </si>
  <si>
    <t>1.OG 8</t>
  </si>
  <si>
    <t>Chemie</t>
  </si>
  <si>
    <t>1.OG 7</t>
  </si>
  <si>
    <t>1.OG 6</t>
  </si>
  <si>
    <t>1.OG 5</t>
  </si>
  <si>
    <t>1.OG 4</t>
  </si>
  <si>
    <t>1.OG 3</t>
  </si>
  <si>
    <t>Treppenhaus</t>
  </si>
  <si>
    <t>1.OG 2</t>
  </si>
  <si>
    <t>1.OG 1</t>
  </si>
  <si>
    <t>1. Obergeschoss</t>
  </si>
  <si>
    <t>Behinderten WC</t>
  </si>
  <si>
    <t>EG 22</t>
  </si>
  <si>
    <t>WC Mädchen</t>
  </si>
  <si>
    <t>EG 21</t>
  </si>
  <si>
    <t>Vorraum Mädchen</t>
  </si>
  <si>
    <t>EG 20</t>
  </si>
  <si>
    <t>WC Jungen</t>
  </si>
  <si>
    <t>EG 19</t>
  </si>
  <si>
    <t>Vorraum Jungen</t>
  </si>
  <si>
    <t>EG 18</t>
  </si>
  <si>
    <t>Flur 5</t>
  </si>
  <si>
    <t>EG 17</t>
  </si>
  <si>
    <t>EG 16</t>
  </si>
  <si>
    <t>EG 15</t>
  </si>
  <si>
    <t>EG 14</t>
  </si>
  <si>
    <t>EG 13</t>
  </si>
  <si>
    <t>EG 12</t>
  </si>
  <si>
    <t>Treppenhaus 4</t>
  </si>
  <si>
    <t>EG 11</t>
  </si>
  <si>
    <t>EG 10</t>
  </si>
  <si>
    <t>EG 9</t>
  </si>
  <si>
    <t>Treppenhaus 3</t>
  </si>
  <si>
    <t>EG 8</t>
  </si>
  <si>
    <t>EG 7</t>
  </si>
  <si>
    <t>EG 6</t>
  </si>
  <si>
    <t>EG 5</t>
  </si>
  <si>
    <t>EG 4</t>
  </si>
  <si>
    <t>EG 3</t>
  </si>
  <si>
    <t>EG 2</t>
  </si>
  <si>
    <t>Computerraum</t>
  </si>
  <si>
    <t>EG 1</t>
  </si>
  <si>
    <t>Erdgeschoss</t>
  </si>
  <si>
    <t>Lg-Fl</t>
  </si>
  <si>
    <t>Lager</t>
  </si>
  <si>
    <t>KG 20</t>
  </si>
  <si>
    <t>keine GR</t>
  </si>
  <si>
    <t>Lg-Bt</t>
  </si>
  <si>
    <t>Batterieraum</t>
  </si>
  <si>
    <t>KG 17</t>
  </si>
  <si>
    <t>Technik ELT</t>
  </si>
  <si>
    <t>Theater 1</t>
  </si>
  <si>
    <t>KG 16</t>
  </si>
  <si>
    <t>Theater 2</t>
  </si>
  <si>
    <t>KG 15</t>
  </si>
  <si>
    <t>Putzmittelraum</t>
  </si>
  <si>
    <t>KG 14</t>
  </si>
  <si>
    <t>Keramikwerkstatt</t>
  </si>
  <si>
    <t>KG 13</t>
  </si>
  <si>
    <t>Lm-Fl</t>
  </si>
  <si>
    <t>Vorbereitung 2 Keramik</t>
  </si>
  <si>
    <t>KG 12</t>
  </si>
  <si>
    <t>Vorbereitung 1 Keramik</t>
  </si>
  <si>
    <t>KG 11</t>
  </si>
  <si>
    <t>Technik Heizung</t>
  </si>
  <si>
    <t>KG 10</t>
  </si>
  <si>
    <t>KG</t>
  </si>
  <si>
    <t>KG 09</t>
  </si>
  <si>
    <t>Mediathek 2</t>
  </si>
  <si>
    <t>KG 07</t>
  </si>
  <si>
    <t>Mediathek 1</t>
  </si>
  <si>
    <t>KG 06</t>
  </si>
  <si>
    <t>KG 05</t>
  </si>
  <si>
    <t>Abstellraum 1</t>
  </si>
  <si>
    <t>KG 04</t>
  </si>
  <si>
    <t>KG 03</t>
  </si>
  <si>
    <t>KG 02</t>
  </si>
  <si>
    <t xml:space="preserve">Flur </t>
  </si>
  <si>
    <t>KG01</t>
  </si>
  <si>
    <t>Fl-St</t>
  </si>
  <si>
    <t>Fl-Bt</t>
  </si>
  <si>
    <t>Kellergeschoss</t>
  </si>
  <si>
    <t>Haus 2</t>
  </si>
  <si>
    <t>Summe Haus 1</t>
  </si>
  <si>
    <t>FUR Biologie</t>
  </si>
  <si>
    <t>3.08</t>
  </si>
  <si>
    <t>3.09</t>
  </si>
  <si>
    <t>Fl-Li</t>
  </si>
  <si>
    <t>3.13</t>
  </si>
  <si>
    <t>Klassenraum Bio</t>
  </si>
  <si>
    <t>3.11</t>
  </si>
  <si>
    <t>Treppenhaus 10</t>
  </si>
  <si>
    <t>3.12</t>
  </si>
  <si>
    <t>Archiv 1</t>
  </si>
  <si>
    <t>3.01</t>
  </si>
  <si>
    <t>Treppenhaus 9</t>
  </si>
  <si>
    <t>3.04</t>
  </si>
  <si>
    <t>Archiv 2</t>
  </si>
  <si>
    <t>3.02</t>
  </si>
  <si>
    <t>Empore</t>
  </si>
  <si>
    <t>3.03</t>
  </si>
  <si>
    <t>Az-Ed</t>
  </si>
  <si>
    <t>Aufzugstüren</t>
  </si>
  <si>
    <t>2.10a</t>
  </si>
  <si>
    <t>K-Pk</t>
  </si>
  <si>
    <t>2.11</t>
  </si>
  <si>
    <t>2.12</t>
  </si>
  <si>
    <t>Treppenhaus 8</t>
  </si>
  <si>
    <t>2.22</t>
  </si>
  <si>
    <t>Klassenraum 11</t>
  </si>
  <si>
    <t>2.13</t>
  </si>
  <si>
    <t>allgem. Vorbereitung</t>
  </si>
  <si>
    <t>2.14</t>
  </si>
  <si>
    <t>2.19</t>
  </si>
  <si>
    <t>2.18</t>
  </si>
  <si>
    <t>Klassenraum 10</t>
  </si>
  <si>
    <t>2.09</t>
  </si>
  <si>
    <t>Klassenraum 9</t>
  </si>
  <si>
    <t>2.08</t>
  </si>
  <si>
    <t xml:space="preserve">Klassenraum </t>
  </si>
  <si>
    <t>2.07</t>
  </si>
  <si>
    <t>2.06</t>
  </si>
  <si>
    <t>Vorbereitungsraum</t>
  </si>
  <si>
    <t>2.05</t>
  </si>
  <si>
    <t>2.17</t>
  </si>
  <si>
    <t>2.16</t>
  </si>
  <si>
    <t>2.04</t>
  </si>
  <si>
    <t>Bühne</t>
  </si>
  <si>
    <t>2.03</t>
  </si>
  <si>
    <t>Treppenhaus 7</t>
  </si>
  <si>
    <t>2.15</t>
  </si>
  <si>
    <t>WC</t>
  </si>
  <si>
    <t>2.10</t>
  </si>
  <si>
    <t>Treppenhaus 6</t>
  </si>
  <si>
    <t>1.24</t>
  </si>
  <si>
    <t>1.23</t>
  </si>
  <si>
    <t>1.21</t>
  </si>
  <si>
    <t>1.20</t>
  </si>
  <si>
    <t>Vorbereitung Lernwerkstatt</t>
  </si>
  <si>
    <t>1.16</t>
  </si>
  <si>
    <t>Lernwerkstatt Naturwissenschaften</t>
  </si>
  <si>
    <t>1.17</t>
  </si>
  <si>
    <t>1.14</t>
  </si>
  <si>
    <t>allg. Vorbereitung</t>
  </si>
  <si>
    <t xml:space="preserve">1.13 </t>
  </si>
  <si>
    <t>1.12</t>
  </si>
  <si>
    <t>Physik, Fachraum</t>
  </si>
  <si>
    <t>1.11</t>
  </si>
  <si>
    <t>Klassenraum 8</t>
  </si>
  <si>
    <t>1.10</t>
  </si>
  <si>
    <t>Klassenraum 7</t>
  </si>
  <si>
    <t>1.09</t>
  </si>
  <si>
    <t>1.19</t>
  </si>
  <si>
    <t>Halle</t>
  </si>
  <si>
    <t>1.18</t>
  </si>
  <si>
    <t>Tr-Li</t>
  </si>
  <si>
    <t>Treppenhaus 5</t>
  </si>
  <si>
    <t xml:space="preserve">1.17 </t>
  </si>
  <si>
    <t>Klassenraum 6</t>
  </si>
  <si>
    <t>1.08</t>
  </si>
  <si>
    <t>Klassenraum 5</t>
  </si>
  <si>
    <t>1.07</t>
  </si>
  <si>
    <t>Vorbereitung</t>
  </si>
  <si>
    <t>1.06</t>
  </si>
  <si>
    <t>Klassenraum 4</t>
  </si>
  <si>
    <t>1.05</t>
  </si>
  <si>
    <t>Computerkabinett 1</t>
  </si>
  <si>
    <t>1.04</t>
  </si>
  <si>
    <t>Kopierraum/ Serverraum</t>
  </si>
  <si>
    <t>1.03</t>
  </si>
  <si>
    <t>Computerkabinett 2</t>
  </si>
  <si>
    <t>1.02</t>
  </si>
  <si>
    <t>WC Personal</t>
  </si>
  <si>
    <t>1.01</t>
  </si>
  <si>
    <t>Windfang 3</t>
  </si>
  <si>
    <t>0.35</t>
  </si>
  <si>
    <t>0.34</t>
  </si>
  <si>
    <t>Ed - Edelstahl</t>
  </si>
  <si>
    <t>1 x jährlich</t>
  </si>
  <si>
    <t>J</t>
  </si>
  <si>
    <t>0.32</t>
  </si>
  <si>
    <t>Ka - Kautschukbelag</t>
  </si>
  <si>
    <t>1 x vierteljährlich</t>
  </si>
  <si>
    <t>V</t>
  </si>
  <si>
    <t>0.31</t>
  </si>
  <si>
    <t>T- Textilboden (Nadelvlies)</t>
  </si>
  <si>
    <t xml:space="preserve">1 x monatlich </t>
  </si>
  <si>
    <t>0.29</t>
  </si>
  <si>
    <t>PU    - Sporthallenboden</t>
  </si>
  <si>
    <t>14 - tägig</t>
  </si>
  <si>
    <t>Windfang 2</t>
  </si>
  <si>
    <t>0.30</t>
  </si>
  <si>
    <t>H      - Holz</t>
  </si>
  <si>
    <t xml:space="preserve">6 x wöchentlich           </t>
  </si>
  <si>
    <t xml:space="preserve">Treppe </t>
  </si>
  <si>
    <t>0.36</t>
  </si>
  <si>
    <t>Fl      - Fliesen</t>
  </si>
  <si>
    <t xml:space="preserve">5 x wöchentlich                 </t>
  </si>
  <si>
    <t>Bücherausgabe 7</t>
  </si>
  <si>
    <t>0.17</t>
  </si>
  <si>
    <t>Bt      - Betonboden</t>
  </si>
  <si>
    <t xml:space="preserve">4 x wöchentlich       </t>
  </si>
  <si>
    <t>Bücherausgabe 6</t>
  </si>
  <si>
    <t>Pk     - Parkett</t>
  </si>
  <si>
    <t xml:space="preserve">3 x wöchentlich </t>
  </si>
  <si>
    <t>Bücherausgabe 5</t>
  </si>
  <si>
    <t>St      - Stein/Terrazo</t>
  </si>
  <si>
    <t xml:space="preserve">2,5 x wöchentlich       </t>
  </si>
  <si>
    <t>Abstellraum</t>
  </si>
  <si>
    <t>PVC  - PVC</t>
  </si>
  <si>
    <t xml:space="preserve">2 x wöchentlich   </t>
  </si>
  <si>
    <t>0.15</t>
  </si>
  <si>
    <t>Li       - Linolium</t>
  </si>
  <si>
    <t xml:space="preserve">1 x wöchentlich  </t>
  </si>
  <si>
    <t>0.14</t>
  </si>
  <si>
    <t>keine Reinigung</t>
  </si>
  <si>
    <t>0.13</t>
  </si>
  <si>
    <t>Belagsarten:</t>
  </si>
  <si>
    <t xml:space="preserve">Reinigungshäufigkeit :                                                                                                                                                                            </t>
  </si>
  <si>
    <t>Chemie, Fachraum</t>
  </si>
  <si>
    <t>0.12</t>
  </si>
  <si>
    <t>Klassenraum 3</t>
  </si>
  <si>
    <t>0.11</t>
  </si>
  <si>
    <t>Klassenraum 2</t>
  </si>
  <si>
    <t>0.10</t>
  </si>
  <si>
    <t>0.28</t>
  </si>
  <si>
    <t>Klassenraum 1</t>
  </si>
  <si>
    <t>0.09</t>
  </si>
  <si>
    <t>Geographie, Fachraum</t>
  </si>
  <si>
    <t>0.08</t>
  </si>
  <si>
    <t xml:space="preserve">Vorbereitung </t>
  </si>
  <si>
    <t>0.07</t>
  </si>
  <si>
    <t>0.06</t>
  </si>
  <si>
    <t>Windfang 1</t>
  </si>
  <si>
    <t>0.27</t>
  </si>
  <si>
    <t>Eingangshalle</t>
  </si>
  <si>
    <t>0.26</t>
  </si>
  <si>
    <t>Umkleideräume</t>
  </si>
  <si>
    <t>0.25</t>
  </si>
  <si>
    <t>Th-Li</t>
  </si>
  <si>
    <t>Fitnessräume</t>
  </si>
  <si>
    <t>Eingangsbereich</t>
  </si>
  <si>
    <t>0.24</t>
  </si>
  <si>
    <t>B-T</t>
  </si>
  <si>
    <t>Schulleiterzimmer</t>
  </si>
  <si>
    <t>0.05</t>
  </si>
  <si>
    <t>Aula, Empore</t>
  </si>
  <si>
    <t>Schulleiter</t>
  </si>
  <si>
    <t>0.04</t>
  </si>
  <si>
    <t>Sekretariat</t>
  </si>
  <si>
    <t>0.03</t>
  </si>
  <si>
    <t>Fachunterrichtsraum</t>
  </si>
  <si>
    <t>stellv. Schulleiter</t>
  </si>
  <si>
    <t>0.02</t>
  </si>
  <si>
    <t xml:space="preserve">Klassenräume </t>
  </si>
  <si>
    <t>Lehrmittelräume, Vorbereitung</t>
  </si>
  <si>
    <t>Büro, Verwaltung</t>
  </si>
  <si>
    <t>Az-Li</t>
  </si>
  <si>
    <t>Aufzug Boden</t>
  </si>
  <si>
    <t>00.22</t>
  </si>
  <si>
    <t>00.19</t>
  </si>
  <si>
    <t>Aufzüge, Aufzugstüren</t>
  </si>
  <si>
    <t>00.20</t>
  </si>
  <si>
    <t>Flur 7</t>
  </si>
  <si>
    <t>00.30</t>
  </si>
  <si>
    <t>Sanitärräume</t>
  </si>
  <si>
    <t>Tr-Fl</t>
  </si>
  <si>
    <t>00.31</t>
  </si>
  <si>
    <t>Sp-Fl</t>
  </si>
  <si>
    <t>Speiseräume, Kantinen, Teeküchen</t>
  </si>
  <si>
    <t>Flur 6</t>
  </si>
  <si>
    <t>00.29</t>
  </si>
  <si>
    <t>Lager, Nebenräume, Archive</t>
  </si>
  <si>
    <t>00.28</t>
  </si>
  <si>
    <t>Speiseraum</t>
  </si>
  <si>
    <t>00.16</t>
  </si>
  <si>
    <t>00.27</t>
  </si>
  <si>
    <t>Flure</t>
  </si>
  <si>
    <t>Essensausgabe</t>
  </si>
  <si>
    <t>00.15</t>
  </si>
  <si>
    <t>wird gesondert beauftragt</t>
  </si>
  <si>
    <t xml:space="preserve">Spülküche </t>
  </si>
  <si>
    <t>00.11</t>
  </si>
  <si>
    <t>00.26</t>
  </si>
  <si>
    <t>00.24</t>
  </si>
  <si>
    <t>Treppen</t>
  </si>
  <si>
    <t>00.25</t>
  </si>
  <si>
    <t>Keller</t>
  </si>
  <si>
    <t>Haus 1</t>
  </si>
  <si>
    <t>Bemerkung</t>
  </si>
  <si>
    <t>Nettokosten/Monat</t>
  </si>
  <si>
    <t>Arbeitszeit/Monat</t>
  </si>
  <si>
    <t>Reinigungsfläche im Jahr</t>
  </si>
  <si>
    <t>Reinigungsfläche</t>
  </si>
  <si>
    <t>Bezeichnung/Belagsart</t>
  </si>
  <si>
    <t>Bemerkungen</t>
  </si>
  <si>
    <t>Preis je m²</t>
  </si>
  <si>
    <t>Kosten pro Monat</t>
  </si>
  <si>
    <t>Jahrespreis in €</t>
  </si>
  <si>
    <t>Jährliche Ausführungszeiten in Stunden (h)</t>
  </si>
  <si>
    <t>Reinigungsleistung in m²/h gemäß LKZ (siehe Anlage)</t>
  </si>
  <si>
    <t>Jährliche Reinigungsfläche in m²</t>
  </si>
  <si>
    <t>Tage pro Jahr</t>
  </si>
  <si>
    <t>Turnus je Woche</t>
  </si>
  <si>
    <t>Belagsart</t>
  </si>
  <si>
    <t>Fläche in m²</t>
  </si>
  <si>
    <t>Raumart:</t>
  </si>
  <si>
    <t>Raumnr.</t>
  </si>
  <si>
    <t xml:space="preserve">R e i n i g u n g s p l a n </t>
  </si>
  <si>
    <t>Domgymnasium, Thomas-Müntzer-Straße 22/23, 06618 Naumburg</t>
  </si>
  <si>
    <t xml:space="preserve">Reinigungsplan </t>
  </si>
  <si>
    <t>Gesamtkosten brutto im Jahr</t>
  </si>
  <si>
    <t xml:space="preserve">zzgl. MwSt </t>
  </si>
  <si>
    <t>Gesamtkosten netto:</t>
  </si>
  <si>
    <t>Gesamtfläche Grundreinigung</t>
  </si>
  <si>
    <t>in €</t>
  </si>
  <si>
    <t>in €/m²</t>
  </si>
  <si>
    <t>m²</t>
  </si>
  <si>
    <t>GP</t>
  </si>
  <si>
    <t>EP</t>
  </si>
  <si>
    <t xml:space="preserve">Fläche in </t>
  </si>
  <si>
    <t>I. Grundreinigungsfläche - Fußbodenfläche</t>
  </si>
  <si>
    <t>Grundreinigung</t>
  </si>
  <si>
    <t>zur</t>
  </si>
  <si>
    <t xml:space="preserve">Zusammenfassung der Flächenangaben für die </t>
  </si>
  <si>
    <t>Schulverwaltungs- und Bauamt</t>
  </si>
  <si>
    <t>(Einfach-,Thermofenster-1; Verbund- ,Kastenfenster-2; Spiegelfläche-0,5).</t>
  </si>
  <si>
    <t xml:space="preserve">Die Fläche wurde mit einem  Koeffizienten multipliziert </t>
  </si>
  <si>
    <t xml:space="preserve">Im Gesamtpreis ist die doppelte Fläche (innen und außen) enthalten. </t>
  </si>
  <si>
    <t xml:space="preserve">Rahmen inbegriffen. Die Glasfläche wurde 1 seitig ausgerechnet. </t>
  </si>
  <si>
    <t xml:space="preserve">In der ausgerechneten Glasfläche sind die Fensterrahmen sowie die kompletten Türen mit </t>
  </si>
  <si>
    <t>Gesamt Haus 1  und  Haus 2 und TH</t>
  </si>
  <si>
    <t>Summe TH</t>
  </si>
  <si>
    <t>Eingangstür zum Sportraum</t>
  </si>
  <si>
    <t>Eingangstür zur Turnhalle</t>
  </si>
  <si>
    <t>Thermo</t>
  </si>
  <si>
    <t>Tür</t>
  </si>
  <si>
    <t>im Regieraum</t>
  </si>
  <si>
    <t>Einfach</t>
  </si>
  <si>
    <t>Fenster</t>
  </si>
  <si>
    <t>linke Seite (Fensterreihe ist durchgehend)</t>
  </si>
  <si>
    <t>rechte Seite (Fensterreihe ist durchgehend)</t>
  </si>
  <si>
    <t>Thermofenster</t>
  </si>
  <si>
    <t>Mediathek</t>
  </si>
  <si>
    <t>Verbundfenster</t>
  </si>
  <si>
    <t>Dachraum</t>
  </si>
  <si>
    <t>DG 05</t>
  </si>
  <si>
    <t>Summe 2. Obergeschoss</t>
  </si>
  <si>
    <t>Doppelfenster</t>
  </si>
  <si>
    <t>2.OG 13</t>
  </si>
  <si>
    <t>Einfachfenster</t>
  </si>
  <si>
    <t>Mehrzweckraum</t>
  </si>
  <si>
    <t>Rauchschutztüren</t>
  </si>
  <si>
    <t>Fenster zum Dachgeschoss</t>
  </si>
  <si>
    <t>zum Dachgeschoss</t>
  </si>
  <si>
    <t>Summe 1. Obergeschoss</t>
  </si>
  <si>
    <t>Oberlichter</t>
  </si>
  <si>
    <t>Rauschutztür</t>
  </si>
  <si>
    <t>Rauchschutztür</t>
  </si>
  <si>
    <t>Fenster zum 2. OG</t>
  </si>
  <si>
    <t>Summe EG</t>
  </si>
  <si>
    <t>Oberlicht</t>
  </si>
  <si>
    <t>Außentür</t>
  </si>
  <si>
    <t>zu den Toiletten</t>
  </si>
  <si>
    <t>Einfachglas</t>
  </si>
  <si>
    <t>Übergang zum Anbau</t>
  </si>
  <si>
    <t>Außentür zur Poststraße mit Zwischentüren</t>
  </si>
  <si>
    <t>Hofseite</t>
  </si>
  <si>
    <t>Summe Keller</t>
  </si>
  <si>
    <t>Fitnessraum 4</t>
  </si>
  <si>
    <t>Fitnessraum 3</t>
  </si>
  <si>
    <t>KG 19</t>
  </si>
  <si>
    <t>Brandschutztür</t>
  </si>
  <si>
    <t>Eingangstür Hofseite</t>
  </si>
  <si>
    <t>Abstellraum 2</t>
  </si>
  <si>
    <t>KG 08</t>
  </si>
  <si>
    <t>Fitnessraum 2</t>
  </si>
  <si>
    <t>Fitnessraum 1</t>
  </si>
  <si>
    <t>KG 01</t>
  </si>
  <si>
    <t>Summe Dachgeschoss</t>
  </si>
  <si>
    <t>Spiegelfläche</t>
  </si>
  <si>
    <t>2.02</t>
  </si>
  <si>
    <t>2.01</t>
  </si>
  <si>
    <t>Aufzug</t>
  </si>
  <si>
    <t xml:space="preserve">Lernwerkstatt </t>
  </si>
  <si>
    <t>Fachraum Physik</t>
  </si>
  <si>
    <t>Rundfenster</t>
  </si>
  <si>
    <t>mit Oberlichtern</t>
  </si>
  <si>
    <t>Summe Erdgeschoss</t>
  </si>
  <si>
    <t>mit Oberlicht</t>
  </si>
  <si>
    <t>0.22</t>
  </si>
  <si>
    <t>Bücherausgabe 3</t>
  </si>
  <si>
    <t>Bücherausgabe 2</t>
  </si>
  <si>
    <t>Bücherausgabe 1</t>
  </si>
  <si>
    <t>Fachraum Chemie</t>
  </si>
  <si>
    <t>Fachraum Geographie</t>
  </si>
  <si>
    <t>Vorbereitung Franz./ Span.</t>
  </si>
  <si>
    <t>0.01</t>
  </si>
  <si>
    <t>019</t>
  </si>
  <si>
    <t>018</t>
  </si>
  <si>
    <t>017</t>
  </si>
  <si>
    <t>Werkstatt</t>
  </si>
  <si>
    <t>028</t>
  </si>
  <si>
    <t>015</t>
  </si>
  <si>
    <t>Essenausgabe</t>
  </si>
  <si>
    <t>Küche</t>
  </si>
  <si>
    <t>013</t>
  </si>
  <si>
    <t>Spülküche</t>
  </si>
  <si>
    <t>011</t>
  </si>
  <si>
    <t>Technikraum</t>
  </si>
  <si>
    <t>023</t>
  </si>
  <si>
    <t>Putzraum</t>
  </si>
  <si>
    <t>010</t>
  </si>
  <si>
    <t>Technik 2</t>
  </si>
  <si>
    <t>008</t>
  </si>
  <si>
    <t>003</t>
  </si>
  <si>
    <t>Heizraum 2</t>
  </si>
  <si>
    <t>002</t>
  </si>
  <si>
    <t>001</t>
  </si>
  <si>
    <t>Gesamtpreis zweiseitig</t>
  </si>
  <si>
    <t>Einheits-preis pro m²</t>
  </si>
  <si>
    <t>Faktor</t>
  </si>
  <si>
    <t>Anzahl Fenster * m² pro Fenster = Gesamtfläche</t>
  </si>
  <si>
    <t>Fläche in m² pro Fenster</t>
  </si>
  <si>
    <t>Anzahl der Fenster</t>
  </si>
  <si>
    <t>Fensterart                  (Thermo/Verbund/ Einfachglas)</t>
  </si>
  <si>
    <t xml:space="preserve">  in der berechneten Fläche sind die Fensterrahmen mit inbegriffen</t>
  </si>
  <si>
    <t>Reinigung der Glasflächen Domgymnasium Naumburg</t>
  </si>
  <si>
    <t>Bauamt / ZGLM</t>
  </si>
  <si>
    <t>Burgenlandkreis</t>
  </si>
  <si>
    <t xml:space="preserve">Kosten Regiestunde: </t>
  </si>
  <si>
    <t xml:space="preserve">Stundenverrechnungsatz: </t>
  </si>
  <si>
    <t xml:space="preserve">kalkulierter Stundenlohn: </t>
  </si>
  <si>
    <t>durchschnittliche Arbeitsleistung je Arbeistkraft und Stunde:</t>
  </si>
  <si>
    <t>monatlich zu erbringende Arbeitsstunden:</t>
  </si>
  <si>
    <t>Anzahl zum Einsatz kommende Arbeitskräfte:</t>
  </si>
  <si>
    <t>Angebotssumme/ brutto
(incl. 19% MwSt.) 
für 12x monatliche Unterhaltsreinigung und 1x Grundreinigung</t>
  </si>
  <si>
    <t>Angebotssumme/ brutto
für 1 Grundreinigung, 
incl. 19% MwSt.</t>
  </si>
  <si>
    <t>Angebotssumme/ netto
für 1 Grundreinigung</t>
  </si>
  <si>
    <t>€/ monatlich</t>
  </si>
  <si>
    <t>Angebotssumme/ brutto
Unterhaltsreinigung, 
incl. 19% MwSt.</t>
  </si>
  <si>
    <t>Angebotssumme/ netto
Unterhaltsreinigung</t>
  </si>
  <si>
    <t>HAUPTANGEBOT</t>
  </si>
  <si>
    <t>Angebotssumme netto für 1 Glas- und Rahmenreinigung</t>
  </si>
  <si>
    <t>Angebotssumme brutto für 1 Glas- und Rahmenreinigung, 
incl. 19 % MwSt.</t>
  </si>
  <si>
    <t>Los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</si>
</sst>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D_M_-;\-* #,##0.00\ _D_M_-;_-* &quot;-&quot;??\ _D_M_-;_-@_-"/>
    <numFmt numFmtId="165" formatCode="#,##0.0"/>
    <numFmt numFmtId="166" formatCode="#,##0.000"/>
    <numFmt numFmtId="167" formatCode="_-* #,##0.00\ &quot;DM&quot;_-;\-* #,##0.00\ &quot;DM&quot;_-;_-* &quot;-&quot;??\ &quot;DM&quot;_-;_-@_-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sz val="8"/>
      <color theme="0"/>
      <name val="Arial"/>
      <family val="2"/>
    </font>
    <font>
      <b/>
      <i/>
      <u/>
      <sz val="10"/>
      <color rgb="FFFF0000"/>
      <name val="Arial"/>
      <family val="2"/>
    </font>
    <font>
      <sz val="6"/>
      <name val="Arial"/>
      <family val="2"/>
    </font>
    <font>
      <sz val="7"/>
      <name val="Arial"/>
      <family val="2"/>
    </font>
    <font>
      <b/>
      <u/>
      <sz val="12"/>
      <color rgb="FFFF0000"/>
      <name val="Arial"/>
      <family val="2"/>
    </font>
    <font>
      <sz val="9"/>
      <name val="Arial"/>
      <family val="2"/>
    </font>
    <font>
      <sz val="10"/>
      <color theme="0" tint="-0.249977111117893"/>
      <name val="Arial"/>
      <family val="2"/>
    </font>
    <font>
      <sz val="10"/>
      <color theme="0" tint="-0.1499984740745262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Times New Roman"/>
      <family val="1"/>
    </font>
    <font>
      <b/>
      <sz val="13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4" fillId="0" borderId="0"/>
  </cellStyleXfs>
  <cellXfs count="36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2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7" xfId="0" applyFont="1" applyBorder="1"/>
    <xf numFmtId="0" fontId="5" fillId="0" borderId="0" xfId="3"/>
    <xf numFmtId="0" fontId="5" fillId="0" borderId="0" xfId="3" applyProtection="1">
      <protection locked="0"/>
    </xf>
    <xf numFmtId="0" fontId="6" fillId="0" borderId="0" xfId="3" applyFont="1" applyProtection="1">
      <protection locked="0"/>
    </xf>
    <xf numFmtId="0" fontId="6" fillId="0" borderId="0" xfId="3" applyFont="1" applyAlignment="1">
      <alignment horizontal="center"/>
    </xf>
    <xf numFmtId="1" fontId="6" fillId="0" borderId="0" xfId="3" applyNumberFormat="1" applyFont="1" applyAlignment="1">
      <alignment horizontal="center"/>
    </xf>
    <xf numFmtId="0" fontId="6" fillId="0" borderId="0" xfId="3" applyFont="1"/>
    <xf numFmtId="0" fontId="6" fillId="0" borderId="1" xfId="3" applyFont="1" applyBorder="1" applyAlignment="1">
      <alignment horizontal="left"/>
    </xf>
    <xf numFmtId="0" fontId="6" fillId="0" borderId="0" xfId="3" applyFont="1" applyAlignment="1">
      <alignment horizontal="left"/>
    </xf>
    <xf numFmtId="2" fontId="6" fillId="0" borderId="0" xfId="3" applyNumberFormat="1" applyFont="1"/>
    <xf numFmtId="0" fontId="4" fillId="0" borderId="0" xfId="3" applyFont="1"/>
    <xf numFmtId="0" fontId="7" fillId="0" borderId="0" xfId="3" applyFont="1"/>
    <xf numFmtId="0" fontId="6" fillId="0" borderId="8" xfId="3" applyFont="1" applyBorder="1"/>
    <xf numFmtId="0" fontId="5" fillId="0" borderId="9" xfId="3" applyBorder="1"/>
    <xf numFmtId="4" fontId="8" fillId="0" borderId="9" xfId="3" applyNumberFormat="1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1" fontId="6" fillId="0" borderId="9" xfId="3" applyNumberFormat="1" applyFont="1" applyBorder="1" applyAlignment="1">
      <alignment horizontal="center"/>
    </xf>
    <xf numFmtId="4" fontId="8" fillId="0" borderId="9" xfId="3" applyNumberFormat="1" applyFont="1" applyBorder="1"/>
    <xf numFmtId="0" fontId="7" fillId="0" borderId="9" xfId="3" applyFont="1" applyBorder="1"/>
    <xf numFmtId="0" fontId="6" fillId="0" borderId="10" xfId="3" applyFont="1" applyBorder="1" applyAlignment="1">
      <alignment horizontal="left"/>
    </xf>
    <xf numFmtId="0" fontId="6" fillId="0" borderId="11" xfId="3" applyFont="1" applyBorder="1"/>
    <xf numFmtId="49" fontId="5" fillId="0" borderId="1" xfId="3" applyNumberFormat="1" applyBorder="1" applyAlignment="1">
      <alignment horizontal="center"/>
    </xf>
    <xf numFmtId="49" fontId="6" fillId="0" borderId="1" xfId="3" applyNumberFormat="1" applyFont="1" applyBorder="1" applyAlignment="1">
      <alignment horizontal="center"/>
    </xf>
    <xf numFmtId="1" fontId="6" fillId="0" borderId="1" xfId="3" applyNumberFormat="1" applyFont="1" applyBorder="1" applyAlignment="1">
      <alignment horizontal="center"/>
    </xf>
    <xf numFmtId="4" fontId="8" fillId="0" borderId="1" xfId="3" applyNumberFormat="1" applyFont="1" applyBorder="1"/>
    <xf numFmtId="0" fontId="7" fillId="0" borderId="1" xfId="3" applyFont="1" applyBorder="1"/>
    <xf numFmtId="0" fontId="6" fillId="0" borderId="12" xfId="3" applyFont="1" applyBorder="1" applyAlignment="1">
      <alignment horizontal="left"/>
    </xf>
    <xf numFmtId="0" fontId="4" fillId="0" borderId="1" xfId="1" applyBorder="1" applyAlignment="1">
      <alignment horizontal="left"/>
    </xf>
    <xf numFmtId="1" fontId="4" fillId="0" borderId="1" xfId="1" applyNumberFormat="1" applyBorder="1" applyAlignment="1">
      <alignment horizontal="left"/>
    </xf>
    <xf numFmtId="1" fontId="4" fillId="0" borderId="1" xfId="1" applyNumberFormat="1" applyBorder="1" applyAlignment="1">
      <alignment horizontal="center"/>
    </xf>
    <xf numFmtId="2" fontId="6" fillId="0" borderId="1" xfId="3" applyNumberFormat="1" applyFont="1" applyBorder="1"/>
    <xf numFmtId="4" fontId="6" fillId="0" borderId="1" xfId="3" applyNumberFormat="1" applyFont="1" applyBorder="1" applyAlignment="1">
      <alignment horizontal="center"/>
    </xf>
    <xf numFmtId="4" fontId="6" fillId="2" borderId="1" xfId="3" applyNumberFormat="1" applyFont="1" applyFill="1" applyBorder="1" applyAlignment="1" applyProtection="1">
      <alignment horizontal="center"/>
      <protection locked="0"/>
    </xf>
    <xf numFmtId="4" fontId="6" fillId="0" borderId="1" xfId="3" applyNumberFormat="1" applyFont="1" applyBorder="1" applyAlignment="1">
      <alignment horizontal="right"/>
    </xf>
    <xf numFmtId="4" fontId="6" fillId="0" borderId="1" xfId="3" applyNumberFormat="1" applyFont="1" applyBorder="1"/>
    <xf numFmtId="0" fontId="6" fillId="0" borderId="1" xfId="3" applyFont="1" applyBorder="1" applyAlignment="1">
      <alignment horizontal="center"/>
    </xf>
    <xf numFmtId="49" fontId="6" fillId="0" borderId="1" xfId="1" applyNumberFormat="1" applyFont="1" applyBorder="1" applyAlignment="1">
      <alignment horizontal="center"/>
    </xf>
    <xf numFmtId="2" fontId="6" fillId="0" borderId="1" xfId="1" applyNumberFormat="1" applyFont="1" applyBorder="1"/>
    <xf numFmtId="0" fontId="4" fillId="0" borderId="1" xfId="1" applyBorder="1"/>
    <xf numFmtId="1" fontId="6" fillId="0" borderId="1" xfId="1" applyNumberFormat="1" applyFont="1" applyBorder="1" applyAlignment="1">
      <alignment horizontal="center"/>
    </xf>
    <xf numFmtId="2" fontId="5" fillId="0" borderId="0" xfId="3" applyNumberFormat="1"/>
    <xf numFmtId="0" fontId="9" fillId="3" borderId="13" xfId="1" applyFont="1" applyFill="1" applyBorder="1" applyAlignment="1">
      <alignment wrapText="1"/>
    </xf>
    <xf numFmtId="0" fontId="4" fillId="3" borderId="1" xfId="1" applyFill="1" applyBorder="1"/>
    <xf numFmtId="0" fontId="6" fillId="4" borderId="11" xfId="3" applyFont="1" applyFill="1" applyBorder="1"/>
    <xf numFmtId="49" fontId="5" fillId="4" borderId="1" xfId="3" applyNumberFormat="1" applyFill="1" applyBorder="1" applyAlignment="1">
      <alignment horizontal="center"/>
    </xf>
    <xf numFmtId="49" fontId="6" fillId="4" borderId="1" xfId="3" applyNumberFormat="1" applyFont="1" applyFill="1" applyBorder="1" applyAlignment="1">
      <alignment horizontal="center"/>
    </xf>
    <xf numFmtId="1" fontId="6" fillId="4" borderId="1" xfId="3" applyNumberFormat="1" applyFont="1" applyFill="1" applyBorder="1" applyAlignment="1">
      <alignment horizontal="center"/>
    </xf>
    <xf numFmtId="2" fontId="10" fillId="4" borderId="1" xfId="3" applyNumberFormat="1" applyFont="1" applyFill="1" applyBorder="1" applyAlignment="1">
      <alignment horizontal="center"/>
    </xf>
    <xf numFmtId="2" fontId="6" fillId="4" borderId="1" xfId="3" applyNumberFormat="1" applyFont="1" applyFill="1" applyBorder="1"/>
    <xf numFmtId="0" fontId="11" fillId="4" borderId="1" xfId="3" applyFont="1" applyFill="1" applyBorder="1"/>
    <xf numFmtId="0" fontId="6" fillId="4" borderId="12" xfId="3" applyFont="1" applyFill="1" applyBorder="1" applyAlignment="1">
      <alignment horizontal="left"/>
    </xf>
    <xf numFmtId="0" fontId="4" fillId="0" borderId="1" xfId="3" applyFont="1" applyBorder="1"/>
    <xf numFmtId="0" fontId="12" fillId="0" borderId="12" xfId="3" applyFont="1" applyBorder="1" applyAlignment="1">
      <alignment horizontal="left"/>
    </xf>
    <xf numFmtId="0" fontId="13" fillId="0" borderId="11" xfId="3" applyFont="1" applyBorder="1"/>
    <xf numFmtId="4" fontId="13" fillId="0" borderId="1" xfId="3" applyNumberFormat="1" applyFont="1" applyBorder="1"/>
    <xf numFmtId="0" fontId="6" fillId="0" borderId="1" xfId="3" applyFont="1" applyBorder="1"/>
    <xf numFmtId="49" fontId="6" fillId="0" borderId="12" xfId="3" applyNumberFormat="1" applyFont="1" applyBorder="1" applyAlignment="1">
      <alignment horizontal="left"/>
    </xf>
    <xf numFmtId="0" fontId="15" fillId="0" borderId="1" xfId="3" applyFont="1" applyBorder="1"/>
    <xf numFmtId="0" fontId="13" fillId="0" borderId="1" xfId="3" applyFont="1" applyBorder="1"/>
    <xf numFmtId="0" fontId="4" fillId="0" borderId="1" xfId="3" applyFont="1" applyBorder="1" applyAlignment="1">
      <alignment horizontal="left"/>
    </xf>
    <xf numFmtId="0" fontId="5" fillId="0" borderId="11" xfId="3" applyBorder="1"/>
    <xf numFmtId="0" fontId="16" fillId="0" borderId="0" xfId="3" applyFont="1"/>
    <xf numFmtId="0" fontId="5" fillId="0" borderId="0" xfId="3" applyAlignment="1">
      <alignment horizontal="center"/>
    </xf>
    <xf numFmtId="0" fontId="17" fillId="0" borderId="0" xfId="3" applyFont="1"/>
    <xf numFmtId="0" fontId="7" fillId="0" borderId="14" xfId="3" applyFont="1" applyBorder="1"/>
    <xf numFmtId="4" fontId="7" fillId="0" borderId="4" xfId="3" applyNumberFormat="1" applyFont="1" applyBorder="1"/>
    <xf numFmtId="0" fontId="5" fillId="0" borderId="4" xfId="3" applyBorder="1"/>
    <xf numFmtId="0" fontId="5" fillId="0" borderId="15" xfId="3" applyBorder="1"/>
    <xf numFmtId="0" fontId="5" fillId="0" borderId="16" xfId="3" applyBorder="1"/>
    <xf numFmtId="4" fontId="4" fillId="0" borderId="1" xfId="3" applyNumberFormat="1" applyFont="1" applyBorder="1"/>
    <xf numFmtId="4" fontId="5" fillId="0" borderId="1" xfId="3" applyNumberFormat="1" applyBorder="1"/>
    <xf numFmtId="0" fontId="6" fillId="0" borderId="17" xfId="3" applyFont="1" applyBorder="1"/>
    <xf numFmtId="0" fontId="5" fillId="0" borderId="18" xfId="3" applyBorder="1"/>
    <xf numFmtId="0" fontId="5" fillId="0" borderId="19" xfId="3" applyBorder="1"/>
    <xf numFmtId="0" fontId="5" fillId="0" borderId="20" xfId="3" applyBorder="1"/>
    <xf numFmtId="0" fontId="4" fillId="0" borderId="21" xfId="3" applyFont="1" applyBorder="1"/>
    <xf numFmtId="0" fontId="5" fillId="0" borderId="22" xfId="3" applyBorder="1"/>
    <xf numFmtId="0" fontId="4" fillId="0" borderId="1" xfId="3" applyFont="1" applyBorder="1" applyAlignment="1">
      <alignment wrapText="1"/>
    </xf>
    <xf numFmtId="2" fontId="6" fillId="0" borderId="1" xfId="3" applyNumberFormat="1" applyFont="1" applyBorder="1" applyAlignment="1">
      <alignment vertical="top" wrapText="1"/>
    </xf>
    <xf numFmtId="0" fontId="5" fillId="0" borderId="1" xfId="3" applyBorder="1"/>
    <xf numFmtId="4" fontId="4" fillId="0" borderId="18" xfId="3" applyNumberFormat="1" applyFont="1" applyBorder="1"/>
    <xf numFmtId="4" fontId="5" fillId="0" borderId="18" xfId="3" applyNumberFormat="1" applyBorder="1"/>
    <xf numFmtId="0" fontId="5" fillId="0" borderId="25" xfId="3" applyBorder="1"/>
    <xf numFmtId="0" fontId="5" fillId="0" borderId="26" xfId="3" applyBorder="1" applyAlignment="1">
      <alignment textRotation="90"/>
    </xf>
    <xf numFmtId="0" fontId="5" fillId="0" borderId="26" xfId="3" applyBorder="1" applyAlignment="1">
      <alignment textRotation="90" wrapText="1"/>
    </xf>
    <xf numFmtId="0" fontId="5" fillId="0" borderId="26" xfId="3" applyBorder="1"/>
    <xf numFmtId="0" fontId="5" fillId="0" borderId="27" xfId="3" applyBorder="1"/>
    <xf numFmtId="0" fontId="5" fillId="0" borderId="28" xfId="3" applyBorder="1" applyAlignment="1">
      <alignment textRotation="90"/>
    </xf>
    <xf numFmtId="0" fontId="6" fillId="0" borderId="29" xfId="3" applyFont="1" applyBorder="1"/>
    <xf numFmtId="4" fontId="6" fillId="0" borderId="30" xfId="3" applyNumberFormat="1" applyFont="1" applyBorder="1" applyAlignment="1">
      <alignment textRotation="90" wrapText="1"/>
    </xf>
    <xf numFmtId="4" fontId="6" fillId="0" borderId="30" xfId="3" applyNumberFormat="1" applyFont="1" applyBorder="1" applyAlignment="1">
      <alignment horizontal="right" textRotation="90" wrapText="1"/>
    </xf>
    <xf numFmtId="4" fontId="6" fillId="2" borderId="30" xfId="3" applyNumberFormat="1" applyFont="1" applyFill="1" applyBorder="1" applyAlignment="1">
      <alignment horizontal="center" textRotation="90" wrapText="1"/>
    </xf>
    <xf numFmtId="49" fontId="6" fillId="0" borderId="30" xfId="3" applyNumberFormat="1" applyFont="1" applyBorder="1" applyAlignment="1">
      <alignment horizontal="right" textRotation="90" wrapText="1"/>
    </xf>
    <xf numFmtId="0" fontId="6" fillId="0" borderId="30" xfId="3" applyFont="1" applyBorder="1" applyAlignment="1">
      <alignment horizontal="center" textRotation="90"/>
    </xf>
    <xf numFmtId="1" fontId="6" fillId="0" borderId="30" xfId="3" applyNumberFormat="1" applyFont="1" applyBorder="1" applyAlignment="1">
      <alignment horizontal="center" textRotation="90"/>
    </xf>
    <xf numFmtId="1" fontId="6" fillId="0" borderId="30" xfId="3" applyNumberFormat="1" applyFont="1" applyBorder="1" applyAlignment="1">
      <alignment horizontal="center"/>
    </xf>
    <xf numFmtId="0" fontId="5" fillId="0" borderId="30" xfId="3" applyBorder="1"/>
    <xf numFmtId="0" fontId="6" fillId="0" borderId="31" xfId="3" applyFont="1" applyBorder="1" applyAlignment="1">
      <alignment horizontal="left" textRotation="90"/>
    </xf>
    <xf numFmtId="0" fontId="8" fillId="0" borderId="0" xfId="3" applyFont="1" applyAlignment="1">
      <alignment horizontal="center"/>
    </xf>
    <xf numFmtId="1" fontId="8" fillId="0" borderId="0" xfId="3" applyNumberFormat="1" applyFont="1" applyAlignment="1">
      <alignment horizontal="center"/>
    </xf>
    <xf numFmtId="4" fontId="18" fillId="0" borderId="32" xfId="3" applyNumberFormat="1" applyFont="1" applyBorder="1"/>
    <xf numFmtId="0" fontId="4" fillId="0" borderId="14" xfId="3" applyFont="1" applyBorder="1" applyAlignment="1">
      <alignment horizontal="right"/>
    </xf>
    <xf numFmtId="0" fontId="6" fillId="0" borderId="4" xfId="3" applyFont="1" applyBorder="1"/>
    <xf numFmtId="0" fontId="18" fillId="0" borderId="4" xfId="3" applyFont="1" applyBorder="1"/>
    <xf numFmtId="0" fontId="18" fillId="0" borderId="33" xfId="3" applyFont="1" applyBorder="1"/>
    <xf numFmtId="4" fontId="5" fillId="0" borderId="34" xfId="3" applyNumberFormat="1" applyBorder="1"/>
    <xf numFmtId="0" fontId="18" fillId="0" borderId="0" xfId="3" applyFont="1"/>
    <xf numFmtId="0" fontId="18" fillId="0" borderId="35" xfId="3" applyFont="1" applyBorder="1"/>
    <xf numFmtId="9" fontId="5" fillId="0" borderId="20" xfId="3" applyNumberFormat="1" applyBorder="1"/>
    <xf numFmtId="0" fontId="5" fillId="0" borderId="34" xfId="3" applyBorder="1"/>
    <xf numFmtId="0" fontId="18" fillId="0" borderId="36" xfId="3" applyFont="1" applyBorder="1"/>
    <xf numFmtId="0" fontId="18" fillId="0" borderId="37" xfId="3" applyFont="1" applyBorder="1"/>
    <xf numFmtId="2" fontId="18" fillId="0" borderId="38" xfId="3" applyNumberFormat="1" applyFont="1" applyBorder="1"/>
    <xf numFmtId="0" fontId="18" fillId="0" borderId="38" xfId="3" applyFont="1" applyBorder="1"/>
    <xf numFmtId="0" fontId="18" fillId="0" borderId="39" xfId="3" applyFont="1" applyBorder="1"/>
    <xf numFmtId="0" fontId="18" fillId="0" borderId="40" xfId="3" applyFont="1" applyBorder="1"/>
    <xf numFmtId="0" fontId="18" fillId="0" borderId="41" xfId="3" applyFont="1" applyBorder="1"/>
    <xf numFmtId="2" fontId="18" fillId="0" borderId="41" xfId="3" applyNumberFormat="1" applyFont="1" applyBorder="1"/>
    <xf numFmtId="0" fontId="18" fillId="0" borderId="42" xfId="3" applyFont="1" applyBorder="1"/>
    <xf numFmtId="4" fontId="18" fillId="0" borderId="43" xfId="3" applyNumberFormat="1" applyFont="1" applyBorder="1"/>
    <xf numFmtId="0" fontId="18" fillId="0" borderId="21" xfId="3" applyFont="1" applyBorder="1"/>
    <xf numFmtId="4" fontId="19" fillId="0" borderId="21" xfId="4" applyNumberFormat="1" applyFont="1" applyBorder="1"/>
    <xf numFmtId="164" fontId="19" fillId="0" borderId="3" xfId="4" applyFont="1" applyBorder="1"/>
    <xf numFmtId="164" fontId="19" fillId="0" borderId="0" xfId="4" applyFont="1" applyBorder="1"/>
    <xf numFmtId="164" fontId="19" fillId="0" borderId="35" xfId="4" applyFont="1" applyBorder="1" applyAlignment="1">
      <alignment horizontal="left"/>
    </xf>
    <xf numFmtId="0" fontId="18" fillId="0" borderId="43" xfId="3" applyFont="1" applyBorder="1"/>
    <xf numFmtId="2" fontId="18" fillId="0" borderId="21" xfId="3" applyNumberFormat="1" applyFont="1" applyBorder="1"/>
    <xf numFmtId="0" fontId="18" fillId="0" borderId="3" xfId="3" applyFont="1" applyBorder="1"/>
    <xf numFmtId="4" fontId="18" fillId="0" borderId="23" xfId="3" applyNumberFormat="1" applyFont="1" applyBorder="1"/>
    <xf numFmtId="4" fontId="18" fillId="2" borderId="18" xfId="3" applyNumberFormat="1" applyFont="1" applyFill="1" applyBorder="1" applyProtection="1">
      <protection locked="0"/>
    </xf>
    <xf numFmtId="2" fontId="18" fillId="0" borderId="1" xfId="3" applyNumberFormat="1" applyFont="1" applyBorder="1" applyProtection="1">
      <protection locked="0"/>
    </xf>
    <xf numFmtId="2" fontId="18" fillId="0" borderId="17" xfId="3" applyNumberFormat="1" applyFont="1" applyBorder="1" applyProtection="1">
      <protection locked="0"/>
    </xf>
    <xf numFmtId="2" fontId="18" fillId="0" borderId="44" xfId="3" applyNumberFormat="1" applyFont="1" applyBorder="1" applyProtection="1">
      <protection locked="0"/>
    </xf>
    <xf numFmtId="2" fontId="18" fillId="0" borderId="1" xfId="4" applyNumberFormat="1" applyFont="1" applyBorder="1" applyProtection="1">
      <protection locked="0"/>
    </xf>
    <xf numFmtId="2" fontId="18" fillId="0" borderId="0" xfId="3" applyNumberFormat="1" applyFont="1" applyProtection="1">
      <protection locked="0"/>
    </xf>
    <xf numFmtId="2" fontId="18" fillId="0" borderId="35" xfId="3" applyNumberFormat="1" applyFont="1" applyBorder="1" applyProtection="1">
      <protection locked="0"/>
    </xf>
    <xf numFmtId="2" fontId="19" fillId="0" borderId="35" xfId="3" applyNumberFormat="1" applyFont="1" applyBorder="1" applyProtection="1">
      <protection locked="0"/>
    </xf>
    <xf numFmtId="4" fontId="18" fillId="2" borderId="1" xfId="3" applyNumberFormat="1" applyFont="1" applyFill="1" applyBorder="1" applyProtection="1">
      <protection locked="0"/>
    </xf>
    <xf numFmtId="2" fontId="18" fillId="0" borderId="3" xfId="3" applyNumberFormat="1" applyFont="1" applyBorder="1" applyProtection="1">
      <protection locked="0"/>
    </xf>
    <xf numFmtId="0" fontId="18" fillId="2" borderId="1" xfId="3" applyFont="1" applyFill="1" applyBorder="1" applyProtection="1">
      <protection locked="0"/>
    </xf>
    <xf numFmtId="2" fontId="18" fillId="0" borderId="45" xfId="3" applyNumberFormat="1" applyFont="1" applyBorder="1" applyProtection="1">
      <protection locked="0"/>
    </xf>
    <xf numFmtId="2" fontId="18" fillId="0" borderId="46" xfId="3" applyNumberFormat="1" applyFont="1" applyBorder="1" applyProtection="1">
      <protection locked="0"/>
    </xf>
    <xf numFmtId="2" fontId="19" fillId="0" borderId="47" xfId="3" applyNumberFormat="1" applyFont="1" applyBorder="1" applyProtection="1">
      <protection locked="0"/>
    </xf>
    <xf numFmtId="0" fontId="18" fillId="0" borderId="23" xfId="3" applyFont="1" applyBorder="1"/>
    <xf numFmtId="0" fontId="18" fillId="2" borderId="18" xfId="3" applyFont="1" applyFill="1" applyBorder="1"/>
    <xf numFmtId="2" fontId="18" fillId="0" borderId="18" xfId="3" applyNumberFormat="1" applyFont="1" applyBorder="1"/>
    <xf numFmtId="0" fontId="18" fillId="0" borderId="48" xfId="3" applyFont="1" applyBorder="1"/>
    <xf numFmtId="0" fontId="18" fillId="0" borderId="17" xfId="3" applyFont="1" applyBorder="1"/>
    <xf numFmtId="0" fontId="18" fillId="0" borderId="44" xfId="3" applyFont="1" applyBorder="1"/>
    <xf numFmtId="0" fontId="18" fillId="2" borderId="21" xfId="3" applyFont="1" applyFill="1" applyBorder="1"/>
    <xf numFmtId="0" fontId="18" fillId="0" borderId="49" xfId="3" applyFont="1" applyBorder="1"/>
    <xf numFmtId="0" fontId="18" fillId="2" borderId="50" xfId="3" applyFont="1" applyFill="1" applyBorder="1"/>
    <xf numFmtId="2" fontId="18" fillId="0" borderId="50" xfId="3" applyNumberFormat="1" applyFont="1" applyBorder="1"/>
    <xf numFmtId="0" fontId="18" fillId="0" borderId="51" xfId="3" applyFont="1" applyBorder="1"/>
    <xf numFmtId="0" fontId="20" fillId="0" borderId="39" xfId="3" applyFont="1" applyBorder="1"/>
    <xf numFmtId="2" fontId="18" fillId="0" borderId="0" xfId="3" applyNumberFormat="1" applyFont="1"/>
    <xf numFmtId="0" fontId="21" fillId="0" borderId="0" xfId="3" applyFont="1"/>
    <xf numFmtId="0" fontId="19" fillId="0" borderId="0" xfId="3" applyFont="1"/>
    <xf numFmtId="165" fontId="5" fillId="0" borderId="0" xfId="3" applyNumberFormat="1" applyAlignment="1">
      <alignment wrapText="1"/>
    </xf>
    <xf numFmtId="4" fontId="5" fillId="0" borderId="0" xfId="3" applyNumberFormat="1" applyAlignment="1">
      <alignment wrapText="1"/>
    </xf>
    <xf numFmtId="0" fontId="5" fillId="0" borderId="0" xfId="3" applyAlignment="1">
      <alignment horizontal="left"/>
    </xf>
    <xf numFmtId="166" fontId="5" fillId="0" borderId="0" xfId="3" applyNumberFormat="1" applyAlignment="1">
      <alignment horizontal="left"/>
    </xf>
    <xf numFmtId="4" fontId="20" fillId="0" borderId="25" xfId="1" applyNumberFormat="1" applyFont="1" applyBorder="1"/>
    <xf numFmtId="0" fontId="13" fillId="0" borderId="26" xfId="1" applyFont="1" applyBorder="1"/>
    <xf numFmtId="165" fontId="6" fillId="0" borderId="26" xfId="1" applyNumberFormat="1" applyFont="1" applyBorder="1" applyAlignment="1">
      <alignment horizontal="center" wrapText="1"/>
    </xf>
    <xf numFmtId="4" fontId="20" fillId="0" borderId="26" xfId="1" applyNumberFormat="1" applyFont="1" applyBorder="1" applyAlignment="1">
      <alignment horizontal="center" wrapText="1"/>
    </xf>
    <xf numFmtId="4" fontId="4" fillId="0" borderId="26" xfId="1" applyNumberFormat="1" applyBorder="1" applyAlignment="1">
      <alignment horizontal="left"/>
    </xf>
    <xf numFmtId="0" fontId="4" fillId="0" borderId="26" xfId="1" applyBorder="1" applyAlignment="1">
      <alignment horizontal="center"/>
    </xf>
    <xf numFmtId="4" fontId="6" fillId="0" borderId="8" xfId="1" applyNumberFormat="1" applyFont="1" applyBorder="1"/>
    <xf numFmtId="0" fontId="13" fillId="0" borderId="9" xfId="1" applyFont="1" applyBorder="1"/>
    <xf numFmtId="165" fontId="6" fillId="0" borderId="9" xfId="1" applyNumberFormat="1" applyFont="1" applyBorder="1" applyAlignment="1">
      <alignment horizontal="center" wrapText="1"/>
    </xf>
    <xf numFmtId="4" fontId="8" fillId="0" borderId="9" xfId="1" applyNumberFormat="1" applyFont="1" applyBorder="1" applyAlignment="1">
      <alignment horizontal="center"/>
    </xf>
    <xf numFmtId="4" fontId="4" fillId="0" borderId="9" xfId="1" applyNumberFormat="1" applyBorder="1" applyAlignment="1">
      <alignment horizontal="left"/>
    </xf>
    <xf numFmtId="0" fontId="4" fillId="0" borderId="9" xfId="1" applyBorder="1" applyAlignment="1">
      <alignment horizontal="center"/>
    </xf>
    <xf numFmtId="0" fontId="4" fillId="0" borderId="9" xfId="1" applyBorder="1"/>
    <xf numFmtId="4" fontId="6" fillId="0" borderId="24" xfId="1" applyNumberFormat="1" applyFont="1" applyBorder="1"/>
    <xf numFmtId="4" fontId="6" fillId="2" borderId="56" xfId="1" applyNumberFormat="1" applyFont="1" applyFill="1" applyBorder="1" applyProtection="1">
      <protection locked="0"/>
    </xf>
    <xf numFmtId="0" fontId="13" fillId="0" borderId="56" xfId="1" applyFont="1" applyBorder="1"/>
    <xf numFmtId="165" fontId="6" fillId="0" borderId="56" xfId="1" applyNumberFormat="1" applyFont="1" applyBorder="1" applyAlignment="1">
      <alignment horizontal="center" wrapText="1"/>
    </xf>
    <xf numFmtId="4" fontId="6" fillId="0" borderId="56" xfId="1" applyNumberFormat="1" applyFont="1" applyBorder="1" applyAlignment="1">
      <alignment horizontal="center" wrapText="1"/>
    </xf>
    <xf numFmtId="4" fontId="4" fillId="0" borderId="56" xfId="1" applyNumberFormat="1" applyBorder="1" applyAlignment="1">
      <alignment horizontal="left"/>
    </xf>
    <xf numFmtId="0" fontId="4" fillId="0" borderId="56" xfId="1" applyBorder="1" applyAlignment="1">
      <alignment horizontal="center"/>
    </xf>
    <xf numFmtId="0" fontId="4" fillId="0" borderId="56" xfId="1" applyBorder="1"/>
    <xf numFmtId="0" fontId="5" fillId="0" borderId="57" xfId="3" applyBorder="1"/>
    <xf numFmtId="4" fontId="6" fillId="0" borderId="11" xfId="1" applyNumberFormat="1" applyFont="1" applyBorder="1"/>
    <xf numFmtId="4" fontId="6" fillId="2" borderId="1" xfId="1" applyNumberFormat="1" applyFont="1" applyFill="1" applyBorder="1" applyProtection="1">
      <protection locked="0"/>
    </xf>
    <xf numFmtId="0" fontId="6" fillId="0" borderId="1" xfId="1" applyFont="1" applyBorder="1"/>
    <xf numFmtId="4" fontId="6" fillId="0" borderId="1" xfId="1" applyNumberFormat="1" applyFont="1" applyBorder="1" applyAlignment="1">
      <alignment horizontal="center" wrapText="1"/>
    </xf>
    <xf numFmtId="4" fontId="6" fillId="0" borderId="1" xfId="1" applyNumberFormat="1" applyFont="1" applyBorder="1" applyAlignment="1">
      <alignment horizontal="center"/>
    </xf>
    <xf numFmtId="4" fontId="4" fillId="0" borderId="1" xfId="1" applyNumberFormat="1" applyBorder="1" applyAlignment="1">
      <alignment horizontal="left"/>
    </xf>
    <xf numFmtId="0" fontId="4" fillId="0" borderId="1" xfId="1" applyBorder="1" applyAlignment="1">
      <alignment horizontal="center"/>
    </xf>
    <xf numFmtId="0" fontId="5" fillId="0" borderId="12" xfId="3" applyBorder="1"/>
    <xf numFmtId="0" fontId="13" fillId="0" borderId="1" xfId="1" applyFont="1" applyBorder="1" applyAlignment="1">
      <alignment horizontal="left" wrapText="1"/>
    </xf>
    <xf numFmtId="4" fontId="6" fillId="0" borderId="23" xfId="1" applyNumberFormat="1" applyFont="1" applyBorder="1"/>
    <xf numFmtId="4" fontId="6" fillId="2" borderId="18" xfId="1" applyNumberFormat="1" applyFont="1" applyFill="1" applyBorder="1" applyProtection="1">
      <protection locked="0"/>
    </xf>
    <xf numFmtId="0" fontId="4" fillId="0" borderId="18" xfId="1" applyBorder="1"/>
    <xf numFmtId="165" fontId="6" fillId="0" borderId="18" xfId="1" applyNumberFormat="1" applyFont="1" applyBorder="1" applyAlignment="1">
      <alignment horizontal="center" wrapText="1"/>
    </xf>
    <xf numFmtId="4" fontId="6" fillId="0" borderId="18" xfId="1" applyNumberFormat="1" applyFont="1" applyBorder="1" applyAlignment="1">
      <alignment horizontal="center" wrapText="1"/>
    </xf>
    <xf numFmtId="165" fontId="6" fillId="0" borderId="18" xfId="1" applyNumberFormat="1" applyFont="1" applyBorder="1" applyAlignment="1">
      <alignment horizontal="left"/>
    </xf>
    <xf numFmtId="0" fontId="4" fillId="0" borderId="18" xfId="1" applyBorder="1" applyAlignment="1">
      <alignment horizontal="center"/>
    </xf>
    <xf numFmtId="0" fontId="11" fillId="0" borderId="48" xfId="3" applyFont="1" applyBorder="1"/>
    <xf numFmtId="0" fontId="15" fillId="0" borderId="19" xfId="3" applyFont="1" applyBorder="1" applyAlignment="1">
      <alignment horizontal="left"/>
    </xf>
    <xf numFmtId="4" fontId="6" fillId="0" borderId="25" xfId="1" applyNumberFormat="1" applyFont="1" applyBorder="1"/>
    <xf numFmtId="4" fontId="6" fillId="2" borderId="26" xfId="1" applyNumberFormat="1" applyFont="1" applyFill="1" applyBorder="1" applyProtection="1">
      <protection locked="0"/>
    </xf>
    <xf numFmtId="0" fontId="6" fillId="0" borderId="26" xfId="3" applyFont="1" applyBorder="1" applyProtection="1">
      <protection locked="0"/>
    </xf>
    <xf numFmtId="165" fontId="5" fillId="0" borderId="26" xfId="3" applyNumberFormat="1" applyBorder="1" applyAlignment="1">
      <alignment wrapText="1"/>
    </xf>
    <xf numFmtId="4" fontId="8" fillId="0" borderId="26" xfId="3" applyNumberFormat="1" applyFont="1" applyBorder="1" applyAlignment="1">
      <alignment horizontal="center" wrapText="1"/>
    </xf>
    <xf numFmtId="4" fontId="5" fillId="0" borderId="26" xfId="3" applyNumberFormat="1" applyBorder="1" applyAlignment="1">
      <alignment horizontal="left"/>
    </xf>
    <xf numFmtId="4" fontId="6" fillId="0" borderId="26" xfId="3" applyNumberFormat="1" applyFont="1" applyBorder="1" applyAlignment="1" applyProtection="1">
      <alignment horizontal="center"/>
      <protection locked="0"/>
    </xf>
    <xf numFmtId="0" fontId="6" fillId="0" borderId="26" xfId="3" applyFont="1" applyBorder="1" applyAlignment="1" applyProtection="1">
      <alignment horizontal="center"/>
      <protection locked="0"/>
    </xf>
    <xf numFmtId="4" fontId="6" fillId="2" borderId="9" xfId="1" applyNumberFormat="1" applyFont="1" applyFill="1" applyBorder="1" applyProtection="1">
      <protection locked="0"/>
    </xf>
    <xf numFmtId="4" fontId="6" fillId="0" borderId="9" xfId="1" applyNumberFormat="1" applyFont="1" applyBorder="1" applyAlignment="1">
      <alignment horizontal="center" wrapText="1"/>
    </xf>
    <xf numFmtId="165" fontId="6" fillId="0" borderId="9" xfId="1" applyNumberFormat="1" applyFont="1" applyBorder="1" applyAlignment="1">
      <alignment horizontal="left"/>
    </xf>
    <xf numFmtId="0" fontId="6" fillId="0" borderId="56" xfId="3" applyFont="1" applyBorder="1" applyProtection="1">
      <protection locked="0"/>
    </xf>
    <xf numFmtId="165" fontId="6" fillId="0" borderId="56" xfId="3" applyNumberFormat="1" applyFont="1" applyBorder="1" applyAlignment="1">
      <alignment wrapText="1"/>
    </xf>
    <xf numFmtId="4" fontId="6" fillId="0" borderId="56" xfId="3" applyNumberFormat="1" applyFont="1" applyBorder="1" applyAlignment="1">
      <alignment horizontal="left"/>
    </xf>
    <xf numFmtId="3" fontId="6" fillId="0" borderId="58" xfId="3" applyNumberFormat="1" applyFont="1" applyBorder="1" applyAlignment="1" applyProtection="1">
      <alignment horizontal="center"/>
      <protection locked="0"/>
    </xf>
    <xf numFmtId="0" fontId="6" fillId="0" borderId="58" xfId="3" applyFont="1" applyBorder="1" applyAlignment="1" applyProtection="1">
      <alignment horizontal="center"/>
      <protection locked="0"/>
    </xf>
    <xf numFmtId="0" fontId="4" fillId="0" borderId="56" xfId="3" applyFont="1" applyBorder="1"/>
    <xf numFmtId="0" fontId="13" fillId="0" borderId="57" xfId="3" applyFont="1" applyBorder="1" applyAlignment="1">
      <alignment horizontal="left"/>
    </xf>
    <xf numFmtId="0" fontId="6" fillId="0" borderId="1" xfId="3" applyFont="1" applyBorder="1" applyProtection="1">
      <protection locked="0"/>
    </xf>
    <xf numFmtId="165" fontId="6" fillId="0" borderId="1" xfId="3" applyNumberFormat="1" applyFont="1" applyBorder="1" applyAlignment="1">
      <alignment wrapText="1"/>
    </xf>
    <xf numFmtId="4" fontId="6" fillId="0" borderId="1" xfId="3" applyNumberFormat="1" applyFont="1" applyBorder="1" applyAlignment="1" applyProtection="1">
      <alignment horizontal="left"/>
      <protection locked="0"/>
    </xf>
    <xf numFmtId="3" fontId="6" fillId="0" borderId="59" xfId="3" applyNumberFormat="1" applyFont="1" applyBorder="1" applyAlignment="1" applyProtection="1">
      <alignment horizontal="center"/>
      <protection locked="0"/>
    </xf>
    <xf numFmtId="0" fontId="6" fillId="0" borderId="59" xfId="3" applyFont="1" applyBorder="1" applyAlignment="1" applyProtection="1">
      <alignment horizontal="center"/>
      <protection locked="0"/>
    </xf>
    <xf numFmtId="0" fontId="13" fillId="0" borderId="12" xfId="3" applyFont="1" applyBorder="1" applyAlignment="1">
      <alignment horizontal="left"/>
    </xf>
    <xf numFmtId="0" fontId="6" fillId="0" borderId="18" xfId="3" applyFont="1" applyBorder="1" applyProtection="1">
      <protection locked="0"/>
    </xf>
    <xf numFmtId="165" fontId="6" fillId="0" borderId="18" xfId="3" applyNumberFormat="1" applyFont="1" applyBorder="1" applyAlignment="1">
      <alignment wrapText="1"/>
    </xf>
    <xf numFmtId="4" fontId="6" fillId="0" borderId="18" xfId="3" applyNumberFormat="1" applyFont="1" applyBorder="1" applyAlignment="1">
      <alignment horizontal="left"/>
    </xf>
    <xf numFmtId="3" fontId="6" fillId="0" borderId="60" xfId="3" applyNumberFormat="1" applyFont="1" applyBorder="1" applyAlignment="1" applyProtection="1">
      <alignment horizontal="center"/>
      <protection locked="0"/>
    </xf>
    <xf numFmtId="0" fontId="6" fillId="0" borderId="60" xfId="3" applyFont="1" applyBorder="1" applyAlignment="1" applyProtection="1">
      <alignment horizontal="center"/>
      <protection locked="0"/>
    </xf>
    <xf numFmtId="0" fontId="4" fillId="0" borderId="18" xfId="3" applyFont="1" applyBorder="1"/>
    <xf numFmtId="0" fontId="13" fillId="0" borderId="19" xfId="3" applyFont="1" applyBorder="1" applyAlignment="1">
      <alignment horizontal="left"/>
    </xf>
    <xf numFmtId="165" fontId="6" fillId="0" borderId="1" xfId="1" applyNumberFormat="1" applyFont="1" applyBorder="1" applyAlignment="1">
      <alignment horizontal="center" wrapText="1"/>
    </xf>
    <xf numFmtId="165" fontId="6" fillId="0" borderId="1" xfId="1" applyNumberFormat="1" applyFont="1" applyBorder="1" applyAlignment="1">
      <alignment horizontal="left"/>
    </xf>
    <xf numFmtId="0" fontId="11" fillId="0" borderId="6" xfId="3" applyFont="1" applyBorder="1"/>
    <xf numFmtId="0" fontId="15" fillId="0" borderId="12" xfId="3" applyFont="1" applyBorder="1" applyAlignment="1">
      <alignment horizontal="left"/>
    </xf>
    <xf numFmtId="4" fontId="8" fillId="0" borderId="9" xfId="1" applyNumberFormat="1" applyFont="1" applyBorder="1" applyAlignment="1">
      <alignment horizontal="center" wrapText="1"/>
    </xf>
    <xf numFmtId="4" fontId="6" fillId="0" borderId="1" xfId="1" applyNumberFormat="1" applyFont="1" applyBorder="1" applyAlignment="1">
      <alignment horizontal="left"/>
    </xf>
    <xf numFmtId="3" fontId="6" fillId="0" borderId="59" xfId="1" applyNumberFormat="1" applyFont="1" applyBorder="1" applyAlignment="1">
      <alignment horizontal="center"/>
    </xf>
    <xf numFmtId="4" fontId="6" fillId="0" borderId="1" xfId="3" applyNumberFormat="1" applyFont="1" applyBorder="1" applyAlignment="1">
      <alignment horizontal="left"/>
    </xf>
    <xf numFmtId="165" fontId="6" fillId="0" borderId="1" xfId="3" applyNumberFormat="1" applyFont="1" applyBorder="1" applyAlignment="1" applyProtection="1">
      <alignment wrapText="1"/>
      <protection locked="0"/>
    </xf>
    <xf numFmtId="0" fontId="4" fillId="0" borderId="59" xfId="1" applyBorder="1" applyAlignment="1">
      <alignment horizontal="center"/>
    </xf>
    <xf numFmtId="0" fontId="6" fillId="0" borderId="1" xfId="1" applyFont="1" applyBorder="1" applyAlignment="1">
      <alignment wrapText="1"/>
    </xf>
    <xf numFmtId="0" fontId="6" fillId="0" borderId="56" xfId="1" applyFont="1" applyBorder="1"/>
    <xf numFmtId="165" fontId="6" fillId="0" borderId="56" xfId="3" applyNumberFormat="1" applyFont="1" applyBorder="1" applyAlignment="1" applyProtection="1">
      <alignment wrapText="1"/>
      <protection locked="0"/>
    </xf>
    <xf numFmtId="4" fontId="6" fillId="0" borderId="56" xfId="1" applyNumberFormat="1" applyFont="1" applyBorder="1" applyAlignment="1">
      <alignment horizontal="center"/>
    </xf>
    <xf numFmtId="4" fontId="6" fillId="0" borderId="56" xfId="3" applyNumberFormat="1" applyFont="1" applyBorder="1" applyAlignment="1" applyProtection="1">
      <alignment horizontal="left"/>
      <protection locked="0"/>
    </xf>
    <xf numFmtId="165" fontId="6" fillId="0" borderId="1" xfId="3" applyNumberFormat="1" applyFont="1" applyBorder="1" applyAlignment="1" applyProtection="1">
      <alignment horizontal="center" wrapText="1"/>
      <protection locked="0"/>
    </xf>
    <xf numFmtId="0" fontId="6" fillId="0" borderId="57" xfId="3" applyFont="1" applyBorder="1" applyAlignment="1">
      <alignment horizontal="left"/>
    </xf>
    <xf numFmtId="4" fontId="6" fillId="0" borderId="1" xfId="1" applyNumberFormat="1" applyFont="1" applyBorder="1" applyAlignment="1">
      <alignment horizontal="left" wrapText="1"/>
    </xf>
    <xf numFmtId="3" fontId="6" fillId="0" borderId="1" xfId="1" applyNumberFormat="1" applyFont="1" applyBorder="1" applyAlignment="1">
      <alignment horizontal="center"/>
    </xf>
    <xf numFmtId="0" fontId="6" fillId="0" borderId="59" xfId="1" applyFont="1" applyBorder="1" applyAlignment="1">
      <alignment horizontal="center"/>
    </xf>
    <xf numFmtId="4" fontId="6" fillId="0" borderId="56" xfId="1" applyNumberFormat="1" applyFont="1" applyBorder="1" applyAlignment="1">
      <alignment horizontal="left"/>
    </xf>
    <xf numFmtId="0" fontId="4" fillId="0" borderId="58" xfId="1" applyBorder="1" applyAlignment="1">
      <alignment horizontal="center"/>
    </xf>
    <xf numFmtId="0" fontId="6" fillId="0" borderId="59" xfId="1" applyFont="1" applyBorder="1" applyAlignment="1">
      <alignment horizontal="left"/>
    </xf>
    <xf numFmtId="0" fontId="4" fillId="0" borderId="21" xfId="1" applyBorder="1" applyAlignment="1">
      <alignment horizontal="center"/>
    </xf>
    <xf numFmtId="4" fontId="6" fillId="0" borderId="18" xfId="1" applyNumberFormat="1" applyFont="1" applyBorder="1" applyAlignment="1">
      <alignment horizontal="left"/>
    </xf>
    <xf numFmtId="0" fontId="4" fillId="0" borderId="60" xfId="1" applyBorder="1" applyAlignment="1">
      <alignment horizontal="center"/>
    </xf>
    <xf numFmtId="4" fontId="6" fillId="0" borderId="29" xfId="1" applyNumberFormat="1" applyFont="1" applyBorder="1"/>
    <xf numFmtId="4" fontId="6" fillId="2" borderId="30" xfId="1" applyNumberFormat="1" applyFont="1" applyFill="1" applyBorder="1" applyProtection="1">
      <protection locked="0"/>
    </xf>
    <xf numFmtId="0" fontId="4" fillId="0" borderId="63" xfId="1" applyBorder="1"/>
    <xf numFmtId="165" fontId="6" fillId="0" borderId="63" xfId="1" applyNumberFormat="1" applyFont="1" applyBorder="1" applyAlignment="1">
      <alignment horizontal="center" wrapText="1"/>
    </xf>
    <xf numFmtId="4" fontId="6" fillId="0" borderId="63" xfId="1" applyNumberFormat="1" applyFont="1" applyBorder="1" applyAlignment="1">
      <alignment horizontal="center" wrapText="1"/>
    </xf>
    <xf numFmtId="4" fontId="6" fillId="0" borderId="63" xfId="1" applyNumberFormat="1" applyFont="1" applyBorder="1" applyAlignment="1">
      <alignment horizontal="left"/>
    </xf>
    <xf numFmtId="0" fontId="4" fillId="0" borderId="63" xfId="1" applyBorder="1" applyAlignment="1">
      <alignment horizontal="center"/>
    </xf>
    <xf numFmtId="0" fontId="7" fillId="0" borderId="63" xfId="3" applyFont="1" applyBorder="1"/>
    <xf numFmtId="0" fontId="15" fillId="0" borderId="62" xfId="3" applyFont="1" applyBorder="1" applyAlignment="1">
      <alignment horizontal="left"/>
    </xf>
    <xf numFmtId="0" fontId="4" fillId="0" borderId="26" xfId="1" applyBorder="1"/>
    <xf numFmtId="4" fontId="7" fillId="0" borderId="26" xfId="1" applyNumberFormat="1" applyFont="1" applyBorder="1" applyAlignment="1">
      <alignment horizontal="center" wrapText="1"/>
    </xf>
    <xf numFmtId="4" fontId="6" fillId="0" borderId="26" xfId="1" applyNumberFormat="1" applyFont="1" applyBorder="1" applyAlignment="1">
      <alignment horizontal="left"/>
    </xf>
    <xf numFmtId="0" fontId="7" fillId="0" borderId="27" xfId="3" applyFont="1" applyBorder="1"/>
    <xf numFmtId="0" fontId="15" fillId="0" borderId="28" xfId="3" applyFont="1" applyBorder="1" applyAlignment="1">
      <alignment horizontal="left"/>
    </xf>
    <xf numFmtId="49" fontId="15" fillId="0" borderId="12" xfId="3" applyNumberFormat="1" applyFont="1" applyBorder="1" applyAlignment="1">
      <alignment horizontal="left"/>
    </xf>
    <xf numFmtId="0" fontId="6" fillId="0" borderId="18" xfId="3" applyFont="1" applyBorder="1"/>
    <xf numFmtId="49" fontId="15" fillId="0" borderId="19" xfId="3" applyNumberFormat="1" applyFont="1" applyBorder="1" applyAlignment="1">
      <alignment horizontal="left"/>
    </xf>
    <xf numFmtId="0" fontId="4" fillId="0" borderId="6" xfId="3" applyFont="1" applyBorder="1"/>
    <xf numFmtId="49" fontId="15" fillId="0" borderId="57" xfId="3" applyNumberFormat="1" applyFont="1" applyBorder="1" applyAlignment="1">
      <alignment horizontal="left"/>
    </xf>
    <xf numFmtId="0" fontId="13" fillId="0" borderId="1" xfId="1" applyFont="1" applyBorder="1" applyAlignment="1">
      <alignment wrapText="1"/>
    </xf>
    <xf numFmtId="0" fontId="13" fillId="0" borderId="1" xfId="1" applyFont="1" applyBorder="1"/>
    <xf numFmtId="0" fontId="6" fillId="0" borderId="6" xfId="3" applyFont="1" applyBorder="1"/>
    <xf numFmtId="0" fontId="4" fillId="0" borderId="45" xfId="3" applyFont="1" applyBorder="1"/>
    <xf numFmtId="0" fontId="4" fillId="0" borderId="6" xfId="3" applyFont="1" applyBorder="1" applyAlignment="1">
      <alignment horizontal="left"/>
    </xf>
    <xf numFmtId="0" fontId="15" fillId="0" borderId="57" xfId="3" applyFont="1" applyBorder="1" applyAlignment="1">
      <alignment horizontal="left"/>
    </xf>
    <xf numFmtId="167" fontId="15" fillId="0" borderId="12" xfId="5" applyFont="1" applyBorder="1" applyAlignment="1" applyProtection="1">
      <alignment horizontal="left"/>
    </xf>
    <xf numFmtId="0" fontId="6" fillId="5" borderId="11" xfId="1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center" wrapText="1"/>
    </xf>
    <xf numFmtId="0" fontId="6" fillId="5" borderId="1" xfId="1" applyFont="1" applyFill="1" applyBorder="1"/>
    <xf numFmtId="165" fontId="6" fillId="5" borderId="1" xfId="1" applyNumberFormat="1" applyFont="1" applyFill="1" applyBorder="1" applyAlignment="1">
      <alignment horizontal="center" wrapText="1"/>
    </xf>
    <xf numFmtId="4" fontId="6" fillId="5" borderId="1" xfId="1" applyNumberFormat="1" applyFont="1" applyFill="1" applyBorder="1" applyAlignment="1">
      <alignment horizontal="center" wrapText="1"/>
    </xf>
    <xf numFmtId="0" fontId="6" fillId="5" borderId="1" xfId="1" applyFont="1" applyFill="1" applyBorder="1" applyAlignment="1">
      <alignment horizontal="left" wrapText="1"/>
    </xf>
    <xf numFmtId="0" fontId="6" fillId="5" borderId="1" xfId="1" applyFont="1" applyFill="1" applyBorder="1" applyAlignment="1">
      <alignment horizontal="center" wrapText="1"/>
    </xf>
    <xf numFmtId="0" fontId="6" fillId="6" borderId="49" xfId="1" applyFont="1" applyFill="1" applyBorder="1" applyAlignment="1">
      <alignment horizontal="center" wrapText="1"/>
    </xf>
    <xf numFmtId="0" fontId="6" fillId="2" borderId="50" xfId="1" applyFont="1" applyFill="1" applyBorder="1" applyAlignment="1">
      <alignment horizontal="center" wrapText="1"/>
    </xf>
    <xf numFmtId="0" fontId="6" fillId="6" borderId="50" xfId="1" applyFont="1" applyFill="1" applyBorder="1"/>
    <xf numFmtId="165" fontId="6" fillId="6" borderId="50" xfId="1" applyNumberFormat="1" applyFont="1" applyFill="1" applyBorder="1" applyAlignment="1">
      <alignment horizontal="center" wrapText="1"/>
    </xf>
    <xf numFmtId="4" fontId="6" fillId="6" borderId="50" xfId="1" applyNumberFormat="1" applyFont="1" applyFill="1" applyBorder="1" applyAlignment="1">
      <alignment horizontal="center" wrapText="1"/>
    </xf>
    <xf numFmtId="0" fontId="6" fillId="6" borderId="50" xfId="1" applyFont="1" applyFill="1" applyBorder="1" applyAlignment="1">
      <alignment horizontal="left" wrapText="1"/>
    </xf>
    <xf numFmtId="0" fontId="6" fillId="6" borderId="50" xfId="1" applyFont="1" applyFill="1" applyBorder="1" applyAlignment="1">
      <alignment horizontal="center" wrapText="1"/>
    </xf>
    <xf numFmtId="0" fontId="6" fillId="6" borderId="50" xfId="1" applyFont="1" applyFill="1" applyBorder="1" applyAlignment="1">
      <alignment wrapText="1"/>
    </xf>
    <xf numFmtId="0" fontId="5" fillId="7" borderId="27" xfId="3" applyFill="1" applyBorder="1"/>
    <xf numFmtId="0" fontId="15" fillId="7" borderId="64" xfId="3" applyFont="1" applyFill="1" applyBorder="1" applyAlignment="1">
      <alignment horizontal="left" textRotation="90"/>
    </xf>
    <xf numFmtId="0" fontId="4" fillId="0" borderId="0" xfId="1"/>
    <xf numFmtId="165" fontId="4" fillId="0" borderId="0" xfId="1" applyNumberFormat="1" applyAlignment="1">
      <alignment horizontal="center" wrapText="1"/>
    </xf>
    <xf numFmtId="4" fontId="4" fillId="0" borderId="0" xfId="1" applyNumberFormat="1" applyAlignment="1">
      <alignment horizontal="center" wrapText="1"/>
    </xf>
    <xf numFmtId="0" fontId="4" fillId="0" borderId="0" xfId="1" applyAlignment="1">
      <alignment horizontal="left"/>
    </xf>
    <xf numFmtId="0" fontId="4" fillId="0" borderId="0" xfId="1" applyAlignment="1">
      <alignment horizontal="center"/>
    </xf>
    <xf numFmtId="0" fontId="18" fillId="0" borderId="0" xfId="1" applyFont="1"/>
    <xf numFmtId="165" fontId="18" fillId="0" borderId="0" xfId="1" applyNumberFormat="1" applyFont="1" applyAlignment="1">
      <alignment horizontal="center" wrapText="1"/>
    </xf>
    <xf numFmtId="4" fontId="18" fillId="0" borderId="0" xfId="1" applyNumberFormat="1" applyFont="1" applyAlignment="1">
      <alignment horizontal="center" wrapText="1"/>
    </xf>
    <xf numFmtId="0" fontId="18" fillId="0" borderId="0" xfId="1" applyFont="1" applyAlignment="1">
      <alignment horizontal="left"/>
    </xf>
    <xf numFmtId="0" fontId="18" fillId="0" borderId="0" xfId="1" applyFont="1" applyAlignment="1">
      <alignment horizontal="center"/>
    </xf>
    <xf numFmtId="0" fontId="19" fillId="0" borderId="0" xfId="1" applyFont="1" applyAlignment="1">
      <alignment horizontal="left"/>
    </xf>
    <xf numFmtId="0" fontId="22" fillId="0" borderId="0" xfId="1" applyFont="1"/>
    <xf numFmtId="165" fontId="7" fillId="0" borderId="0" xfId="1" applyNumberFormat="1" applyFont="1" applyAlignment="1">
      <alignment wrapText="1"/>
    </xf>
    <xf numFmtId="4" fontId="7" fillId="0" borderId="0" xfId="1" applyNumberFormat="1" applyFont="1" applyAlignment="1">
      <alignment wrapText="1"/>
    </xf>
    <xf numFmtId="0" fontId="7" fillId="0" borderId="0" xfId="1" applyFont="1" applyAlignment="1">
      <alignment horizontal="left"/>
    </xf>
    <xf numFmtId="0" fontId="7" fillId="0" borderId="0" xfId="1" applyFont="1"/>
    <xf numFmtId="0" fontId="19" fillId="0" borderId="0" xfId="1" applyFont="1"/>
    <xf numFmtId="0" fontId="1" fillId="0" borderId="1" xfId="0" applyFont="1" applyBorder="1" applyProtection="1">
      <protection locked="0"/>
    </xf>
    <xf numFmtId="0" fontId="24" fillId="0" borderId="0" xfId="0" applyFont="1" applyAlignment="1">
      <alignment vertical="center"/>
    </xf>
    <xf numFmtId="0" fontId="19" fillId="0" borderId="0" xfId="6" applyFont="1"/>
    <xf numFmtId="0" fontId="19" fillId="0" borderId="0" xfId="6" applyFont="1" applyAlignment="1">
      <alignment horizontal="center"/>
    </xf>
    <xf numFmtId="164" fontId="2" fillId="0" borderId="0" xfId="4" applyFont="1" applyBorder="1" applyProtection="1"/>
    <xf numFmtId="164" fontId="0" fillId="0" borderId="0" xfId="2" applyFont="1" applyProtection="1"/>
    <xf numFmtId="0" fontId="4" fillId="0" borderId="0" xfId="1" applyProtection="1">
      <protection locked="0"/>
    </xf>
    <xf numFmtId="0" fontId="19" fillId="0" borderId="0" xfId="6" applyFont="1" applyAlignment="1">
      <alignment horizontal="right"/>
    </xf>
    <xf numFmtId="0" fontId="23" fillId="0" borderId="5" xfId="0" applyFont="1" applyBorder="1" applyAlignment="1" applyProtection="1">
      <alignment horizontal="center"/>
      <protection locked="0"/>
    </xf>
    <xf numFmtId="0" fontId="23" fillId="0" borderId="6" xfId="0" applyFont="1" applyBorder="1" applyAlignment="1" applyProtection="1">
      <alignment horizontal="center"/>
      <protection locked="0"/>
    </xf>
    <xf numFmtId="2" fontId="23" fillId="8" borderId="5" xfId="0" applyNumberFormat="1" applyFont="1" applyFill="1" applyBorder="1" applyAlignment="1" applyProtection="1">
      <alignment horizontal="center" vertical="center"/>
      <protection locked="0"/>
    </xf>
    <xf numFmtId="2" fontId="23" fillId="8" borderId="7" xfId="0" applyNumberFormat="1" applyFont="1" applyFill="1" applyBorder="1" applyAlignment="1" applyProtection="1">
      <alignment horizontal="center" vertical="center"/>
      <protection locked="0"/>
    </xf>
    <xf numFmtId="2" fontId="23" fillId="8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4" fillId="4" borderId="12" xfId="3" applyFont="1" applyFill="1" applyBorder="1" applyAlignment="1">
      <alignment horizontal="left"/>
    </xf>
    <xf numFmtId="0" fontId="14" fillId="4" borderId="1" xfId="3" applyFont="1" applyFill="1" applyBorder="1" applyAlignment="1">
      <alignment horizontal="left"/>
    </xf>
    <xf numFmtId="0" fontId="12" fillId="0" borderId="24" xfId="3" applyFont="1" applyBorder="1" applyAlignment="1">
      <alignment horizontal="center" vertical="center" wrapText="1"/>
    </xf>
    <xf numFmtId="0" fontId="12" fillId="0" borderId="23" xfId="3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left" wrapText="1"/>
    </xf>
    <xf numFmtId="0" fontId="19" fillId="0" borderId="0" xfId="6" applyFont="1" applyAlignment="1">
      <alignment horizontal="right" vertical="center" wrapText="1"/>
    </xf>
    <xf numFmtId="2" fontId="23" fillId="0" borderId="5" xfId="0" applyNumberFormat="1" applyFont="1" applyBorder="1" applyAlignment="1" applyProtection="1">
      <alignment horizontal="center" vertical="center"/>
      <protection locked="0"/>
    </xf>
    <xf numFmtId="2" fontId="23" fillId="0" borderId="6" xfId="0" applyNumberFormat="1" applyFont="1" applyBorder="1" applyAlignment="1" applyProtection="1">
      <alignment horizontal="center" vertical="center"/>
      <protection locked="0"/>
    </xf>
    <xf numFmtId="0" fontId="7" fillId="0" borderId="55" xfId="3" applyFont="1" applyBorder="1" applyAlignment="1">
      <alignment horizontal="left"/>
    </xf>
    <xf numFmtId="0" fontId="7" fillId="0" borderId="54" xfId="3" applyFont="1" applyBorder="1" applyAlignment="1">
      <alignment horizontal="left"/>
    </xf>
    <xf numFmtId="0" fontId="14" fillId="5" borderId="62" xfId="3" applyFont="1" applyFill="1" applyBorder="1" applyAlignment="1">
      <alignment horizontal="left"/>
    </xf>
    <xf numFmtId="0" fontId="14" fillId="5" borderId="61" xfId="3" applyFont="1" applyFill="1" applyBorder="1" applyAlignment="1">
      <alignment horizontal="left"/>
    </xf>
    <xf numFmtId="0" fontId="20" fillId="0" borderId="53" xfId="1" applyFont="1" applyBorder="1" applyAlignment="1">
      <alignment horizontal="left"/>
    </xf>
    <xf numFmtId="0" fontId="20" fillId="0" borderId="52" xfId="1" applyFont="1" applyBorder="1" applyAlignment="1">
      <alignment horizontal="left"/>
    </xf>
    <xf numFmtId="0" fontId="20" fillId="0" borderId="27" xfId="1" applyFont="1" applyBorder="1" applyAlignment="1">
      <alignment horizontal="left"/>
    </xf>
    <xf numFmtId="0" fontId="6" fillId="0" borderId="55" xfId="3" applyFont="1" applyBorder="1" applyAlignment="1">
      <alignment horizontal="left"/>
    </xf>
    <xf numFmtId="0" fontId="6" fillId="0" borderId="54" xfId="3" applyFont="1" applyBorder="1" applyAlignment="1">
      <alignment horizontal="left"/>
    </xf>
    <xf numFmtId="0" fontId="7" fillId="0" borderId="53" xfId="3" applyFont="1" applyBorder="1" applyAlignment="1">
      <alignment horizontal="left"/>
    </xf>
    <xf numFmtId="0" fontId="7" fillId="0" borderId="27" xfId="3" applyFont="1" applyBorder="1" applyAlignment="1">
      <alignment horizontal="left"/>
    </xf>
  </cellXfs>
  <cellStyles count="7">
    <cellStyle name="Komma 2" xfId="2" xr:uid="{00000000-0005-0000-0000-000000000000}"/>
    <cellStyle name="Komma 3" xfId="4" xr:uid="{FF4F8E8D-C285-4A44-AF55-31A918878FEE}"/>
    <cellStyle name="Standard" xfId="0" builtinId="0"/>
    <cellStyle name="Standard 2" xfId="1" xr:uid="{00000000-0005-0000-0000-000002000000}"/>
    <cellStyle name="Standard 3" xfId="3" xr:uid="{0E53FFCB-7772-45AB-9E14-B561099835C9}"/>
    <cellStyle name="Standard 3 2" xfId="6" xr:uid="{F6B1035C-D3A8-446B-B64F-B9D8AB7947B4}"/>
    <cellStyle name="Währung 2" xfId="5" xr:uid="{A9D95C82-CA4C-4BDB-BE84-6CC7FF54F716}"/>
  </cellStyles>
  <dxfs count="18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D2EE3-2C79-47B1-A986-F273E482D21F}">
  <dimension ref="A2:H29"/>
  <sheetViews>
    <sheetView tabSelected="1" workbookViewId="0">
      <selection activeCell="H6" sqref="H6"/>
    </sheetView>
  </sheetViews>
  <sheetFormatPr baseColWidth="10" defaultRowHeight="15" x14ac:dyDescent="0.25"/>
  <sheetData>
    <row r="2" spans="1:8" ht="21" x14ac:dyDescent="0.35">
      <c r="A2" s="343" t="s">
        <v>569</v>
      </c>
      <c r="B2" s="343"/>
      <c r="C2" s="343"/>
      <c r="D2" s="343"/>
      <c r="E2" s="343"/>
      <c r="F2" s="343"/>
      <c r="G2" s="343"/>
      <c r="H2" s="343"/>
    </row>
    <row r="3" spans="1:8" ht="21" x14ac:dyDescent="0.35">
      <c r="A3" s="343" t="s">
        <v>572</v>
      </c>
      <c r="B3" s="343"/>
      <c r="C3" s="343"/>
      <c r="D3" s="343"/>
      <c r="E3" s="343"/>
      <c r="F3" s="343"/>
      <c r="G3" s="343"/>
      <c r="H3" s="343"/>
    </row>
    <row r="4" spans="1:8" ht="15.75" x14ac:dyDescent="0.25">
      <c r="A4" s="1"/>
      <c r="B4" s="1"/>
      <c r="C4" s="1"/>
      <c r="D4" s="1"/>
      <c r="E4" s="1"/>
      <c r="F4" s="1"/>
      <c r="G4" s="1"/>
      <c r="H4" s="1"/>
    </row>
    <row r="5" spans="1:8" ht="15.75" x14ac:dyDescent="0.25">
      <c r="A5" s="1" t="s">
        <v>6</v>
      </c>
      <c r="B5" s="1"/>
      <c r="C5" s="1" t="s">
        <v>47</v>
      </c>
      <c r="D5" s="1"/>
      <c r="E5" s="1"/>
      <c r="F5" s="1"/>
      <c r="G5" s="1"/>
      <c r="H5" s="1"/>
    </row>
    <row r="6" spans="1:8" ht="15.75" x14ac:dyDescent="0.25">
      <c r="A6" s="1"/>
      <c r="B6" s="1"/>
      <c r="C6" s="1" t="s">
        <v>51</v>
      </c>
      <c r="D6" s="1"/>
      <c r="E6" s="1"/>
      <c r="F6" s="1"/>
      <c r="G6" s="1"/>
      <c r="H6" s="1"/>
    </row>
    <row r="7" spans="1:8" ht="15.75" x14ac:dyDescent="0.25">
      <c r="A7" s="1"/>
      <c r="B7" s="1"/>
      <c r="C7" s="1" t="s">
        <v>5</v>
      </c>
      <c r="D7" s="1"/>
      <c r="E7" s="1"/>
      <c r="F7" s="1"/>
      <c r="G7" s="1"/>
      <c r="H7" s="1"/>
    </row>
    <row r="10" spans="1:8" ht="75" customHeight="1" x14ac:dyDescent="0.25">
      <c r="A10" s="341" t="s">
        <v>568</v>
      </c>
      <c r="B10" s="341"/>
      <c r="C10" s="341"/>
      <c r="D10" s="336"/>
      <c r="E10" s="337"/>
      <c r="F10" s="338"/>
      <c r="G10" s="339" t="s">
        <v>566</v>
      </c>
      <c r="H10" s="339"/>
    </row>
    <row r="11" spans="1:8" ht="63" customHeight="1" x14ac:dyDescent="0.25">
      <c r="A11" s="341" t="s">
        <v>567</v>
      </c>
      <c r="B11" s="341"/>
      <c r="C11" s="341"/>
      <c r="D11" s="336">
        <f>D10*1.19</f>
        <v>0</v>
      </c>
      <c r="E11" s="337"/>
      <c r="F11" s="338"/>
      <c r="G11" s="339" t="s">
        <v>566</v>
      </c>
      <c r="H11" s="339"/>
    </row>
    <row r="13" spans="1:8" ht="54" customHeight="1" x14ac:dyDescent="0.25">
      <c r="A13" s="341" t="s">
        <v>565</v>
      </c>
      <c r="B13" s="341"/>
      <c r="C13" s="341"/>
      <c r="D13" s="336">
        <f>Grundreinigung!G31</f>
        <v>0</v>
      </c>
      <c r="E13" s="337"/>
      <c r="F13" s="338"/>
      <c r="G13" s="339" t="s">
        <v>32</v>
      </c>
      <c r="H13" s="339"/>
    </row>
    <row r="14" spans="1:8" ht="60" customHeight="1" x14ac:dyDescent="0.25">
      <c r="A14" s="341" t="s">
        <v>564</v>
      </c>
      <c r="B14" s="341"/>
      <c r="C14" s="341"/>
      <c r="D14" s="336">
        <f>Grundreinigung!G35</f>
        <v>0</v>
      </c>
      <c r="E14" s="337"/>
      <c r="F14" s="338"/>
      <c r="G14" s="339" t="s">
        <v>32</v>
      </c>
      <c r="H14" s="339"/>
    </row>
    <row r="17" spans="1:8" ht="95.25" customHeight="1" x14ac:dyDescent="0.25">
      <c r="A17" s="342" t="s">
        <v>563</v>
      </c>
      <c r="B17" s="342"/>
      <c r="C17" s="342"/>
      <c r="D17" s="336">
        <f>(D11*12)+D14</f>
        <v>0</v>
      </c>
      <c r="E17" s="337"/>
      <c r="F17" s="338"/>
      <c r="G17" s="339" t="s">
        <v>32</v>
      </c>
      <c r="H17" s="339"/>
    </row>
    <row r="18" spans="1:8" x14ac:dyDescent="0.25">
      <c r="A18" s="327"/>
    </row>
    <row r="20" spans="1:8" ht="20.100000000000001" customHeight="1" x14ac:dyDescent="0.25">
      <c r="A20" s="333" t="s">
        <v>562</v>
      </c>
      <c r="B20" s="333"/>
      <c r="C20" s="333"/>
      <c r="D20" s="333"/>
      <c r="E20" s="333"/>
      <c r="F20" s="333"/>
      <c r="G20" s="334"/>
      <c r="H20" s="335"/>
    </row>
    <row r="21" spans="1:8" ht="20.100000000000001" customHeight="1" x14ac:dyDescent="0.25">
      <c r="A21" s="333" t="s">
        <v>561</v>
      </c>
      <c r="B21" s="333"/>
      <c r="C21" s="333"/>
      <c r="D21" s="333"/>
      <c r="E21" s="333"/>
      <c r="F21" s="333"/>
      <c r="G21" s="334"/>
      <c r="H21" s="335"/>
    </row>
    <row r="22" spans="1:8" ht="20.100000000000001" customHeight="1" x14ac:dyDescent="0.25">
      <c r="A22" s="333" t="s">
        <v>560</v>
      </c>
      <c r="B22" s="333"/>
      <c r="C22" s="333"/>
      <c r="D22" s="333"/>
      <c r="E22" s="333"/>
      <c r="F22" s="333"/>
      <c r="G22" s="334"/>
      <c r="H22" s="335"/>
    </row>
    <row r="23" spans="1:8" ht="20.100000000000001" customHeight="1" x14ac:dyDescent="0.25">
      <c r="A23" s="333" t="s">
        <v>559</v>
      </c>
      <c r="B23" s="333"/>
      <c r="C23" s="333"/>
      <c r="D23" s="333"/>
      <c r="E23" s="333"/>
      <c r="F23" s="333"/>
      <c r="G23" s="334"/>
      <c r="H23" s="335"/>
    </row>
    <row r="24" spans="1:8" ht="20.100000000000001" customHeight="1" x14ac:dyDescent="0.25">
      <c r="A24" s="333" t="s">
        <v>558</v>
      </c>
      <c r="B24" s="333"/>
      <c r="C24" s="333"/>
      <c r="D24" s="333"/>
      <c r="E24" s="333"/>
      <c r="F24" s="333"/>
      <c r="G24" s="334"/>
      <c r="H24" s="335"/>
    </row>
    <row r="25" spans="1:8" ht="20.100000000000001" customHeight="1" x14ac:dyDescent="0.25">
      <c r="A25" s="333" t="s">
        <v>557</v>
      </c>
      <c r="B25" s="333"/>
      <c r="C25" s="333"/>
      <c r="D25" s="333"/>
      <c r="E25" s="333"/>
      <c r="F25" s="333"/>
      <c r="G25" s="334"/>
      <c r="H25" s="335"/>
    </row>
    <row r="28" spans="1:8" ht="16.5" thickBot="1" x14ac:dyDescent="0.3">
      <c r="A28" s="340"/>
      <c r="B28" s="340"/>
      <c r="C28" s="340"/>
      <c r="D28" s="340"/>
      <c r="E28" s="340"/>
      <c r="F28" s="340"/>
      <c r="G28" s="340"/>
      <c r="H28" s="340"/>
    </row>
    <row r="29" spans="1:8" ht="15.75" x14ac:dyDescent="0.25">
      <c r="A29" s="1" t="s">
        <v>46</v>
      </c>
      <c r="B29" s="1"/>
      <c r="C29" s="1"/>
      <c r="D29" s="1"/>
      <c r="E29" s="1"/>
      <c r="F29" s="1"/>
      <c r="G29" s="1"/>
      <c r="H29" s="1"/>
    </row>
  </sheetData>
  <sheetProtection algorithmName="SHA-512" hashValue="2tYVFM1IQ+pzomukvsa4E+5H7qErC//syeXBlSFHb0eMp+ec51pcQGy6B1BnnqTkmRE45mcoSkwjJ5Vb9hVIww==" saltValue="6gUql5g/QPMWEIZe9CweRQ==" spinCount="100000" sheet="1" objects="1" scenarios="1"/>
  <mergeCells count="30">
    <mergeCell ref="A11:C11"/>
    <mergeCell ref="D11:F11"/>
    <mergeCell ref="G11:H11"/>
    <mergeCell ref="A2:H2"/>
    <mergeCell ref="A3:H3"/>
    <mergeCell ref="A10:C10"/>
    <mergeCell ref="G10:H10"/>
    <mergeCell ref="D10:F10"/>
    <mergeCell ref="A13:C13"/>
    <mergeCell ref="D13:F13"/>
    <mergeCell ref="G13:H13"/>
    <mergeCell ref="A25:F25"/>
    <mergeCell ref="G25:H25"/>
    <mergeCell ref="A21:F21"/>
    <mergeCell ref="A14:C14"/>
    <mergeCell ref="D14:F14"/>
    <mergeCell ref="G14:H14"/>
    <mergeCell ref="A17:C17"/>
    <mergeCell ref="A28:H28"/>
    <mergeCell ref="A20:F20"/>
    <mergeCell ref="G20:H20"/>
    <mergeCell ref="A23:F23"/>
    <mergeCell ref="G23:H23"/>
    <mergeCell ref="A24:F24"/>
    <mergeCell ref="G24:H24"/>
    <mergeCell ref="D17:F17"/>
    <mergeCell ref="G17:H17"/>
    <mergeCell ref="A22:F22"/>
    <mergeCell ref="G21:H21"/>
    <mergeCell ref="G22:H22"/>
  </mergeCells>
  <conditionalFormatting sqref="A28:H28">
    <cfRule type="cellIs" dxfId="17" priority="2" operator="equal">
      <formula>0</formula>
    </cfRule>
  </conditionalFormatting>
  <conditionalFormatting sqref="D10:D11">
    <cfRule type="cellIs" dxfId="16" priority="5" operator="equal">
      <formula>0</formula>
    </cfRule>
  </conditionalFormatting>
  <conditionalFormatting sqref="D13:D14">
    <cfRule type="cellIs" dxfId="15" priority="4" operator="equal">
      <formula>0</formula>
    </cfRule>
  </conditionalFormatting>
  <conditionalFormatting sqref="D17">
    <cfRule type="cellIs" dxfId="14" priority="3" operator="equal">
      <formula>0</formula>
    </cfRule>
  </conditionalFormatting>
  <conditionalFormatting sqref="G20:H20 G21:G23 G24:H25">
    <cfRule type="cellIs" dxfId="13" priority="1" operator="equal">
      <formula>0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52125-BE54-4091-99BC-AD1B2DD3B997}">
  <dimension ref="A1:W1376"/>
  <sheetViews>
    <sheetView zoomScale="115" zoomScaleNormal="115" workbookViewId="0">
      <pane ySplit="3" topLeftCell="A4" activePane="bottomLeft" state="frozen"/>
      <selection pane="bottomLeft" activeCell="E215" sqref="E215"/>
    </sheetView>
  </sheetViews>
  <sheetFormatPr baseColWidth="10" defaultRowHeight="12.75" x14ac:dyDescent="0.2"/>
  <cols>
    <col min="1" max="1" width="4.7109375" style="14" customWidth="1"/>
    <col min="2" max="2" width="22.85546875" style="8" customWidth="1"/>
    <col min="3" max="3" width="7.5703125" style="13" customWidth="1"/>
    <col min="4" max="4" width="7.5703125" style="12" bestFit="1" customWidth="1"/>
    <col min="5" max="5" width="7.140625" style="12" customWidth="1"/>
    <col min="6" max="6" width="7.140625" style="11" customWidth="1"/>
    <col min="7" max="7" width="10" style="11" bestFit="1" customWidth="1"/>
    <col min="8" max="8" width="7.28515625" style="8" bestFit="1" customWidth="1"/>
    <col min="9" max="9" width="7.85546875" style="8" bestFit="1" customWidth="1"/>
    <col min="10" max="10" width="5.140625" style="8" bestFit="1" customWidth="1"/>
    <col min="11" max="11" width="7.85546875" style="8" bestFit="1" customWidth="1"/>
    <col min="12" max="13" width="7.28515625" style="8" bestFit="1" customWidth="1"/>
    <col min="14" max="14" width="10.85546875" style="10" bestFit="1" customWidth="1"/>
    <col min="15" max="15" width="3.5703125" style="10" customWidth="1"/>
    <col min="16" max="16" width="3.7109375" style="8" customWidth="1"/>
    <col min="17" max="17" width="30.85546875" style="8" bestFit="1" customWidth="1"/>
    <col min="18" max="18" width="5.28515625" style="8" bestFit="1" customWidth="1"/>
    <col min="19" max="19" width="9.7109375" style="8" customWidth="1"/>
    <col min="20" max="20" width="11.7109375" style="8" bestFit="1" customWidth="1"/>
    <col min="21" max="21" width="9.42578125" style="8" customWidth="1"/>
    <col min="22" max="22" width="10.85546875" style="8" customWidth="1"/>
    <col min="23" max="23" width="11.42578125" style="9"/>
    <col min="24" max="24" width="11.42578125" style="8"/>
    <col min="25" max="25" width="10.140625" style="8" customWidth="1"/>
    <col min="26" max="26" width="0.85546875" style="8" customWidth="1"/>
    <col min="27" max="27" width="11.42578125" style="8"/>
    <col min="28" max="28" width="13.5703125" style="8" customWidth="1"/>
    <col min="29" max="16384" width="11.42578125" style="8"/>
  </cols>
  <sheetData>
    <row r="1" spans="1:23" x14ac:dyDescent="0.2">
      <c r="A1" s="15"/>
      <c r="B1" s="18" t="s">
        <v>437</v>
      </c>
      <c r="C1" s="18" t="s">
        <v>436</v>
      </c>
      <c r="D1" s="106"/>
      <c r="E1" s="106"/>
      <c r="F1" s="105"/>
      <c r="G1" s="105"/>
      <c r="I1" s="18"/>
      <c r="J1" s="18"/>
      <c r="K1" s="18"/>
      <c r="L1" s="18"/>
      <c r="M1" s="18"/>
      <c r="N1" s="13"/>
      <c r="O1" s="13"/>
      <c r="P1" s="18" t="s">
        <v>435</v>
      </c>
      <c r="Q1" s="18"/>
      <c r="R1" s="18"/>
      <c r="S1" s="18" t="str">
        <f>C1</f>
        <v>Domgymnasium, Thomas-Müntzer-Straße 22/23, 06618 Naumburg</v>
      </c>
      <c r="W1" s="8"/>
    </row>
    <row r="2" spans="1:23" ht="13.5" thickBot="1" x14ac:dyDescent="0.25">
      <c r="A2" s="15"/>
      <c r="N2" s="13"/>
      <c r="O2" s="13"/>
      <c r="W2" s="8"/>
    </row>
    <row r="3" spans="1:23" ht="87.75" customHeight="1" thickBot="1" x14ac:dyDescent="0.25">
      <c r="A3" s="104" t="s">
        <v>434</v>
      </c>
      <c r="B3" s="103" t="s">
        <v>433</v>
      </c>
      <c r="C3" s="100" t="s">
        <v>432</v>
      </c>
      <c r="D3" s="102" t="s">
        <v>431</v>
      </c>
      <c r="E3" s="101" t="s">
        <v>430</v>
      </c>
      <c r="F3" s="100" t="s">
        <v>429</v>
      </c>
      <c r="G3" s="97" t="s">
        <v>428</v>
      </c>
      <c r="H3" s="98" t="s">
        <v>427</v>
      </c>
      <c r="I3" s="99" t="s">
        <v>426</v>
      </c>
      <c r="J3" s="98" t="s">
        <v>43</v>
      </c>
      <c r="K3" s="97" t="s">
        <v>425</v>
      </c>
      <c r="L3" s="96" t="s">
        <v>424</v>
      </c>
      <c r="M3" s="96" t="s">
        <v>423</v>
      </c>
      <c r="N3" s="95" t="s">
        <v>422</v>
      </c>
      <c r="O3" s="13"/>
      <c r="P3" s="94"/>
      <c r="Q3" s="93" t="s">
        <v>421</v>
      </c>
      <c r="R3" s="92"/>
      <c r="S3" s="91" t="s">
        <v>420</v>
      </c>
      <c r="T3" s="91" t="s">
        <v>419</v>
      </c>
      <c r="U3" s="91" t="s">
        <v>418</v>
      </c>
      <c r="V3" s="90" t="s">
        <v>417</v>
      </c>
      <c r="W3" s="89" t="s">
        <v>416</v>
      </c>
    </row>
    <row r="4" spans="1:23" ht="15.75" x14ac:dyDescent="0.25">
      <c r="A4" s="344" t="s">
        <v>415</v>
      </c>
      <c r="B4" s="345"/>
      <c r="C4" s="345"/>
      <c r="D4" s="345"/>
      <c r="E4" s="53"/>
      <c r="F4" s="52"/>
      <c r="G4" s="52"/>
      <c r="H4" s="51"/>
      <c r="I4" s="51"/>
      <c r="J4" s="51"/>
      <c r="K4" s="51"/>
      <c r="L4" s="51"/>
      <c r="M4" s="51"/>
      <c r="N4" s="50"/>
      <c r="O4" s="13"/>
      <c r="P4" s="83">
        <v>1</v>
      </c>
      <c r="Q4" s="82" t="s">
        <v>412</v>
      </c>
      <c r="R4" s="13" t="s">
        <v>393</v>
      </c>
      <c r="S4" s="87">
        <f t="shared" ref="S4:S32" si="0">SUMIF($D$6:$D$224,R4,$C$6:$C$224)</f>
        <v>12.73</v>
      </c>
      <c r="T4" s="87">
        <f t="shared" ref="T4:T32" si="1">SUMIF($D$6:$D$225,R4,$G$6:$G$225)</f>
        <v>2444.16</v>
      </c>
      <c r="U4" s="88">
        <f t="shared" ref="U4:U32" si="2">SUMIF($D$6:$D$225,R4,$I$6:$I$225)/12</f>
        <v>203.67999999999998</v>
      </c>
      <c r="V4" s="87">
        <f t="shared" ref="V4:V32" si="3">ROUND(SUMIF($D$6:$D$225,R4,$L$6:$L$225),2)</f>
        <v>203.68</v>
      </c>
      <c r="W4" s="81"/>
    </row>
    <row r="5" spans="1:23" ht="12.2" customHeight="1" x14ac:dyDescent="0.2">
      <c r="A5" s="57"/>
      <c r="B5" s="56" t="s">
        <v>414</v>
      </c>
      <c r="C5" s="55"/>
      <c r="D5" s="54">
        <f>SUM(C6:C21)</f>
        <v>530.86000000000013</v>
      </c>
      <c r="E5" s="53"/>
      <c r="F5" s="52"/>
      <c r="G5" s="52"/>
      <c r="H5" s="51"/>
      <c r="I5" s="51"/>
      <c r="J5" s="51"/>
      <c r="K5" s="51"/>
      <c r="L5" s="51"/>
      <c r="M5" s="51"/>
      <c r="N5" s="50"/>
      <c r="O5" s="13"/>
      <c r="P5" s="83">
        <v>2</v>
      </c>
      <c r="Q5" s="82" t="s">
        <v>412</v>
      </c>
      <c r="R5" s="13" t="s">
        <v>78</v>
      </c>
      <c r="S5" s="76">
        <f t="shared" si="0"/>
        <v>557.70999999999992</v>
      </c>
      <c r="T5" s="76">
        <f t="shared" si="1"/>
        <v>107080.31999999998</v>
      </c>
      <c r="U5" s="77">
        <f t="shared" si="2"/>
        <v>8923.3599999999988</v>
      </c>
      <c r="V5" s="76">
        <f t="shared" si="3"/>
        <v>8923.36</v>
      </c>
      <c r="W5" s="81"/>
    </row>
    <row r="6" spans="1:23" ht="12.2" customHeight="1" x14ac:dyDescent="0.2">
      <c r="A6" s="33" t="s">
        <v>413</v>
      </c>
      <c r="B6" s="58" t="s">
        <v>81</v>
      </c>
      <c r="C6" s="37">
        <v>5.54</v>
      </c>
      <c r="D6" s="29" t="s">
        <v>393</v>
      </c>
      <c r="E6" s="30">
        <v>5</v>
      </c>
      <c r="F6" s="42">
        <f t="shared" ref="F6:F21" si="4">VLOOKUP($E6,$P$40:$R$51,3,FALSE)</f>
        <v>192</v>
      </c>
      <c r="G6" s="41">
        <f t="shared" ref="G6:G21" si="5">F6*C6</f>
        <v>1063.68</v>
      </c>
      <c r="H6" s="39">
        <v>1</v>
      </c>
      <c r="I6" s="40">
        <f t="shared" ref="I6:I21" si="6">G6/H6</f>
        <v>1063.68</v>
      </c>
      <c r="J6" s="39">
        <v>1</v>
      </c>
      <c r="K6" s="38">
        <f t="shared" ref="K6:K21" si="7">I6*J6</f>
        <v>1063.68</v>
      </c>
      <c r="L6" s="38">
        <f t="shared" ref="L6:L21" si="8">K6/12</f>
        <v>88.64</v>
      </c>
      <c r="M6" s="38">
        <f t="shared" ref="M6:M21" si="9">L6/C6</f>
        <v>16</v>
      </c>
      <c r="N6" s="27"/>
      <c r="O6" s="13"/>
      <c r="P6" s="83">
        <v>3</v>
      </c>
      <c r="Q6" s="82" t="s">
        <v>412</v>
      </c>
      <c r="R6" s="13" t="s">
        <v>282</v>
      </c>
      <c r="S6" s="76">
        <f t="shared" si="0"/>
        <v>51.33</v>
      </c>
      <c r="T6" s="76">
        <f t="shared" si="1"/>
        <v>9855.36</v>
      </c>
      <c r="U6" s="77">
        <f t="shared" si="2"/>
        <v>821.28000000000009</v>
      </c>
      <c r="V6" s="76">
        <f t="shared" si="3"/>
        <v>821.28</v>
      </c>
      <c r="W6" s="81"/>
    </row>
    <row r="7" spans="1:23" ht="12.2" customHeight="1" x14ac:dyDescent="0.2">
      <c r="A7" s="33" t="s">
        <v>411</v>
      </c>
      <c r="B7" s="86" t="s">
        <v>86</v>
      </c>
      <c r="C7" s="37">
        <v>7.52</v>
      </c>
      <c r="D7" s="29" t="s">
        <v>64</v>
      </c>
      <c r="E7" s="30">
        <v>5</v>
      </c>
      <c r="F7" s="42">
        <f t="shared" si="4"/>
        <v>192</v>
      </c>
      <c r="G7" s="41">
        <f t="shared" si="5"/>
        <v>1443.84</v>
      </c>
      <c r="H7" s="39">
        <v>1</v>
      </c>
      <c r="I7" s="40">
        <f t="shared" si="6"/>
        <v>1443.84</v>
      </c>
      <c r="J7" s="39">
        <v>1</v>
      </c>
      <c r="K7" s="38">
        <f t="shared" si="7"/>
        <v>1443.84</v>
      </c>
      <c r="L7" s="38">
        <f t="shared" si="8"/>
        <v>120.32</v>
      </c>
      <c r="M7" s="38">
        <f t="shared" si="9"/>
        <v>16</v>
      </c>
      <c r="N7" s="27"/>
      <c r="O7" s="13"/>
      <c r="P7" s="83">
        <v>4</v>
      </c>
      <c r="Q7" s="82" t="s">
        <v>404</v>
      </c>
      <c r="R7" s="13" t="s">
        <v>64</v>
      </c>
      <c r="S7" s="76">
        <f t="shared" si="0"/>
        <v>711.34</v>
      </c>
      <c r="T7" s="76">
        <f t="shared" si="1"/>
        <v>134633.28</v>
      </c>
      <c r="U7" s="77">
        <f t="shared" si="2"/>
        <v>11039.44</v>
      </c>
      <c r="V7" s="76">
        <f t="shared" si="3"/>
        <v>11219.44</v>
      </c>
      <c r="W7" s="81"/>
    </row>
    <row r="8" spans="1:23" ht="12.2" customHeight="1" x14ac:dyDescent="0.2">
      <c r="A8" s="33" t="s">
        <v>410</v>
      </c>
      <c r="B8" s="58" t="s">
        <v>84</v>
      </c>
      <c r="C8" s="37">
        <v>90.17</v>
      </c>
      <c r="D8" s="29" t="s">
        <v>64</v>
      </c>
      <c r="E8" s="30">
        <v>5</v>
      </c>
      <c r="F8" s="42">
        <f t="shared" si="4"/>
        <v>192</v>
      </c>
      <c r="G8" s="41">
        <f t="shared" si="5"/>
        <v>17312.64</v>
      </c>
      <c r="H8" s="39">
        <v>1</v>
      </c>
      <c r="I8" s="40">
        <f t="shared" si="6"/>
        <v>17312.64</v>
      </c>
      <c r="J8" s="39">
        <v>1</v>
      </c>
      <c r="K8" s="38">
        <f t="shared" si="7"/>
        <v>17312.64</v>
      </c>
      <c r="L8" s="38">
        <f t="shared" si="8"/>
        <v>1442.72</v>
      </c>
      <c r="M8" s="38">
        <f t="shared" si="9"/>
        <v>16</v>
      </c>
      <c r="N8" s="27"/>
      <c r="O8" s="13"/>
      <c r="P8" s="83">
        <v>5</v>
      </c>
      <c r="Q8" s="82" t="s">
        <v>404</v>
      </c>
      <c r="R8" s="13" t="s">
        <v>206</v>
      </c>
      <c r="S8" s="76">
        <f t="shared" si="0"/>
        <v>833.72</v>
      </c>
      <c r="T8" s="76">
        <f t="shared" si="1"/>
        <v>155106.23999999999</v>
      </c>
      <c r="U8" s="77">
        <f t="shared" si="2"/>
        <v>12580.519999999999</v>
      </c>
      <c r="V8" s="76">
        <f t="shared" si="3"/>
        <v>12925.52</v>
      </c>
      <c r="W8" s="81"/>
    </row>
    <row r="9" spans="1:23" x14ac:dyDescent="0.2">
      <c r="A9" s="33" t="s">
        <v>409</v>
      </c>
      <c r="B9" s="58" t="s">
        <v>408</v>
      </c>
      <c r="C9" s="37">
        <v>15.25</v>
      </c>
      <c r="D9" s="29" t="s">
        <v>170</v>
      </c>
      <c r="E9" s="30">
        <v>0</v>
      </c>
      <c r="F9" s="42">
        <f t="shared" si="4"/>
        <v>0</v>
      </c>
      <c r="G9" s="41">
        <f t="shared" si="5"/>
        <v>0</v>
      </c>
      <c r="H9" s="39">
        <v>1</v>
      </c>
      <c r="I9" s="40">
        <f t="shared" si="6"/>
        <v>0</v>
      </c>
      <c r="J9" s="39">
        <v>1</v>
      </c>
      <c r="K9" s="38">
        <f t="shared" si="7"/>
        <v>0</v>
      </c>
      <c r="L9" s="38">
        <f t="shared" si="8"/>
        <v>0</v>
      </c>
      <c r="M9" s="38">
        <f t="shared" si="9"/>
        <v>0</v>
      </c>
      <c r="N9" s="346" t="s">
        <v>407</v>
      </c>
      <c r="O9" s="13"/>
      <c r="P9" s="83">
        <v>6</v>
      </c>
      <c r="Q9" s="82" t="s">
        <v>404</v>
      </c>
      <c r="R9" s="13" t="s">
        <v>214</v>
      </c>
      <c r="S9" s="76">
        <f t="shared" si="0"/>
        <v>141.44</v>
      </c>
      <c r="T9" s="76">
        <f t="shared" si="1"/>
        <v>10993.18</v>
      </c>
      <c r="U9" s="77">
        <f t="shared" si="2"/>
        <v>916.09833333333336</v>
      </c>
      <c r="V9" s="76">
        <f t="shared" si="3"/>
        <v>916.1</v>
      </c>
      <c r="W9" s="81"/>
    </row>
    <row r="10" spans="1:23" x14ac:dyDescent="0.2">
      <c r="A10" s="33" t="s">
        <v>406</v>
      </c>
      <c r="B10" s="58" t="s">
        <v>405</v>
      </c>
      <c r="C10" s="37">
        <v>35.92</v>
      </c>
      <c r="D10" s="29" t="s">
        <v>395</v>
      </c>
      <c r="E10" s="30">
        <v>0</v>
      </c>
      <c r="F10" s="42">
        <f t="shared" si="4"/>
        <v>0</v>
      </c>
      <c r="G10" s="41">
        <f t="shared" si="5"/>
        <v>0</v>
      </c>
      <c r="H10" s="39">
        <v>1</v>
      </c>
      <c r="I10" s="40">
        <f t="shared" si="6"/>
        <v>0</v>
      </c>
      <c r="J10" s="39">
        <v>1</v>
      </c>
      <c r="K10" s="38">
        <f t="shared" si="7"/>
        <v>0</v>
      </c>
      <c r="L10" s="38">
        <f t="shared" si="8"/>
        <v>0</v>
      </c>
      <c r="M10" s="38">
        <f t="shared" si="9"/>
        <v>0</v>
      </c>
      <c r="N10" s="347"/>
      <c r="O10" s="13"/>
      <c r="P10" s="83">
        <v>7</v>
      </c>
      <c r="Q10" s="82" t="s">
        <v>404</v>
      </c>
      <c r="R10" s="13" t="s">
        <v>207</v>
      </c>
      <c r="S10" s="76">
        <f t="shared" si="0"/>
        <v>38</v>
      </c>
      <c r="T10" s="76">
        <f t="shared" si="1"/>
        <v>4560</v>
      </c>
      <c r="U10" s="77">
        <f t="shared" si="2"/>
        <v>380</v>
      </c>
      <c r="V10" s="76">
        <f t="shared" si="3"/>
        <v>380</v>
      </c>
      <c r="W10" s="81"/>
    </row>
    <row r="11" spans="1:23" x14ac:dyDescent="0.2">
      <c r="A11" s="33" t="s">
        <v>403</v>
      </c>
      <c r="B11" s="58" t="s">
        <v>116</v>
      </c>
      <c r="C11" s="37">
        <v>72.16</v>
      </c>
      <c r="D11" s="29" t="s">
        <v>64</v>
      </c>
      <c r="E11" s="30">
        <v>5</v>
      </c>
      <c r="F11" s="42">
        <f t="shared" si="4"/>
        <v>192</v>
      </c>
      <c r="G11" s="41">
        <f t="shared" si="5"/>
        <v>13854.72</v>
      </c>
      <c r="H11" s="39">
        <v>1</v>
      </c>
      <c r="I11" s="40">
        <f t="shared" si="6"/>
        <v>13854.72</v>
      </c>
      <c r="J11" s="39">
        <v>1</v>
      </c>
      <c r="K11" s="38">
        <f t="shared" si="7"/>
        <v>13854.72</v>
      </c>
      <c r="L11" s="38">
        <f t="shared" si="8"/>
        <v>1154.56</v>
      </c>
      <c r="M11" s="38">
        <f t="shared" si="9"/>
        <v>16</v>
      </c>
      <c r="N11" s="27"/>
      <c r="O11" s="13"/>
      <c r="P11" s="83">
        <v>8</v>
      </c>
      <c r="Q11" s="82" t="s">
        <v>399</v>
      </c>
      <c r="R11" s="13" t="s">
        <v>170</v>
      </c>
      <c r="S11" s="76">
        <f t="shared" si="0"/>
        <v>69.45</v>
      </c>
      <c r="T11" s="76">
        <f t="shared" si="1"/>
        <v>596.20000000000005</v>
      </c>
      <c r="U11" s="77">
        <f t="shared" si="2"/>
        <v>49.683333333333337</v>
      </c>
      <c r="V11" s="76">
        <f t="shared" si="3"/>
        <v>49.68</v>
      </c>
      <c r="W11" s="81"/>
    </row>
    <row r="12" spans="1:23" x14ac:dyDescent="0.2">
      <c r="A12" s="33" t="s">
        <v>402</v>
      </c>
      <c r="B12" s="58" t="s">
        <v>401</v>
      </c>
      <c r="C12" s="37">
        <v>175.67</v>
      </c>
      <c r="D12" s="29" t="s">
        <v>395</v>
      </c>
      <c r="E12" s="30">
        <v>5</v>
      </c>
      <c r="F12" s="42">
        <f t="shared" si="4"/>
        <v>192</v>
      </c>
      <c r="G12" s="41">
        <f t="shared" si="5"/>
        <v>33728.639999999999</v>
      </c>
      <c r="H12" s="39">
        <v>1</v>
      </c>
      <c r="I12" s="40">
        <f t="shared" si="6"/>
        <v>33728.639999999999</v>
      </c>
      <c r="J12" s="39">
        <v>1</v>
      </c>
      <c r="K12" s="38">
        <f t="shared" si="7"/>
        <v>33728.639999999999</v>
      </c>
      <c r="L12" s="38">
        <f t="shared" si="8"/>
        <v>2810.72</v>
      </c>
      <c r="M12" s="38">
        <f t="shared" si="9"/>
        <v>16</v>
      </c>
      <c r="N12" s="27"/>
      <c r="O12" s="13"/>
      <c r="P12" s="83">
        <v>9</v>
      </c>
      <c r="Q12" s="82" t="s">
        <v>399</v>
      </c>
      <c r="R12" s="13" t="s">
        <v>67</v>
      </c>
      <c r="S12" s="76">
        <f t="shared" si="0"/>
        <v>145.34</v>
      </c>
      <c r="T12" s="76">
        <f t="shared" si="1"/>
        <v>2046.71</v>
      </c>
      <c r="U12" s="77">
        <f t="shared" si="2"/>
        <v>170.55916666666667</v>
      </c>
      <c r="V12" s="76">
        <f t="shared" si="3"/>
        <v>170.56</v>
      </c>
      <c r="W12" s="81"/>
    </row>
    <row r="13" spans="1:23" x14ac:dyDescent="0.2">
      <c r="A13" s="33" t="s">
        <v>400</v>
      </c>
      <c r="B13" s="58" t="s">
        <v>148</v>
      </c>
      <c r="C13" s="37">
        <v>7.49</v>
      </c>
      <c r="D13" s="29" t="s">
        <v>64</v>
      </c>
      <c r="E13" s="30">
        <v>5</v>
      </c>
      <c r="F13" s="42">
        <f t="shared" si="4"/>
        <v>192</v>
      </c>
      <c r="G13" s="41">
        <f t="shared" si="5"/>
        <v>1438.08</v>
      </c>
      <c r="H13" s="39">
        <v>1</v>
      </c>
      <c r="I13" s="40">
        <f t="shared" si="6"/>
        <v>1438.08</v>
      </c>
      <c r="J13" s="39">
        <v>1</v>
      </c>
      <c r="K13" s="38">
        <f t="shared" si="7"/>
        <v>1438.08</v>
      </c>
      <c r="L13" s="38">
        <f t="shared" si="8"/>
        <v>119.83999999999999</v>
      </c>
      <c r="M13" s="38">
        <f t="shared" si="9"/>
        <v>15.999999999999998</v>
      </c>
      <c r="N13" s="27"/>
      <c r="O13" s="13"/>
      <c r="P13" s="83">
        <v>10</v>
      </c>
      <c r="Q13" s="82" t="s">
        <v>399</v>
      </c>
      <c r="R13" s="13" t="s">
        <v>174</v>
      </c>
      <c r="S13" s="76">
        <f t="shared" si="0"/>
        <v>83.09</v>
      </c>
      <c r="T13" s="76">
        <f t="shared" si="1"/>
        <v>128.15</v>
      </c>
      <c r="U13" s="77">
        <f t="shared" si="2"/>
        <v>10.679166666666667</v>
      </c>
      <c r="V13" s="76">
        <f t="shared" si="3"/>
        <v>10.68</v>
      </c>
      <c r="W13" s="81"/>
    </row>
    <row r="14" spans="1:23" x14ac:dyDescent="0.2">
      <c r="A14" s="33" t="s">
        <v>398</v>
      </c>
      <c r="B14" s="58" t="s">
        <v>397</v>
      </c>
      <c r="C14" s="37">
        <v>46.92</v>
      </c>
      <c r="D14" s="29" t="s">
        <v>64</v>
      </c>
      <c r="E14" s="30">
        <v>5</v>
      </c>
      <c r="F14" s="42">
        <f t="shared" si="4"/>
        <v>192</v>
      </c>
      <c r="G14" s="41">
        <f t="shared" si="5"/>
        <v>9008.64</v>
      </c>
      <c r="H14" s="39">
        <v>1</v>
      </c>
      <c r="I14" s="40">
        <f t="shared" si="6"/>
        <v>9008.64</v>
      </c>
      <c r="J14" s="39">
        <v>1</v>
      </c>
      <c r="K14" s="38">
        <f t="shared" si="7"/>
        <v>9008.64</v>
      </c>
      <c r="L14" s="38">
        <f t="shared" si="8"/>
        <v>750.71999999999991</v>
      </c>
      <c r="M14" s="38">
        <f t="shared" si="9"/>
        <v>15.999999999999998</v>
      </c>
      <c r="N14" s="27"/>
      <c r="O14" s="13"/>
      <c r="P14" s="83">
        <v>11</v>
      </c>
      <c r="Q14" s="82" t="s">
        <v>396</v>
      </c>
      <c r="R14" s="13" t="s">
        <v>395</v>
      </c>
      <c r="S14" s="76">
        <f t="shared" si="0"/>
        <v>211.58999999999997</v>
      </c>
      <c r="T14" s="76">
        <f t="shared" si="1"/>
        <v>33728.639999999999</v>
      </c>
      <c r="U14" s="77">
        <f t="shared" si="2"/>
        <v>2810.72</v>
      </c>
      <c r="V14" s="76">
        <f t="shared" si="3"/>
        <v>2810.72</v>
      </c>
      <c r="W14" s="81"/>
    </row>
    <row r="15" spans="1:23" x14ac:dyDescent="0.2">
      <c r="A15" s="33" t="s">
        <v>394</v>
      </c>
      <c r="B15" s="58" t="s">
        <v>79</v>
      </c>
      <c r="C15" s="37">
        <v>7.19</v>
      </c>
      <c r="D15" s="29" t="s">
        <v>393</v>
      </c>
      <c r="E15" s="30">
        <v>5</v>
      </c>
      <c r="F15" s="42">
        <f t="shared" si="4"/>
        <v>192</v>
      </c>
      <c r="G15" s="41">
        <f t="shared" si="5"/>
        <v>1380.48</v>
      </c>
      <c r="H15" s="39">
        <v>1</v>
      </c>
      <c r="I15" s="40">
        <f t="shared" si="6"/>
        <v>1380.48</v>
      </c>
      <c r="J15" s="39">
        <v>1</v>
      </c>
      <c r="K15" s="38">
        <f t="shared" si="7"/>
        <v>1380.48</v>
      </c>
      <c r="L15" s="38">
        <f t="shared" si="8"/>
        <v>115.04</v>
      </c>
      <c r="M15" s="38">
        <f t="shared" si="9"/>
        <v>16</v>
      </c>
      <c r="N15" s="27"/>
      <c r="O15" s="13"/>
      <c r="P15" s="83">
        <v>12</v>
      </c>
      <c r="Q15" s="82" t="s">
        <v>392</v>
      </c>
      <c r="R15" s="13" t="s">
        <v>56</v>
      </c>
      <c r="S15" s="76">
        <f t="shared" si="0"/>
        <v>243.43999999999997</v>
      </c>
      <c r="T15" s="76">
        <f t="shared" si="1"/>
        <v>45217.919999999991</v>
      </c>
      <c r="U15" s="77">
        <f t="shared" si="2"/>
        <v>3768.1599999999994</v>
      </c>
      <c r="V15" s="76">
        <f t="shared" si="3"/>
        <v>3768.16</v>
      </c>
      <c r="W15" s="81"/>
    </row>
    <row r="16" spans="1:23" x14ac:dyDescent="0.2">
      <c r="A16" s="33" t="s">
        <v>391</v>
      </c>
      <c r="B16" s="58" t="s">
        <v>390</v>
      </c>
      <c r="C16" s="85">
        <v>7.73</v>
      </c>
      <c r="D16" s="29" t="s">
        <v>64</v>
      </c>
      <c r="E16" s="30">
        <v>5</v>
      </c>
      <c r="F16" s="42">
        <f t="shared" si="4"/>
        <v>192</v>
      </c>
      <c r="G16" s="41">
        <f t="shared" si="5"/>
        <v>1484.16</v>
      </c>
      <c r="H16" s="39">
        <v>1</v>
      </c>
      <c r="I16" s="40">
        <f t="shared" si="6"/>
        <v>1484.16</v>
      </c>
      <c r="J16" s="39">
        <v>1</v>
      </c>
      <c r="K16" s="38">
        <f t="shared" si="7"/>
        <v>1484.16</v>
      </c>
      <c r="L16" s="38">
        <f t="shared" si="8"/>
        <v>123.68</v>
      </c>
      <c r="M16" s="38">
        <f t="shared" si="9"/>
        <v>16</v>
      </c>
      <c r="N16" s="27"/>
      <c r="O16" s="13"/>
      <c r="P16" s="83">
        <v>13</v>
      </c>
      <c r="Q16" s="82" t="s">
        <v>388</v>
      </c>
      <c r="R16" s="13" t="s">
        <v>384</v>
      </c>
      <c r="S16" s="76">
        <f t="shared" si="0"/>
        <v>2.97</v>
      </c>
      <c r="T16" s="76">
        <f t="shared" si="1"/>
        <v>118.80000000000001</v>
      </c>
      <c r="U16" s="77">
        <f t="shared" si="2"/>
        <v>9.9</v>
      </c>
      <c r="V16" s="76">
        <f t="shared" si="3"/>
        <v>9.9</v>
      </c>
      <c r="W16" s="81"/>
    </row>
    <row r="17" spans="1:23" x14ac:dyDescent="0.2">
      <c r="A17" s="33" t="s">
        <v>389</v>
      </c>
      <c r="B17" s="58" t="s">
        <v>140</v>
      </c>
      <c r="C17" s="37">
        <v>19.25</v>
      </c>
      <c r="D17" s="29" t="s">
        <v>56</v>
      </c>
      <c r="E17" s="30">
        <v>5</v>
      </c>
      <c r="F17" s="42">
        <f t="shared" si="4"/>
        <v>192</v>
      </c>
      <c r="G17" s="41">
        <f t="shared" si="5"/>
        <v>3696</v>
      </c>
      <c r="H17" s="39">
        <v>1</v>
      </c>
      <c r="I17" s="40">
        <f t="shared" si="6"/>
        <v>3696</v>
      </c>
      <c r="J17" s="39">
        <v>1</v>
      </c>
      <c r="K17" s="38">
        <f t="shared" si="7"/>
        <v>3696</v>
      </c>
      <c r="L17" s="38">
        <f t="shared" si="8"/>
        <v>308</v>
      </c>
      <c r="M17" s="38">
        <f t="shared" si="9"/>
        <v>16</v>
      </c>
      <c r="N17" s="27"/>
      <c r="O17" s="13"/>
      <c r="P17" s="83">
        <v>14</v>
      </c>
      <c r="Q17" s="82" t="s">
        <v>388</v>
      </c>
      <c r="R17" s="13" t="s">
        <v>228</v>
      </c>
      <c r="S17" s="76">
        <f t="shared" si="0"/>
        <v>10.28</v>
      </c>
      <c r="T17" s="76">
        <f t="shared" si="1"/>
        <v>411.2</v>
      </c>
      <c r="U17" s="77">
        <f t="shared" si="2"/>
        <v>34.266666666666666</v>
      </c>
      <c r="V17" s="76">
        <f t="shared" si="3"/>
        <v>34.270000000000003</v>
      </c>
      <c r="W17" s="81"/>
    </row>
    <row r="18" spans="1:23" x14ac:dyDescent="0.2">
      <c r="A18" s="33" t="s">
        <v>387</v>
      </c>
      <c r="B18" s="58" t="s">
        <v>144</v>
      </c>
      <c r="C18" s="37">
        <v>26.7</v>
      </c>
      <c r="D18" s="29" t="s">
        <v>56</v>
      </c>
      <c r="E18" s="30">
        <v>5</v>
      </c>
      <c r="F18" s="42">
        <f t="shared" si="4"/>
        <v>192</v>
      </c>
      <c r="G18" s="41">
        <f t="shared" si="5"/>
        <v>5126.3999999999996</v>
      </c>
      <c r="H18" s="39">
        <v>1</v>
      </c>
      <c r="I18" s="40">
        <f t="shared" si="6"/>
        <v>5126.3999999999996</v>
      </c>
      <c r="J18" s="39">
        <v>1</v>
      </c>
      <c r="K18" s="38">
        <f t="shared" si="7"/>
        <v>5126.3999999999996</v>
      </c>
      <c r="L18" s="38">
        <f t="shared" si="8"/>
        <v>427.2</v>
      </c>
      <c r="M18" s="38">
        <f t="shared" si="9"/>
        <v>16</v>
      </c>
      <c r="N18" s="27"/>
      <c r="O18" s="13"/>
      <c r="P18" s="83">
        <v>15</v>
      </c>
      <c r="Q18" s="82" t="s">
        <v>383</v>
      </c>
      <c r="R18" s="13" t="s">
        <v>370</v>
      </c>
      <c r="S18" s="76">
        <f t="shared" si="0"/>
        <v>77.759999999999991</v>
      </c>
      <c r="T18" s="76">
        <f t="shared" si="1"/>
        <v>6220.7999999999993</v>
      </c>
      <c r="U18" s="77">
        <f t="shared" si="2"/>
        <v>518.4</v>
      </c>
      <c r="V18" s="76">
        <f t="shared" si="3"/>
        <v>518.4</v>
      </c>
      <c r="W18" s="81"/>
    </row>
    <row r="19" spans="1:23" x14ac:dyDescent="0.2">
      <c r="A19" s="33" t="s">
        <v>386</v>
      </c>
      <c r="B19" s="58" t="s">
        <v>138</v>
      </c>
      <c r="C19" s="37">
        <v>7.81</v>
      </c>
      <c r="D19" s="29" t="s">
        <v>56</v>
      </c>
      <c r="E19" s="30">
        <v>5</v>
      </c>
      <c r="F19" s="42">
        <f t="shared" si="4"/>
        <v>192</v>
      </c>
      <c r="G19" s="41">
        <f t="shared" si="5"/>
        <v>1499.52</v>
      </c>
      <c r="H19" s="39">
        <v>1</v>
      </c>
      <c r="I19" s="40">
        <f t="shared" si="6"/>
        <v>1499.52</v>
      </c>
      <c r="J19" s="39">
        <v>1</v>
      </c>
      <c r="K19" s="38">
        <f t="shared" si="7"/>
        <v>1499.52</v>
      </c>
      <c r="L19" s="38">
        <f t="shared" si="8"/>
        <v>124.96</v>
      </c>
      <c r="M19" s="38">
        <f t="shared" si="9"/>
        <v>16</v>
      </c>
      <c r="N19" s="27"/>
      <c r="O19" s="13"/>
      <c r="P19" s="83">
        <v>16</v>
      </c>
      <c r="Q19" s="82" t="s">
        <v>383</v>
      </c>
      <c r="R19" s="13" t="s">
        <v>111</v>
      </c>
      <c r="S19" s="76">
        <f t="shared" si="0"/>
        <v>143.97</v>
      </c>
      <c r="T19" s="76">
        <f t="shared" si="1"/>
        <v>11517.599999999999</v>
      </c>
      <c r="U19" s="77">
        <f t="shared" si="2"/>
        <v>959.79999999999984</v>
      </c>
      <c r="V19" s="76">
        <f t="shared" si="3"/>
        <v>959.8</v>
      </c>
      <c r="W19" s="81"/>
    </row>
    <row r="20" spans="1:23" x14ac:dyDescent="0.2">
      <c r="A20" s="63"/>
      <c r="B20" s="84" t="s">
        <v>385</v>
      </c>
      <c r="C20" s="37">
        <v>2.97</v>
      </c>
      <c r="D20" s="29" t="s">
        <v>384</v>
      </c>
      <c r="E20" s="30">
        <v>1</v>
      </c>
      <c r="F20" s="42">
        <f t="shared" si="4"/>
        <v>40</v>
      </c>
      <c r="G20" s="41">
        <f t="shared" si="5"/>
        <v>118.80000000000001</v>
      </c>
      <c r="H20" s="39">
        <v>1</v>
      </c>
      <c r="I20" s="40">
        <f t="shared" si="6"/>
        <v>118.80000000000001</v>
      </c>
      <c r="J20" s="39">
        <v>1</v>
      </c>
      <c r="K20" s="38">
        <f t="shared" si="7"/>
        <v>118.80000000000001</v>
      </c>
      <c r="L20" s="38">
        <f t="shared" si="8"/>
        <v>9.9</v>
      </c>
      <c r="M20" s="38">
        <f t="shared" si="9"/>
        <v>3.333333333333333</v>
      </c>
      <c r="N20" s="27"/>
      <c r="O20" s="13"/>
      <c r="P20" s="83">
        <v>17</v>
      </c>
      <c r="Q20" s="82" t="s">
        <v>383</v>
      </c>
      <c r="R20" s="13" t="s">
        <v>62</v>
      </c>
      <c r="S20" s="76">
        <f t="shared" si="0"/>
        <v>16.399999999999999</v>
      </c>
      <c r="T20" s="76">
        <f t="shared" si="1"/>
        <v>1312</v>
      </c>
      <c r="U20" s="77">
        <f t="shared" si="2"/>
        <v>109.33333333333333</v>
      </c>
      <c r="V20" s="76">
        <f t="shared" si="3"/>
        <v>109.33</v>
      </c>
      <c r="W20" s="81"/>
    </row>
    <row r="21" spans="1:23" x14ac:dyDescent="0.2">
      <c r="A21" s="63"/>
      <c r="B21" s="84" t="s">
        <v>229</v>
      </c>
      <c r="C21" s="37">
        <v>2.57</v>
      </c>
      <c r="D21" s="29" t="s">
        <v>228</v>
      </c>
      <c r="E21" s="30">
        <v>1</v>
      </c>
      <c r="F21" s="42">
        <f t="shared" si="4"/>
        <v>40</v>
      </c>
      <c r="G21" s="41">
        <f t="shared" si="5"/>
        <v>102.8</v>
      </c>
      <c r="H21" s="39">
        <v>1</v>
      </c>
      <c r="I21" s="40">
        <f t="shared" si="6"/>
        <v>102.8</v>
      </c>
      <c r="J21" s="39">
        <v>1</v>
      </c>
      <c r="K21" s="38">
        <f t="shared" si="7"/>
        <v>102.8</v>
      </c>
      <c r="L21" s="38">
        <f t="shared" si="8"/>
        <v>8.5666666666666664</v>
      </c>
      <c r="M21" s="38">
        <f t="shared" si="9"/>
        <v>3.3333333333333335</v>
      </c>
      <c r="N21" s="27"/>
      <c r="O21" s="13"/>
      <c r="P21" s="83">
        <v>18</v>
      </c>
      <c r="Q21" s="82" t="s">
        <v>382</v>
      </c>
      <c r="R21" s="13" t="s">
        <v>91</v>
      </c>
      <c r="S21" s="76">
        <f t="shared" si="0"/>
        <v>490.14999999999986</v>
      </c>
      <c r="T21" s="76">
        <f t="shared" si="1"/>
        <v>34094.400000000001</v>
      </c>
      <c r="U21" s="77">
        <f t="shared" si="2"/>
        <v>2841.2000000000003</v>
      </c>
      <c r="V21" s="76">
        <f t="shared" si="3"/>
        <v>2841.2</v>
      </c>
      <c r="W21" s="81"/>
    </row>
    <row r="22" spans="1:23" x14ac:dyDescent="0.2">
      <c r="A22" s="63"/>
      <c r="B22" s="58"/>
      <c r="C22" s="37"/>
      <c r="D22" s="30"/>
      <c r="E22" s="30"/>
      <c r="F22" s="42"/>
      <c r="G22" s="41"/>
      <c r="H22" s="39"/>
      <c r="I22" s="40"/>
      <c r="J22" s="39"/>
      <c r="K22" s="38"/>
      <c r="L22" s="38"/>
      <c r="M22" s="38"/>
      <c r="N22" s="27"/>
      <c r="O22" s="13"/>
      <c r="P22" s="83">
        <v>19</v>
      </c>
      <c r="Q22" s="82" t="s">
        <v>382</v>
      </c>
      <c r="R22" s="13" t="s">
        <v>186</v>
      </c>
      <c r="S22" s="76">
        <f t="shared" si="0"/>
        <v>25.87</v>
      </c>
      <c r="T22" s="76">
        <f t="shared" si="1"/>
        <v>1034.8</v>
      </c>
      <c r="U22" s="77">
        <f t="shared" si="2"/>
        <v>86.233333333333334</v>
      </c>
      <c r="V22" s="76">
        <f t="shared" si="3"/>
        <v>86.23</v>
      </c>
      <c r="W22" s="81"/>
    </row>
    <row r="23" spans="1:23" x14ac:dyDescent="0.2">
      <c r="A23" s="57"/>
      <c r="B23" s="56" t="s">
        <v>169</v>
      </c>
      <c r="C23" s="55"/>
      <c r="D23" s="54">
        <f>SUM(C24:C54)</f>
        <v>925.58000000000015</v>
      </c>
      <c r="E23" s="53"/>
      <c r="F23" s="52"/>
      <c r="G23" s="52"/>
      <c r="H23" s="51"/>
      <c r="I23" s="51"/>
      <c r="J23" s="51"/>
      <c r="K23" s="51"/>
      <c r="L23" s="51"/>
      <c r="M23" s="51"/>
      <c r="N23" s="50"/>
      <c r="O23" s="13"/>
      <c r="P23" s="83">
        <v>20</v>
      </c>
      <c r="Q23" s="82" t="s">
        <v>381</v>
      </c>
      <c r="R23" s="13" t="s">
        <v>75</v>
      </c>
      <c r="S23" s="76">
        <f t="shared" si="0"/>
        <v>1794.8000000000004</v>
      </c>
      <c r="T23" s="76">
        <f t="shared" si="1"/>
        <v>344601.60000000003</v>
      </c>
      <c r="U23" s="77">
        <f t="shared" si="2"/>
        <v>28716.800000000003</v>
      </c>
      <c r="V23" s="76">
        <f t="shared" si="3"/>
        <v>28716.799999999999</v>
      </c>
      <c r="W23" s="81"/>
    </row>
    <row r="24" spans="1:23" x14ac:dyDescent="0.2">
      <c r="A24" s="63" t="s">
        <v>380</v>
      </c>
      <c r="B24" s="58" t="s">
        <v>379</v>
      </c>
      <c r="C24" s="37">
        <v>25.04</v>
      </c>
      <c r="D24" s="29" t="s">
        <v>370</v>
      </c>
      <c r="E24" s="30">
        <v>2</v>
      </c>
      <c r="F24" s="42">
        <f t="shared" ref="F24:F54" si="10">VLOOKUP($E24,$P$40:$R$51,3,FALSE)</f>
        <v>80</v>
      </c>
      <c r="G24" s="41">
        <f t="shared" ref="G24:G54" si="11">F24*C24</f>
        <v>2003.1999999999998</v>
      </c>
      <c r="H24" s="39">
        <v>1</v>
      </c>
      <c r="I24" s="40">
        <f t="shared" ref="I24:I54" si="12">G24/H24</f>
        <v>2003.1999999999998</v>
      </c>
      <c r="J24" s="39">
        <v>1</v>
      </c>
      <c r="K24" s="38">
        <f t="shared" ref="K24:K54" si="13">I24*J24</f>
        <v>2003.1999999999998</v>
      </c>
      <c r="L24" s="38">
        <f t="shared" ref="L24:L54" si="14">K24/12</f>
        <v>166.93333333333331</v>
      </c>
      <c r="M24" s="38">
        <f t="shared" ref="M24:M54" si="15">L24/C24</f>
        <v>6.6666666666666661</v>
      </c>
      <c r="N24" s="27"/>
      <c r="O24" s="13"/>
      <c r="P24" s="83">
        <v>21</v>
      </c>
      <c r="Q24" s="82" t="s">
        <v>378</v>
      </c>
      <c r="R24" s="13" t="s">
        <v>88</v>
      </c>
      <c r="S24" s="76">
        <f t="shared" si="0"/>
        <v>1058.55</v>
      </c>
      <c r="T24" s="76">
        <f t="shared" si="1"/>
        <v>182063.76</v>
      </c>
      <c r="U24" s="77">
        <f t="shared" si="2"/>
        <v>15171.980000000001</v>
      </c>
      <c r="V24" s="76">
        <f t="shared" si="3"/>
        <v>15171.98</v>
      </c>
      <c r="W24" s="81"/>
    </row>
    <row r="25" spans="1:23" x14ac:dyDescent="0.2">
      <c r="A25" s="63" t="s">
        <v>377</v>
      </c>
      <c r="B25" s="58" t="s">
        <v>376</v>
      </c>
      <c r="C25" s="37">
        <v>23.83</v>
      </c>
      <c r="D25" s="29" t="s">
        <v>111</v>
      </c>
      <c r="E25" s="30">
        <v>2</v>
      </c>
      <c r="F25" s="42">
        <f t="shared" si="10"/>
        <v>80</v>
      </c>
      <c r="G25" s="41">
        <f t="shared" si="11"/>
        <v>1906.3999999999999</v>
      </c>
      <c r="H25" s="39">
        <v>1</v>
      </c>
      <c r="I25" s="40">
        <f t="shared" si="12"/>
        <v>1906.3999999999999</v>
      </c>
      <c r="J25" s="39">
        <v>1</v>
      </c>
      <c r="K25" s="38">
        <f t="shared" si="13"/>
        <v>1906.3999999999999</v>
      </c>
      <c r="L25" s="38">
        <f t="shared" si="14"/>
        <v>158.86666666666665</v>
      </c>
      <c r="M25" s="38">
        <f t="shared" si="15"/>
        <v>6.6666666666666661</v>
      </c>
      <c r="N25" s="27"/>
      <c r="O25" s="13"/>
      <c r="P25" s="83">
        <v>22</v>
      </c>
      <c r="Q25" s="82" t="s">
        <v>76</v>
      </c>
      <c r="R25" s="13" t="s">
        <v>231</v>
      </c>
      <c r="S25" s="76">
        <f t="shared" si="0"/>
        <v>106.58</v>
      </c>
      <c r="T25" s="76">
        <f t="shared" si="1"/>
        <v>20463.36</v>
      </c>
      <c r="U25" s="77">
        <f t="shared" si="2"/>
        <v>1705.28</v>
      </c>
      <c r="V25" s="76">
        <f t="shared" si="3"/>
        <v>1705.28</v>
      </c>
      <c r="W25" s="81"/>
    </row>
    <row r="26" spans="1:23" x14ac:dyDescent="0.2">
      <c r="A26" s="63" t="s">
        <v>375</v>
      </c>
      <c r="B26" s="58" t="s">
        <v>374</v>
      </c>
      <c r="C26" s="37">
        <v>15.4</v>
      </c>
      <c r="D26" s="29" t="s">
        <v>370</v>
      </c>
      <c r="E26" s="30">
        <v>2</v>
      </c>
      <c r="F26" s="42">
        <f t="shared" si="10"/>
        <v>80</v>
      </c>
      <c r="G26" s="41">
        <f t="shared" si="11"/>
        <v>1232</v>
      </c>
      <c r="H26" s="39">
        <v>1</v>
      </c>
      <c r="I26" s="40">
        <f t="shared" si="12"/>
        <v>1232</v>
      </c>
      <c r="J26" s="39">
        <v>1</v>
      </c>
      <c r="K26" s="38">
        <f t="shared" si="13"/>
        <v>1232</v>
      </c>
      <c r="L26" s="38">
        <f t="shared" si="14"/>
        <v>102.66666666666667</v>
      </c>
      <c r="M26" s="38">
        <f t="shared" si="15"/>
        <v>6.666666666666667</v>
      </c>
      <c r="N26" s="27"/>
      <c r="O26" s="13"/>
      <c r="P26" s="83">
        <v>23</v>
      </c>
      <c r="Q26" s="82" t="s">
        <v>373</v>
      </c>
      <c r="R26" s="13" t="s">
        <v>95</v>
      </c>
      <c r="S26" s="76">
        <f t="shared" si="0"/>
        <v>402.5</v>
      </c>
      <c r="T26" s="76">
        <f t="shared" si="1"/>
        <v>9060</v>
      </c>
      <c r="U26" s="77">
        <f t="shared" si="2"/>
        <v>755</v>
      </c>
      <c r="V26" s="76">
        <f t="shared" si="3"/>
        <v>755</v>
      </c>
      <c r="W26" s="81"/>
    </row>
    <row r="27" spans="1:23" x14ac:dyDescent="0.2">
      <c r="A27" s="63" t="s">
        <v>372</v>
      </c>
      <c r="B27" s="58" t="s">
        <v>371</v>
      </c>
      <c r="C27" s="37">
        <v>37.32</v>
      </c>
      <c r="D27" s="29" t="s">
        <v>370</v>
      </c>
      <c r="E27" s="30">
        <v>2</v>
      </c>
      <c r="F27" s="42">
        <f t="shared" si="10"/>
        <v>80</v>
      </c>
      <c r="G27" s="41">
        <f t="shared" si="11"/>
        <v>2985.6</v>
      </c>
      <c r="H27" s="39">
        <v>1</v>
      </c>
      <c r="I27" s="40">
        <f t="shared" si="12"/>
        <v>2985.6</v>
      </c>
      <c r="J27" s="39">
        <v>1</v>
      </c>
      <c r="K27" s="38">
        <f t="shared" si="13"/>
        <v>2985.6</v>
      </c>
      <c r="L27" s="38">
        <f t="shared" si="14"/>
        <v>248.79999999999998</v>
      </c>
      <c r="M27" s="38">
        <f t="shared" si="15"/>
        <v>6.6666666666666661</v>
      </c>
      <c r="N27" s="27"/>
      <c r="O27" s="13"/>
      <c r="P27" s="83">
        <v>24</v>
      </c>
      <c r="Q27" s="82" t="s">
        <v>73</v>
      </c>
      <c r="R27" s="13" t="s">
        <v>71</v>
      </c>
      <c r="S27" s="76">
        <f t="shared" si="0"/>
        <v>273.7</v>
      </c>
      <c r="T27" s="76">
        <f t="shared" si="1"/>
        <v>52550.399999999994</v>
      </c>
      <c r="U27" s="77">
        <f t="shared" si="2"/>
        <v>4379.2</v>
      </c>
      <c r="V27" s="76">
        <f t="shared" si="3"/>
        <v>4379.2</v>
      </c>
      <c r="W27" s="81"/>
    </row>
    <row r="28" spans="1:23" x14ac:dyDescent="0.2">
      <c r="A28" s="63" t="s">
        <v>369</v>
      </c>
      <c r="B28" s="58" t="s">
        <v>368</v>
      </c>
      <c r="C28" s="37">
        <v>14.83</v>
      </c>
      <c r="D28" s="29" t="s">
        <v>206</v>
      </c>
      <c r="E28" s="30">
        <v>5</v>
      </c>
      <c r="F28" s="42">
        <f t="shared" si="10"/>
        <v>192</v>
      </c>
      <c r="G28" s="41">
        <f t="shared" si="11"/>
        <v>2847.36</v>
      </c>
      <c r="H28" s="39">
        <v>1</v>
      </c>
      <c r="I28" s="40">
        <f t="shared" si="12"/>
        <v>2847.36</v>
      </c>
      <c r="J28" s="39">
        <v>1</v>
      </c>
      <c r="K28" s="38">
        <f t="shared" si="13"/>
        <v>2847.36</v>
      </c>
      <c r="L28" s="38">
        <f t="shared" si="14"/>
        <v>237.28</v>
      </c>
      <c r="M28" s="38">
        <f t="shared" si="15"/>
        <v>16</v>
      </c>
      <c r="N28" s="27"/>
      <c r="O28" s="13"/>
      <c r="P28" s="83">
        <v>25</v>
      </c>
      <c r="Q28" s="82" t="s">
        <v>367</v>
      </c>
      <c r="R28" s="13" t="s">
        <v>366</v>
      </c>
      <c r="S28" s="76">
        <f t="shared" si="0"/>
        <v>0</v>
      </c>
      <c r="T28" s="76">
        <f t="shared" si="1"/>
        <v>0</v>
      </c>
      <c r="U28" s="77">
        <f t="shared" si="2"/>
        <v>0</v>
      </c>
      <c r="V28" s="76">
        <f t="shared" si="3"/>
        <v>0</v>
      </c>
      <c r="W28" s="81"/>
    </row>
    <row r="29" spans="1:23" x14ac:dyDescent="0.2">
      <c r="A29" s="63" t="s">
        <v>365</v>
      </c>
      <c r="B29" s="58" t="s">
        <v>79</v>
      </c>
      <c r="C29" s="37">
        <v>36.67</v>
      </c>
      <c r="D29" s="29" t="s">
        <v>78</v>
      </c>
      <c r="E29" s="30">
        <v>5</v>
      </c>
      <c r="F29" s="42">
        <f t="shared" si="10"/>
        <v>192</v>
      </c>
      <c r="G29" s="41">
        <f t="shared" si="11"/>
        <v>7040.64</v>
      </c>
      <c r="H29" s="39">
        <v>1</v>
      </c>
      <c r="I29" s="40">
        <f t="shared" si="12"/>
        <v>7040.64</v>
      </c>
      <c r="J29" s="39">
        <v>1</v>
      </c>
      <c r="K29" s="38">
        <f t="shared" si="13"/>
        <v>7040.64</v>
      </c>
      <c r="L29" s="38">
        <f t="shared" si="14"/>
        <v>586.72</v>
      </c>
      <c r="M29" s="38">
        <f t="shared" si="15"/>
        <v>16</v>
      </c>
      <c r="N29" s="27"/>
      <c r="O29" s="13"/>
      <c r="P29" s="83">
        <v>26</v>
      </c>
      <c r="Q29" s="82" t="s">
        <v>364</v>
      </c>
      <c r="R29" s="13" t="s">
        <v>54</v>
      </c>
      <c r="S29" s="76">
        <f t="shared" si="0"/>
        <v>43.989999999999995</v>
      </c>
      <c r="T29" s="76">
        <f t="shared" si="1"/>
        <v>8446.08</v>
      </c>
      <c r="U29" s="77">
        <f t="shared" si="2"/>
        <v>703.84</v>
      </c>
      <c r="V29" s="76">
        <f t="shared" si="3"/>
        <v>703.84</v>
      </c>
      <c r="W29" s="81"/>
    </row>
    <row r="30" spans="1:23" x14ac:dyDescent="0.2">
      <c r="A30" s="63" t="s">
        <v>363</v>
      </c>
      <c r="B30" s="58" t="s">
        <v>362</v>
      </c>
      <c r="C30" s="37">
        <v>66.78</v>
      </c>
      <c r="D30" s="29" t="s">
        <v>206</v>
      </c>
      <c r="E30" s="30">
        <v>5</v>
      </c>
      <c r="F30" s="42">
        <f t="shared" si="10"/>
        <v>192</v>
      </c>
      <c r="G30" s="41">
        <f t="shared" si="11"/>
        <v>12821.76</v>
      </c>
      <c r="H30" s="39">
        <v>1</v>
      </c>
      <c r="I30" s="40">
        <f t="shared" si="12"/>
        <v>12821.76</v>
      </c>
      <c r="J30" s="39">
        <v>1</v>
      </c>
      <c r="K30" s="38">
        <f t="shared" si="13"/>
        <v>12821.76</v>
      </c>
      <c r="L30" s="38">
        <f t="shared" si="14"/>
        <v>1068.48</v>
      </c>
      <c r="M30" s="38">
        <f t="shared" si="15"/>
        <v>16</v>
      </c>
      <c r="N30" s="27"/>
      <c r="O30" s="13"/>
      <c r="P30" s="83">
        <v>27</v>
      </c>
      <c r="Q30" s="82"/>
      <c r="R30" s="13"/>
      <c r="S30" s="76">
        <f t="shared" si="0"/>
        <v>0</v>
      </c>
      <c r="T30" s="76">
        <f t="shared" si="1"/>
        <v>0</v>
      </c>
      <c r="U30" s="77">
        <f t="shared" si="2"/>
        <v>0</v>
      </c>
      <c r="V30" s="76">
        <f t="shared" si="3"/>
        <v>0</v>
      </c>
      <c r="W30" s="81"/>
    </row>
    <row r="31" spans="1:23" x14ac:dyDescent="0.2">
      <c r="A31" s="63" t="s">
        <v>361</v>
      </c>
      <c r="B31" s="58" t="s">
        <v>360</v>
      </c>
      <c r="C31" s="37">
        <v>8.8000000000000007</v>
      </c>
      <c r="D31" s="29" t="s">
        <v>206</v>
      </c>
      <c r="E31" s="30">
        <v>5</v>
      </c>
      <c r="F31" s="42">
        <f t="shared" si="10"/>
        <v>192</v>
      </c>
      <c r="G31" s="41">
        <f t="shared" si="11"/>
        <v>1689.6000000000001</v>
      </c>
      <c r="H31" s="39">
        <v>1</v>
      </c>
      <c r="I31" s="40">
        <f t="shared" si="12"/>
        <v>1689.6000000000001</v>
      </c>
      <c r="J31" s="39">
        <v>1</v>
      </c>
      <c r="K31" s="38">
        <f t="shared" si="13"/>
        <v>1689.6000000000001</v>
      </c>
      <c r="L31" s="38">
        <f t="shared" si="14"/>
        <v>140.80000000000001</v>
      </c>
      <c r="M31" s="38">
        <f t="shared" si="15"/>
        <v>16</v>
      </c>
      <c r="N31" s="27"/>
      <c r="O31" s="13"/>
      <c r="P31" s="83">
        <v>28</v>
      </c>
      <c r="Q31" s="82"/>
      <c r="R31" s="13"/>
      <c r="S31" s="76">
        <f t="shared" si="0"/>
        <v>0</v>
      </c>
      <c r="T31" s="76">
        <f t="shared" si="1"/>
        <v>0</v>
      </c>
      <c r="U31" s="77">
        <f t="shared" si="2"/>
        <v>0</v>
      </c>
      <c r="V31" s="76">
        <f t="shared" si="3"/>
        <v>0</v>
      </c>
      <c r="W31" s="81"/>
    </row>
    <row r="32" spans="1:23" x14ac:dyDescent="0.2">
      <c r="A32" s="63" t="s">
        <v>359</v>
      </c>
      <c r="B32" s="58" t="s">
        <v>112</v>
      </c>
      <c r="C32" s="37">
        <v>37.32</v>
      </c>
      <c r="D32" s="29" t="s">
        <v>111</v>
      </c>
      <c r="E32" s="30">
        <v>2</v>
      </c>
      <c r="F32" s="42">
        <f t="shared" si="10"/>
        <v>80</v>
      </c>
      <c r="G32" s="41">
        <f t="shared" si="11"/>
        <v>2985.6</v>
      </c>
      <c r="H32" s="39">
        <v>1</v>
      </c>
      <c r="I32" s="40">
        <f t="shared" si="12"/>
        <v>2985.6</v>
      </c>
      <c r="J32" s="39">
        <v>1</v>
      </c>
      <c r="K32" s="38">
        <f t="shared" si="13"/>
        <v>2985.6</v>
      </c>
      <c r="L32" s="38">
        <f t="shared" si="14"/>
        <v>248.79999999999998</v>
      </c>
      <c r="M32" s="38">
        <f t="shared" si="15"/>
        <v>6.6666666666666661</v>
      </c>
      <c r="N32" s="27"/>
      <c r="O32" s="13"/>
      <c r="P32" s="80">
        <v>29</v>
      </c>
      <c r="Q32" s="79"/>
      <c r="R32" s="78"/>
      <c r="S32" s="76">
        <f t="shared" si="0"/>
        <v>0</v>
      </c>
      <c r="T32" s="76">
        <f t="shared" si="1"/>
        <v>0</v>
      </c>
      <c r="U32" s="77">
        <f t="shared" si="2"/>
        <v>0</v>
      </c>
      <c r="V32" s="76">
        <f t="shared" si="3"/>
        <v>0</v>
      </c>
      <c r="W32" s="75"/>
    </row>
    <row r="33" spans="1:23" ht="13.5" thickBot="1" x14ac:dyDescent="0.25">
      <c r="A33" s="63" t="s">
        <v>358</v>
      </c>
      <c r="B33" s="58" t="s">
        <v>357</v>
      </c>
      <c r="C33" s="37">
        <v>36.17</v>
      </c>
      <c r="D33" s="29" t="s">
        <v>91</v>
      </c>
      <c r="E33" s="30">
        <v>2</v>
      </c>
      <c r="F33" s="42">
        <f t="shared" si="10"/>
        <v>80</v>
      </c>
      <c r="G33" s="41">
        <f t="shared" si="11"/>
        <v>2893.6000000000004</v>
      </c>
      <c r="H33" s="39">
        <v>1</v>
      </c>
      <c r="I33" s="40">
        <f t="shared" si="12"/>
        <v>2893.6000000000004</v>
      </c>
      <c r="J33" s="39">
        <v>1</v>
      </c>
      <c r="K33" s="38">
        <f t="shared" si="13"/>
        <v>2893.6000000000004</v>
      </c>
      <c r="L33" s="38">
        <f t="shared" si="14"/>
        <v>241.13333333333335</v>
      </c>
      <c r="M33" s="38">
        <f t="shared" si="15"/>
        <v>6.666666666666667</v>
      </c>
      <c r="N33" s="67"/>
      <c r="O33" s="8"/>
      <c r="P33" s="74"/>
      <c r="Q33" s="73"/>
      <c r="R33" s="73"/>
      <c r="S33" s="72">
        <f>SUM(S4:S32)</f>
        <v>7546.7</v>
      </c>
      <c r="T33" s="72">
        <f>SUM(T4:T32)</f>
        <v>1178284.9600000002</v>
      </c>
      <c r="U33" s="72">
        <f>SUM(U4:U32)</f>
        <v>97665.41333333333</v>
      </c>
      <c r="V33" s="72">
        <f>SUM(V4:V32)</f>
        <v>98190.409999999989</v>
      </c>
      <c r="W33" s="71"/>
    </row>
    <row r="34" spans="1:23" x14ac:dyDescent="0.2">
      <c r="A34" s="63" t="s">
        <v>356</v>
      </c>
      <c r="B34" s="58" t="s">
        <v>355</v>
      </c>
      <c r="C34" s="37">
        <v>54.85</v>
      </c>
      <c r="D34" s="29" t="s">
        <v>75</v>
      </c>
      <c r="E34" s="30">
        <v>5</v>
      </c>
      <c r="F34" s="42">
        <f t="shared" si="10"/>
        <v>192</v>
      </c>
      <c r="G34" s="41">
        <f t="shared" si="11"/>
        <v>10531.2</v>
      </c>
      <c r="H34" s="39">
        <v>1</v>
      </c>
      <c r="I34" s="40">
        <f t="shared" si="12"/>
        <v>10531.2</v>
      </c>
      <c r="J34" s="39">
        <v>1</v>
      </c>
      <c r="K34" s="38">
        <f t="shared" si="13"/>
        <v>10531.2</v>
      </c>
      <c r="L34" s="38">
        <f t="shared" si="14"/>
        <v>877.6</v>
      </c>
      <c r="M34" s="38">
        <f t="shared" si="15"/>
        <v>16</v>
      </c>
      <c r="N34" s="27"/>
      <c r="O34" s="8"/>
      <c r="W34" s="8"/>
    </row>
    <row r="35" spans="1:23" x14ac:dyDescent="0.2">
      <c r="A35" s="63" t="s">
        <v>354</v>
      </c>
      <c r="B35" s="58" t="s">
        <v>353</v>
      </c>
      <c r="C35" s="37">
        <v>54.91</v>
      </c>
      <c r="D35" s="29" t="s">
        <v>75</v>
      </c>
      <c r="E35" s="30">
        <v>5</v>
      </c>
      <c r="F35" s="42">
        <f t="shared" si="10"/>
        <v>192</v>
      </c>
      <c r="G35" s="41">
        <f t="shared" si="11"/>
        <v>10542.72</v>
      </c>
      <c r="H35" s="39">
        <v>1</v>
      </c>
      <c r="I35" s="40">
        <f t="shared" si="12"/>
        <v>10542.72</v>
      </c>
      <c r="J35" s="39">
        <v>1</v>
      </c>
      <c r="K35" s="38">
        <f t="shared" si="13"/>
        <v>10542.72</v>
      </c>
      <c r="L35" s="38">
        <f t="shared" si="14"/>
        <v>878.56</v>
      </c>
      <c r="M35" s="38">
        <f t="shared" si="15"/>
        <v>16</v>
      </c>
      <c r="N35" s="27"/>
      <c r="O35" s="8"/>
      <c r="W35" s="8"/>
    </row>
    <row r="36" spans="1:23" x14ac:dyDescent="0.2">
      <c r="A36" s="63" t="s">
        <v>352</v>
      </c>
      <c r="B36" s="58" t="s">
        <v>86</v>
      </c>
      <c r="C36" s="37">
        <v>100.44</v>
      </c>
      <c r="D36" s="29" t="s">
        <v>206</v>
      </c>
      <c r="E36" s="30">
        <v>5</v>
      </c>
      <c r="F36" s="42">
        <f t="shared" si="10"/>
        <v>192</v>
      </c>
      <c r="G36" s="41">
        <f t="shared" si="11"/>
        <v>19284.48</v>
      </c>
      <c r="H36" s="39">
        <v>1</v>
      </c>
      <c r="I36" s="40">
        <f t="shared" si="12"/>
        <v>19284.48</v>
      </c>
      <c r="J36" s="39">
        <v>1</v>
      </c>
      <c r="K36" s="38">
        <f t="shared" si="13"/>
        <v>19284.48</v>
      </c>
      <c r="L36" s="38">
        <f t="shared" si="14"/>
        <v>1607.04</v>
      </c>
      <c r="M36" s="38">
        <f t="shared" si="15"/>
        <v>16</v>
      </c>
      <c r="N36" s="27"/>
      <c r="O36" s="8"/>
      <c r="W36" s="8"/>
    </row>
    <row r="37" spans="1:23" x14ac:dyDescent="0.2">
      <c r="A37" s="63" t="s">
        <v>351</v>
      </c>
      <c r="B37" s="58" t="s">
        <v>350</v>
      </c>
      <c r="C37" s="37">
        <v>54.91</v>
      </c>
      <c r="D37" s="29" t="s">
        <v>75</v>
      </c>
      <c r="E37" s="30">
        <v>5</v>
      </c>
      <c r="F37" s="42">
        <f t="shared" si="10"/>
        <v>192</v>
      </c>
      <c r="G37" s="41">
        <f t="shared" si="11"/>
        <v>10542.72</v>
      </c>
      <c r="H37" s="39">
        <v>1</v>
      </c>
      <c r="I37" s="40">
        <f t="shared" si="12"/>
        <v>10542.72</v>
      </c>
      <c r="J37" s="39">
        <v>1</v>
      </c>
      <c r="K37" s="38">
        <f t="shared" si="13"/>
        <v>10542.72</v>
      </c>
      <c r="L37" s="38">
        <f t="shared" si="14"/>
        <v>878.56</v>
      </c>
      <c r="M37" s="38">
        <f t="shared" si="15"/>
        <v>16</v>
      </c>
      <c r="N37" s="27"/>
      <c r="O37" s="8"/>
      <c r="W37" s="8"/>
    </row>
    <row r="38" spans="1:23" x14ac:dyDescent="0.2">
      <c r="A38" s="63" t="s">
        <v>349</v>
      </c>
      <c r="B38" s="58" t="s">
        <v>348</v>
      </c>
      <c r="C38" s="37">
        <v>54.85</v>
      </c>
      <c r="D38" s="29" t="s">
        <v>75</v>
      </c>
      <c r="E38" s="30">
        <v>5</v>
      </c>
      <c r="F38" s="42">
        <f t="shared" si="10"/>
        <v>192</v>
      </c>
      <c r="G38" s="41">
        <f t="shared" si="11"/>
        <v>10531.2</v>
      </c>
      <c r="H38" s="39">
        <v>1</v>
      </c>
      <c r="I38" s="40">
        <f t="shared" si="12"/>
        <v>10531.2</v>
      </c>
      <c r="J38" s="39">
        <v>1</v>
      </c>
      <c r="K38" s="38">
        <f t="shared" si="13"/>
        <v>10531.2</v>
      </c>
      <c r="L38" s="38">
        <f t="shared" si="14"/>
        <v>877.6</v>
      </c>
      <c r="M38" s="38">
        <f t="shared" si="15"/>
        <v>16</v>
      </c>
      <c r="N38" s="27"/>
      <c r="O38" s="13"/>
      <c r="W38" s="8"/>
    </row>
    <row r="39" spans="1:23" x14ac:dyDescent="0.2">
      <c r="A39" s="63" t="s">
        <v>347</v>
      </c>
      <c r="B39" s="58" t="s">
        <v>346</v>
      </c>
      <c r="C39" s="37">
        <v>54.51</v>
      </c>
      <c r="D39" s="29" t="s">
        <v>88</v>
      </c>
      <c r="E39" s="30">
        <v>5</v>
      </c>
      <c r="F39" s="42">
        <f t="shared" si="10"/>
        <v>192</v>
      </c>
      <c r="G39" s="41">
        <f t="shared" si="11"/>
        <v>10465.92</v>
      </c>
      <c r="H39" s="39">
        <v>1</v>
      </c>
      <c r="I39" s="40">
        <f t="shared" si="12"/>
        <v>10465.92</v>
      </c>
      <c r="J39" s="39">
        <v>1</v>
      </c>
      <c r="K39" s="38">
        <f t="shared" si="13"/>
        <v>10465.92</v>
      </c>
      <c r="L39" s="38">
        <f t="shared" si="14"/>
        <v>872.16</v>
      </c>
      <c r="M39" s="38">
        <f t="shared" si="15"/>
        <v>16</v>
      </c>
      <c r="N39" s="27"/>
      <c r="O39" s="13"/>
      <c r="P39" s="18" t="s">
        <v>345</v>
      </c>
      <c r="S39" s="18" t="s">
        <v>344</v>
      </c>
      <c r="W39" s="8"/>
    </row>
    <row r="40" spans="1:23" x14ac:dyDescent="0.2">
      <c r="A40" s="63" t="s">
        <v>343</v>
      </c>
      <c r="B40" s="58" t="s">
        <v>126</v>
      </c>
      <c r="C40" s="37">
        <v>37.5</v>
      </c>
      <c r="D40" s="29" t="s">
        <v>91</v>
      </c>
      <c r="E40" s="30">
        <v>2</v>
      </c>
      <c r="F40" s="42">
        <f t="shared" si="10"/>
        <v>80</v>
      </c>
      <c r="G40" s="41">
        <f t="shared" si="11"/>
        <v>3000</v>
      </c>
      <c r="H40" s="39">
        <v>1</v>
      </c>
      <c r="I40" s="40">
        <f t="shared" si="12"/>
        <v>3000</v>
      </c>
      <c r="J40" s="39">
        <v>1</v>
      </c>
      <c r="K40" s="38">
        <f t="shared" si="13"/>
        <v>3000</v>
      </c>
      <c r="L40" s="38">
        <f t="shared" si="14"/>
        <v>250</v>
      </c>
      <c r="M40" s="38">
        <f t="shared" si="15"/>
        <v>6.666666666666667</v>
      </c>
      <c r="N40" s="27"/>
      <c r="O40" s="13"/>
      <c r="P40" s="69">
        <v>0</v>
      </c>
      <c r="Q40" s="8" t="s">
        <v>342</v>
      </c>
      <c r="R40" s="70">
        <v>0</v>
      </c>
      <c r="W40" s="8"/>
    </row>
    <row r="41" spans="1:23" x14ac:dyDescent="0.2">
      <c r="A41" s="63" t="s">
        <v>341</v>
      </c>
      <c r="B41" s="58" t="s">
        <v>270</v>
      </c>
      <c r="C41" s="37">
        <v>21.64</v>
      </c>
      <c r="D41" s="29" t="s">
        <v>91</v>
      </c>
      <c r="E41" s="30">
        <v>2</v>
      </c>
      <c r="F41" s="42">
        <f t="shared" si="10"/>
        <v>80</v>
      </c>
      <c r="G41" s="41">
        <f t="shared" si="11"/>
        <v>1731.2</v>
      </c>
      <c r="H41" s="39">
        <v>1</v>
      </c>
      <c r="I41" s="40">
        <f t="shared" si="12"/>
        <v>1731.2</v>
      </c>
      <c r="J41" s="39">
        <v>1</v>
      </c>
      <c r="K41" s="38">
        <f t="shared" si="13"/>
        <v>1731.2</v>
      </c>
      <c r="L41" s="38">
        <f t="shared" si="14"/>
        <v>144.26666666666668</v>
      </c>
      <c r="M41" s="38">
        <f t="shared" si="15"/>
        <v>6.666666666666667</v>
      </c>
      <c r="N41" s="27"/>
      <c r="O41" s="13"/>
      <c r="P41" s="69">
        <v>1</v>
      </c>
      <c r="Q41" s="8" t="s">
        <v>340</v>
      </c>
      <c r="R41" s="68">
        <v>40</v>
      </c>
      <c r="S41" s="8" t="s">
        <v>339</v>
      </c>
      <c r="W41" s="8"/>
    </row>
    <row r="42" spans="1:23" x14ac:dyDescent="0.2">
      <c r="A42" s="63" t="s">
        <v>338</v>
      </c>
      <c r="B42" s="58" t="s">
        <v>140</v>
      </c>
      <c r="C42" s="37">
        <v>20.86</v>
      </c>
      <c r="D42" s="29" t="s">
        <v>56</v>
      </c>
      <c r="E42" s="30">
        <v>5</v>
      </c>
      <c r="F42" s="42">
        <f t="shared" si="10"/>
        <v>192</v>
      </c>
      <c r="G42" s="41">
        <f t="shared" si="11"/>
        <v>4005.12</v>
      </c>
      <c r="H42" s="39">
        <v>1</v>
      </c>
      <c r="I42" s="40">
        <f t="shared" si="12"/>
        <v>4005.12</v>
      </c>
      <c r="J42" s="39">
        <v>1</v>
      </c>
      <c r="K42" s="38">
        <f t="shared" si="13"/>
        <v>4005.12</v>
      </c>
      <c r="L42" s="38">
        <f t="shared" si="14"/>
        <v>333.76</v>
      </c>
      <c r="M42" s="38">
        <f t="shared" si="15"/>
        <v>16</v>
      </c>
      <c r="N42" s="27"/>
      <c r="O42" s="13"/>
      <c r="P42" s="69">
        <v>2</v>
      </c>
      <c r="Q42" s="8" t="s">
        <v>337</v>
      </c>
      <c r="R42" s="68">
        <v>80</v>
      </c>
      <c r="S42" s="8" t="s">
        <v>336</v>
      </c>
      <c r="W42" s="8"/>
    </row>
    <row r="43" spans="1:23" x14ac:dyDescent="0.2">
      <c r="A43" s="63" t="s">
        <v>326</v>
      </c>
      <c r="B43" s="58" t="s">
        <v>335</v>
      </c>
      <c r="C43" s="37">
        <v>1.42</v>
      </c>
      <c r="D43" s="29" t="s">
        <v>67</v>
      </c>
      <c r="E43" s="30" t="s">
        <v>310</v>
      </c>
      <c r="F43" s="42">
        <f t="shared" si="10"/>
        <v>4</v>
      </c>
      <c r="G43" s="41">
        <f t="shared" si="11"/>
        <v>5.68</v>
      </c>
      <c r="H43" s="39">
        <v>1</v>
      </c>
      <c r="I43" s="40">
        <f t="shared" si="12"/>
        <v>5.68</v>
      </c>
      <c r="J43" s="39">
        <v>1</v>
      </c>
      <c r="K43" s="38">
        <f t="shared" si="13"/>
        <v>5.68</v>
      </c>
      <c r="L43" s="38">
        <f t="shared" si="14"/>
        <v>0.47333333333333333</v>
      </c>
      <c r="M43" s="38">
        <f t="shared" si="15"/>
        <v>0.33333333333333337</v>
      </c>
      <c r="N43" s="27"/>
      <c r="O43" s="13"/>
      <c r="P43" s="69">
        <v>2.5</v>
      </c>
      <c r="Q43" s="8" t="s">
        <v>334</v>
      </c>
      <c r="R43" s="68">
        <v>100</v>
      </c>
      <c r="S43" s="17" t="s">
        <v>333</v>
      </c>
      <c r="W43" s="8"/>
    </row>
    <row r="44" spans="1:23" x14ac:dyDescent="0.2">
      <c r="A44" s="63" t="s">
        <v>326</v>
      </c>
      <c r="B44" s="58" t="s">
        <v>332</v>
      </c>
      <c r="C44" s="37">
        <v>17.16</v>
      </c>
      <c r="D44" s="29" t="s">
        <v>91</v>
      </c>
      <c r="E44" s="30">
        <v>1</v>
      </c>
      <c r="F44" s="42">
        <f t="shared" si="10"/>
        <v>40</v>
      </c>
      <c r="G44" s="41">
        <f t="shared" si="11"/>
        <v>686.4</v>
      </c>
      <c r="H44" s="39">
        <v>1</v>
      </c>
      <c r="I44" s="40">
        <f t="shared" si="12"/>
        <v>686.4</v>
      </c>
      <c r="J44" s="39">
        <v>1</v>
      </c>
      <c r="K44" s="38">
        <f t="shared" si="13"/>
        <v>686.4</v>
      </c>
      <c r="L44" s="38">
        <f t="shared" si="14"/>
        <v>57.199999999999996</v>
      </c>
      <c r="M44" s="38">
        <f t="shared" si="15"/>
        <v>3.333333333333333</v>
      </c>
      <c r="N44" s="27"/>
      <c r="O44" s="13"/>
      <c r="P44" s="69">
        <v>3</v>
      </c>
      <c r="Q44" s="8" t="s">
        <v>331</v>
      </c>
      <c r="R44" s="68">
        <v>120</v>
      </c>
      <c r="S44" s="8" t="s">
        <v>330</v>
      </c>
      <c r="W44" s="8"/>
    </row>
    <row r="45" spans="1:23" x14ac:dyDescent="0.2">
      <c r="A45" s="63" t="s">
        <v>326</v>
      </c>
      <c r="B45" s="58" t="s">
        <v>329</v>
      </c>
      <c r="C45" s="37">
        <v>8.08</v>
      </c>
      <c r="D45" s="29" t="s">
        <v>91</v>
      </c>
      <c r="E45" s="30">
        <v>1</v>
      </c>
      <c r="F45" s="42">
        <f t="shared" si="10"/>
        <v>40</v>
      </c>
      <c r="G45" s="41">
        <f t="shared" si="11"/>
        <v>323.2</v>
      </c>
      <c r="H45" s="39">
        <v>1</v>
      </c>
      <c r="I45" s="40">
        <f t="shared" si="12"/>
        <v>323.2</v>
      </c>
      <c r="J45" s="39">
        <v>1</v>
      </c>
      <c r="K45" s="38">
        <f t="shared" si="13"/>
        <v>323.2</v>
      </c>
      <c r="L45" s="38">
        <f t="shared" si="14"/>
        <v>26.933333333333334</v>
      </c>
      <c r="M45" s="38">
        <f t="shared" si="15"/>
        <v>3.3333333333333335</v>
      </c>
      <c r="N45" s="27"/>
      <c r="O45" s="13"/>
      <c r="P45" s="69">
        <v>4</v>
      </c>
      <c r="Q45" s="8" t="s">
        <v>328</v>
      </c>
      <c r="R45" s="68">
        <v>160</v>
      </c>
      <c r="S45" s="8" t="s">
        <v>327</v>
      </c>
      <c r="W45" s="8"/>
    </row>
    <row r="46" spans="1:23" x14ac:dyDescent="0.2">
      <c r="A46" s="33" t="s">
        <v>326</v>
      </c>
      <c r="B46" s="58" t="s">
        <v>325</v>
      </c>
      <c r="C46" s="37">
        <v>22.53</v>
      </c>
      <c r="D46" s="29" t="s">
        <v>91</v>
      </c>
      <c r="E46" s="30">
        <v>1</v>
      </c>
      <c r="F46" s="42">
        <f t="shared" si="10"/>
        <v>40</v>
      </c>
      <c r="G46" s="41">
        <f t="shared" si="11"/>
        <v>901.2</v>
      </c>
      <c r="H46" s="39">
        <v>1</v>
      </c>
      <c r="I46" s="40">
        <f t="shared" si="12"/>
        <v>901.2</v>
      </c>
      <c r="J46" s="39">
        <v>1</v>
      </c>
      <c r="K46" s="38">
        <f t="shared" si="13"/>
        <v>901.2</v>
      </c>
      <c r="L46" s="38">
        <f t="shared" si="14"/>
        <v>75.100000000000009</v>
      </c>
      <c r="M46" s="38">
        <f t="shared" si="15"/>
        <v>3.3333333333333335</v>
      </c>
      <c r="N46" s="27"/>
      <c r="O46" s="13"/>
      <c r="P46" s="69">
        <v>5</v>
      </c>
      <c r="Q46" s="8" t="s">
        <v>324</v>
      </c>
      <c r="R46" s="68">
        <v>192</v>
      </c>
      <c r="S46" s="8" t="s">
        <v>323</v>
      </c>
      <c r="W46" s="8"/>
    </row>
    <row r="47" spans="1:23" x14ac:dyDescent="0.2">
      <c r="A47" s="63" t="s">
        <v>322</v>
      </c>
      <c r="B47" s="58" t="s">
        <v>321</v>
      </c>
      <c r="C47" s="37">
        <v>3.29</v>
      </c>
      <c r="D47" s="29" t="s">
        <v>78</v>
      </c>
      <c r="E47" s="30">
        <v>5</v>
      </c>
      <c r="F47" s="42">
        <f t="shared" si="10"/>
        <v>192</v>
      </c>
      <c r="G47" s="41">
        <f t="shared" si="11"/>
        <v>631.68000000000006</v>
      </c>
      <c r="H47" s="39">
        <v>1</v>
      </c>
      <c r="I47" s="40">
        <f t="shared" si="12"/>
        <v>631.68000000000006</v>
      </c>
      <c r="J47" s="39">
        <v>1</v>
      </c>
      <c r="K47" s="38">
        <f t="shared" si="13"/>
        <v>631.68000000000006</v>
      </c>
      <c r="L47" s="38">
        <f t="shared" si="14"/>
        <v>52.640000000000008</v>
      </c>
      <c r="M47" s="38">
        <f t="shared" si="15"/>
        <v>16.000000000000004</v>
      </c>
      <c r="N47" s="27"/>
      <c r="O47" s="13"/>
      <c r="P47" s="69">
        <v>6</v>
      </c>
      <c r="Q47" s="8" t="s">
        <v>320</v>
      </c>
      <c r="R47" s="68">
        <v>210</v>
      </c>
      <c r="S47" s="8" t="s">
        <v>319</v>
      </c>
      <c r="W47" s="8"/>
    </row>
    <row r="48" spans="1:23" x14ac:dyDescent="0.2">
      <c r="A48" s="63" t="s">
        <v>318</v>
      </c>
      <c r="B48" s="58" t="s">
        <v>317</v>
      </c>
      <c r="C48" s="37">
        <v>7.86</v>
      </c>
      <c r="D48" s="29" t="s">
        <v>206</v>
      </c>
      <c r="E48" s="30">
        <v>5</v>
      </c>
      <c r="F48" s="42">
        <f t="shared" si="10"/>
        <v>192</v>
      </c>
      <c r="G48" s="41">
        <f t="shared" si="11"/>
        <v>1509.1200000000001</v>
      </c>
      <c r="H48" s="39">
        <v>1</v>
      </c>
      <c r="I48" s="40">
        <f t="shared" si="12"/>
        <v>1509.1200000000001</v>
      </c>
      <c r="J48" s="39">
        <v>1</v>
      </c>
      <c r="K48" s="38">
        <f t="shared" si="13"/>
        <v>1509.1200000000001</v>
      </c>
      <c r="L48" s="38">
        <f t="shared" si="14"/>
        <v>125.76</v>
      </c>
      <c r="M48" s="38">
        <f t="shared" si="15"/>
        <v>16</v>
      </c>
      <c r="N48" s="27"/>
      <c r="O48" s="13"/>
      <c r="P48" s="69">
        <v>14</v>
      </c>
      <c r="Q48" s="8" t="s">
        <v>316</v>
      </c>
      <c r="R48" s="68">
        <v>24</v>
      </c>
      <c r="S48" s="8" t="s">
        <v>315</v>
      </c>
      <c r="W48" s="8"/>
    </row>
    <row r="49" spans="1:23" x14ac:dyDescent="0.2">
      <c r="A49" s="63" t="s">
        <v>314</v>
      </c>
      <c r="B49" s="58" t="s">
        <v>84</v>
      </c>
      <c r="C49" s="37">
        <v>22.69</v>
      </c>
      <c r="D49" s="29" t="s">
        <v>206</v>
      </c>
      <c r="E49" s="30">
        <v>5</v>
      </c>
      <c r="F49" s="42">
        <f t="shared" si="10"/>
        <v>192</v>
      </c>
      <c r="G49" s="41">
        <f t="shared" si="11"/>
        <v>4356.4800000000005</v>
      </c>
      <c r="H49" s="39">
        <v>1</v>
      </c>
      <c r="I49" s="40">
        <f t="shared" si="12"/>
        <v>4356.4800000000005</v>
      </c>
      <c r="J49" s="39">
        <v>1</v>
      </c>
      <c r="K49" s="38">
        <f t="shared" si="13"/>
        <v>4356.4800000000005</v>
      </c>
      <c r="L49" s="38">
        <f t="shared" si="14"/>
        <v>363.04</v>
      </c>
      <c r="M49" s="38">
        <f t="shared" si="15"/>
        <v>16</v>
      </c>
      <c r="N49" s="27"/>
      <c r="O49" s="13"/>
      <c r="P49" s="69" t="s">
        <v>66</v>
      </c>
      <c r="Q49" s="8" t="s">
        <v>313</v>
      </c>
      <c r="R49" s="68">
        <v>11</v>
      </c>
      <c r="S49" s="17" t="s">
        <v>312</v>
      </c>
      <c r="W49" s="8"/>
    </row>
    <row r="50" spans="1:23" x14ac:dyDescent="0.2">
      <c r="A50" s="33" t="s">
        <v>311</v>
      </c>
      <c r="B50" s="58" t="s">
        <v>116</v>
      </c>
      <c r="C50" s="37">
        <v>42.6</v>
      </c>
      <c r="D50" s="29" t="s">
        <v>206</v>
      </c>
      <c r="E50" s="30">
        <v>5</v>
      </c>
      <c r="F50" s="42">
        <f t="shared" si="10"/>
        <v>192</v>
      </c>
      <c r="G50" s="41">
        <f t="shared" si="11"/>
        <v>8179.2000000000007</v>
      </c>
      <c r="H50" s="39">
        <v>1</v>
      </c>
      <c r="I50" s="40">
        <f t="shared" si="12"/>
        <v>8179.2000000000007</v>
      </c>
      <c r="J50" s="39">
        <v>1</v>
      </c>
      <c r="K50" s="38">
        <f t="shared" si="13"/>
        <v>8179.2000000000007</v>
      </c>
      <c r="L50" s="38">
        <f t="shared" si="14"/>
        <v>681.6</v>
      </c>
      <c r="M50" s="38">
        <f t="shared" si="15"/>
        <v>16</v>
      </c>
      <c r="N50" s="27"/>
      <c r="O50" s="13"/>
      <c r="P50" s="69" t="s">
        <v>310</v>
      </c>
      <c r="Q50" s="8" t="s">
        <v>309</v>
      </c>
      <c r="R50" s="68">
        <v>4</v>
      </c>
      <c r="S50" s="8" t="s">
        <v>308</v>
      </c>
      <c r="W50" s="8"/>
    </row>
    <row r="51" spans="1:23" x14ac:dyDescent="0.2">
      <c r="A51" s="33" t="s">
        <v>307</v>
      </c>
      <c r="B51" s="58" t="s">
        <v>114</v>
      </c>
      <c r="C51" s="37">
        <v>5.3</v>
      </c>
      <c r="D51" s="29" t="s">
        <v>206</v>
      </c>
      <c r="E51" s="30">
        <v>5</v>
      </c>
      <c r="F51" s="42">
        <f t="shared" si="10"/>
        <v>192</v>
      </c>
      <c r="G51" s="41">
        <f t="shared" si="11"/>
        <v>1017.5999999999999</v>
      </c>
      <c r="H51" s="39">
        <v>1</v>
      </c>
      <c r="I51" s="40">
        <f t="shared" si="12"/>
        <v>1017.5999999999999</v>
      </c>
      <c r="J51" s="39">
        <v>1</v>
      </c>
      <c r="K51" s="38">
        <f t="shared" si="13"/>
        <v>1017.5999999999999</v>
      </c>
      <c r="L51" s="38">
        <f t="shared" si="14"/>
        <v>84.8</v>
      </c>
      <c r="M51" s="38">
        <f t="shared" si="15"/>
        <v>16</v>
      </c>
      <c r="N51" s="27"/>
      <c r="O51" s="13"/>
      <c r="P51" s="69" t="s">
        <v>306</v>
      </c>
      <c r="Q51" s="8" t="s">
        <v>305</v>
      </c>
      <c r="R51" s="68">
        <v>1</v>
      </c>
      <c r="S51" s="8" t="s">
        <v>304</v>
      </c>
      <c r="W51" s="8"/>
    </row>
    <row r="52" spans="1:23" x14ac:dyDescent="0.2">
      <c r="A52" s="33" t="s">
        <v>303</v>
      </c>
      <c r="B52" s="58" t="s">
        <v>155</v>
      </c>
      <c r="C52" s="37">
        <v>27.35</v>
      </c>
      <c r="D52" s="29" t="s">
        <v>78</v>
      </c>
      <c r="E52" s="30">
        <v>5</v>
      </c>
      <c r="F52" s="42">
        <f t="shared" si="10"/>
        <v>192</v>
      </c>
      <c r="G52" s="41">
        <f t="shared" si="11"/>
        <v>5251.2000000000007</v>
      </c>
      <c r="H52" s="39">
        <v>1</v>
      </c>
      <c r="I52" s="40">
        <f t="shared" si="12"/>
        <v>5251.2000000000007</v>
      </c>
      <c r="J52" s="39">
        <v>1</v>
      </c>
      <c r="K52" s="38">
        <f t="shared" si="13"/>
        <v>5251.2000000000007</v>
      </c>
      <c r="L52" s="38">
        <f t="shared" si="14"/>
        <v>437.60000000000008</v>
      </c>
      <c r="M52" s="38">
        <f t="shared" si="15"/>
        <v>16.000000000000004</v>
      </c>
      <c r="N52" s="27"/>
      <c r="O52" s="13"/>
      <c r="W52" s="8"/>
    </row>
    <row r="53" spans="1:23" x14ac:dyDescent="0.2">
      <c r="A53" s="33" t="s">
        <v>302</v>
      </c>
      <c r="B53" s="58" t="s">
        <v>301</v>
      </c>
      <c r="C53" s="37">
        <v>8.1</v>
      </c>
      <c r="D53" s="29" t="s">
        <v>206</v>
      </c>
      <c r="E53" s="30">
        <v>5</v>
      </c>
      <c r="F53" s="42">
        <f t="shared" si="10"/>
        <v>192</v>
      </c>
      <c r="G53" s="41">
        <f t="shared" si="11"/>
        <v>1555.1999999999998</v>
      </c>
      <c r="H53" s="39">
        <v>1</v>
      </c>
      <c r="I53" s="40">
        <f t="shared" si="12"/>
        <v>1555.1999999999998</v>
      </c>
      <c r="J53" s="39">
        <v>1</v>
      </c>
      <c r="K53" s="38">
        <f t="shared" si="13"/>
        <v>1555.1999999999998</v>
      </c>
      <c r="L53" s="38">
        <f t="shared" si="14"/>
        <v>129.6</v>
      </c>
      <c r="M53" s="38">
        <f t="shared" si="15"/>
        <v>16</v>
      </c>
      <c r="N53" s="27"/>
      <c r="O53" s="13"/>
      <c r="Q53" s="13"/>
      <c r="R53" s="13"/>
      <c r="W53" s="8"/>
    </row>
    <row r="54" spans="1:23" x14ac:dyDescent="0.2">
      <c r="A54" s="33"/>
      <c r="B54" s="58" t="s">
        <v>229</v>
      </c>
      <c r="C54" s="37">
        <v>2.57</v>
      </c>
      <c r="D54" s="29" t="s">
        <v>228</v>
      </c>
      <c r="E54" s="30">
        <v>1</v>
      </c>
      <c r="F54" s="42">
        <f t="shared" si="10"/>
        <v>40</v>
      </c>
      <c r="G54" s="41">
        <f t="shared" si="11"/>
        <v>102.8</v>
      </c>
      <c r="H54" s="39">
        <v>1</v>
      </c>
      <c r="I54" s="40">
        <f t="shared" si="12"/>
        <v>102.8</v>
      </c>
      <c r="J54" s="39">
        <v>1</v>
      </c>
      <c r="K54" s="38">
        <f t="shared" si="13"/>
        <v>102.8</v>
      </c>
      <c r="L54" s="38">
        <f t="shared" si="14"/>
        <v>8.5666666666666664</v>
      </c>
      <c r="M54" s="38">
        <f t="shared" si="15"/>
        <v>3.3333333333333335</v>
      </c>
      <c r="N54" s="27"/>
      <c r="O54" s="13"/>
      <c r="Q54" s="13"/>
      <c r="R54" s="13"/>
      <c r="W54" s="8"/>
    </row>
    <row r="55" spans="1:23" ht="12.6" customHeight="1" x14ac:dyDescent="0.2">
      <c r="A55" s="33"/>
      <c r="B55" s="62"/>
      <c r="C55" s="37"/>
      <c r="D55" s="30"/>
      <c r="E55" s="30"/>
      <c r="F55" s="42"/>
      <c r="G55" s="41"/>
      <c r="H55" s="39"/>
      <c r="I55" s="40"/>
      <c r="J55" s="39"/>
      <c r="K55" s="38"/>
      <c r="L55" s="38"/>
      <c r="M55" s="38"/>
      <c r="N55" s="27"/>
      <c r="O55" s="13"/>
      <c r="W55" s="8"/>
    </row>
    <row r="56" spans="1:23" x14ac:dyDescent="0.2">
      <c r="A56" s="33"/>
      <c r="B56" s="58"/>
      <c r="C56" s="37"/>
      <c r="D56" s="30"/>
      <c r="E56" s="30"/>
      <c r="F56" s="42"/>
      <c r="G56" s="41"/>
      <c r="H56" s="39"/>
      <c r="I56" s="40"/>
      <c r="J56" s="39"/>
      <c r="K56" s="38"/>
      <c r="L56" s="38"/>
      <c r="M56" s="38"/>
      <c r="N56" s="27"/>
      <c r="O56" s="13"/>
      <c r="W56" s="8"/>
    </row>
    <row r="57" spans="1:23" x14ac:dyDescent="0.2">
      <c r="A57" s="57"/>
      <c r="B57" s="56" t="s">
        <v>137</v>
      </c>
      <c r="C57" s="55"/>
      <c r="D57" s="54">
        <f>SUM(C58:C81)</f>
        <v>998.56999999999994</v>
      </c>
      <c r="E57" s="53"/>
      <c r="F57" s="52"/>
      <c r="G57" s="52"/>
      <c r="H57" s="51"/>
      <c r="I57" s="51"/>
      <c r="J57" s="51"/>
      <c r="K57" s="51"/>
      <c r="L57" s="51"/>
      <c r="M57" s="51"/>
      <c r="N57" s="50"/>
      <c r="O57" s="13"/>
      <c r="W57" s="8"/>
    </row>
    <row r="58" spans="1:23" x14ac:dyDescent="0.2">
      <c r="A58" s="63" t="s">
        <v>300</v>
      </c>
      <c r="B58" s="58" t="s">
        <v>299</v>
      </c>
      <c r="C58" s="37">
        <v>7.71</v>
      </c>
      <c r="D58" s="29" t="s">
        <v>56</v>
      </c>
      <c r="E58" s="30">
        <v>5</v>
      </c>
      <c r="F58" s="42">
        <f t="shared" ref="F58:F80" si="16">VLOOKUP($E58,$P$40:$R$51,3,FALSE)</f>
        <v>192</v>
      </c>
      <c r="G58" s="41">
        <f t="shared" ref="G58:G80" si="17">F58*C58</f>
        <v>1480.32</v>
      </c>
      <c r="H58" s="39">
        <v>1</v>
      </c>
      <c r="I58" s="40">
        <f t="shared" ref="I58:I80" si="18">G58/H58</f>
        <v>1480.32</v>
      </c>
      <c r="J58" s="39">
        <v>1</v>
      </c>
      <c r="K58" s="38">
        <f t="shared" ref="K58:K80" si="19">I58*J58</f>
        <v>1480.32</v>
      </c>
      <c r="L58" s="38">
        <f t="shared" ref="L58:L80" si="20">K58/12</f>
        <v>123.36</v>
      </c>
      <c r="M58" s="38">
        <f t="shared" ref="M58:M80" si="21">L58/C58</f>
        <v>16</v>
      </c>
      <c r="N58" s="27"/>
      <c r="O58" s="13"/>
      <c r="W58" s="8"/>
    </row>
    <row r="59" spans="1:23" x14ac:dyDescent="0.2">
      <c r="A59" s="63" t="s">
        <v>298</v>
      </c>
      <c r="B59" s="58" t="s">
        <v>297</v>
      </c>
      <c r="C59" s="37">
        <v>50.67</v>
      </c>
      <c r="D59" s="29" t="s">
        <v>88</v>
      </c>
      <c r="E59" s="30">
        <v>5</v>
      </c>
      <c r="F59" s="42">
        <f t="shared" si="16"/>
        <v>192</v>
      </c>
      <c r="G59" s="41">
        <f t="shared" si="17"/>
        <v>9728.64</v>
      </c>
      <c r="H59" s="39">
        <v>1</v>
      </c>
      <c r="I59" s="40">
        <f t="shared" si="18"/>
        <v>9728.64</v>
      </c>
      <c r="J59" s="39">
        <v>1</v>
      </c>
      <c r="K59" s="38">
        <f t="shared" si="19"/>
        <v>9728.64</v>
      </c>
      <c r="L59" s="38">
        <f t="shared" si="20"/>
        <v>810.71999999999991</v>
      </c>
      <c r="M59" s="38">
        <f t="shared" si="21"/>
        <v>15.999999999999998</v>
      </c>
      <c r="N59" s="67"/>
      <c r="O59" s="13"/>
      <c r="W59" s="8"/>
    </row>
    <row r="60" spans="1:23" x14ac:dyDescent="0.2">
      <c r="A60" s="63" t="s">
        <v>296</v>
      </c>
      <c r="B60" s="62" t="s">
        <v>295</v>
      </c>
      <c r="C60" s="37">
        <v>15.79</v>
      </c>
      <c r="D60" s="29" t="s">
        <v>67</v>
      </c>
      <c r="E60" s="30">
        <v>1</v>
      </c>
      <c r="F60" s="42">
        <f t="shared" si="16"/>
        <v>40</v>
      </c>
      <c r="G60" s="41">
        <f t="shared" si="17"/>
        <v>631.59999999999991</v>
      </c>
      <c r="H60" s="39">
        <v>1</v>
      </c>
      <c r="I60" s="40">
        <f t="shared" si="18"/>
        <v>631.59999999999991</v>
      </c>
      <c r="J60" s="39">
        <v>1</v>
      </c>
      <c r="K60" s="38">
        <f t="shared" si="19"/>
        <v>631.59999999999991</v>
      </c>
      <c r="L60" s="38">
        <f t="shared" si="20"/>
        <v>52.633333333333326</v>
      </c>
      <c r="M60" s="38">
        <f t="shared" si="21"/>
        <v>3.333333333333333</v>
      </c>
      <c r="N60" s="27"/>
      <c r="O60" s="13"/>
      <c r="W60" s="8"/>
    </row>
    <row r="61" spans="1:23" x14ac:dyDescent="0.2">
      <c r="A61" s="63" t="s">
        <v>294</v>
      </c>
      <c r="B61" s="66" t="s">
        <v>293</v>
      </c>
      <c r="C61" s="37">
        <v>67.849999999999994</v>
      </c>
      <c r="D61" s="29" t="s">
        <v>88</v>
      </c>
      <c r="E61" s="30">
        <v>5</v>
      </c>
      <c r="F61" s="42">
        <f t="shared" si="16"/>
        <v>192</v>
      </c>
      <c r="G61" s="41">
        <f t="shared" si="17"/>
        <v>13027.199999999999</v>
      </c>
      <c r="H61" s="39">
        <v>1</v>
      </c>
      <c r="I61" s="40">
        <f t="shared" si="18"/>
        <v>13027.199999999999</v>
      </c>
      <c r="J61" s="39">
        <v>1</v>
      </c>
      <c r="K61" s="38">
        <f t="shared" si="19"/>
        <v>13027.199999999999</v>
      </c>
      <c r="L61" s="38">
        <f t="shared" si="20"/>
        <v>1085.5999999999999</v>
      </c>
      <c r="M61" s="38">
        <f t="shared" si="21"/>
        <v>16</v>
      </c>
      <c r="N61" s="27"/>
      <c r="O61" s="13"/>
      <c r="W61" s="8"/>
    </row>
    <row r="62" spans="1:23" x14ac:dyDescent="0.2">
      <c r="A62" s="63" t="s">
        <v>292</v>
      </c>
      <c r="B62" s="58" t="s">
        <v>291</v>
      </c>
      <c r="C62" s="37">
        <v>53.4</v>
      </c>
      <c r="D62" s="29" t="s">
        <v>75</v>
      </c>
      <c r="E62" s="30">
        <v>5</v>
      </c>
      <c r="F62" s="42">
        <f t="shared" si="16"/>
        <v>192</v>
      </c>
      <c r="G62" s="41">
        <f t="shared" si="17"/>
        <v>10252.799999999999</v>
      </c>
      <c r="H62" s="39">
        <v>1</v>
      </c>
      <c r="I62" s="40">
        <f t="shared" si="18"/>
        <v>10252.799999999999</v>
      </c>
      <c r="J62" s="39">
        <v>1</v>
      </c>
      <c r="K62" s="38">
        <f t="shared" si="19"/>
        <v>10252.799999999999</v>
      </c>
      <c r="L62" s="38">
        <f t="shared" si="20"/>
        <v>854.4</v>
      </c>
      <c r="M62" s="38">
        <f t="shared" si="21"/>
        <v>16</v>
      </c>
      <c r="N62" s="27"/>
      <c r="O62" s="13"/>
      <c r="W62" s="8"/>
    </row>
    <row r="63" spans="1:23" x14ac:dyDescent="0.2">
      <c r="A63" s="63" t="s">
        <v>290</v>
      </c>
      <c r="B63" s="58" t="s">
        <v>289</v>
      </c>
      <c r="C63" s="37">
        <v>37.69</v>
      </c>
      <c r="D63" s="29" t="s">
        <v>91</v>
      </c>
      <c r="E63" s="30">
        <v>2</v>
      </c>
      <c r="F63" s="42">
        <f t="shared" si="16"/>
        <v>80</v>
      </c>
      <c r="G63" s="41">
        <f t="shared" si="17"/>
        <v>3015.2</v>
      </c>
      <c r="H63" s="39">
        <v>1</v>
      </c>
      <c r="I63" s="40">
        <f t="shared" si="18"/>
        <v>3015.2</v>
      </c>
      <c r="J63" s="39">
        <v>1</v>
      </c>
      <c r="K63" s="38">
        <f t="shared" si="19"/>
        <v>3015.2</v>
      </c>
      <c r="L63" s="38">
        <f t="shared" si="20"/>
        <v>251.26666666666665</v>
      </c>
      <c r="M63" s="38">
        <f t="shared" si="21"/>
        <v>6.666666666666667</v>
      </c>
      <c r="N63" s="27"/>
      <c r="O63" s="8"/>
      <c r="W63" s="8"/>
    </row>
    <row r="64" spans="1:23" x14ac:dyDescent="0.2">
      <c r="A64" s="63" t="s">
        <v>288</v>
      </c>
      <c r="B64" s="58" t="s">
        <v>287</v>
      </c>
      <c r="C64" s="37">
        <v>55.97</v>
      </c>
      <c r="D64" s="29" t="s">
        <v>75</v>
      </c>
      <c r="E64" s="30">
        <v>5</v>
      </c>
      <c r="F64" s="42">
        <f t="shared" si="16"/>
        <v>192</v>
      </c>
      <c r="G64" s="41">
        <f t="shared" si="17"/>
        <v>10746.24</v>
      </c>
      <c r="H64" s="39">
        <v>1</v>
      </c>
      <c r="I64" s="40">
        <f t="shared" si="18"/>
        <v>10746.24</v>
      </c>
      <c r="J64" s="39">
        <v>1</v>
      </c>
      <c r="K64" s="38">
        <f t="shared" si="19"/>
        <v>10746.24</v>
      </c>
      <c r="L64" s="38">
        <f t="shared" si="20"/>
        <v>895.52</v>
      </c>
      <c r="M64" s="38">
        <f t="shared" si="21"/>
        <v>16</v>
      </c>
      <c r="N64" s="27"/>
      <c r="O64" s="13"/>
      <c r="W64" s="8"/>
    </row>
    <row r="65" spans="1:23" x14ac:dyDescent="0.2">
      <c r="A65" s="63" t="s">
        <v>286</v>
      </c>
      <c r="B65" s="58" t="s">
        <v>285</v>
      </c>
      <c r="C65" s="37">
        <v>55.9</v>
      </c>
      <c r="D65" s="29" t="s">
        <v>75</v>
      </c>
      <c r="E65" s="30">
        <v>5</v>
      </c>
      <c r="F65" s="42">
        <f t="shared" si="16"/>
        <v>192</v>
      </c>
      <c r="G65" s="41">
        <f t="shared" si="17"/>
        <v>10732.8</v>
      </c>
      <c r="H65" s="39">
        <v>1</v>
      </c>
      <c r="I65" s="40">
        <f t="shared" si="18"/>
        <v>10732.8</v>
      </c>
      <c r="J65" s="39">
        <v>1</v>
      </c>
      <c r="K65" s="38">
        <f t="shared" si="19"/>
        <v>10732.8</v>
      </c>
      <c r="L65" s="38">
        <f t="shared" si="20"/>
        <v>894.4</v>
      </c>
      <c r="M65" s="38">
        <f t="shared" si="21"/>
        <v>16</v>
      </c>
      <c r="N65" s="27"/>
      <c r="O65" s="13"/>
      <c r="W65" s="8"/>
    </row>
    <row r="66" spans="1:23" x14ac:dyDescent="0.2">
      <c r="A66" s="63" t="s">
        <v>284</v>
      </c>
      <c r="B66" s="58" t="s">
        <v>283</v>
      </c>
      <c r="C66" s="37">
        <v>51.33</v>
      </c>
      <c r="D66" s="29" t="s">
        <v>282</v>
      </c>
      <c r="E66" s="30">
        <v>5</v>
      </c>
      <c r="F66" s="42">
        <f t="shared" si="16"/>
        <v>192</v>
      </c>
      <c r="G66" s="41">
        <f t="shared" si="17"/>
        <v>9855.36</v>
      </c>
      <c r="H66" s="39">
        <v>1</v>
      </c>
      <c r="I66" s="40">
        <f t="shared" si="18"/>
        <v>9855.36</v>
      </c>
      <c r="J66" s="39">
        <v>1</v>
      </c>
      <c r="K66" s="38">
        <f t="shared" si="19"/>
        <v>9855.36</v>
      </c>
      <c r="L66" s="38">
        <f t="shared" si="20"/>
        <v>821.28000000000009</v>
      </c>
      <c r="M66" s="38">
        <f t="shared" si="21"/>
        <v>16.000000000000004</v>
      </c>
      <c r="N66" s="27"/>
      <c r="O66" s="13"/>
      <c r="W66" s="8"/>
    </row>
    <row r="67" spans="1:23" x14ac:dyDescent="0.2">
      <c r="A67" s="63" t="s">
        <v>281</v>
      </c>
      <c r="B67" s="58" t="s">
        <v>280</v>
      </c>
      <c r="C67" s="37">
        <v>67.33</v>
      </c>
      <c r="D67" s="29" t="s">
        <v>206</v>
      </c>
      <c r="E67" s="30">
        <v>5</v>
      </c>
      <c r="F67" s="42">
        <f t="shared" si="16"/>
        <v>192</v>
      </c>
      <c r="G67" s="41">
        <f t="shared" si="17"/>
        <v>12927.36</v>
      </c>
      <c r="H67" s="39">
        <v>1</v>
      </c>
      <c r="I67" s="40">
        <f t="shared" si="18"/>
        <v>12927.36</v>
      </c>
      <c r="J67" s="39">
        <v>1</v>
      </c>
      <c r="K67" s="38">
        <f t="shared" si="19"/>
        <v>12927.36</v>
      </c>
      <c r="L67" s="38">
        <f t="shared" si="20"/>
        <v>1077.28</v>
      </c>
      <c r="M67" s="38">
        <f t="shared" si="21"/>
        <v>16</v>
      </c>
      <c r="N67" s="27"/>
      <c r="O67" s="13"/>
      <c r="W67" s="8"/>
    </row>
    <row r="68" spans="1:23" x14ac:dyDescent="0.2">
      <c r="A68" s="63" t="s">
        <v>279</v>
      </c>
      <c r="B68" s="58" t="s">
        <v>86</v>
      </c>
      <c r="C68" s="37">
        <v>104.33</v>
      </c>
      <c r="D68" s="29" t="s">
        <v>206</v>
      </c>
      <c r="E68" s="30">
        <v>5</v>
      </c>
      <c r="F68" s="42">
        <f t="shared" si="16"/>
        <v>192</v>
      </c>
      <c r="G68" s="41">
        <f t="shared" si="17"/>
        <v>20031.36</v>
      </c>
      <c r="H68" s="39">
        <v>1</v>
      </c>
      <c r="I68" s="40">
        <f t="shared" si="18"/>
        <v>20031.36</v>
      </c>
      <c r="J68" s="39">
        <v>1</v>
      </c>
      <c r="K68" s="38">
        <f t="shared" si="19"/>
        <v>20031.36</v>
      </c>
      <c r="L68" s="38">
        <f t="shared" si="20"/>
        <v>1669.28</v>
      </c>
      <c r="M68" s="38">
        <f t="shared" si="21"/>
        <v>16</v>
      </c>
      <c r="N68" s="27"/>
      <c r="O68" s="13"/>
      <c r="W68" s="8"/>
    </row>
    <row r="69" spans="1:23" x14ac:dyDescent="0.2">
      <c r="A69" s="63" t="s">
        <v>278</v>
      </c>
      <c r="B69" s="58" t="s">
        <v>277</v>
      </c>
      <c r="C69" s="37">
        <v>55.9</v>
      </c>
      <c r="D69" s="29" t="s">
        <v>75</v>
      </c>
      <c r="E69" s="30">
        <v>5</v>
      </c>
      <c r="F69" s="42">
        <f t="shared" si="16"/>
        <v>192</v>
      </c>
      <c r="G69" s="41">
        <f t="shared" si="17"/>
        <v>10732.8</v>
      </c>
      <c r="H69" s="39">
        <v>1</v>
      </c>
      <c r="I69" s="40">
        <f t="shared" si="18"/>
        <v>10732.8</v>
      </c>
      <c r="J69" s="39">
        <v>1</v>
      </c>
      <c r="K69" s="38">
        <f t="shared" si="19"/>
        <v>10732.8</v>
      </c>
      <c r="L69" s="38">
        <f t="shared" si="20"/>
        <v>894.4</v>
      </c>
      <c r="M69" s="38">
        <f t="shared" si="21"/>
        <v>16</v>
      </c>
      <c r="N69" s="27"/>
      <c r="O69" s="13"/>
      <c r="W69" s="8"/>
    </row>
    <row r="70" spans="1:23" x14ac:dyDescent="0.2">
      <c r="A70" s="63" t="s">
        <v>276</v>
      </c>
      <c r="B70" s="58" t="s">
        <v>275</v>
      </c>
      <c r="C70" s="37">
        <v>54.32</v>
      </c>
      <c r="D70" s="29" t="s">
        <v>75</v>
      </c>
      <c r="E70" s="30">
        <v>5</v>
      </c>
      <c r="F70" s="42">
        <f t="shared" si="16"/>
        <v>192</v>
      </c>
      <c r="G70" s="41">
        <f t="shared" si="17"/>
        <v>10429.44</v>
      </c>
      <c r="H70" s="39">
        <v>1</v>
      </c>
      <c r="I70" s="40">
        <f t="shared" si="18"/>
        <v>10429.44</v>
      </c>
      <c r="J70" s="39">
        <v>1</v>
      </c>
      <c r="K70" s="38">
        <f t="shared" si="19"/>
        <v>10429.44</v>
      </c>
      <c r="L70" s="38">
        <f t="shared" si="20"/>
        <v>869.12</v>
      </c>
      <c r="M70" s="38">
        <f t="shared" si="21"/>
        <v>16</v>
      </c>
      <c r="N70" s="27"/>
      <c r="O70" s="13"/>
      <c r="W70" s="8"/>
    </row>
    <row r="71" spans="1:23" x14ac:dyDescent="0.2">
      <c r="A71" s="63" t="s">
        <v>274</v>
      </c>
      <c r="B71" s="58" t="s">
        <v>273</v>
      </c>
      <c r="C71" s="37">
        <v>57.5</v>
      </c>
      <c r="D71" s="29" t="s">
        <v>88</v>
      </c>
      <c r="E71" s="30">
        <v>5</v>
      </c>
      <c r="F71" s="42">
        <f t="shared" si="16"/>
        <v>192</v>
      </c>
      <c r="G71" s="41">
        <f t="shared" si="17"/>
        <v>11040</v>
      </c>
      <c r="H71" s="39">
        <v>1</v>
      </c>
      <c r="I71" s="40">
        <f t="shared" si="18"/>
        <v>11040</v>
      </c>
      <c r="J71" s="39">
        <v>1</v>
      </c>
      <c r="K71" s="38">
        <f t="shared" si="19"/>
        <v>11040</v>
      </c>
      <c r="L71" s="38">
        <f t="shared" si="20"/>
        <v>920</v>
      </c>
      <c r="M71" s="38">
        <f t="shared" si="21"/>
        <v>16</v>
      </c>
      <c r="N71" s="27"/>
      <c r="O71" s="13"/>
      <c r="W71" s="8"/>
    </row>
    <row r="72" spans="1:23" x14ac:dyDescent="0.2">
      <c r="A72" s="63" t="s">
        <v>272</v>
      </c>
      <c r="B72" s="58" t="s">
        <v>98</v>
      </c>
      <c r="C72" s="37">
        <v>39.1</v>
      </c>
      <c r="D72" s="29" t="s">
        <v>91</v>
      </c>
      <c r="E72" s="30">
        <v>2</v>
      </c>
      <c r="F72" s="42">
        <f t="shared" si="16"/>
        <v>80</v>
      </c>
      <c r="G72" s="41">
        <f t="shared" si="17"/>
        <v>3128</v>
      </c>
      <c r="H72" s="39">
        <v>1</v>
      </c>
      <c r="I72" s="40">
        <f t="shared" si="18"/>
        <v>3128</v>
      </c>
      <c r="J72" s="39">
        <v>1</v>
      </c>
      <c r="K72" s="38">
        <f t="shared" si="19"/>
        <v>3128</v>
      </c>
      <c r="L72" s="38">
        <f t="shared" si="20"/>
        <v>260.66666666666669</v>
      </c>
      <c r="M72" s="38">
        <f t="shared" si="21"/>
        <v>6.666666666666667</v>
      </c>
      <c r="N72" s="27"/>
      <c r="O72" s="13"/>
      <c r="W72" s="8"/>
    </row>
    <row r="73" spans="1:23" x14ac:dyDescent="0.2">
      <c r="A73" s="63" t="s">
        <v>271</v>
      </c>
      <c r="B73" s="58" t="s">
        <v>270</v>
      </c>
      <c r="C73" s="37">
        <v>22.92</v>
      </c>
      <c r="D73" s="29" t="s">
        <v>91</v>
      </c>
      <c r="E73" s="30">
        <v>2</v>
      </c>
      <c r="F73" s="42">
        <f t="shared" si="16"/>
        <v>80</v>
      </c>
      <c r="G73" s="41">
        <f t="shared" si="17"/>
        <v>1833.6000000000001</v>
      </c>
      <c r="H73" s="39">
        <v>1</v>
      </c>
      <c r="I73" s="40">
        <f t="shared" si="18"/>
        <v>1833.6000000000001</v>
      </c>
      <c r="J73" s="39">
        <v>1</v>
      </c>
      <c r="K73" s="38">
        <f t="shared" si="19"/>
        <v>1833.6000000000001</v>
      </c>
      <c r="L73" s="38">
        <f t="shared" si="20"/>
        <v>152.80000000000001</v>
      </c>
      <c r="M73" s="38">
        <f t="shared" si="21"/>
        <v>6.666666666666667</v>
      </c>
      <c r="N73" s="27"/>
      <c r="O73" s="13"/>
      <c r="W73" s="8"/>
    </row>
    <row r="74" spans="1:23" x14ac:dyDescent="0.2">
      <c r="A74" s="63" t="s">
        <v>269</v>
      </c>
      <c r="B74" s="58" t="s">
        <v>144</v>
      </c>
      <c r="C74" s="37">
        <v>20.3</v>
      </c>
      <c r="D74" s="29" t="s">
        <v>56</v>
      </c>
      <c r="E74" s="30">
        <v>5</v>
      </c>
      <c r="F74" s="42">
        <f t="shared" si="16"/>
        <v>192</v>
      </c>
      <c r="G74" s="41">
        <f t="shared" si="17"/>
        <v>3897.6000000000004</v>
      </c>
      <c r="H74" s="39">
        <v>1</v>
      </c>
      <c r="I74" s="40">
        <f t="shared" si="18"/>
        <v>3897.6000000000004</v>
      </c>
      <c r="J74" s="39">
        <v>1</v>
      </c>
      <c r="K74" s="38">
        <f t="shared" si="19"/>
        <v>3897.6000000000004</v>
      </c>
      <c r="L74" s="38">
        <f t="shared" si="20"/>
        <v>324.8</v>
      </c>
      <c r="M74" s="38">
        <f t="shared" si="21"/>
        <v>16</v>
      </c>
      <c r="N74" s="27"/>
      <c r="O74" s="13"/>
      <c r="W74" s="8"/>
    </row>
    <row r="75" spans="1:23" x14ac:dyDescent="0.2">
      <c r="A75" s="63" t="s">
        <v>268</v>
      </c>
      <c r="B75" s="65" t="s">
        <v>267</v>
      </c>
      <c r="C75" s="37">
        <v>56.32</v>
      </c>
      <c r="D75" s="29" t="s">
        <v>88</v>
      </c>
      <c r="E75" s="30">
        <v>5</v>
      </c>
      <c r="F75" s="42">
        <f t="shared" si="16"/>
        <v>192</v>
      </c>
      <c r="G75" s="41">
        <f t="shared" si="17"/>
        <v>10813.44</v>
      </c>
      <c r="H75" s="39">
        <v>1</v>
      </c>
      <c r="I75" s="40">
        <f t="shared" si="18"/>
        <v>10813.44</v>
      </c>
      <c r="J75" s="39">
        <v>1</v>
      </c>
      <c r="K75" s="38">
        <f t="shared" si="19"/>
        <v>10813.44</v>
      </c>
      <c r="L75" s="38">
        <f t="shared" si="20"/>
        <v>901.12</v>
      </c>
      <c r="M75" s="38">
        <f t="shared" si="21"/>
        <v>16</v>
      </c>
      <c r="N75" s="27"/>
      <c r="O75" s="13"/>
      <c r="W75" s="8"/>
    </row>
    <row r="76" spans="1:23" x14ac:dyDescent="0.2">
      <c r="A76" s="63" t="s">
        <v>266</v>
      </c>
      <c r="B76" s="64" t="s">
        <v>265</v>
      </c>
      <c r="C76" s="37">
        <v>16.04</v>
      </c>
      <c r="D76" s="29" t="s">
        <v>91</v>
      </c>
      <c r="E76" s="30">
        <v>2</v>
      </c>
      <c r="F76" s="42">
        <f t="shared" si="16"/>
        <v>80</v>
      </c>
      <c r="G76" s="41">
        <f t="shared" si="17"/>
        <v>1283.1999999999998</v>
      </c>
      <c r="H76" s="39">
        <v>1</v>
      </c>
      <c r="I76" s="40">
        <f t="shared" si="18"/>
        <v>1283.1999999999998</v>
      </c>
      <c r="J76" s="39">
        <v>1</v>
      </c>
      <c r="K76" s="38">
        <f t="shared" si="19"/>
        <v>1283.1999999999998</v>
      </c>
      <c r="L76" s="38">
        <f t="shared" si="20"/>
        <v>106.93333333333332</v>
      </c>
      <c r="M76" s="38">
        <f t="shared" si="21"/>
        <v>6.6666666666666661</v>
      </c>
      <c r="N76" s="27"/>
      <c r="O76" s="13"/>
      <c r="W76" s="8"/>
    </row>
    <row r="77" spans="1:23" x14ac:dyDescent="0.2">
      <c r="A77" s="63" t="s">
        <v>264</v>
      </c>
      <c r="B77" s="58" t="s">
        <v>84</v>
      </c>
      <c r="C77" s="37">
        <v>23.76</v>
      </c>
      <c r="D77" s="29" t="s">
        <v>206</v>
      </c>
      <c r="E77" s="30">
        <v>5</v>
      </c>
      <c r="F77" s="42">
        <f t="shared" si="16"/>
        <v>192</v>
      </c>
      <c r="G77" s="41">
        <f t="shared" si="17"/>
        <v>4561.92</v>
      </c>
      <c r="H77" s="39">
        <v>1</v>
      </c>
      <c r="I77" s="40">
        <f t="shared" si="18"/>
        <v>4561.92</v>
      </c>
      <c r="J77" s="39">
        <v>1</v>
      </c>
      <c r="K77" s="38">
        <f t="shared" si="19"/>
        <v>4561.92</v>
      </c>
      <c r="L77" s="38">
        <f t="shared" si="20"/>
        <v>380.16</v>
      </c>
      <c r="M77" s="38">
        <f t="shared" si="21"/>
        <v>16</v>
      </c>
      <c r="N77" s="27"/>
      <c r="O77" s="13"/>
      <c r="W77" s="8"/>
    </row>
    <row r="78" spans="1:23" x14ac:dyDescent="0.2">
      <c r="A78" s="63" t="s">
        <v>263</v>
      </c>
      <c r="B78" s="58" t="s">
        <v>116</v>
      </c>
      <c r="C78" s="37">
        <v>50.39</v>
      </c>
      <c r="D78" s="29" t="s">
        <v>206</v>
      </c>
      <c r="E78" s="30">
        <v>5</v>
      </c>
      <c r="F78" s="42">
        <f t="shared" si="16"/>
        <v>192</v>
      </c>
      <c r="G78" s="41">
        <f t="shared" si="17"/>
        <v>9674.880000000001</v>
      </c>
      <c r="H78" s="39">
        <v>1</v>
      </c>
      <c r="I78" s="40">
        <f t="shared" si="18"/>
        <v>9674.880000000001</v>
      </c>
      <c r="J78" s="39">
        <v>1</v>
      </c>
      <c r="K78" s="38">
        <f t="shared" si="19"/>
        <v>9674.880000000001</v>
      </c>
      <c r="L78" s="38">
        <f t="shared" si="20"/>
        <v>806.24000000000012</v>
      </c>
      <c r="M78" s="38">
        <f t="shared" si="21"/>
        <v>16.000000000000004</v>
      </c>
      <c r="N78" s="27"/>
      <c r="O78" s="13"/>
      <c r="W78" s="8"/>
    </row>
    <row r="79" spans="1:23" x14ac:dyDescent="0.2">
      <c r="A79" s="63" t="s">
        <v>262</v>
      </c>
      <c r="B79" s="58" t="s">
        <v>229</v>
      </c>
      <c r="C79" s="37">
        <v>2.57</v>
      </c>
      <c r="D79" s="29" t="s">
        <v>228</v>
      </c>
      <c r="E79" s="30">
        <v>1</v>
      </c>
      <c r="F79" s="42">
        <f t="shared" si="16"/>
        <v>40</v>
      </c>
      <c r="G79" s="41">
        <f t="shared" si="17"/>
        <v>102.8</v>
      </c>
      <c r="H79" s="39">
        <v>1</v>
      </c>
      <c r="I79" s="40">
        <f t="shared" si="18"/>
        <v>102.8</v>
      </c>
      <c r="J79" s="39">
        <v>1</v>
      </c>
      <c r="K79" s="38">
        <f t="shared" si="19"/>
        <v>102.8</v>
      </c>
      <c r="L79" s="38">
        <f t="shared" si="20"/>
        <v>8.5666666666666664</v>
      </c>
      <c r="M79" s="38">
        <f t="shared" si="21"/>
        <v>3.3333333333333335</v>
      </c>
      <c r="N79" s="27"/>
      <c r="O79" s="13"/>
      <c r="W79" s="8"/>
    </row>
    <row r="80" spans="1:23" x14ac:dyDescent="0.2">
      <c r="A80" s="63" t="s">
        <v>261</v>
      </c>
      <c r="B80" s="58" t="s">
        <v>260</v>
      </c>
      <c r="C80" s="37">
        <v>31.48</v>
      </c>
      <c r="D80" s="29" t="s">
        <v>78</v>
      </c>
      <c r="E80" s="30">
        <v>5</v>
      </c>
      <c r="F80" s="42">
        <f t="shared" si="16"/>
        <v>192</v>
      </c>
      <c r="G80" s="41">
        <f t="shared" si="17"/>
        <v>6044.16</v>
      </c>
      <c r="H80" s="39">
        <v>1</v>
      </c>
      <c r="I80" s="40">
        <f t="shared" si="18"/>
        <v>6044.16</v>
      </c>
      <c r="J80" s="39">
        <v>1</v>
      </c>
      <c r="K80" s="38">
        <f t="shared" si="19"/>
        <v>6044.16</v>
      </c>
      <c r="L80" s="38">
        <f t="shared" si="20"/>
        <v>503.68</v>
      </c>
      <c r="M80" s="38">
        <f t="shared" si="21"/>
        <v>16</v>
      </c>
      <c r="N80" s="27"/>
      <c r="O80" s="13"/>
      <c r="W80" s="8"/>
    </row>
    <row r="81" spans="1:23" x14ac:dyDescent="0.2">
      <c r="A81" s="63"/>
      <c r="B81" s="58"/>
      <c r="C81" s="37"/>
      <c r="D81" s="30"/>
      <c r="E81" s="30"/>
      <c r="F81" s="42"/>
      <c r="G81" s="41"/>
      <c r="H81" s="39"/>
      <c r="I81" s="40"/>
      <c r="J81" s="39"/>
      <c r="K81" s="38"/>
      <c r="L81" s="38"/>
      <c r="M81" s="38"/>
      <c r="N81" s="27"/>
      <c r="O81" s="13"/>
      <c r="W81" s="8"/>
    </row>
    <row r="82" spans="1:23" x14ac:dyDescent="0.2">
      <c r="A82" s="57"/>
      <c r="B82" s="56" t="s">
        <v>110</v>
      </c>
      <c r="C82" s="55"/>
      <c r="D82" s="54">
        <f>SUM(C83:C103)</f>
        <v>963.57</v>
      </c>
      <c r="E82" s="53"/>
      <c r="F82" s="52"/>
      <c r="G82" s="52"/>
      <c r="H82" s="51"/>
      <c r="I82" s="51"/>
      <c r="J82" s="51"/>
      <c r="K82" s="51"/>
      <c r="L82" s="51"/>
      <c r="M82" s="51"/>
      <c r="N82" s="50"/>
      <c r="O82" s="13"/>
      <c r="W82" s="8"/>
    </row>
    <row r="83" spans="1:23" x14ac:dyDescent="0.2">
      <c r="A83" s="63" t="s">
        <v>259</v>
      </c>
      <c r="B83" s="58" t="s">
        <v>258</v>
      </c>
      <c r="C83" s="37">
        <v>7.93</v>
      </c>
      <c r="D83" s="29" t="s">
        <v>56</v>
      </c>
      <c r="E83" s="30"/>
      <c r="F83" s="42">
        <f t="shared" ref="F83:F102" si="22">VLOOKUP($E83,$P$40:$R$51,3,FALSE)</f>
        <v>0</v>
      </c>
      <c r="G83" s="41">
        <f t="shared" ref="G83:G102" si="23">F83*C83</f>
        <v>0</v>
      </c>
      <c r="H83" s="39">
        <v>1</v>
      </c>
      <c r="I83" s="40">
        <f t="shared" ref="I83:I102" si="24">G83/H83</f>
        <v>0</v>
      </c>
      <c r="J83" s="39">
        <v>1</v>
      </c>
      <c r="K83" s="38">
        <f t="shared" ref="K83:K102" si="25">I83*J83</f>
        <v>0</v>
      </c>
      <c r="L83" s="38">
        <f t="shared" ref="L83:L102" si="26">K83/12</f>
        <v>0</v>
      </c>
      <c r="M83" s="38">
        <f t="shared" ref="M83:M102" si="27">L83/C83</f>
        <v>0</v>
      </c>
      <c r="N83" s="27"/>
      <c r="O83" s="13"/>
      <c r="W83" s="8"/>
    </row>
    <row r="84" spans="1:23" x14ac:dyDescent="0.2">
      <c r="A84" s="63" t="s">
        <v>257</v>
      </c>
      <c r="B84" s="58" t="s">
        <v>256</v>
      </c>
      <c r="C84" s="37">
        <v>11.01</v>
      </c>
      <c r="D84" s="29" t="s">
        <v>78</v>
      </c>
      <c r="E84" s="30">
        <v>5</v>
      </c>
      <c r="F84" s="42">
        <f t="shared" si="22"/>
        <v>192</v>
      </c>
      <c r="G84" s="41">
        <f t="shared" si="23"/>
        <v>2113.92</v>
      </c>
      <c r="H84" s="39">
        <v>1</v>
      </c>
      <c r="I84" s="40">
        <f t="shared" si="24"/>
        <v>2113.92</v>
      </c>
      <c r="J84" s="39">
        <v>1</v>
      </c>
      <c r="K84" s="38">
        <f t="shared" si="25"/>
        <v>2113.92</v>
      </c>
      <c r="L84" s="38">
        <f t="shared" si="26"/>
        <v>176.16</v>
      </c>
      <c r="M84" s="38">
        <f t="shared" si="27"/>
        <v>16</v>
      </c>
      <c r="N84" s="27"/>
      <c r="O84" s="13"/>
      <c r="W84" s="8"/>
    </row>
    <row r="85" spans="1:23" x14ac:dyDescent="0.2">
      <c r="A85" s="63" t="s">
        <v>255</v>
      </c>
      <c r="B85" s="58" t="s">
        <v>254</v>
      </c>
      <c r="C85" s="37">
        <v>14.57</v>
      </c>
      <c r="D85" s="29" t="s">
        <v>88</v>
      </c>
      <c r="E85" s="30">
        <v>3</v>
      </c>
      <c r="F85" s="42">
        <f t="shared" si="22"/>
        <v>120</v>
      </c>
      <c r="G85" s="41">
        <f t="shared" si="23"/>
        <v>1748.4</v>
      </c>
      <c r="H85" s="39">
        <v>1</v>
      </c>
      <c r="I85" s="40">
        <f t="shared" si="24"/>
        <v>1748.4</v>
      </c>
      <c r="J85" s="39">
        <v>1</v>
      </c>
      <c r="K85" s="38">
        <f t="shared" si="25"/>
        <v>1748.4</v>
      </c>
      <c r="L85" s="38">
        <f t="shared" si="26"/>
        <v>145.70000000000002</v>
      </c>
      <c r="M85" s="38">
        <f t="shared" si="27"/>
        <v>10.000000000000002</v>
      </c>
      <c r="N85" s="27"/>
      <c r="O85" s="13"/>
      <c r="W85" s="8"/>
    </row>
    <row r="86" spans="1:23" x14ac:dyDescent="0.2">
      <c r="A86" s="63" t="s">
        <v>253</v>
      </c>
      <c r="B86" s="58" t="s">
        <v>96</v>
      </c>
      <c r="C86" s="37">
        <v>226.5</v>
      </c>
      <c r="D86" s="29" t="s">
        <v>95</v>
      </c>
      <c r="E86" s="30">
        <v>1</v>
      </c>
      <c r="F86" s="42">
        <f t="shared" si="22"/>
        <v>40</v>
      </c>
      <c r="G86" s="41">
        <f t="shared" si="23"/>
        <v>9060</v>
      </c>
      <c r="H86" s="39">
        <v>1</v>
      </c>
      <c r="I86" s="40">
        <f t="shared" si="24"/>
        <v>9060</v>
      </c>
      <c r="J86" s="39">
        <v>1</v>
      </c>
      <c r="K86" s="38">
        <f t="shared" si="25"/>
        <v>9060</v>
      </c>
      <c r="L86" s="38">
        <f t="shared" si="26"/>
        <v>755</v>
      </c>
      <c r="M86" s="38">
        <f t="shared" si="27"/>
        <v>3.3333333333333335</v>
      </c>
      <c r="N86" s="27"/>
      <c r="O86" s="13"/>
      <c r="W86" s="8"/>
    </row>
    <row r="87" spans="1:23" x14ac:dyDescent="0.2">
      <c r="A87" s="63" t="s">
        <v>252</v>
      </c>
      <c r="B87" s="58" t="s">
        <v>86</v>
      </c>
      <c r="C87" s="37">
        <v>25.12</v>
      </c>
      <c r="D87" s="29" t="s">
        <v>206</v>
      </c>
      <c r="E87" s="30">
        <v>5</v>
      </c>
      <c r="F87" s="42">
        <f t="shared" si="22"/>
        <v>192</v>
      </c>
      <c r="G87" s="41">
        <f t="shared" si="23"/>
        <v>4823.04</v>
      </c>
      <c r="H87" s="39">
        <v>1</v>
      </c>
      <c r="I87" s="40">
        <f t="shared" si="24"/>
        <v>4823.04</v>
      </c>
      <c r="J87" s="39">
        <v>1</v>
      </c>
      <c r="K87" s="38">
        <f t="shared" si="25"/>
        <v>4823.04</v>
      </c>
      <c r="L87" s="38">
        <f t="shared" si="26"/>
        <v>401.92</v>
      </c>
      <c r="M87" s="38">
        <f t="shared" si="27"/>
        <v>16</v>
      </c>
      <c r="N87" s="27"/>
      <c r="O87" s="13"/>
      <c r="W87" s="8"/>
    </row>
    <row r="88" spans="1:23" x14ac:dyDescent="0.2">
      <c r="A88" s="63" t="s">
        <v>251</v>
      </c>
      <c r="B88" s="58" t="s">
        <v>84</v>
      </c>
      <c r="C88" s="37">
        <v>37.56</v>
      </c>
      <c r="D88" s="29" t="s">
        <v>206</v>
      </c>
      <c r="E88" s="30">
        <v>5</v>
      </c>
      <c r="F88" s="42">
        <f t="shared" si="22"/>
        <v>192</v>
      </c>
      <c r="G88" s="41">
        <f t="shared" si="23"/>
        <v>7211.52</v>
      </c>
      <c r="H88" s="39">
        <v>1</v>
      </c>
      <c r="I88" s="40">
        <f t="shared" si="24"/>
        <v>7211.52</v>
      </c>
      <c r="J88" s="39">
        <v>1</v>
      </c>
      <c r="K88" s="38">
        <f t="shared" si="25"/>
        <v>7211.52</v>
      </c>
      <c r="L88" s="38">
        <f t="shared" si="26"/>
        <v>600.96</v>
      </c>
      <c r="M88" s="38">
        <f t="shared" si="27"/>
        <v>16</v>
      </c>
      <c r="N88" s="27"/>
      <c r="O88" s="13"/>
      <c r="W88" s="8"/>
    </row>
    <row r="89" spans="1:23" x14ac:dyDescent="0.2">
      <c r="A89" s="63" t="s">
        <v>250</v>
      </c>
      <c r="B89" s="58" t="s">
        <v>249</v>
      </c>
      <c r="C89" s="37">
        <v>6.77</v>
      </c>
      <c r="D89" s="29" t="s">
        <v>91</v>
      </c>
      <c r="E89" s="30">
        <v>2</v>
      </c>
      <c r="F89" s="42">
        <f t="shared" si="22"/>
        <v>80</v>
      </c>
      <c r="G89" s="41">
        <f t="shared" si="23"/>
        <v>541.59999999999991</v>
      </c>
      <c r="H89" s="39">
        <v>1</v>
      </c>
      <c r="I89" s="40">
        <f t="shared" si="24"/>
        <v>541.59999999999991</v>
      </c>
      <c r="J89" s="39">
        <v>1</v>
      </c>
      <c r="K89" s="38">
        <f t="shared" si="25"/>
        <v>541.59999999999991</v>
      </c>
      <c r="L89" s="38">
        <f t="shared" si="26"/>
        <v>45.133333333333326</v>
      </c>
      <c r="M89" s="38">
        <f t="shared" si="27"/>
        <v>6.6666666666666661</v>
      </c>
      <c r="N89" s="27"/>
      <c r="O89" s="13"/>
      <c r="W89" s="8"/>
    </row>
    <row r="90" spans="1:23" x14ac:dyDescent="0.2">
      <c r="A90" s="63" t="s">
        <v>248</v>
      </c>
      <c r="B90" s="62" t="s">
        <v>171</v>
      </c>
      <c r="C90" s="37">
        <v>36.9</v>
      </c>
      <c r="D90" s="29" t="s">
        <v>67</v>
      </c>
      <c r="E90" s="30" t="s">
        <v>66</v>
      </c>
      <c r="F90" s="42">
        <f t="shared" si="22"/>
        <v>11</v>
      </c>
      <c r="G90" s="41">
        <f t="shared" si="23"/>
        <v>405.9</v>
      </c>
      <c r="H90" s="39">
        <v>1</v>
      </c>
      <c r="I90" s="40">
        <f t="shared" si="24"/>
        <v>405.9</v>
      </c>
      <c r="J90" s="39">
        <v>1</v>
      </c>
      <c r="K90" s="38">
        <f t="shared" si="25"/>
        <v>405.9</v>
      </c>
      <c r="L90" s="38">
        <f t="shared" si="26"/>
        <v>33.824999999999996</v>
      </c>
      <c r="M90" s="38">
        <f t="shared" si="27"/>
        <v>0.91666666666666663</v>
      </c>
      <c r="N90" s="27"/>
      <c r="O90" s="13"/>
      <c r="W90" s="8"/>
    </row>
    <row r="91" spans="1:23" x14ac:dyDescent="0.2">
      <c r="A91" s="63" t="s">
        <v>247</v>
      </c>
      <c r="B91" s="58" t="s">
        <v>246</v>
      </c>
      <c r="C91" s="37">
        <v>55.86</v>
      </c>
      <c r="D91" s="29" t="s">
        <v>75</v>
      </c>
      <c r="E91" s="30">
        <v>5</v>
      </c>
      <c r="F91" s="42">
        <f t="shared" si="22"/>
        <v>192</v>
      </c>
      <c r="G91" s="41">
        <f t="shared" si="23"/>
        <v>10725.119999999999</v>
      </c>
      <c r="H91" s="39">
        <v>1</v>
      </c>
      <c r="I91" s="40">
        <f t="shared" si="24"/>
        <v>10725.119999999999</v>
      </c>
      <c r="J91" s="39">
        <v>1</v>
      </c>
      <c r="K91" s="38">
        <f t="shared" si="25"/>
        <v>10725.119999999999</v>
      </c>
      <c r="L91" s="38">
        <f t="shared" si="26"/>
        <v>893.75999999999988</v>
      </c>
      <c r="M91" s="38">
        <f t="shared" si="27"/>
        <v>15.999999999999998</v>
      </c>
      <c r="N91" s="27"/>
      <c r="O91" s="13"/>
      <c r="W91" s="8"/>
    </row>
    <row r="92" spans="1:23" x14ac:dyDescent="0.2">
      <c r="A92" s="63" t="s">
        <v>245</v>
      </c>
      <c r="B92" s="58" t="s">
        <v>244</v>
      </c>
      <c r="C92" s="37">
        <v>55.98</v>
      </c>
      <c r="D92" s="29" t="s">
        <v>75</v>
      </c>
      <c r="E92" s="30">
        <v>5</v>
      </c>
      <c r="F92" s="42">
        <f t="shared" si="22"/>
        <v>192</v>
      </c>
      <c r="G92" s="41">
        <f t="shared" si="23"/>
        <v>10748.16</v>
      </c>
      <c r="H92" s="39">
        <v>1</v>
      </c>
      <c r="I92" s="40">
        <f t="shared" si="24"/>
        <v>10748.16</v>
      </c>
      <c r="J92" s="39">
        <v>1</v>
      </c>
      <c r="K92" s="38">
        <f t="shared" si="25"/>
        <v>10748.16</v>
      </c>
      <c r="L92" s="38">
        <f t="shared" si="26"/>
        <v>895.68</v>
      </c>
      <c r="M92" s="38">
        <f t="shared" si="27"/>
        <v>16</v>
      </c>
      <c r="N92" s="27"/>
      <c r="O92" s="13"/>
      <c r="W92" s="8"/>
    </row>
    <row r="93" spans="1:23" x14ac:dyDescent="0.2">
      <c r="A93" s="63" t="s">
        <v>243</v>
      </c>
      <c r="B93" s="58" t="s">
        <v>242</v>
      </c>
      <c r="C93" s="37">
        <v>55.88</v>
      </c>
      <c r="D93" s="29" t="s">
        <v>75</v>
      </c>
      <c r="E93" s="30">
        <v>5</v>
      </c>
      <c r="F93" s="42">
        <f t="shared" si="22"/>
        <v>192</v>
      </c>
      <c r="G93" s="41">
        <f t="shared" si="23"/>
        <v>10728.960000000001</v>
      </c>
      <c r="H93" s="39">
        <v>1</v>
      </c>
      <c r="I93" s="40">
        <f t="shared" si="24"/>
        <v>10728.960000000001</v>
      </c>
      <c r="J93" s="39">
        <v>1</v>
      </c>
      <c r="K93" s="38">
        <f t="shared" si="25"/>
        <v>10728.960000000001</v>
      </c>
      <c r="L93" s="38">
        <f t="shared" si="26"/>
        <v>894.08</v>
      </c>
      <c r="M93" s="38">
        <f t="shared" si="27"/>
        <v>16</v>
      </c>
      <c r="N93" s="27"/>
      <c r="O93" s="13"/>
      <c r="W93" s="8"/>
    </row>
    <row r="94" spans="1:23" x14ac:dyDescent="0.2">
      <c r="A94" s="63" t="s">
        <v>241</v>
      </c>
      <c r="B94" s="58" t="s">
        <v>116</v>
      </c>
      <c r="C94" s="37">
        <v>118.65</v>
      </c>
      <c r="D94" s="29" t="s">
        <v>206</v>
      </c>
      <c r="E94" s="30">
        <v>5</v>
      </c>
      <c r="F94" s="42">
        <f t="shared" si="22"/>
        <v>192</v>
      </c>
      <c r="G94" s="41">
        <f t="shared" si="23"/>
        <v>22780.800000000003</v>
      </c>
      <c r="H94" s="39">
        <v>1</v>
      </c>
      <c r="I94" s="40">
        <f t="shared" si="24"/>
        <v>22780.800000000003</v>
      </c>
      <c r="J94" s="39">
        <v>1</v>
      </c>
      <c r="K94" s="38">
        <f t="shared" si="25"/>
        <v>22780.800000000003</v>
      </c>
      <c r="L94" s="38">
        <f t="shared" si="26"/>
        <v>1898.4000000000003</v>
      </c>
      <c r="M94" s="38">
        <f t="shared" si="27"/>
        <v>16.000000000000004</v>
      </c>
      <c r="N94" s="27"/>
      <c r="O94" s="13"/>
      <c r="W94" s="8"/>
    </row>
    <row r="95" spans="1:23" x14ac:dyDescent="0.2">
      <c r="A95" s="63" t="s">
        <v>240</v>
      </c>
      <c r="B95" s="58" t="s">
        <v>114</v>
      </c>
      <c r="C95" s="37">
        <v>60.18</v>
      </c>
      <c r="D95" s="29" t="s">
        <v>206</v>
      </c>
      <c r="E95" s="30">
        <v>5</v>
      </c>
      <c r="F95" s="42">
        <f t="shared" si="22"/>
        <v>192</v>
      </c>
      <c r="G95" s="41">
        <f t="shared" si="23"/>
        <v>11554.56</v>
      </c>
      <c r="H95" s="39">
        <v>1</v>
      </c>
      <c r="I95" s="40">
        <f t="shared" si="24"/>
        <v>11554.56</v>
      </c>
      <c r="J95" s="39">
        <v>1</v>
      </c>
      <c r="K95" s="38">
        <f t="shared" si="25"/>
        <v>11554.56</v>
      </c>
      <c r="L95" s="38">
        <f t="shared" si="26"/>
        <v>962.88</v>
      </c>
      <c r="M95" s="38">
        <f t="shared" si="27"/>
        <v>16</v>
      </c>
      <c r="N95" s="27"/>
      <c r="O95" s="13"/>
      <c r="W95" s="8"/>
    </row>
    <row r="96" spans="1:23" x14ac:dyDescent="0.2">
      <c r="A96" s="63" t="s">
        <v>239</v>
      </c>
      <c r="B96" s="58" t="s">
        <v>238</v>
      </c>
      <c r="C96" s="37">
        <v>16.190000000000001</v>
      </c>
      <c r="D96" s="29" t="s">
        <v>91</v>
      </c>
      <c r="E96" s="30">
        <v>2</v>
      </c>
      <c r="F96" s="42">
        <f t="shared" si="22"/>
        <v>80</v>
      </c>
      <c r="G96" s="41">
        <f t="shared" si="23"/>
        <v>1295.2</v>
      </c>
      <c r="H96" s="39">
        <v>1</v>
      </c>
      <c r="I96" s="40">
        <f t="shared" si="24"/>
        <v>1295.2</v>
      </c>
      <c r="J96" s="39">
        <v>1</v>
      </c>
      <c r="K96" s="38">
        <f t="shared" si="25"/>
        <v>1295.2</v>
      </c>
      <c r="L96" s="38">
        <f t="shared" si="26"/>
        <v>107.93333333333334</v>
      </c>
      <c r="M96" s="38">
        <f t="shared" si="27"/>
        <v>6.6666666666666661</v>
      </c>
      <c r="N96" s="27"/>
      <c r="O96" s="13"/>
      <c r="W96" s="8"/>
    </row>
    <row r="97" spans="1:23" x14ac:dyDescent="0.2">
      <c r="A97" s="63" t="s">
        <v>237</v>
      </c>
      <c r="B97" s="58" t="s">
        <v>236</v>
      </c>
      <c r="C97" s="37">
        <v>56.23</v>
      </c>
      <c r="D97" s="29" t="s">
        <v>75</v>
      </c>
      <c r="E97" s="30">
        <v>5</v>
      </c>
      <c r="F97" s="42">
        <f t="shared" si="22"/>
        <v>192</v>
      </c>
      <c r="G97" s="41">
        <f t="shared" si="23"/>
        <v>10796.16</v>
      </c>
      <c r="H97" s="39">
        <v>1</v>
      </c>
      <c r="I97" s="40">
        <f t="shared" si="24"/>
        <v>10796.16</v>
      </c>
      <c r="J97" s="39">
        <v>1</v>
      </c>
      <c r="K97" s="38">
        <f t="shared" si="25"/>
        <v>10796.16</v>
      </c>
      <c r="L97" s="38">
        <f t="shared" si="26"/>
        <v>899.68</v>
      </c>
      <c r="M97" s="38">
        <f t="shared" si="27"/>
        <v>16</v>
      </c>
      <c r="N97" s="27"/>
      <c r="O97" s="13"/>
      <c r="W97" s="8"/>
    </row>
    <row r="98" spans="1:23" x14ac:dyDescent="0.2">
      <c r="A98" s="63" t="s">
        <v>235</v>
      </c>
      <c r="B98" s="58" t="s">
        <v>234</v>
      </c>
      <c r="C98" s="37">
        <v>31.64</v>
      </c>
      <c r="D98" s="29" t="s">
        <v>78</v>
      </c>
      <c r="E98" s="30">
        <v>5</v>
      </c>
      <c r="F98" s="42">
        <f t="shared" si="22"/>
        <v>192</v>
      </c>
      <c r="G98" s="41">
        <f t="shared" si="23"/>
        <v>6074.88</v>
      </c>
      <c r="H98" s="39">
        <v>1</v>
      </c>
      <c r="I98" s="40">
        <f t="shared" si="24"/>
        <v>6074.88</v>
      </c>
      <c r="J98" s="39">
        <v>1</v>
      </c>
      <c r="K98" s="38">
        <f t="shared" si="25"/>
        <v>6074.88</v>
      </c>
      <c r="L98" s="38">
        <f t="shared" si="26"/>
        <v>506.24</v>
      </c>
      <c r="M98" s="38">
        <f t="shared" si="27"/>
        <v>16</v>
      </c>
      <c r="N98" s="27"/>
      <c r="O98" s="13"/>
      <c r="W98" s="8"/>
    </row>
    <row r="99" spans="1:23" x14ac:dyDescent="0.2">
      <c r="A99" s="63" t="s">
        <v>233</v>
      </c>
      <c r="B99" s="58" t="s">
        <v>140</v>
      </c>
      <c r="C99" s="37">
        <v>21.29</v>
      </c>
      <c r="D99" s="29" t="s">
        <v>56</v>
      </c>
      <c r="E99" s="30">
        <v>5</v>
      </c>
      <c r="F99" s="42">
        <f t="shared" si="22"/>
        <v>192</v>
      </c>
      <c r="G99" s="41">
        <f t="shared" si="23"/>
        <v>4087.68</v>
      </c>
      <c r="H99" s="39">
        <v>1</v>
      </c>
      <c r="I99" s="40">
        <f t="shared" si="24"/>
        <v>4087.68</v>
      </c>
      <c r="J99" s="39">
        <v>1</v>
      </c>
      <c r="K99" s="38">
        <f t="shared" si="25"/>
        <v>4087.68</v>
      </c>
      <c r="L99" s="38">
        <f t="shared" si="26"/>
        <v>340.64</v>
      </c>
      <c r="M99" s="38">
        <f t="shared" si="27"/>
        <v>16</v>
      </c>
      <c r="N99" s="27"/>
      <c r="O99" s="13"/>
      <c r="W99" s="8"/>
    </row>
    <row r="100" spans="1:23" x14ac:dyDescent="0.2">
      <c r="A100" s="63" t="s">
        <v>232</v>
      </c>
      <c r="B100" s="58" t="s">
        <v>76</v>
      </c>
      <c r="C100" s="37">
        <v>106.58</v>
      </c>
      <c r="D100" s="29" t="s">
        <v>231</v>
      </c>
      <c r="E100" s="30">
        <v>5</v>
      </c>
      <c r="F100" s="42">
        <f t="shared" si="22"/>
        <v>192</v>
      </c>
      <c r="G100" s="41">
        <f t="shared" si="23"/>
        <v>20463.36</v>
      </c>
      <c r="H100" s="39">
        <v>1</v>
      </c>
      <c r="I100" s="40">
        <f t="shared" si="24"/>
        <v>20463.36</v>
      </c>
      <c r="J100" s="39">
        <v>1</v>
      </c>
      <c r="K100" s="38">
        <f t="shared" si="25"/>
        <v>20463.36</v>
      </c>
      <c r="L100" s="38">
        <f t="shared" si="26"/>
        <v>1705.28</v>
      </c>
      <c r="M100" s="38">
        <f t="shared" si="27"/>
        <v>16</v>
      </c>
      <c r="N100" s="27"/>
      <c r="O100" s="13"/>
      <c r="W100" s="8"/>
    </row>
    <row r="101" spans="1:23" x14ac:dyDescent="0.2">
      <c r="A101" s="63" t="s">
        <v>230</v>
      </c>
      <c r="B101" s="58" t="s">
        <v>171</v>
      </c>
      <c r="C101" s="37">
        <v>16.16</v>
      </c>
      <c r="D101" s="29" t="s">
        <v>67</v>
      </c>
      <c r="E101" s="30" t="s">
        <v>66</v>
      </c>
      <c r="F101" s="42">
        <f t="shared" si="22"/>
        <v>11</v>
      </c>
      <c r="G101" s="41">
        <f t="shared" si="23"/>
        <v>177.76</v>
      </c>
      <c r="H101" s="39">
        <v>1</v>
      </c>
      <c r="I101" s="40">
        <f t="shared" si="24"/>
        <v>177.76</v>
      </c>
      <c r="J101" s="39">
        <v>1</v>
      </c>
      <c r="K101" s="38">
        <f t="shared" si="25"/>
        <v>177.76</v>
      </c>
      <c r="L101" s="38">
        <f t="shared" si="26"/>
        <v>14.813333333333333</v>
      </c>
      <c r="M101" s="38">
        <f t="shared" si="27"/>
        <v>0.91666666666666663</v>
      </c>
      <c r="N101" s="27"/>
      <c r="O101" s="13"/>
      <c r="W101" s="8"/>
    </row>
    <row r="102" spans="1:23" x14ac:dyDescent="0.2">
      <c r="A102" s="63"/>
      <c r="B102" s="58" t="s">
        <v>229</v>
      </c>
      <c r="C102" s="37">
        <v>2.57</v>
      </c>
      <c r="D102" s="29" t="s">
        <v>228</v>
      </c>
      <c r="E102" s="30">
        <v>1</v>
      </c>
      <c r="F102" s="42">
        <f t="shared" si="22"/>
        <v>40</v>
      </c>
      <c r="G102" s="41">
        <f t="shared" si="23"/>
        <v>102.8</v>
      </c>
      <c r="H102" s="39">
        <v>1</v>
      </c>
      <c r="I102" s="40">
        <f t="shared" si="24"/>
        <v>102.8</v>
      </c>
      <c r="J102" s="39">
        <v>1</v>
      </c>
      <c r="K102" s="38">
        <f t="shared" si="25"/>
        <v>102.8</v>
      </c>
      <c r="L102" s="38">
        <f t="shared" si="26"/>
        <v>8.5666666666666664</v>
      </c>
      <c r="M102" s="38">
        <f t="shared" si="27"/>
        <v>3.3333333333333335</v>
      </c>
      <c r="N102" s="27"/>
      <c r="O102" s="13"/>
      <c r="W102" s="8"/>
    </row>
    <row r="103" spans="1:23" x14ac:dyDescent="0.2">
      <c r="A103" s="33"/>
      <c r="B103" s="62"/>
      <c r="C103" s="37"/>
      <c r="D103" s="30"/>
      <c r="E103" s="30"/>
      <c r="F103" s="42"/>
      <c r="G103" s="41"/>
      <c r="H103" s="39"/>
      <c r="I103" s="40"/>
      <c r="J103" s="39"/>
      <c r="K103" s="38"/>
      <c r="L103" s="38"/>
      <c r="M103" s="38"/>
      <c r="N103" s="27"/>
      <c r="O103" s="13"/>
      <c r="W103" s="8"/>
    </row>
    <row r="104" spans="1:23" x14ac:dyDescent="0.2">
      <c r="A104" s="57"/>
      <c r="B104" s="56" t="s">
        <v>83</v>
      </c>
      <c r="C104" s="55"/>
      <c r="D104" s="54">
        <f>SUM(C105:C116)</f>
        <v>425.47</v>
      </c>
      <c r="E104" s="53"/>
      <c r="F104" s="52"/>
      <c r="G104" s="52"/>
      <c r="H104" s="51"/>
      <c r="I104" s="51"/>
      <c r="J104" s="51"/>
      <c r="K104" s="51"/>
      <c r="L104" s="51"/>
      <c r="M104" s="51"/>
      <c r="N104" s="50"/>
      <c r="O104" s="13"/>
      <c r="W104" s="8"/>
    </row>
    <row r="105" spans="1:23" x14ac:dyDescent="0.2">
      <c r="A105" s="33"/>
      <c r="B105" s="58"/>
      <c r="C105" s="37"/>
      <c r="D105" s="29"/>
      <c r="E105" s="30"/>
      <c r="F105" s="42"/>
      <c r="G105" s="41"/>
      <c r="H105" s="39"/>
      <c r="I105" s="40"/>
      <c r="J105" s="39"/>
      <c r="K105" s="38"/>
      <c r="L105" s="38"/>
      <c r="M105" s="38"/>
      <c r="N105" s="27"/>
      <c r="O105" s="13"/>
      <c r="W105" s="8"/>
    </row>
    <row r="106" spans="1:23" x14ac:dyDescent="0.2">
      <c r="A106" s="63" t="s">
        <v>227</v>
      </c>
      <c r="B106" s="58" t="s">
        <v>226</v>
      </c>
      <c r="C106" s="37">
        <v>67.92</v>
      </c>
      <c r="D106" s="29" t="s">
        <v>214</v>
      </c>
      <c r="E106" s="30" t="s">
        <v>66</v>
      </c>
      <c r="F106" s="42">
        <f t="shared" ref="F106:F116" si="28">VLOOKUP($E106,$P$40:$R$51,3,FALSE)</f>
        <v>11</v>
      </c>
      <c r="G106" s="41">
        <f t="shared" ref="G106:G116" si="29">F106*C106</f>
        <v>747.12</v>
      </c>
      <c r="H106" s="39">
        <v>1</v>
      </c>
      <c r="I106" s="40">
        <f t="shared" ref="I106:I116" si="30">G106/H106</f>
        <v>747.12</v>
      </c>
      <c r="J106" s="39">
        <v>1</v>
      </c>
      <c r="K106" s="38">
        <f t="shared" ref="K106:K116" si="31">I106*J106</f>
        <v>747.12</v>
      </c>
      <c r="L106" s="38">
        <f t="shared" ref="L106:L116" si="32">K106/12</f>
        <v>62.26</v>
      </c>
      <c r="M106" s="38">
        <f t="shared" ref="M106:M116" si="33">L106/C106</f>
        <v>0.91666666666666663</v>
      </c>
      <c r="N106" s="27"/>
      <c r="O106" s="13"/>
      <c r="W106" s="8"/>
    </row>
    <row r="107" spans="1:23" x14ac:dyDescent="0.2">
      <c r="A107" s="63" t="s">
        <v>225</v>
      </c>
      <c r="B107" s="58" t="s">
        <v>224</v>
      </c>
      <c r="C107" s="37">
        <v>14.24</v>
      </c>
      <c r="D107" s="29" t="s">
        <v>67</v>
      </c>
      <c r="E107" s="30" t="s">
        <v>66</v>
      </c>
      <c r="F107" s="42">
        <f t="shared" si="28"/>
        <v>11</v>
      </c>
      <c r="G107" s="41">
        <f t="shared" si="29"/>
        <v>156.64000000000001</v>
      </c>
      <c r="H107" s="39">
        <v>1</v>
      </c>
      <c r="I107" s="40">
        <f t="shared" si="30"/>
        <v>156.64000000000001</v>
      </c>
      <c r="J107" s="39">
        <v>1</v>
      </c>
      <c r="K107" s="38">
        <f t="shared" si="31"/>
        <v>156.64000000000001</v>
      </c>
      <c r="L107" s="38">
        <f t="shared" si="32"/>
        <v>13.053333333333335</v>
      </c>
      <c r="M107" s="38">
        <f t="shared" si="33"/>
        <v>0.91666666666666674</v>
      </c>
      <c r="N107" s="27"/>
      <c r="O107" s="13"/>
      <c r="W107" s="8"/>
    </row>
    <row r="108" spans="1:23" x14ac:dyDescent="0.2">
      <c r="A108" s="63" t="s">
        <v>223</v>
      </c>
      <c r="B108" s="58" t="s">
        <v>86</v>
      </c>
      <c r="C108" s="37">
        <v>21.38</v>
      </c>
      <c r="D108" s="29" t="s">
        <v>214</v>
      </c>
      <c r="E108" s="30" t="s">
        <v>66</v>
      </c>
      <c r="F108" s="42">
        <f t="shared" si="28"/>
        <v>11</v>
      </c>
      <c r="G108" s="41">
        <f t="shared" si="29"/>
        <v>235.17999999999998</v>
      </c>
      <c r="H108" s="39">
        <v>1</v>
      </c>
      <c r="I108" s="40">
        <f t="shared" si="30"/>
        <v>235.17999999999998</v>
      </c>
      <c r="J108" s="39">
        <v>1</v>
      </c>
      <c r="K108" s="38">
        <f t="shared" si="31"/>
        <v>235.17999999999998</v>
      </c>
      <c r="L108" s="38">
        <f t="shared" si="32"/>
        <v>19.598333333333333</v>
      </c>
      <c r="M108" s="38">
        <f t="shared" si="33"/>
        <v>0.91666666666666663</v>
      </c>
      <c r="N108" s="27"/>
      <c r="O108" s="13"/>
      <c r="W108" s="8"/>
    </row>
    <row r="109" spans="1:23" x14ac:dyDescent="0.2">
      <c r="A109" s="63"/>
      <c r="B109" s="58" t="s">
        <v>222</v>
      </c>
      <c r="C109" s="37">
        <v>11.01</v>
      </c>
      <c r="D109" s="29" t="s">
        <v>78</v>
      </c>
      <c r="E109" s="30">
        <v>5</v>
      </c>
      <c r="F109" s="42">
        <f t="shared" si="28"/>
        <v>192</v>
      </c>
      <c r="G109" s="41">
        <f t="shared" si="29"/>
        <v>2113.92</v>
      </c>
      <c r="H109" s="39">
        <v>1</v>
      </c>
      <c r="I109" s="40">
        <f t="shared" si="30"/>
        <v>2113.92</v>
      </c>
      <c r="J109" s="39">
        <v>1</v>
      </c>
      <c r="K109" s="38">
        <f t="shared" si="31"/>
        <v>2113.92</v>
      </c>
      <c r="L109" s="38">
        <f t="shared" si="32"/>
        <v>176.16</v>
      </c>
      <c r="M109" s="38">
        <f t="shared" si="33"/>
        <v>16</v>
      </c>
      <c r="N109" s="27"/>
      <c r="O109" s="13"/>
      <c r="W109" s="8"/>
    </row>
    <row r="110" spans="1:23" x14ac:dyDescent="0.2">
      <c r="A110" s="63" t="s">
        <v>221</v>
      </c>
      <c r="B110" s="58" t="s">
        <v>220</v>
      </c>
      <c r="C110" s="37">
        <v>9.58</v>
      </c>
      <c r="D110" s="29" t="s">
        <v>67</v>
      </c>
      <c r="E110" s="30" t="s">
        <v>66</v>
      </c>
      <c r="F110" s="42">
        <f t="shared" si="28"/>
        <v>11</v>
      </c>
      <c r="G110" s="41">
        <f t="shared" si="29"/>
        <v>105.38</v>
      </c>
      <c r="H110" s="39">
        <v>1</v>
      </c>
      <c r="I110" s="40">
        <f t="shared" si="30"/>
        <v>105.38</v>
      </c>
      <c r="J110" s="39">
        <v>1</v>
      </c>
      <c r="K110" s="38">
        <f t="shared" si="31"/>
        <v>105.38</v>
      </c>
      <c r="L110" s="38">
        <f t="shared" si="32"/>
        <v>8.7816666666666663</v>
      </c>
      <c r="M110" s="38">
        <f t="shared" si="33"/>
        <v>0.91666666666666663</v>
      </c>
      <c r="N110" s="27"/>
      <c r="O110" s="13"/>
      <c r="W110" s="8"/>
    </row>
    <row r="111" spans="1:23" x14ac:dyDescent="0.2">
      <c r="A111" s="63" t="s">
        <v>219</v>
      </c>
      <c r="B111" s="58" t="s">
        <v>84</v>
      </c>
      <c r="C111" s="37">
        <v>46.01</v>
      </c>
      <c r="D111" s="29" t="s">
        <v>214</v>
      </c>
      <c r="E111" s="30">
        <v>5</v>
      </c>
      <c r="F111" s="42">
        <f t="shared" si="28"/>
        <v>192</v>
      </c>
      <c r="G111" s="41">
        <f t="shared" si="29"/>
        <v>8833.92</v>
      </c>
      <c r="H111" s="39">
        <v>1</v>
      </c>
      <c r="I111" s="40">
        <f t="shared" si="30"/>
        <v>8833.92</v>
      </c>
      <c r="J111" s="39">
        <v>1</v>
      </c>
      <c r="K111" s="38">
        <f t="shared" si="31"/>
        <v>8833.92</v>
      </c>
      <c r="L111" s="38">
        <f t="shared" si="32"/>
        <v>736.16</v>
      </c>
      <c r="M111" s="38">
        <f t="shared" si="33"/>
        <v>16</v>
      </c>
      <c r="N111" s="27"/>
      <c r="O111" s="13"/>
      <c r="W111" s="8"/>
    </row>
    <row r="112" spans="1:23" x14ac:dyDescent="0.2">
      <c r="A112" s="63"/>
      <c r="B112" s="58" t="s">
        <v>218</v>
      </c>
      <c r="C112" s="37">
        <v>31.64</v>
      </c>
      <c r="D112" s="29" t="s">
        <v>78</v>
      </c>
      <c r="E112" s="30">
        <v>5</v>
      </c>
      <c r="F112" s="42">
        <f t="shared" si="28"/>
        <v>192</v>
      </c>
      <c r="G112" s="41">
        <f t="shared" si="29"/>
        <v>6074.88</v>
      </c>
      <c r="H112" s="39">
        <v>1</v>
      </c>
      <c r="I112" s="40">
        <f t="shared" si="30"/>
        <v>6074.88</v>
      </c>
      <c r="J112" s="39">
        <v>1</v>
      </c>
      <c r="K112" s="38">
        <f t="shared" si="31"/>
        <v>6074.88</v>
      </c>
      <c r="L112" s="38">
        <f t="shared" si="32"/>
        <v>506.24</v>
      </c>
      <c r="M112" s="38">
        <f t="shared" si="33"/>
        <v>16</v>
      </c>
      <c r="N112" s="27"/>
      <c r="O112" s="13"/>
      <c r="W112" s="8"/>
    </row>
    <row r="113" spans="1:23" x14ac:dyDescent="0.2">
      <c r="A113" s="63" t="s">
        <v>217</v>
      </c>
      <c r="B113" s="58" t="s">
        <v>216</v>
      </c>
      <c r="C113" s="37">
        <v>62.36</v>
      </c>
      <c r="D113" s="29" t="s">
        <v>75</v>
      </c>
      <c r="E113" s="30">
        <v>5</v>
      </c>
      <c r="F113" s="42">
        <f t="shared" si="28"/>
        <v>192</v>
      </c>
      <c r="G113" s="41">
        <f t="shared" si="29"/>
        <v>11973.119999999999</v>
      </c>
      <c r="H113" s="39">
        <v>1</v>
      </c>
      <c r="I113" s="40">
        <f t="shared" si="30"/>
        <v>11973.119999999999</v>
      </c>
      <c r="J113" s="39">
        <v>1</v>
      </c>
      <c r="K113" s="38">
        <f t="shared" si="31"/>
        <v>11973.119999999999</v>
      </c>
      <c r="L113" s="38">
        <f t="shared" si="32"/>
        <v>997.75999999999988</v>
      </c>
      <c r="M113" s="38">
        <f t="shared" si="33"/>
        <v>15.999999999999998</v>
      </c>
      <c r="N113" s="27"/>
      <c r="O113" s="13"/>
      <c r="W113" s="8"/>
    </row>
    <row r="114" spans="1:23" x14ac:dyDescent="0.2">
      <c r="A114" s="63" t="s">
        <v>215</v>
      </c>
      <c r="B114" s="58" t="s">
        <v>116</v>
      </c>
      <c r="C114" s="37">
        <v>6.13</v>
      </c>
      <c r="D114" s="29" t="s">
        <v>214</v>
      </c>
      <c r="E114" s="30">
        <v>5</v>
      </c>
      <c r="F114" s="42">
        <f t="shared" si="28"/>
        <v>192</v>
      </c>
      <c r="G114" s="41">
        <f t="shared" si="29"/>
        <v>1176.96</v>
      </c>
      <c r="H114" s="39">
        <v>1</v>
      </c>
      <c r="I114" s="40">
        <f t="shared" si="30"/>
        <v>1176.96</v>
      </c>
      <c r="J114" s="39">
        <v>1</v>
      </c>
      <c r="K114" s="38">
        <f t="shared" si="31"/>
        <v>1176.96</v>
      </c>
      <c r="L114" s="38">
        <f t="shared" si="32"/>
        <v>98.08</v>
      </c>
      <c r="M114" s="38">
        <f t="shared" si="33"/>
        <v>16</v>
      </c>
      <c r="N114" s="27"/>
      <c r="O114" s="13"/>
      <c r="W114" s="8"/>
    </row>
    <row r="115" spans="1:23" x14ac:dyDescent="0.2">
      <c r="A115" s="63" t="s">
        <v>213</v>
      </c>
      <c r="B115" s="58" t="s">
        <v>122</v>
      </c>
      <c r="C115" s="37">
        <v>21.93</v>
      </c>
      <c r="D115" s="29" t="s">
        <v>91</v>
      </c>
      <c r="E115" s="30">
        <v>2</v>
      </c>
      <c r="F115" s="42">
        <f t="shared" si="28"/>
        <v>80</v>
      </c>
      <c r="G115" s="41">
        <f t="shared" si="29"/>
        <v>1754.4</v>
      </c>
      <c r="H115" s="39">
        <v>1</v>
      </c>
      <c r="I115" s="40">
        <f t="shared" si="30"/>
        <v>1754.4</v>
      </c>
      <c r="J115" s="39">
        <v>1</v>
      </c>
      <c r="K115" s="38">
        <f t="shared" si="31"/>
        <v>1754.4</v>
      </c>
      <c r="L115" s="38">
        <f t="shared" si="32"/>
        <v>146.20000000000002</v>
      </c>
      <c r="M115" s="38">
        <f t="shared" si="33"/>
        <v>6.6666666666666679</v>
      </c>
      <c r="N115" s="27"/>
      <c r="O115" s="13"/>
      <c r="W115" s="8"/>
    </row>
    <row r="116" spans="1:23" x14ac:dyDescent="0.2">
      <c r="A116" s="63" t="s">
        <v>212</v>
      </c>
      <c r="B116" s="58" t="s">
        <v>211</v>
      </c>
      <c r="C116" s="37">
        <v>133.27000000000001</v>
      </c>
      <c r="D116" s="29" t="s">
        <v>88</v>
      </c>
      <c r="E116" s="30">
        <v>5</v>
      </c>
      <c r="F116" s="42">
        <f t="shared" si="28"/>
        <v>192</v>
      </c>
      <c r="G116" s="41">
        <f t="shared" si="29"/>
        <v>25587.840000000004</v>
      </c>
      <c r="H116" s="39">
        <v>1</v>
      </c>
      <c r="I116" s="40">
        <f t="shared" si="30"/>
        <v>25587.840000000004</v>
      </c>
      <c r="J116" s="39">
        <v>1</v>
      </c>
      <c r="K116" s="38">
        <f t="shared" si="31"/>
        <v>25587.840000000004</v>
      </c>
      <c r="L116" s="38">
        <f t="shared" si="32"/>
        <v>2132.3200000000002</v>
      </c>
      <c r="M116" s="38">
        <f t="shared" si="33"/>
        <v>16</v>
      </c>
      <c r="N116" s="27"/>
      <c r="O116" s="13"/>
      <c r="W116" s="8"/>
    </row>
    <row r="117" spans="1:23" x14ac:dyDescent="0.2">
      <c r="A117" s="33"/>
      <c r="B117" s="62"/>
      <c r="C117" s="37"/>
      <c r="D117" s="30"/>
      <c r="E117" s="30"/>
      <c r="F117" s="42"/>
      <c r="G117" s="41"/>
      <c r="H117" s="39"/>
      <c r="I117" s="40"/>
      <c r="J117" s="39"/>
      <c r="K117" s="38"/>
      <c r="L117" s="38"/>
      <c r="M117" s="38"/>
      <c r="N117" s="27"/>
      <c r="O117" s="13"/>
      <c r="W117" s="8"/>
    </row>
    <row r="118" spans="1:23" x14ac:dyDescent="0.2">
      <c r="A118" s="33"/>
      <c r="B118" s="32" t="s">
        <v>210</v>
      </c>
      <c r="C118" s="31">
        <f>SUM(C6:C116)</f>
        <v>3844.0500000000006</v>
      </c>
      <c r="D118" s="30"/>
      <c r="E118" s="30"/>
      <c r="F118" s="42"/>
      <c r="G118" s="41"/>
      <c r="H118" s="39"/>
      <c r="I118" s="40"/>
      <c r="J118" s="39"/>
      <c r="K118" s="38"/>
      <c r="L118" s="38"/>
      <c r="M118" s="38"/>
      <c r="N118" s="27"/>
      <c r="O118" s="13"/>
      <c r="W118" s="8"/>
    </row>
    <row r="119" spans="1:23" ht="15.75" x14ac:dyDescent="0.25">
      <c r="A119" s="344" t="s">
        <v>209</v>
      </c>
      <c r="B119" s="345" t="s">
        <v>209</v>
      </c>
      <c r="C119" s="345"/>
      <c r="D119" s="345"/>
      <c r="E119" s="53"/>
      <c r="F119" s="52"/>
      <c r="G119" s="52"/>
      <c r="H119" s="51"/>
      <c r="I119" s="51"/>
      <c r="J119" s="51"/>
      <c r="K119" s="51"/>
      <c r="L119" s="51"/>
      <c r="M119" s="51"/>
      <c r="N119" s="50"/>
      <c r="O119" s="13"/>
      <c r="W119" s="8"/>
    </row>
    <row r="120" spans="1:23" x14ac:dyDescent="0.2">
      <c r="A120" s="57"/>
      <c r="B120" s="56" t="s">
        <v>208</v>
      </c>
      <c r="C120" s="55"/>
      <c r="D120" s="54">
        <f>SUM(C121:C141)-C124-C132-C136-C139-C140</f>
        <v>569.18999999999983</v>
      </c>
      <c r="E120" s="53"/>
      <c r="F120" s="52"/>
      <c r="G120" s="52"/>
      <c r="H120" s="51"/>
      <c r="I120" s="51"/>
      <c r="J120" s="51"/>
      <c r="K120" s="51"/>
      <c r="L120" s="51"/>
      <c r="M120" s="51"/>
      <c r="N120" s="50"/>
      <c r="O120" s="13"/>
      <c r="W120" s="8"/>
    </row>
    <row r="121" spans="1:23" x14ac:dyDescent="0.2">
      <c r="A121" s="59" t="s">
        <v>205</v>
      </c>
      <c r="B121" s="58" t="s">
        <v>204</v>
      </c>
      <c r="C121" s="61">
        <v>38</v>
      </c>
      <c r="D121" s="29" t="s">
        <v>207</v>
      </c>
      <c r="E121" s="30">
        <v>3</v>
      </c>
      <c r="F121" s="42">
        <f t="shared" ref="F121:F141" si="34">VLOOKUP($E121,$P$40:$R$51,3,FALSE)</f>
        <v>120</v>
      </c>
      <c r="G121" s="41">
        <f t="shared" ref="G121:G141" si="35">F121*C121</f>
        <v>4560</v>
      </c>
      <c r="H121" s="39">
        <v>1</v>
      </c>
      <c r="I121" s="40">
        <f t="shared" ref="I121:I141" si="36">G121/H121</f>
        <v>4560</v>
      </c>
      <c r="J121" s="39">
        <v>1</v>
      </c>
      <c r="K121" s="38">
        <f t="shared" ref="K121:K141" si="37">I121*J121</f>
        <v>4560</v>
      </c>
      <c r="L121" s="38">
        <f t="shared" ref="L121:L141" si="38">K121/12</f>
        <v>380</v>
      </c>
      <c r="M121" s="38">
        <f t="shared" ref="M121:M141" si="39">L121/C121</f>
        <v>10</v>
      </c>
      <c r="N121" s="27"/>
      <c r="O121" s="13"/>
      <c r="W121" s="8"/>
    </row>
    <row r="122" spans="1:23" x14ac:dyDescent="0.2">
      <c r="A122" s="59" t="s">
        <v>205</v>
      </c>
      <c r="B122" s="58" t="s">
        <v>204</v>
      </c>
      <c r="C122" s="61">
        <v>69</v>
      </c>
      <c r="D122" s="29" t="s">
        <v>206</v>
      </c>
      <c r="E122" s="30">
        <v>3</v>
      </c>
      <c r="F122" s="42">
        <f t="shared" si="34"/>
        <v>120</v>
      </c>
      <c r="G122" s="41">
        <f t="shared" si="35"/>
        <v>8280</v>
      </c>
      <c r="H122" s="39">
        <v>2</v>
      </c>
      <c r="I122" s="40">
        <f t="shared" si="36"/>
        <v>4140</v>
      </c>
      <c r="J122" s="39">
        <v>2</v>
      </c>
      <c r="K122" s="38">
        <f t="shared" si="37"/>
        <v>8280</v>
      </c>
      <c r="L122" s="38">
        <f t="shared" si="38"/>
        <v>690</v>
      </c>
      <c r="M122" s="38">
        <f t="shared" si="39"/>
        <v>10</v>
      </c>
      <c r="N122" s="27"/>
      <c r="O122" s="13"/>
      <c r="W122" s="8"/>
    </row>
    <row r="123" spans="1:23" x14ac:dyDescent="0.2">
      <c r="A123" s="59" t="s">
        <v>205</v>
      </c>
      <c r="B123" s="58" t="s">
        <v>204</v>
      </c>
      <c r="C123" s="61">
        <v>27</v>
      </c>
      <c r="D123" s="29" t="s">
        <v>64</v>
      </c>
      <c r="E123" s="30">
        <v>3</v>
      </c>
      <c r="F123" s="42">
        <f t="shared" si="34"/>
        <v>120</v>
      </c>
      <c r="G123" s="41">
        <f t="shared" si="35"/>
        <v>3240</v>
      </c>
      <c r="H123" s="39">
        <v>3</v>
      </c>
      <c r="I123" s="40">
        <f t="shared" si="36"/>
        <v>1080</v>
      </c>
      <c r="J123" s="39">
        <v>3</v>
      </c>
      <c r="K123" s="38">
        <f t="shared" si="37"/>
        <v>3240</v>
      </c>
      <c r="L123" s="38">
        <f t="shared" si="38"/>
        <v>270</v>
      </c>
      <c r="M123" s="38">
        <f t="shared" si="39"/>
        <v>10</v>
      </c>
      <c r="N123" s="27"/>
      <c r="O123" s="13"/>
      <c r="W123" s="8"/>
    </row>
    <row r="124" spans="1:23" x14ac:dyDescent="0.2">
      <c r="A124" s="59" t="s">
        <v>203</v>
      </c>
      <c r="B124" s="58" t="s">
        <v>177</v>
      </c>
      <c r="C124" s="61">
        <v>13.2</v>
      </c>
      <c r="D124" s="29" t="s">
        <v>174</v>
      </c>
      <c r="E124" s="30">
        <v>0</v>
      </c>
      <c r="F124" s="42">
        <f t="shared" si="34"/>
        <v>0</v>
      </c>
      <c r="G124" s="41">
        <f t="shared" si="35"/>
        <v>0</v>
      </c>
      <c r="H124" s="39">
        <v>1</v>
      </c>
      <c r="I124" s="40">
        <f t="shared" si="36"/>
        <v>0</v>
      </c>
      <c r="J124" s="39">
        <v>1</v>
      </c>
      <c r="K124" s="38">
        <f t="shared" si="37"/>
        <v>0</v>
      </c>
      <c r="L124" s="38">
        <f t="shared" si="38"/>
        <v>0</v>
      </c>
      <c r="M124" s="38">
        <f t="shared" si="39"/>
        <v>0</v>
      </c>
      <c r="N124" s="27" t="s">
        <v>173</v>
      </c>
      <c r="O124" s="13"/>
      <c r="W124" s="8"/>
    </row>
    <row r="125" spans="1:23" x14ac:dyDescent="0.2">
      <c r="A125" s="59" t="s">
        <v>202</v>
      </c>
      <c r="B125" s="58" t="s">
        <v>171</v>
      </c>
      <c r="C125" s="62">
        <v>26.96</v>
      </c>
      <c r="D125" s="29" t="s">
        <v>170</v>
      </c>
      <c r="E125" s="30" t="s">
        <v>66</v>
      </c>
      <c r="F125" s="42">
        <f t="shared" si="34"/>
        <v>11</v>
      </c>
      <c r="G125" s="41">
        <f t="shared" si="35"/>
        <v>296.56</v>
      </c>
      <c r="H125" s="39">
        <v>1</v>
      </c>
      <c r="I125" s="40">
        <f t="shared" si="36"/>
        <v>296.56</v>
      </c>
      <c r="J125" s="39">
        <v>1</v>
      </c>
      <c r="K125" s="38">
        <f t="shared" si="37"/>
        <v>296.56</v>
      </c>
      <c r="L125" s="38">
        <f t="shared" si="38"/>
        <v>24.713333333333335</v>
      </c>
      <c r="M125" s="38">
        <f t="shared" si="39"/>
        <v>0.91666666666666674</v>
      </c>
      <c r="N125" s="27"/>
      <c r="O125" s="13"/>
      <c r="W125" s="8"/>
    </row>
    <row r="126" spans="1:23" x14ac:dyDescent="0.2">
      <c r="A126" s="59" t="s">
        <v>201</v>
      </c>
      <c r="B126" s="58" t="s">
        <v>200</v>
      </c>
      <c r="C126" s="61">
        <v>10.51</v>
      </c>
      <c r="D126" s="29" t="s">
        <v>174</v>
      </c>
      <c r="E126" s="30">
        <v>0</v>
      </c>
      <c r="F126" s="42">
        <f t="shared" si="34"/>
        <v>0</v>
      </c>
      <c r="G126" s="41">
        <f t="shared" si="35"/>
        <v>0</v>
      </c>
      <c r="H126" s="39">
        <v>1</v>
      </c>
      <c r="I126" s="40">
        <f t="shared" si="36"/>
        <v>0</v>
      </c>
      <c r="J126" s="39">
        <v>1</v>
      </c>
      <c r="K126" s="38">
        <f t="shared" si="37"/>
        <v>0</v>
      </c>
      <c r="L126" s="38">
        <f t="shared" si="38"/>
        <v>0</v>
      </c>
      <c r="M126" s="38">
        <f t="shared" si="39"/>
        <v>0</v>
      </c>
      <c r="N126" s="27"/>
      <c r="O126" s="13"/>
      <c r="Q126" s="47"/>
      <c r="W126" s="8"/>
    </row>
    <row r="127" spans="1:23" x14ac:dyDescent="0.2">
      <c r="A127" s="59" t="s">
        <v>199</v>
      </c>
      <c r="B127" s="58" t="s">
        <v>81</v>
      </c>
      <c r="C127" s="61">
        <v>11.19</v>
      </c>
      <c r="D127" s="29" t="s">
        <v>78</v>
      </c>
      <c r="E127" s="30">
        <v>5</v>
      </c>
      <c r="F127" s="42">
        <f t="shared" si="34"/>
        <v>192</v>
      </c>
      <c r="G127" s="41">
        <f t="shared" si="35"/>
        <v>2148.48</v>
      </c>
      <c r="H127" s="39">
        <v>1</v>
      </c>
      <c r="I127" s="40">
        <f t="shared" si="36"/>
        <v>2148.48</v>
      </c>
      <c r="J127" s="39">
        <v>1</v>
      </c>
      <c r="K127" s="38">
        <f t="shared" si="37"/>
        <v>2148.48</v>
      </c>
      <c r="L127" s="38">
        <f t="shared" si="38"/>
        <v>179.04</v>
      </c>
      <c r="M127" s="38">
        <f t="shared" si="39"/>
        <v>16</v>
      </c>
      <c r="N127" s="27"/>
      <c r="O127" s="13"/>
      <c r="W127" s="8"/>
    </row>
    <row r="128" spans="1:23" x14ac:dyDescent="0.2">
      <c r="A128" s="59" t="s">
        <v>198</v>
      </c>
      <c r="B128" s="58" t="s">
        <v>197</v>
      </c>
      <c r="C128" s="61">
        <v>52.49</v>
      </c>
      <c r="D128" s="29" t="s">
        <v>88</v>
      </c>
      <c r="E128" s="30">
        <v>5</v>
      </c>
      <c r="F128" s="42">
        <f t="shared" si="34"/>
        <v>192</v>
      </c>
      <c r="G128" s="41">
        <f t="shared" si="35"/>
        <v>10078.08</v>
      </c>
      <c r="H128" s="39">
        <v>1</v>
      </c>
      <c r="I128" s="40">
        <f t="shared" si="36"/>
        <v>10078.08</v>
      </c>
      <c r="J128" s="39">
        <v>1</v>
      </c>
      <c r="K128" s="38">
        <f t="shared" si="37"/>
        <v>10078.08</v>
      </c>
      <c r="L128" s="38">
        <f t="shared" si="38"/>
        <v>839.84</v>
      </c>
      <c r="M128" s="38">
        <f t="shared" si="39"/>
        <v>16</v>
      </c>
      <c r="N128" s="27"/>
      <c r="O128" s="13"/>
      <c r="W128" s="8"/>
    </row>
    <row r="129" spans="1:23" x14ac:dyDescent="0.2">
      <c r="A129" s="59" t="s">
        <v>196</v>
      </c>
      <c r="B129" s="58" t="s">
        <v>195</v>
      </c>
      <c r="C129" s="61">
        <v>52.21</v>
      </c>
      <c r="D129" s="29" t="s">
        <v>88</v>
      </c>
      <c r="E129" s="30">
        <v>5</v>
      </c>
      <c r="F129" s="42">
        <f t="shared" si="34"/>
        <v>192</v>
      </c>
      <c r="G129" s="41">
        <f t="shared" si="35"/>
        <v>10024.32</v>
      </c>
      <c r="H129" s="39">
        <v>1</v>
      </c>
      <c r="I129" s="40">
        <f t="shared" si="36"/>
        <v>10024.32</v>
      </c>
      <c r="J129" s="39">
        <v>1</v>
      </c>
      <c r="K129" s="38">
        <f t="shared" si="37"/>
        <v>10024.32</v>
      </c>
      <c r="L129" s="38">
        <f t="shared" si="38"/>
        <v>835.36</v>
      </c>
      <c r="M129" s="38">
        <f t="shared" si="39"/>
        <v>16</v>
      </c>
      <c r="N129" s="27"/>
      <c r="O129" s="13"/>
      <c r="W129" s="8"/>
    </row>
    <row r="130" spans="1:23" x14ac:dyDescent="0.2">
      <c r="A130" s="59" t="s">
        <v>194</v>
      </c>
      <c r="B130" s="58" t="s">
        <v>171</v>
      </c>
      <c r="C130" s="61">
        <v>11.65</v>
      </c>
      <c r="D130" s="29" t="s">
        <v>174</v>
      </c>
      <c r="E130" s="30" t="s">
        <v>66</v>
      </c>
      <c r="F130" s="42">
        <f t="shared" si="34"/>
        <v>11</v>
      </c>
      <c r="G130" s="41">
        <f t="shared" si="35"/>
        <v>128.15</v>
      </c>
      <c r="H130" s="39">
        <v>1</v>
      </c>
      <c r="I130" s="40">
        <f t="shared" si="36"/>
        <v>128.15</v>
      </c>
      <c r="J130" s="39">
        <v>1</v>
      </c>
      <c r="K130" s="38">
        <f t="shared" si="37"/>
        <v>128.15</v>
      </c>
      <c r="L130" s="38">
        <f t="shared" si="38"/>
        <v>10.679166666666667</v>
      </c>
      <c r="M130" s="38">
        <f t="shared" si="39"/>
        <v>0.91666666666666663</v>
      </c>
      <c r="N130" s="27"/>
      <c r="O130" s="13"/>
      <c r="W130" s="8"/>
    </row>
    <row r="131" spans="1:23" x14ac:dyDescent="0.2">
      <c r="A131" s="59" t="s">
        <v>193</v>
      </c>
      <c r="B131" s="58" t="s">
        <v>79</v>
      </c>
      <c r="C131" s="61">
        <v>10.33</v>
      </c>
      <c r="D131" s="29" t="s">
        <v>78</v>
      </c>
      <c r="E131" s="30">
        <v>5</v>
      </c>
      <c r="F131" s="42">
        <f t="shared" si="34"/>
        <v>192</v>
      </c>
      <c r="G131" s="41">
        <f t="shared" si="35"/>
        <v>1983.3600000000001</v>
      </c>
      <c r="H131" s="39">
        <v>1</v>
      </c>
      <c r="I131" s="40">
        <f t="shared" si="36"/>
        <v>1983.3600000000001</v>
      </c>
      <c r="J131" s="39">
        <v>1</v>
      </c>
      <c r="K131" s="38">
        <f t="shared" si="37"/>
        <v>1983.3600000000001</v>
      </c>
      <c r="L131" s="38">
        <f t="shared" si="38"/>
        <v>165.28</v>
      </c>
      <c r="M131" s="38">
        <f t="shared" si="39"/>
        <v>16</v>
      </c>
      <c r="N131" s="27"/>
      <c r="O131" s="13"/>
      <c r="W131" s="8"/>
    </row>
    <row r="132" spans="1:23" x14ac:dyDescent="0.2">
      <c r="A132" s="59" t="s">
        <v>192</v>
      </c>
      <c r="B132" s="58" t="s">
        <v>191</v>
      </c>
      <c r="C132" s="61">
        <v>9.6</v>
      </c>
      <c r="D132" s="29" t="s">
        <v>174</v>
      </c>
      <c r="E132" s="30">
        <v>0</v>
      </c>
      <c r="F132" s="42">
        <f t="shared" si="34"/>
        <v>0</v>
      </c>
      <c r="G132" s="41">
        <f t="shared" si="35"/>
        <v>0</v>
      </c>
      <c r="H132" s="39">
        <v>1</v>
      </c>
      <c r="I132" s="40">
        <f t="shared" si="36"/>
        <v>0</v>
      </c>
      <c r="J132" s="39">
        <v>1</v>
      </c>
      <c r="K132" s="38">
        <f t="shared" si="37"/>
        <v>0</v>
      </c>
      <c r="L132" s="38">
        <f t="shared" si="38"/>
        <v>0</v>
      </c>
      <c r="M132" s="38">
        <f t="shared" si="39"/>
        <v>0</v>
      </c>
      <c r="N132" s="27" t="s">
        <v>173</v>
      </c>
      <c r="O132" s="13"/>
      <c r="W132" s="8"/>
    </row>
    <row r="133" spans="1:23" x14ac:dyDescent="0.2">
      <c r="A133" s="59" t="s">
        <v>190</v>
      </c>
      <c r="B133" s="58" t="s">
        <v>189</v>
      </c>
      <c r="C133" s="61">
        <v>45.14</v>
      </c>
      <c r="D133" s="29" t="s">
        <v>91</v>
      </c>
      <c r="E133" s="30">
        <v>1</v>
      </c>
      <c r="F133" s="42">
        <f t="shared" si="34"/>
        <v>40</v>
      </c>
      <c r="G133" s="41">
        <f t="shared" si="35"/>
        <v>1805.6</v>
      </c>
      <c r="H133" s="39">
        <v>1</v>
      </c>
      <c r="I133" s="40">
        <f t="shared" si="36"/>
        <v>1805.6</v>
      </c>
      <c r="J133" s="39">
        <v>1</v>
      </c>
      <c r="K133" s="38">
        <f t="shared" si="37"/>
        <v>1805.6</v>
      </c>
      <c r="L133" s="38">
        <f t="shared" si="38"/>
        <v>150.46666666666667</v>
      </c>
      <c r="M133" s="38">
        <f t="shared" si="39"/>
        <v>3.3333333333333335</v>
      </c>
      <c r="N133" s="27"/>
      <c r="O133" s="13"/>
      <c r="W133" s="8"/>
    </row>
    <row r="134" spans="1:23" x14ac:dyDescent="0.2">
      <c r="A134" s="59" t="s">
        <v>188</v>
      </c>
      <c r="B134" s="58" t="s">
        <v>187</v>
      </c>
      <c r="C134" s="61">
        <v>25.87</v>
      </c>
      <c r="D134" s="29" t="s">
        <v>186</v>
      </c>
      <c r="E134" s="30">
        <v>1</v>
      </c>
      <c r="F134" s="42">
        <f t="shared" si="34"/>
        <v>40</v>
      </c>
      <c r="G134" s="41">
        <f t="shared" si="35"/>
        <v>1034.8</v>
      </c>
      <c r="H134" s="39">
        <v>1</v>
      </c>
      <c r="I134" s="40">
        <f t="shared" si="36"/>
        <v>1034.8</v>
      </c>
      <c r="J134" s="39">
        <v>1</v>
      </c>
      <c r="K134" s="38">
        <f t="shared" si="37"/>
        <v>1034.8</v>
      </c>
      <c r="L134" s="38">
        <f t="shared" si="38"/>
        <v>86.233333333333334</v>
      </c>
      <c r="M134" s="38">
        <f t="shared" si="39"/>
        <v>3.333333333333333</v>
      </c>
      <c r="N134" s="27"/>
      <c r="O134" s="13"/>
      <c r="W134" s="8"/>
    </row>
    <row r="135" spans="1:23" x14ac:dyDescent="0.2">
      <c r="A135" s="59" t="s">
        <v>185</v>
      </c>
      <c r="B135" s="58" t="s">
        <v>184</v>
      </c>
      <c r="C135" s="61">
        <v>55.43</v>
      </c>
      <c r="D135" s="29" t="s">
        <v>88</v>
      </c>
      <c r="E135" s="30">
        <v>3</v>
      </c>
      <c r="F135" s="42">
        <f t="shared" si="34"/>
        <v>120</v>
      </c>
      <c r="G135" s="41">
        <f t="shared" si="35"/>
        <v>6651.6</v>
      </c>
      <c r="H135" s="39">
        <v>1</v>
      </c>
      <c r="I135" s="40">
        <f t="shared" si="36"/>
        <v>6651.6</v>
      </c>
      <c r="J135" s="39">
        <v>1</v>
      </c>
      <c r="K135" s="38">
        <f t="shared" si="37"/>
        <v>6651.6</v>
      </c>
      <c r="L135" s="38">
        <f t="shared" si="38"/>
        <v>554.30000000000007</v>
      </c>
      <c r="M135" s="38">
        <f t="shared" si="39"/>
        <v>10.000000000000002</v>
      </c>
      <c r="N135" s="27"/>
      <c r="O135" s="13"/>
      <c r="W135" s="8"/>
    </row>
    <row r="136" spans="1:23" x14ac:dyDescent="0.2">
      <c r="A136" s="59" t="s">
        <v>183</v>
      </c>
      <c r="B136" s="58" t="s">
        <v>182</v>
      </c>
      <c r="C136" s="61">
        <v>10.83</v>
      </c>
      <c r="D136" s="29" t="s">
        <v>174</v>
      </c>
      <c r="E136" s="30">
        <v>0</v>
      </c>
      <c r="F136" s="42">
        <f t="shared" si="34"/>
        <v>0</v>
      </c>
      <c r="G136" s="41">
        <f t="shared" si="35"/>
        <v>0</v>
      </c>
      <c r="H136" s="39">
        <v>1</v>
      </c>
      <c r="I136" s="40">
        <f t="shared" si="36"/>
        <v>0</v>
      </c>
      <c r="J136" s="39">
        <v>1</v>
      </c>
      <c r="K136" s="38">
        <f t="shared" si="37"/>
        <v>0</v>
      </c>
      <c r="L136" s="38">
        <f t="shared" si="38"/>
        <v>0</v>
      </c>
      <c r="M136" s="38">
        <f t="shared" si="39"/>
        <v>0</v>
      </c>
      <c r="N136" s="27" t="s">
        <v>173</v>
      </c>
      <c r="O136" s="13"/>
      <c r="W136" s="8"/>
    </row>
    <row r="137" spans="1:23" x14ac:dyDescent="0.2">
      <c r="A137" s="59" t="s">
        <v>181</v>
      </c>
      <c r="B137" s="58" t="s">
        <v>180</v>
      </c>
      <c r="C137" s="61">
        <v>53.4</v>
      </c>
      <c r="D137" s="29" t="s">
        <v>88</v>
      </c>
      <c r="E137" s="30">
        <v>1</v>
      </c>
      <c r="F137" s="42">
        <f t="shared" si="34"/>
        <v>40</v>
      </c>
      <c r="G137" s="41">
        <f t="shared" si="35"/>
        <v>2136</v>
      </c>
      <c r="H137" s="39">
        <v>1</v>
      </c>
      <c r="I137" s="40">
        <f t="shared" si="36"/>
        <v>2136</v>
      </c>
      <c r="J137" s="39">
        <v>1</v>
      </c>
      <c r="K137" s="38">
        <f t="shared" si="37"/>
        <v>2136</v>
      </c>
      <c r="L137" s="38">
        <f t="shared" si="38"/>
        <v>178</v>
      </c>
      <c r="M137" s="38">
        <f t="shared" si="39"/>
        <v>3.3333333333333335</v>
      </c>
      <c r="N137" s="27"/>
      <c r="O137" s="13"/>
      <c r="W137" s="8"/>
    </row>
    <row r="138" spans="1:23" x14ac:dyDescent="0.2">
      <c r="A138" s="59" t="s">
        <v>179</v>
      </c>
      <c r="B138" s="58" t="s">
        <v>178</v>
      </c>
      <c r="C138" s="61">
        <v>52.77</v>
      </c>
      <c r="D138" s="29" t="s">
        <v>88</v>
      </c>
      <c r="E138" s="30">
        <v>1</v>
      </c>
      <c r="F138" s="42">
        <f t="shared" si="34"/>
        <v>40</v>
      </c>
      <c r="G138" s="41">
        <f t="shared" si="35"/>
        <v>2110.8000000000002</v>
      </c>
      <c r="H138" s="39">
        <v>1</v>
      </c>
      <c r="I138" s="40">
        <f t="shared" si="36"/>
        <v>2110.8000000000002</v>
      </c>
      <c r="J138" s="39">
        <v>1</v>
      </c>
      <c r="K138" s="38">
        <f t="shared" si="37"/>
        <v>2110.8000000000002</v>
      </c>
      <c r="L138" s="38">
        <f t="shared" si="38"/>
        <v>175.9</v>
      </c>
      <c r="M138" s="38">
        <f t="shared" si="39"/>
        <v>3.333333333333333</v>
      </c>
      <c r="N138" s="27"/>
      <c r="O138" s="13"/>
      <c r="W138" s="8"/>
    </row>
    <row r="139" spans="1:23" x14ac:dyDescent="0.2">
      <c r="A139" s="59" t="s">
        <v>176</v>
      </c>
      <c r="B139" s="58" t="s">
        <v>177</v>
      </c>
      <c r="C139" s="61">
        <v>18.79</v>
      </c>
      <c r="D139" s="29" t="s">
        <v>174</v>
      </c>
      <c r="E139" s="30">
        <v>0</v>
      </c>
      <c r="F139" s="42">
        <f t="shared" si="34"/>
        <v>0</v>
      </c>
      <c r="G139" s="41">
        <f t="shared" si="35"/>
        <v>0</v>
      </c>
      <c r="H139" s="39">
        <v>1</v>
      </c>
      <c r="I139" s="40">
        <f t="shared" si="36"/>
        <v>0</v>
      </c>
      <c r="J139" s="39">
        <v>1</v>
      </c>
      <c r="K139" s="38">
        <f t="shared" si="37"/>
        <v>0</v>
      </c>
      <c r="L139" s="38">
        <f t="shared" si="38"/>
        <v>0</v>
      </c>
      <c r="M139" s="38">
        <f t="shared" si="39"/>
        <v>0</v>
      </c>
      <c r="N139" s="27" t="s">
        <v>173</v>
      </c>
      <c r="O139" s="13"/>
      <c r="W139" s="8"/>
    </row>
    <row r="140" spans="1:23" x14ac:dyDescent="0.2">
      <c r="A140" s="59" t="s">
        <v>176</v>
      </c>
      <c r="B140" s="58" t="s">
        <v>175</v>
      </c>
      <c r="C140" s="61">
        <v>8.51</v>
      </c>
      <c r="D140" s="29" t="s">
        <v>174</v>
      </c>
      <c r="E140" s="30">
        <v>0</v>
      </c>
      <c r="F140" s="42">
        <f t="shared" si="34"/>
        <v>0</v>
      </c>
      <c r="G140" s="41">
        <f t="shared" si="35"/>
        <v>0</v>
      </c>
      <c r="H140" s="39">
        <v>1</v>
      </c>
      <c r="I140" s="40">
        <f t="shared" si="36"/>
        <v>0</v>
      </c>
      <c r="J140" s="39">
        <v>1</v>
      </c>
      <c r="K140" s="38">
        <f t="shared" si="37"/>
        <v>0</v>
      </c>
      <c r="L140" s="38">
        <f t="shared" si="38"/>
        <v>0</v>
      </c>
      <c r="M140" s="38">
        <f t="shared" si="39"/>
        <v>0</v>
      </c>
      <c r="N140" s="27" t="s">
        <v>173</v>
      </c>
      <c r="O140" s="13"/>
      <c r="W140" s="8"/>
    </row>
    <row r="141" spans="1:23" x14ac:dyDescent="0.2">
      <c r="A141" s="59" t="s">
        <v>172</v>
      </c>
      <c r="B141" s="58" t="s">
        <v>171</v>
      </c>
      <c r="C141" s="61">
        <v>27.24</v>
      </c>
      <c r="D141" s="29" t="s">
        <v>170</v>
      </c>
      <c r="E141" s="30" t="s">
        <v>66</v>
      </c>
      <c r="F141" s="42">
        <f t="shared" si="34"/>
        <v>11</v>
      </c>
      <c r="G141" s="41">
        <f t="shared" si="35"/>
        <v>299.64</v>
      </c>
      <c r="H141" s="39">
        <v>1</v>
      </c>
      <c r="I141" s="40">
        <f t="shared" si="36"/>
        <v>299.64</v>
      </c>
      <c r="J141" s="39">
        <v>1</v>
      </c>
      <c r="K141" s="38">
        <f t="shared" si="37"/>
        <v>299.64</v>
      </c>
      <c r="L141" s="38">
        <f t="shared" si="38"/>
        <v>24.97</v>
      </c>
      <c r="M141" s="38">
        <f t="shared" si="39"/>
        <v>0.91666666666666663</v>
      </c>
      <c r="N141" s="27"/>
      <c r="O141" s="13"/>
      <c r="W141" s="8"/>
    </row>
    <row r="142" spans="1:23" x14ac:dyDescent="0.2">
      <c r="A142" s="59"/>
      <c r="B142" s="58"/>
      <c r="C142" s="61"/>
      <c r="D142" s="30"/>
      <c r="E142" s="30"/>
      <c r="F142" s="42"/>
      <c r="G142" s="41"/>
      <c r="H142" s="39"/>
      <c r="I142" s="40"/>
      <c r="J142" s="39"/>
      <c r="K142" s="38"/>
      <c r="L142" s="38"/>
      <c r="M142" s="38"/>
      <c r="N142" s="27"/>
      <c r="O142" s="13"/>
      <c r="W142" s="8"/>
    </row>
    <row r="143" spans="1:23" x14ac:dyDescent="0.2">
      <c r="A143" s="57"/>
      <c r="B143" s="56" t="s">
        <v>169</v>
      </c>
      <c r="C143" s="55"/>
      <c r="D143" s="54">
        <f>SUM(C144:C166)</f>
        <v>824.56000000000006</v>
      </c>
      <c r="E143" s="53"/>
      <c r="F143" s="52"/>
      <c r="G143" s="52"/>
      <c r="H143" s="51"/>
      <c r="I143" s="51"/>
      <c r="J143" s="51"/>
      <c r="K143" s="51"/>
      <c r="L143" s="51"/>
      <c r="M143" s="51"/>
      <c r="N143" s="50"/>
      <c r="O143" s="13"/>
      <c r="W143" s="8"/>
    </row>
    <row r="144" spans="1:23" x14ac:dyDescent="0.2">
      <c r="A144" s="59" t="s">
        <v>168</v>
      </c>
      <c r="B144" s="58" t="s">
        <v>167</v>
      </c>
      <c r="C144" s="61">
        <v>57.33</v>
      </c>
      <c r="D144" s="29" t="s">
        <v>88</v>
      </c>
      <c r="E144" s="30">
        <v>5</v>
      </c>
      <c r="F144" s="42">
        <f t="shared" ref="F144:F165" si="40">VLOOKUP($E144,$P$40:$R$51,3,FALSE)</f>
        <v>192</v>
      </c>
      <c r="G144" s="41">
        <f t="shared" ref="G144:G165" si="41">F144*C144</f>
        <v>11007.36</v>
      </c>
      <c r="H144" s="39">
        <v>1</v>
      </c>
      <c r="I144" s="40">
        <f t="shared" ref="I144:I165" si="42">G144/H144</f>
        <v>11007.36</v>
      </c>
      <c r="J144" s="39">
        <v>1</v>
      </c>
      <c r="K144" s="38">
        <f t="shared" ref="K144:K165" si="43">I144*J144</f>
        <v>11007.36</v>
      </c>
      <c r="L144" s="38">
        <f t="shared" ref="L144:L165" si="44">K144/12</f>
        <v>917.28000000000009</v>
      </c>
      <c r="M144" s="38">
        <f t="shared" ref="M144:M165" si="45">L144/C144</f>
        <v>16.000000000000004</v>
      </c>
      <c r="N144" s="27"/>
      <c r="O144" s="13"/>
      <c r="W144" s="8"/>
    </row>
    <row r="145" spans="1:23" x14ac:dyDescent="0.2">
      <c r="A145" s="59" t="s">
        <v>166</v>
      </c>
      <c r="B145" s="58" t="s">
        <v>81</v>
      </c>
      <c r="C145" s="61">
        <v>34.869999999999997</v>
      </c>
      <c r="D145" s="29" t="s">
        <v>78</v>
      </c>
      <c r="E145" s="30">
        <v>5</v>
      </c>
      <c r="F145" s="42">
        <f t="shared" si="40"/>
        <v>192</v>
      </c>
      <c r="G145" s="41">
        <f t="shared" si="41"/>
        <v>6695.0399999999991</v>
      </c>
      <c r="H145" s="39">
        <v>1</v>
      </c>
      <c r="I145" s="40">
        <f t="shared" si="42"/>
        <v>6695.0399999999991</v>
      </c>
      <c r="J145" s="39">
        <v>1</v>
      </c>
      <c r="K145" s="38">
        <f t="shared" si="43"/>
        <v>6695.0399999999991</v>
      </c>
      <c r="L145" s="38">
        <f t="shared" si="44"/>
        <v>557.91999999999996</v>
      </c>
      <c r="M145" s="38">
        <f t="shared" si="45"/>
        <v>16</v>
      </c>
      <c r="N145" s="27"/>
      <c r="O145" s="13"/>
      <c r="W145" s="8"/>
    </row>
    <row r="146" spans="1:23" x14ac:dyDescent="0.2">
      <c r="A146" s="59" t="s">
        <v>165</v>
      </c>
      <c r="B146" s="58" t="s">
        <v>102</v>
      </c>
      <c r="C146" s="61">
        <v>54.44</v>
      </c>
      <c r="D146" s="29" t="s">
        <v>75</v>
      </c>
      <c r="E146" s="30">
        <v>5</v>
      </c>
      <c r="F146" s="42">
        <f t="shared" si="40"/>
        <v>192</v>
      </c>
      <c r="G146" s="41">
        <f t="shared" si="41"/>
        <v>10452.48</v>
      </c>
      <c r="H146" s="39">
        <v>1</v>
      </c>
      <c r="I146" s="40">
        <f t="shared" si="42"/>
        <v>10452.48</v>
      </c>
      <c r="J146" s="39">
        <v>1</v>
      </c>
      <c r="K146" s="38">
        <f t="shared" si="43"/>
        <v>10452.48</v>
      </c>
      <c r="L146" s="38">
        <f t="shared" si="44"/>
        <v>871.04</v>
      </c>
      <c r="M146" s="38">
        <f t="shared" si="45"/>
        <v>16</v>
      </c>
      <c r="N146" s="27"/>
      <c r="O146" s="13"/>
      <c r="W146" s="8"/>
    </row>
    <row r="147" spans="1:23" x14ac:dyDescent="0.2">
      <c r="A147" s="59" t="s">
        <v>164</v>
      </c>
      <c r="B147" s="58" t="s">
        <v>102</v>
      </c>
      <c r="C147" s="61">
        <v>54.16</v>
      </c>
      <c r="D147" s="29" t="s">
        <v>75</v>
      </c>
      <c r="E147" s="30">
        <v>5</v>
      </c>
      <c r="F147" s="42">
        <f t="shared" si="40"/>
        <v>192</v>
      </c>
      <c r="G147" s="41">
        <f t="shared" si="41"/>
        <v>10398.719999999999</v>
      </c>
      <c r="H147" s="39">
        <v>1</v>
      </c>
      <c r="I147" s="40">
        <f t="shared" si="42"/>
        <v>10398.719999999999</v>
      </c>
      <c r="J147" s="39">
        <v>1</v>
      </c>
      <c r="K147" s="38">
        <f t="shared" si="43"/>
        <v>10398.719999999999</v>
      </c>
      <c r="L147" s="38">
        <f t="shared" si="44"/>
        <v>866.56</v>
      </c>
      <c r="M147" s="38">
        <f t="shared" si="45"/>
        <v>16</v>
      </c>
      <c r="N147" s="27"/>
      <c r="O147" s="13"/>
      <c r="W147" s="8"/>
    </row>
    <row r="148" spans="1:23" x14ac:dyDescent="0.2">
      <c r="A148" s="59" t="s">
        <v>163</v>
      </c>
      <c r="B148" s="58" t="s">
        <v>79</v>
      </c>
      <c r="C148" s="61">
        <v>34.869999999999997</v>
      </c>
      <c r="D148" s="29" t="s">
        <v>78</v>
      </c>
      <c r="E148" s="30">
        <v>5</v>
      </c>
      <c r="F148" s="42">
        <f t="shared" si="40"/>
        <v>192</v>
      </c>
      <c r="G148" s="41">
        <f t="shared" si="41"/>
        <v>6695.0399999999991</v>
      </c>
      <c r="H148" s="39">
        <v>1</v>
      </c>
      <c r="I148" s="40">
        <f t="shared" si="42"/>
        <v>6695.0399999999991</v>
      </c>
      <c r="J148" s="39">
        <v>1</v>
      </c>
      <c r="K148" s="38">
        <f t="shared" si="43"/>
        <v>6695.0399999999991</v>
      </c>
      <c r="L148" s="38">
        <f t="shared" si="44"/>
        <v>557.91999999999996</v>
      </c>
      <c r="M148" s="38">
        <f t="shared" si="45"/>
        <v>16</v>
      </c>
      <c r="N148" s="27"/>
      <c r="O148" s="13"/>
      <c r="W148" s="8"/>
    </row>
    <row r="149" spans="1:23" x14ac:dyDescent="0.2">
      <c r="A149" s="59" t="s">
        <v>162</v>
      </c>
      <c r="B149" s="58" t="s">
        <v>102</v>
      </c>
      <c r="C149" s="61">
        <v>56.7</v>
      </c>
      <c r="D149" s="29" t="s">
        <v>75</v>
      </c>
      <c r="E149" s="30">
        <v>5</v>
      </c>
      <c r="F149" s="42">
        <f t="shared" si="40"/>
        <v>192</v>
      </c>
      <c r="G149" s="41">
        <f t="shared" si="41"/>
        <v>10886.400000000001</v>
      </c>
      <c r="H149" s="39">
        <v>1</v>
      </c>
      <c r="I149" s="40">
        <f t="shared" si="42"/>
        <v>10886.400000000001</v>
      </c>
      <c r="J149" s="39">
        <v>1</v>
      </c>
      <c r="K149" s="38">
        <f t="shared" si="43"/>
        <v>10886.400000000001</v>
      </c>
      <c r="L149" s="38">
        <f t="shared" si="44"/>
        <v>907.20000000000016</v>
      </c>
      <c r="M149" s="38">
        <f t="shared" si="45"/>
        <v>16.000000000000004</v>
      </c>
      <c r="N149" s="27"/>
      <c r="O149" s="13"/>
      <c r="W149" s="8"/>
    </row>
    <row r="150" spans="1:23" x14ac:dyDescent="0.2">
      <c r="A150" s="59" t="s">
        <v>161</v>
      </c>
      <c r="B150" s="58" t="s">
        <v>102</v>
      </c>
      <c r="C150" s="61">
        <v>56.83</v>
      </c>
      <c r="D150" s="29" t="s">
        <v>75</v>
      </c>
      <c r="E150" s="30">
        <v>5</v>
      </c>
      <c r="F150" s="42">
        <f t="shared" si="40"/>
        <v>192</v>
      </c>
      <c r="G150" s="41">
        <f t="shared" si="41"/>
        <v>10911.36</v>
      </c>
      <c r="H150" s="39">
        <v>1</v>
      </c>
      <c r="I150" s="40">
        <f t="shared" si="42"/>
        <v>10911.36</v>
      </c>
      <c r="J150" s="39">
        <v>1</v>
      </c>
      <c r="K150" s="38">
        <f t="shared" si="43"/>
        <v>10911.36</v>
      </c>
      <c r="L150" s="38">
        <f t="shared" si="44"/>
        <v>909.28000000000009</v>
      </c>
      <c r="M150" s="38">
        <f t="shared" si="45"/>
        <v>16.000000000000004</v>
      </c>
      <c r="N150" s="27"/>
      <c r="O150" s="13"/>
      <c r="W150" s="8"/>
    </row>
    <row r="151" spans="1:23" x14ac:dyDescent="0.2">
      <c r="A151" s="59" t="s">
        <v>160</v>
      </c>
      <c r="B151" s="58" t="s">
        <v>159</v>
      </c>
      <c r="C151" s="61">
        <v>34.700000000000003</v>
      </c>
      <c r="D151" s="29" t="s">
        <v>78</v>
      </c>
      <c r="E151" s="30">
        <v>5</v>
      </c>
      <c r="F151" s="42">
        <f t="shared" si="40"/>
        <v>192</v>
      </c>
      <c r="G151" s="41">
        <f t="shared" si="41"/>
        <v>6662.4000000000005</v>
      </c>
      <c r="H151" s="39">
        <v>1</v>
      </c>
      <c r="I151" s="40">
        <f t="shared" si="42"/>
        <v>6662.4000000000005</v>
      </c>
      <c r="J151" s="39">
        <v>1</v>
      </c>
      <c r="K151" s="38">
        <f t="shared" si="43"/>
        <v>6662.4000000000005</v>
      </c>
      <c r="L151" s="38">
        <f t="shared" si="44"/>
        <v>555.20000000000005</v>
      </c>
      <c r="M151" s="38">
        <f t="shared" si="45"/>
        <v>16</v>
      </c>
      <c r="N151" s="27"/>
      <c r="O151" s="13"/>
      <c r="W151" s="8"/>
    </row>
    <row r="152" spans="1:23" x14ac:dyDescent="0.2">
      <c r="A152" s="59" t="s">
        <v>158</v>
      </c>
      <c r="B152" s="58" t="s">
        <v>102</v>
      </c>
      <c r="C152" s="61">
        <v>54.82</v>
      </c>
      <c r="D152" s="29" t="s">
        <v>75</v>
      </c>
      <c r="E152" s="30">
        <v>5</v>
      </c>
      <c r="F152" s="42">
        <f t="shared" si="40"/>
        <v>192</v>
      </c>
      <c r="G152" s="41">
        <f t="shared" si="41"/>
        <v>10525.44</v>
      </c>
      <c r="H152" s="39">
        <v>1</v>
      </c>
      <c r="I152" s="40">
        <f t="shared" si="42"/>
        <v>10525.44</v>
      </c>
      <c r="J152" s="39">
        <v>1</v>
      </c>
      <c r="K152" s="38">
        <f t="shared" si="43"/>
        <v>10525.44</v>
      </c>
      <c r="L152" s="38">
        <f t="shared" si="44"/>
        <v>877.12</v>
      </c>
      <c r="M152" s="38">
        <f t="shared" si="45"/>
        <v>16</v>
      </c>
      <c r="N152" s="27"/>
      <c r="O152" s="13"/>
      <c r="W152" s="8"/>
    </row>
    <row r="153" spans="1:23" x14ac:dyDescent="0.2">
      <c r="A153" s="59" t="s">
        <v>157</v>
      </c>
      <c r="B153" s="58" t="s">
        <v>102</v>
      </c>
      <c r="C153" s="61">
        <v>55.17</v>
      </c>
      <c r="D153" s="29" t="s">
        <v>75</v>
      </c>
      <c r="E153" s="30">
        <v>5</v>
      </c>
      <c r="F153" s="42">
        <f t="shared" si="40"/>
        <v>192</v>
      </c>
      <c r="G153" s="41">
        <f t="shared" si="41"/>
        <v>10592.64</v>
      </c>
      <c r="H153" s="39">
        <v>1</v>
      </c>
      <c r="I153" s="40">
        <f t="shared" si="42"/>
        <v>10592.64</v>
      </c>
      <c r="J153" s="39">
        <v>1</v>
      </c>
      <c r="K153" s="38">
        <f t="shared" si="43"/>
        <v>10592.64</v>
      </c>
      <c r="L153" s="38">
        <f t="shared" si="44"/>
        <v>882.71999999999991</v>
      </c>
      <c r="M153" s="38">
        <f t="shared" si="45"/>
        <v>15.999999999999998</v>
      </c>
      <c r="N153" s="27"/>
      <c r="O153" s="13"/>
      <c r="W153" s="8"/>
    </row>
    <row r="154" spans="1:23" x14ac:dyDescent="0.2">
      <c r="A154" s="59" t="s">
        <v>156</v>
      </c>
      <c r="B154" s="58" t="s">
        <v>155</v>
      </c>
      <c r="C154" s="61">
        <v>34.42</v>
      </c>
      <c r="D154" s="29" t="s">
        <v>78</v>
      </c>
      <c r="E154" s="30">
        <v>5</v>
      </c>
      <c r="F154" s="42">
        <f t="shared" si="40"/>
        <v>192</v>
      </c>
      <c r="G154" s="41">
        <f t="shared" si="41"/>
        <v>6608.64</v>
      </c>
      <c r="H154" s="39">
        <v>1</v>
      </c>
      <c r="I154" s="40">
        <f t="shared" si="42"/>
        <v>6608.64</v>
      </c>
      <c r="J154" s="39">
        <v>1</v>
      </c>
      <c r="K154" s="38">
        <f t="shared" si="43"/>
        <v>6608.64</v>
      </c>
      <c r="L154" s="38">
        <f t="shared" si="44"/>
        <v>550.72</v>
      </c>
      <c r="M154" s="38">
        <f t="shared" si="45"/>
        <v>16</v>
      </c>
      <c r="N154" s="27"/>
      <c r="O154" s="13"/>
      <c r="W154" s="8"/>
    </row>
    <row r="155" spans="1:23" x14ac:dyDescent="0.2">
      <c r="A155" s="59" t="s">
        <v>154</v>
      </c>
      <c r="B155" s="58" t="s">
        <v>102</v>
      </c>
      <c r="C155" s="61">
        <v>57.15</v>
      </c>
      <c r="D155" s="29" t="s">
        <v>75</v>
      </c>
      <c r="E155" s="30">
        <v>5</v>
      </c>
      <c r="F155" s="42">
        <f t="shared" si="40"/>
        <v>192</v>
      </c>
      <c r="G155" s="41">
        <f t="shared" si="41"/>
        <v>10972.8</v>
      </c>
      <c r="H155" s="39">
        <v>1</v>
      </c>
      <c r="I155" s="40">
        <f t="shared" si="42"/>
        <v>10972.8</v>
      </c>
      <c r="J155" s="39">
        <v>1</v>
      </c>
      <c r="K155" s="38">
        <f t="shared" si="43"/>
        <v>10972.8</v>
      </c>
      <c r="L155" s="38">
        <f t="shared" si="44"/>
        <v>914.4</v>
      </c>
      <c r="M155" s="38">
        <f t="shared" si="45"/>
        <v>16</v>
      </c>
      <c r="N155" s="27"/>
      <c r="O155" s="13"/>
      <c r="W155" s="8"/>
    </row>
    <row r="156" spans="1:23" x14ac:dyDescent="0.2">
      <c r="A156" s="59" t="s">
        <v>153</v>
      </c>
      <c r="B156" s="58" t="s">
        <v>86</v>
      </c>
      <c r="C156" s="61">
        <v>49.95</v>
      </c>
      <c r="D156" s="29" t="s">
        <v>64</v>
      </c>
      <c r="E156" s="30">
        <v>5</v>
      </c>
      <c r="F156" s="42">
        <f t="shared" si="40"/>
        <v>192</v>
      </c>
      <c r="G156" s="41">
        <f t="shared" si="41"/>
        <v>9590.4000000000015</v>
      </c>
      <c r="H156" s="39">
        <v>1</v>
      </c>
      <c r="I156" s="40">
        <f t="shared" si="42"/>
        <v>9590.4000000000015</v>
      </c>
      <c r="J156" s="39">
        <v>1</v>
      </c>
      <c r="K156" s="38">
        <f t="shared" si="43"/>
        <v>9590.4000000000015</v>
      </c>
      <c r="L156" s="38">
        <f t="shared" si="44"/>
        <v>799.20000000000016</v>
      </c>
      <c r="M156" s="38">
        <f t="shared" si="45"/>
        <v>16.000000000000004</v>
      </c>
      <c r="N156" s="27"/>
      <c r="O156" s="13"/>
      <c r="W156" s="8"/>
    </row>
    <row r="157" spans="1:23" x14ac:dyDescent="0.2">
      <c r="A157" s="59" t="s">
        <v>152</v>
      </c>
      <c r="B157" s="58" t="s">
        <v>84</v>
      </c>
      <c r="C157" s="61">
        <v>39.36</v>
      </c>
      <c r="D157" s="29" t="s">
        <v>64</v>
      </c>
      <c r="E157" s="30">
        <v>5</v>
      </c>
      <c r="F157" s="42">
        <f t="shared" si="40"/>
        <v>192</v>
      </c>
      <c r="G157" s="41">
        <f t="shared" si="41"/>
        <v>7557.12</v>
      </c>
      <c r="H157" s="39">
        <v>1</v>
      </c>
      <c r="I157" s="40">
        <f t="shared" si="42"/>
        <v>7557.12</v>
      </c>
      <c r="J157" s="39">
        <v>1</v>
      </c>
      <c r="K157" s="38">
        <f t="shared" si="43"/>
        <v>7557.12</v>
      </c>
      <c r="L157" s="38">
        <f t="shared" si="44"/>
        <v>629.76</v>
      </c>
      <c r="M157" s="38">
        <f t="shared" si="45"/>
        <v>16</v>
      </c>
      <c r="N157" s="27"/>
      <c r="O157" s="13"/>
      <c r="W157" s="8"/>
    </row>
    <row r="158" spans="1:23" x14ac:dyDescent="0.2">
      <c r="A158" s="59" t="s">
        <v>151</v>
      </c>
      <c r="B158" s="58" t="s">
        <v>116</v>
      </c>
      <c r="C158" s="61">
        <v>49.86</v>
      </c>
      <c r="D158" s="29" t="s">
        <v>64</v>
      </c>
      <c r="E158" s="30">
        <v>5</v>
      </c>
      <c r="F158" s="42">
        <f t="shared" si="40"/>
        <v>192</v>
      </c>
      <c r="G158" s="41">
        <f t="shared" si="41"/>
        <v>9573.119999999999</v>
      </c>
      <c r="H158" s="39">
        <v>1</v>
      </c>
      <c r="I158" s="40">
        <f t="shared" si="42"/>
        <v>9573.119999999999</v>
      </c>
      <c r="J158" s="39">
        <v>1</v>
      </c>
      <c r="K158" s="38">
        <f t="shared" si="43"/>
        <v>9573.119999999999</v>
      </c>
      <c r="L158" s="38">
        <f t="shared" si="44"/>
        <v>797.75999999999988</v>
      </c>
      <c r="M158" s="38">
        <f t="shared" si="45"/>
        <v>15.999999999999998</v>
      </c>
      <c r="N158" s="27"/>
      <c r="O158" s="13"/>
      <c r="W158" s="8"/>
    </row>
    <row r="159" spans="1:23" x14ac:dyDescent="0.2">
      <c r="A159" s="59" t="s">
        <v>150</v>
      </c>
      <c r="B159" s="58" t="s">
        <v>114</v>
      </c>
      <c r="C159" s="61">
        <v>22.02</v>
      </c>
      <c r="D159" s="29" t="s">
        <v>64</v>
      </c>
      <c r="E159" s="30">
        <v>5</v>
      </c>
      <c r="F159" s="42">
        <f t="shared" si="40"/>
        <v>192</v>
      </c>
      <c r="G159" s="41">
        <f t="shared" si="41"/>
        <v>4227.84</v>
      </c>
      <c r="H159" s="39">
        <v>1</v>
      </c>
      <c r="I159" s="40">
        <f t="shared" si="42"/>
        <v>4227.84</v>
      </c>
      <c r="J159" s="39">
        <v>1</v>
      </c>
      <c r="K159" s="38">
        <f t="shared" si="43"/>
        <v>4227.84</v>
      </c>
      <c r="L159" s="38">
        <f t="shared" si="44"/>
        <v>352.32</v>
      </c>
      <c r="M159" s="38">
        <f t="shared" si="45"/>
        <v>16</v>
      </c>
      <c r="N159" s="27"/>
      <c r="O159" s="13"/>
      <c r="W159" s="8"/>
    </row>
    <row r="160" spans="1:23" x14ac:dyDescent="0.2">
      <c r="A160" s="59" t="s">
        <v>149</v>
      </c>
      <c r="B160" s="58" t="s">
        <v>148</v>
      </c>
      <c r="C160" s="61">
        <v>9.0399999999999991</v>
      </c>
      <c r="D160" s="29" t="s">
        <v>64</v>
      </c>
      <c r="E160" s="30">
        <v>5</v>
      </c>
      <c r="F160" s="42">
        <f t="shared" si="40"/>
        <v>192</v>
      </c>
      <c r="G160" s="41">
        <f t="shared" si="41"/>
        <v>1735.6799999999998</v>
      </c>
      <c r="H160" s="39">
        <v>1</v>
      </c>
      <c r="I160" s="40">
        <f t="shared" si="42"/>
        <v>1735.6799999999998</v>
      </c>
      <c r="J160" s="39">
        <v>1</v>
      </c>
      <c r="K160" s="38">
        <f t="shared" si="43"/>
        <v>1735.6799999999998</v>
      </c>
      <c r="L160" s="38">
        <f t="shared" si="44"/>
        <v>144.63999999999999</v>
      </c>
      <c r="M160" s="38">
        <f t="shared" si="45"/>
        <v>16</v>
      </c>
      <c r="N160" s="27"/>
      <c r="O160" s="13"/>
      <c r="W160" s="8"/>
    </row>
    <row r="161" spans="1:23" x14ac:dyDescent="0.2">
      <c r="A161" s="59" t="s">
        <v>147</v>
      </c>
      <c r="B161" s="58" t="s">
        <v>146</v>
      </c>
      <c r="C161" s="61">
        <v>8.02</v>
      </c>
      <c r="D161" s="29" t="s">
        <v>56</v>
      </c>
      <c r="E161" s="30">
        <v>5</v>
      </c>
      <c r="F161" s="42">
        <f t="shared" si="40"/>
        <v>192</v>
      </c>
      <c r="G161" s="41">
        <f t="shared" si="41"/>
        <v>1539.84</v>
      </c>
      <c r="H161" s="39">
        <v>1</v>
      </c>
      <c r="I161" s="40">
        <f t="shared" si="42"/>
        <v>1539.84</v>
      </c>
      <c r="J161" s="39">
        <v>1</v>
      </c>
      <c r="K161" s="38">
        <f t="shared" si="43"/>
        <v>1539.84</v>
      </c>
      <c r="L161" s="38">
        <f t="shared" si="44"/>
        <v>128.32</v>
      </c>
      <c r="M161" s="38">
        <f t="shared" si="45"/>
        <v>16</v>
      </c>
      <c r="N161" s="27"/>
      <c r="O161" s="13"/>
      <c r="W161" s="8"/>
    </row>
    <row r="162" spans="1:23" x14ac:dyDescent="0.2">
      <c r="A162" s="59" t="s">
        <v>145</v>
      </c>
      <c r="B162" s="58" t="s">
        <v>144</v>
      </c>
      <c r="C162" s="61">
        <v>21.85</v>
      </c>
      <c r="D162" s="29" t="s">
        <v>56</v>
      </c>
      <c r="E162" s="30">
        <v>5</v>
      </c>
      <c r="F162" s="42">
        <f t="shared" si="40"/>
        <v>192</v>
      </c>
      <c r="G162" s="41">
        <f t="shared" si="41"/>
        <v>4195.2000000000007</v>
      </c>
      <c r="H162" s="39">
        <v>1</v>
      </c>
      <c r="I162" s="40">
        <f t="shared" si="42"/>
        <v>4195.2000000000007</v>
      </c>
      <c r="J162" s="39">
        <v>1</v>
      </c>
      <c r="K162" s="38">
        <f t="shared" si="43"/>
        <v>4195.2000000000007</v>
      </c>
      <c r="L162" s="38">
        <f t="shared" si="44"/>
        <v>349.60000000000008</v>
      </c>
      <c r="M162" s="38">
        <f t="shared" si="45"/>
        <v>16.000000000000004</v>
      </c>
      <c r="N162" s="27"/>
      <c r="O162" s="13"/>
      <c r="W162" s="8"/>
    </row>
    <row r="163" spans="1:23" x14ac:dyDescent="0.2">
      <c r="A163" s="59" t="s">
        <v>143</v>
      </c>
      <c r="B163" s="58" t="s">
        <v>142</v>
      </c>
      <c r="C163" s="61">
        <v>5.73</v>
      </c>
      <c r="D163" s="29" t="s">
        <v>56</v>
      </c>
      <c r="E163" s="30">
        <v>5</v>
      </c>
      <c r="F163" s="42">
        <f t="shared" si="40"/>
        <v>192</v>
      </c>
      <c r="G163" s="41">
        <f t="shared" si="41"/>
        <v>1100.1600000000001</v>
      </c>
      <c r="H163" s="39">
        <v>1</v>
      </c>
      <c r="I163" s="40">
        <f t="shared" si="42"/>
        <v>1100.1600000000001</v>
      </c>
      <c r="J163" s="39">
        <v>1</v>
      </c>
      <c r="K163" s="38">
        <f t="shared" si="43"/>
        <v>1100.1600000000001</v>
      </c>
      <c r="L163" s="38">
        <f t="shared" si="44"/>
        <v>91.68</v>
      </c>
      <c r="M163" s="38">
        <f t="shared" si="45"/>
        <v>16</v>
      </c>
      <c r="N163" s="27"/>
      <c r="O163" s="13"/>
      <c r="W163" s="8"/>
    </row>
    <row r="164" spans="1:23" x14ac:dyDescent="0.2">
      <c r="A164" s="59" t="s">
        <v>141</v>
      </c>
      <c r="B164" s="58" t="s">
        <v>140</v>
      </c>
      <c r="C164" s="61">
        <v>26.57</v>
      </c>
      <c r="D164" s="29" t="s">
        <v>56</v>
      </c>
      <c r="E164" s="30">
        <v>5</v>
      </c>
      <c r="F164" s="42">
        <f t="shared" si="40"/>
        <v>192</v>
      </c>
      <c r="G164" s="41">
        <f t="shared" si="41"/>
        <v>5101.4400000000005</v>
      </c>
      <c r="H164" s="39">
        <v>1</v>
      </c>
      <c r="I164" s="40">
        <f t="shared" si="42"/>
        <v>5101.4400000000005</v>
      </c>
      <c r="J164" s="39">
        <v>1</v>
      </c>
      <c r="K164" s="38">
        <f t="shared" si="43"/>
        <v>5101.4400000000005</v>
      </c>
      <c r="L164" s="38">
        <f t="shared" si="44"/>
        <v>425.12000000000006</v>
      </c>
      <c r="M164" s="38">
        <f t="shared" si="45"/>
        <v>16.000000000000004</v>
      </c>
      <c r="N164" s="27"/>
      <c r="O164" s="13"/>
      <c r="W164" s="8"/>
    </row>
    <row r="165" spans="1:23" x14ac:dyDescent="0.2">
      <c r="A165" s="59" t="s">
        <v>139</v>
      </c>
      <c r="B165" s="58" t="s">
        <v>138</v>
      </c>
      <c r="C165" s="37">
        <v>6.7</v>
      </c>
      <c r="D165" s="29" t="s">
        <v>56</v>
      </c>
      <c r="E165" s="30">
        <v>5</v>
      </c>
      <c r="F165" s="42">
        <f t="shared" si="40"/>
        <v>192</v>
      </c>
      <c r="G165" s="41">
        <f t="shared" si="41"/>
        <v>1286.4000000000001</v>
      </c>
      <c r="H165" s="39">
        <v>1</v>
      </c>
      <c r="I165" s="40">
        <f t="shared" si="42"/>
        <v>1286.4000000000001</v>
      </c>
      <c r="J165" s="39">
        <v>1</v>
      </c>
      <c r="K165" s="38">
        <f t="shared" si="43"/>
        <v>1286.4000000000001</v>
      </c>
      <c r="L165" s="38">
        <f t="shared" si="44"/>
        <v>107.2</v>
      </c>
      <c r="M165" s="38">
        <f t="shared" si="45"/>
        <v>16</v>
      </c>
      <c r="N165" s="27"/>
      <c r="O165" s="13"/>
      <c r="W165" s="8"/>
    </row>
    <row r="166" spans="1:23" x14ac:dyDescent="0.2">
      <c r="A166" s="59"/>
      <c r="B166" s="58"/>
      <c r="C166" s="37"/>
      <c r="D166" s="30"/>
      <c r="E166" s="30"/>
      <c r="F166" s="42"/>
      <c r="G166" s="41"/>
      <c r="H166" s="39"/>
      <c r="I166" s="40"/>
      <c r="J166" s="39"/>
      <c r="K166" s="38"/>
      <c r="L166" s="38"/>
      <c r="M166" s="38"/>
      <c r="N166" s="27"/>
      <c r="O166" s="13"/>
      <c r="W166" s="8"/>
    </row>
    <row r="167" spans="1:23" x14ac:dyDescent="0.2">
      <c r="A167" s="57"/>
      <c r="B167" s="56" t="s">
        <v>137</v>
      </c>
      <c r="C167" s="55"/>
      <c r="D167" s="54">
        <f>SUM(C168:C185)</f>
        <v>839.54</v>
      </c>
      <c r="E167" s="53"/>
      <c r="F167" s="52"/>
      <c r="G167" s="52"/>
      <c r="H167" s="51"/>
      <c r="I167" s="51"/>
      <c r="J167" s="51"/>
      <c r="K167" s="51"/>
      <c r="L167" s="51"/>
      <c r="M167" s="51"/>
      <c r="N167" s="50"/>
      <c r="O167" s="13"/>
      <c r="W167" s="8"/>
    </row>
    <row r="168" spans="1:23" x14ac:dyDescent="0.2">
      <c r="A168" s="59" t="s">
        <v>136</v>
      </c>
      <c r="B168" s="58" t="s">
        <v>102</v>
      </c>
      <c r="C168" s="37">
        <v>58.25</v>
      </c>
      <c r="D168" s="29" t="s">
        <v>75</v>
      </c>
      <c r="E168" s="30">
        <v>5</v>
      </c>
      <c r="F168" s="42">
        <f t="shared" ref="F168:F184" si="46">VLOOKUP($E168,$P$40:$R$51,3,FALSE)</f>
        <v>192</v>
      </c>
      <c r="G168" s="41">
        <f t="shared" ref="G168:G184" si="47">F168*C168</f>
        <v>11184</v>
      </c>
      <c r="H168" s="39">
        <v>1</v>
      </c>
      <c r="I168" s="40">
        <f t="shared" ref="I168:I184" si="48">G168/H168</f>
        <v>11184</v>
      </c>
      <c r="J168" s="39">
        <v>1</v>
      </c>
      <c r="K168" s="38">
        <f t="shared" ref="K168:K184" si="49">I168*J168</f>
        <v>11184</v>
      </c>
      <c r="L168" s="38">
        <f t="shared" ref="L168:L184" si="50">K168/12</f>
        <v>932</v>
      </c>
      <c r="M168" s="38">
        <f t="shared" ref="M168:M184" si="51">L168/C168</f>
        <v>16</v>
      </c>
      <c r="N168" s="27"/>
      <c r="O168" s="13"/>
      <c r="W168" s="8"/>
    </row>
    <row r="169" spans="1:23" x14ac:dyDescent="0.2">
      <c r="A169" s="59" t="s">
        <v>135</v>
      </c>
      <c r="B169" s="58" t="s">
        <v>134</v>
      </c>
      <c r="C169" s="37">
        <v>35.409999999999997</v>
      </c>
      <c r="D169" s="29" t="s">
        <v>78</v>
      </c>
      <c r="E169" s="30">
        <v>5</v>
      </c>
      <c r="F169" s="42">
        <f t="shared" si="46"/>
        <v>192</v>
      </c>
      <c r="G169" s="41">
        <f t="shared" si="47"/>
        <v>6798.7199999999993</v>
      </c>
      <c r="H169" s="39">
        <v>1</v>
      </c>
      <c r="I169" s="40">
        <f t="shared" si="48"/>
        <v>6798.7199999999993</v>
      </c>
      <c r="J169" s="39">
        <v>1</v>
      </c>
      <c r="K169" s="38">
        <f t="shared" si="49"/>
        <v>6798.7199999999993</v>
      </c>
      <c r="L169" s="38">
        <f t="shared" si="50"/>
        <v>566.55999999999995</v>
      </c>
      <c r="M169" s="38">
        <f t="shared" si="51"/>
        <v>16</v>
      </c>
      <c r="N169" s="27"/>
      <c r="O169" s="13"/>
      <c r="W169" s="8"/>
    </row>
    <row r="170" spans="1:23" x14ac:dyDescent="0.2">
      <c r="A170" s="59" t="s">
        <v>133</v>
      </c>
      <c r="B170" s="58" t="s">
        <v>102</v>
      </c>
      <c r="C170" s="37">
        <v>54.52</v>
      </c>
      <c r="D170" s="29" t="s">
        <v>75</v>
      </c>
      <c r="E170" s="30">
        <v>5</v>
      </c>
      <c r="F170" s="42">
        <f t="shared" si="46"/>
        <v>192</v>
      </c>
      <c r="G170" s="41">
        <f t="shared" si="47"/>
        <v>10467.84</v>
      </c>
      <c r="H170" s="39">
        <v>1</v>
      </c>
      <c r="I170" s="40">
        <f t="shared" si="48"/>
        <v>10467.84</v>
      </c>
      <c r="J170" s="39">
        <v>1</v>
      </c>
      <c r="K170" s="38">
        <f t="shared" si="49"/>
        <v>10467.84</v>
      </c>
      <c r="L170" s="38">
        <f t="shared" si="50"/>
        <v>872.32</v>
      </c>
      <c r="M170" s="38">
        <f t="shared" si="51"/>
        <v>16</v>
      </c>
      <c r="N170" s="27"/>
      <c r="O170" s="13"/>
      <c r="W170" s="8"/>
    </row>
    <row r="171" spans="1:23" x14ac:dyDescent="0.2">
      <c r="A171" s="59" t="s">
        <v>132</v>
      </c>
      <c r="B171" s="58" t="s">
        <v>102</v>
      </c>
      <c r="C171" s="37">
        <v>54.18</v>
      </c>
      <c r="D171" s="29" t="s">
        <v>75</v>
      </c>
      <c r="E171" s="30">
        <v>5</v>
      </c>
      <c r="F171" s="42">
        <f t="shared" si="46"/>
        <v>192</v>
      </c>
      <c r="G171" s="41">
        <f t="shared" si="47"/>
        <v>10402.56</v>
      </c>
      <c r="H171" s="39">
        <v>1</v>
      </c>
      <c r="I171" s="40">
        <f t="shared" si="48"/>
        <v>10402.56</v>
      </c>
      <c r="J171" s="39">
        <v>1</v>
      </c>
      <c r="K171" s="38">
        <f t="shared" si="49"/>
        <v>10402.56</v>
      </c>
      <c r="L171" s="38">
        <f t="shared" si="50"/>
        <v>866.88</v>
      </c>
      <c r="M171" s="38">
        <f t="shared" si="51"/>
        <v>16</v>
      </c>
      <c r="N171" s="27"/>
      <c r="O171" s="13"/>
      <c r="W171" s="8"/>
    </row>
    <row r="172" spans="1:23" x14ac:dyDescent="0.2">
      <c r="A172" s="59" t="s">
        <v>131</v>
      </c>
      <c r="B172" s="58" t="s">
        <v>79</v>
      </c>
      <c r="C172" s="37">
        <v>34.869999999999997</v>
      </c>
      <c r="D172" s="29" t="s">
        <v>78</v>
      </c>
      <c r="E172" s="30">
        <v>5</v>
      </c>
      <c r="F172" s="42">
        <f t="shared" si="46"/>
        <v>192</v>
      </c>
      <c r="G172" s="41">
        <f t="shared" si="47"/>
        <v>6695.0399999999991</v>
      </c>
      <c r="H172" s="39">
        <v>1</v>
      </c>
      <c r="I172" s="40">
        <f t="shared" si="48"/>
        <v>6695.0399999999991</v>
      </c>
      <c r="J172" s="39">
        <v>1</v>
      </c>
      <c r="K172" s="38">
        <f t="shared" si="49"/>
        <v>6695.0399999999991</v>
      </c>
      <c r="L172" s="38">
        <f t="shared" si="50"/>
        <v>557.91999999999996</v>
      </c>
      <c r="M172" s="38">
        <f t="shared" si="51"/>
        <v>16</v>
      </c>
      <c r="N172" s="27"/>
      <c r="O172" s="13"/>
      <c r="W172" s="8"/>
    </row>
    <row r="173" spans="1:23" x14ac:dyDescent="0.2">
      <c r="A173" s="59" t="s">
        <v>130</v>
      </c>
      <c r="B173" s="58" t="s">
        <v>102</v>
      </c>
      <c r="C173" s="37">
        <v>58.71</v>
      </c>
      <c r="D173" s="29" t="s">
        <v>75</v>
      </c>
      <c r="E173" s="30">
        <v>5</v>
      </c>
      <c r="F173" s="42">
        <f t="shared" si="46"/>
        <v>192</v>
      </c>
      <c r="G173" s="41">
        <f t="shared" si="47"/>
        <v>11272.32</v>
      </c>
      <c r="H173" s="39">
        <v>1</v>
      </c>
      <c r="I173" s="40">
        <f t="shared" si="48"/>
        <v>11272.32</v>
      </c>
      <c r="J173" s="39">
        <v>1</v>
      </c>
      <c r="K173" s="38">
        <f t="shared" si="49"/>
        <v>11272.32</v>
      </c>
      <c r="L173" s="38">
        <f t="shared" si="50"/>
        <v>939.36</v>
      </c>
      <c r="M173" s="38">
        <f t="shared" si="51"/>
        <v>16</v>
      </c>
      <c r="N173" s="27"/>
      <c r="O173" s="13"/>
      <c r="W173" s="8"/>
    </row>
    <row r="174" spans="1:23" x14ac:dyDescent="0.2">
      <c r="A174" s="59" t="s">
        <v>129</v>
      </c>
      <c r="B174" s="58" t="s">
        <v>128</v>
      </c>
      <c r="C174" s="37">
        <v>58.48</v>
      </c>
      <c r="D174" s="29" t="s">
        <v>88</v>
      </c>
      <c r="E174" s="30">
        <v>5</v>
      </c>
      <c r="F174" s="42">
        <f t="shared" si="46"/>
        <v>192</v>
      </c>
      <c r="G174" s="41">
        <f t="shared" si="47"/>
        <v>11228.16</v>
      </c>
      <c r="H174" s="39">
        <v>1</v>
      </c>
      <c r="I174" s="40">
        <f t="shared" si="48"/>
        <v>11228.16</v>
      </c>
      <c r="J174" s="39">
        <v>1</v>
      </c>
      <c r="K174" s="38">
        <f t="shared" si="49"/>
        <v>11228.16</v>
      </c>
      <c r="L174" s="38">
        <f t="shared" si="50"/>
        <v>935.68</v>
      </c>
      <c r="M174" s="38">
        <f t="shared" si="51"/>
        <v>16</v>
      </c>
      <c r="N174" s="27"/>
      <c r="O174" s="13"/>
      <c r="W174" s="8"/>
    </row>
    <row r="175" spans="1:23" x14ac:dyDescent="0.2">
      <c r="A175" s="59" t="s">
        <v>127</v>
      </c>
      <c r="B175" s="58" t="s">
        <v>126</v>
      </c>
      <c r="C175" s="37">
        <v>34.590000000000003</v>
      </c>
      <c r="D175" s="29" t="s">
        <v>91</v>
      </c>
      <c r="E175" s="30">
        <v>2</v>
      </c>
      <c r="F175" s="42">
        <f t="shared" si="46"/>
        <v>80</v>
      </c>
      <c r="G175" s="41">
        <f t="shared" si="47"/>
        <v>2767.2000000000003</v>
      </c>
      <c r="H175" s="39">
        <v>1</v>
      </c>
      <c r="I175" s="40">
        <f t="shared" si="48"/>
        <v>2767.2000000000003</v>
      </c>
      <c r="J175" s="39">
        <v>1</v>
      </c>
      <c r="K175" s="38">
        <f t="shared" si="49"/>
        <v>2767.2000000000003</v>
      </c>
      <c r="L175" s="38">
        <f t="shared" si="50"/>
        <v>230.60000000000002</v>
      </c>
      <c r="M175" s="38">
        <f t="shared" si="51"/>
        <v>6.666666666666667</v>
      </c>
      <c r="N175" s="27"/>
      <c r="O175" s="13"/>
      <c r="W175" s="8"/>
    </row>
    <row r="176" spans="1:23" x14ac:dyDescent="0.2">
      <c r="A176" s="59" t="s">
        <v>125</v>
      </c>
      <c r="B176" s="58" t="s">
        <v>102</v>
      </c>
      <c r="C176" s="37">
        <v>55.46</v>
      </c>
      <c r="D176" s="29" t="s">
        <v>75</v>
      </c>
      <c r="E176" s="30">
        <v>5</v>
      </c>
      <c r="F176" s="42">
        <f t="shared" si="46"/>
        <v>192</v>
      </c>
      <c r="G176" s="41">
        <f t="shared" si="47"/>
        <v>10648.32</v>
      </c>
      <c r="H176" s="39">
        <v>1</v>
      </c>
      <c r="I176" s="40">
        <f t="shared" si="48"/>
        <v>10648.32</v>
      </c>
      <c r="J176" s="39">
        <v>1</v>
      </c>
      <c r="K176" s="38">
        <f t="shared" si="49"/>
        <v>10648.32</v>
      </c>
      <c r="L176" s="38">
        <f t="shared" si="50"/>
        <v>887.36</v>
      </c>
      <c r="M176" s="38">
        <f t="shared" si="51"/>
        <v>16</v>
      </c>
      <c r="N176" s="27"/>
      <c r="O176" s="13"/>
      <c r="W176" s="8"/>
    </row>
    <row r="177" spans="1:23" x14ac:dyDescent="0.2">
      <c r="A177" s="59" t="s">
        <v>124</v>
      </c>
      <c r="B177" s="58" t="s">
        <v>102</v>
      </c>
      <c r="C177" s="37">
        <v>55.46</v>
      </c>
      <c r="D177" s="29" t="s">
        <v>75</v>
      </c>
      <c r="E177" s="30">
        <v>5</v>
      </c>
      <c r="F177" s="42">
        <f t="shared" si="46"/>
        <v>192</v>
      </c>
      <c r="G177" s="41">
        <f t="shared" si="47"/>
        <v>10648.32</v>
      </c>
      <c r="H177" s="39">
        <v>1</v>
      </c>
      <c r="I177" s="40">
        <f t="shared" si="48"/>
        <v>10648.32</v>
      </c>
      <c r="J177" s="39">
        <v>1</v>
      </c>
      <c r="K177" s="38">
        <f t="shared" si="49"/>
        <v>10648.32</v>
      </c>
      <c r="L177" s="38">
        <f t="shared" si="50"/>
        <v>887.36</v>
      </c>
      <c r="M177" s="38">
        <f t="shared" si="51"/>
        <v>16</v>
      </c>
      <c r="N177" s="27"/>
      <c r="O177" s="13"/>
      <c r="W177" s="8"/>
    </row>
    <row r="178" spans="1:23" x14ac:dyDescent="0.2">
      <c r="A178" s="59" t="s">
        <v>123</v>
      </c>
      <c r="B178" s="58" t="s">
        <v>122</v>
      </c>
      <c r="C178" s="37">
        <v>35.03</v>
      </c>
      <c r="D178" s="29" t="s">
        <v>91</v>
      </c>
      <c r="E178" s="30">
        <v>1</v>
      </c>
      <c r="F178" s="42">
        <f t="shared" si="46"/>
        <v>40</v>
      </c>
      <c r="G178" s="41">
        <f t="shared" si="47"/>
        <v>1401.2</v>
      </c>
      <c r="H178" s="39">
        <v>1</v>
      </c>
      <c r="I178" s="40">
        <f t="shared" si="48"/>
        <v>1401.2</v>
      </c>
      <c r="J178" s="39">
        <v>1</v>
      </c>
      <c r="K178" s="38">
        <f t="shared" si="49"/>
        <v>1401.2</v>
      </c>
      <c r="L178" s="38">
        <f t="shared" si="50"/>
        <v>116.76666666666667</v>
      </c>
      <c r="M178" s="38">
        <f t="shared" si="51"/>
        <v>3.333333333333333</v>
      </c>
      <c r="N178" s="27"/>
      <c r="O178" s="13"/>
      <c r="W178" s="8"/>
    </row>
    <row r="179" spans="1:23" x14ac:dyDescent="0.2">
      <c r="A179" s="59" t="s">
        <v>121</v>
      </c>
      <c r="B179" s="58" t="s">
        <v>120</v>
      </c>
      <c r="C179" s="37">
        <v>60</v>
      </c>
      <c r="D179" s="29" t="s">
        <v>88</v>
      </c>
      <c r="E179" s="30">
        <v>5</v>
      </c>
      <c r="F179" s="42">
        <f t="shared" si="46"/>
        <v>192</v>
      </c>
      <c r="G179" s="41">
        <f t="shared" si="47"/>
        <v>11520</v>
      </c>
      <c r="H179" s="39">
        <v>1</v>
      </c>
      <c r="I179" s="40">
        <f t="shared" si="48"/>
        <v>11520</v>
      </c>
      <c r="J179" s="39">
        <v>1</v>
      </c>
      <c r="K179" s="38">
        <f t="shared" si="49"/>
        <v>11520</v>
      </c>
      <c r="L179" s="38">
        <f t="shared" si="50"/>
        <v>960</v>
      </c>
      <c r="M179" s="38">
        <f t="shared" si="51"/>
        <v>16</v>
      </c>
      <c r="N179" s="27"/>
      <c r="O179" s="13"/>
      <c r="W179" s="8"/>
    </row>
    <row r="180" spans="1:23" x14ac:dyDescent="0.2">
      <c r="A180" s="59" t="s">
        <v>119</v>
      </c>
      <c r="B180" s="58" t="s">
        <v>86</v>
      </c>
      <c r="C180" s="37">
        <v>50.35</v>
      </c>
      <c r="D180" s="29" t="s">
        <v>64</v>
      </c>
      <c r="E180" s="30">
        <v>5</v>
      </c>
      <c r="F180" s="42">
        <f t="shared" si="46"/>
        <v>192</v>
      </c>
      <c r="G180" s="41">
        <f t="shared" si="47"/>
        <v>9667.2000000000007</v>
      </c>
      <c r="H180" s="39">
        <v>1</v>
      </c>
      <c r="I180" s="40">
        <f t="shared" si="48"/>
        <v>9667.2000000000007</v>
      </c>
      <c r="J180" s="39">
        <v>1</v>
      </c>
      <c r="K180" s="38">
        <f t="shared" si="49"/>
        <v>9667.2000000000007</v>
      </c>
      <c r="L180" s="38">
        <f t="shared" si="50"/>
        <v>805.6</v>
      </c>
      <c r="M180" s="38">
        <f t="shared" si="51"/>
        <v>16</v>
      </c>
      <c r="N180" s="27"/>
      <c r="O180" s="13"/>
      <c r="W180" s="8"/>
    </row>
    <row r="181" spans="1:23" x14ac:dyDescent="0.2">
      <c r="A181" s="59" t="s">
        <v>118</v>
      </c>
      <c r="B181" s="58" t="s">
        <v>84</v>
      </c>
      <c r="C181" s="37">
        <v>39.130000000000003</v>
      </c>
      <c r="D181" s="29" t="s">
        <v>64</v>
      </c>
      <c r="E181" s="30">
        <v>5</v>
      </c>
      <c r="F181" s="42">
        <f t="shared" si="46"/>
        <v>192</v>
      </c>
      <c r="G181" s="41">
        <f t="shared" si="47"/>
        <v>7512.9600000000009</v>
      </c>
      <c r="H181" s="39">
        <v>1</v>
      </c>
      <c r="I181" s="40">
        <f t="shared" si="48"/>
        <v>7512.9600000000009</v>
      </c>
      <c r="J181" s="39">
        <v>1</v>
      </c>
      <c r="K181" s="38">
        <f t="shared" si="49"/>
        <v>7512.9600000000009</v>
      </c>
      <c r="L181" s="38">
        <f t="shared" si="50"/>
        <v>626.08000000000004</v>
      </c>
      <c r="M181" s="38">
        <f t="shared" si="51"/>
        <v>16</v>
      </c>
      <c r="N181" s="27"/>
      <c r="O181" s="13"/>
      <c r="W181" s="8"/>
    </row>
    <row r="182" spans="1:23" x14ac:dyDescent="0.2">
      <c r="A182" s="59" t="s">
        <v>117</v>
      </c>
      <c r="B182" s="58" t="s">
        <v>116</v>
      </c>
      <c r="C182" s="37">
        <v>50.26</v>
      </c>
      <c r="D182" s="29" t="s">
        <v>64</v>
      </c>
      <c r="E182" s="30">
        <v>5</v>
      </c>
      <c r="F182" s="42">
        <f t="shared" si="46"/>
        <v>192</v>
      </c>
      <c r="G182" s="41">
        <f t="shared" si="47"/>
        <v>9649.92</v>
      </c>
      <c r="H182" s="39">
        <v>1</v>
      </c>
      <c r="I182" s="40">
        <f t="shared" si="48"/>
        <v>9649.92</v>
      </c>
      <c r="J182" s="39">
        <v>1</v>
      </c>
      <c r="K182" s="38">
        <f t="shared" si="49"/>
        <v>9649.92</v>
      </c>
      <c r="L182" s="38">
        <f t="shared" si="50"/>
        <v>804.16</v>
      </c>
      <c r="M182" s="38">
        <f t="shared" si="51"/>
        <v>16</v>
      </c>
      <c r="N182" s="27"/>
      <c r="O182" s="13"/>
      <c r="W182" s="8"/>
    </row>
    <row r="183" spans="1:23" x14ac:dyDescent="0.2">
      <c r="A183" s="59" t="s">
        <v>115</v>
      </c>
      <c r="B183" s="58" t="s">
        <v>114</v>
      </c>
      <c r="C183" s="37">
        <v>22.02</v>
      </c>
      <c r="D183" s="29" t="s">
        <v>64</v>
      </c>
      <c r="E183" s="30">
        <v>5</v>
      </c>
      <c r="F183" s="42">
        <f t="shared" si="46"/>
        <v>192</v>
      </c>
      <c r="G183" s="41">
        <f t="shared" si="47"/>
        <v>4227.84</v>
      </c>
      <c r="H183" s="39">
        <v>1</v>
      </c>
      <c r="I183" s="40">
        <f t="shared" si="48"/>
        <v>4227.84</v>
      </c>
      <c r="J183" s="39">
        <v>1</v>
      </c>
      <c r="K183" s="38">
        <f t="shared" si="49"/>
        <v>4227.84</v>
      </c>
      <c r="L183" s="38">
        <f t="shared" si="50"/>
        <v>352.32</v>
      </c>
      <c r="M183" s="38">
        <f t="shared" si="51"/>
        <v>16</v>
      </c>
      <c r="N183" s="27"/>
      <c r="O183" s="13"/>
      <c r="W183" s="8"/>
    </row>
    <row r="184" spans="1:23" x14ac:dyDescent="0.2">
      <c r="A184" s="59" t="s">
        <v>113</v>
      </c>
      <c r="B184" s="58" t="s">
        <v>112</v>
      </c>
      <c r="C184" s="37">
        <v>82.82</v>
      </c>
      <c r="D184" s="29" t="s">
        <v>111</v>
      </c>
      <c r="E184" s="30">
        <v>2</v>
      </c>
      <c r="F184" s="42">
        <f t="shared" si="46"/>
        <v>80</v>
      </c>
      <c r="G184" s="41">
        <f t="shared" si="47"/>
        <v>6625.5999999999995</v>
      </c>
      <c r="H184" s="39">
        <v>1</v>
      </c>
      <c r="I184" s="40">
        <f t="shared" si="48"/>
        <v>6625.5999999999995</v>
      </c>
      <c r="J184" s="39">
        <v>1</v>
      </c>
      <c r="K184" s="38">
        <f t="shared" si="49"/>
        <v>6625.5999999999995</v>
      </c>
      <c r="L184" s="38">
        <f t="shared" si="50"/>
        <v>552.13333333333333</v>
      </c>
      <c r="M184" s="38">
        <f t="shared" si="51"/>
        <v>6.666666666666667</v>
      </c>
      <c r="N184" s="27"/>
      <c r="O184" s="13"/>
      <c r="W184" s="8"/>
    </row>
    <row r="185" spans="1:23" x14ac:dyDescent="0.2">
      <c r="A185" s="59"/>
      <c r="B185" s="58"/>
      <c r="C185" s="37"/>
      <c r="D185" s="30"/>
      <c r="E185" s="30"/>
      <c r="F185" s="42"/>
      <c r="G185" s="41"/>
      <c r="H185" s="39"/>
      <c r="I185" s="40"/>
      <c r="J185" s="39"/>
      <c r="K185" s="38"/>
      <c r="L185" s="38"/>
      <c r="M185" s="38"/>
      <c r="N185" s="27"/>
      <c r="O185" s="13"/>
      <c r="W185" s="8"/>
    </row>
    <row r="186" spans="1:23" x14ac:dyDescent="0.2">
      <c r="A186" s="57"/>
      <c r="B186" s="56" t="s">
        <v>110</v>
      </c>
      <c r="C186" s="55"/>
      <c r="D186" s="54">
        <f>SUM(C187:C200)</f>
        <v>770.68</v>
      </c>
      <c r="E186" s="53"/>
      <c r="F186" s="52"/>
      <c r="G186" s="52"/>
      <c r="H186" s="51"/>
      <c r="I186" s="51"/>
      <c r="J186" s="51"/>
      <c r="K186" s="51"/>
      <c r="L186" s="51"/>
      <c r="M186" s="51"/>
      <c r="N186" s="50"/>
      <c r="O186" s="13"/>
      <c r="W186" s="8"/>
    </row>
    <row r="187" spans="1:23" x14ac:dyDescent="0.2">
      <c r="A187" s="59" t="s">
        <v>109</v>
      </c>
      <c r="B187" s="58" t="s">
        <v>108</v>
      </c>
      <c r="C187" s="37">
        <v>60.75</v>
      </c>
      <c r="D187" s="29" t="s">
        <v>88</v>
      </c>
      <c r="E187" s="30">
        <v>5</v>
      </c>
      <c r="F187" s="42">
        <f t="shared" ref="F187:F199" si="52">VLOOKUP($E187,$P$40:$R$51,3,FALSE)</f>
        <v>192</v>
      </c>
      <c r="G187" s="41">
        <f t="shared" ref="G187:G199" si="53">F187*C187</f>
        <v>11664</v>
      </c>
      <c r="H187" s="39">
        <v>1</v>
      </c>
      <c r="I187" s="40">
        <f t="shared" ref="I187:I199" si="54">G187/H187</f>
        <v>11664</v>
      </c>
      <c r="J187" s="39">
        <v>1</v>
      </c>
      <c r="K187" s="38">
        <f t="shared" ref="K187:K199" si="55">I187*J187</f>
        <v>11664</v>
      </c>
      <c r="L187" s="38">
        <f t="shared" ref="L187:L199" si="56">K187/12</f>
        <v>972</v>
      </c>
      <c r="M187" s="38">
        <f t="shared" ref="M187:M199" si="57">L187/C187</f>
        <v>16</v>
      </c>
      <c r="N187" s="27"/>
      <c r="O187" s="13"/>
      <c r="W187" s="8"/>
    </row>
    <row r="188" spans="1:23" x14ac:dyDescent="0.2">
      <c r="A188" s="59" t="s">
        <v>107</v>
      </c>
      <c r="B188" s="58" t="s">
        <v>81</v>
      </c>
      <c r="C188" s="37">
        <v>35.950000000000003</v>
      </c>
      <c r="D188" s="29" t="s">
        <v>78</v>
      </c>
      <c r="E188" s="30">
        <v>5</v>
      </c>
      <c r="F188" s="42">
        <f t="shared" si="52"/>
        <v>192</v>
      </c>
      <c r="G188" s="41">
        <f t="shared" si="53"/>
        <v>6902.4000000000005</v>
      </c>
      <c r="H188" s="39">
        <v>1</v>
      </c>
      <c r="I188" s="40">
        <f t="shared" si="54"/>
        <v>6902.4000000000005</v>
      </c>
      <c r="J188" s="39">
        <v>1</v>
      </c>
      <c r="K188" s="38">
        <f t="shared" si="55"/>
        <v>6902.4000000000005</v>
      </c>
      <c r="L188" s="38">
        <f t="shared" si="56"/>
        <v>575.20000000000005</v>
      </c>
      <c r="M188" s="38">
        <f t="shared" si="57"/>
        <v>16</v>
      </c>
      <c r="N188" s="27"/>
      <c r="O188" s="13"/>
      <c r="W188" s="8"/>
    </row>
    <row r="189" spans="1:23" x14ac:dyDescent="0.2">
      <c r="A189" s="59" t="s">
        <v>106</v>
      </c>
      <c r="B189" s="58" t="s">
        <v>102</v>
      </c>
      <c r="C189" s="37">
        <v>56.78</v>
      </c>
      <c r="D189" s="29" t="s">
        <v>75</v>
      </c>
      <c r="E189" s="30">
        <v>5</v>
      </c>
      <c r="F189" s="42">
        <f t="shared" si="52"/>
        <v>192</v>
      </c>
      <c r="G189" s="41">
        <f t="shared" si="53"/>
        <v>10901.76</v>
      </c>
      <c r="H189" s="39">
        <v>1</v>
      </c>
      <c r="I189" s="40">
        <f t="shared" si="54"/>
        <v>10901.76</v>
      </c>
      <c r="J189" s="39">
        <v>1</v>
      </c>
      <c r="K189" s="38">
        <f t="shared" si="55"/>
        <v>10901.76</v>
      </c>
      <c r="L189" s="38">
        <f t="shared" si="56"/>
        <v>908.48</v>
      </c>
      <c r="M189" s="38">
        <f t="shared" si="57"/>
        <v>16</v>
      </c>
      <c r="N189" s="27"/>
      <c r="O189" s="13"/>
      <c r="W189" s="8"/>
    </row>
    <row r="190" spans="1:23" x14ac:dyDescent="0.2">
      <c r="A190" s="59" t="s">
        <v>105</v>
      </c>
      <c r="B190" s="58" t="s">
        <v>102</v>
      </c>
      <c r="C190" s="37">
        <v>56.71</v>
      </c>
      <c r="D190" s="29" t="s">
        <v>75</v>
      </c>
      <c r="E190" s="30">
        <v>5</v>
      </c>
      <c r="F190" s="42">
        <f t="shared" si="52"/>
        <v>192</v>
      </c>
      <c r="G190" s="41">
        <f t="shared" si="53"/>
        <v>10888.32</v>
      </c>
      <c r="H190" s="39">
        <v>1</v>
      </c>
      <c r="I190" s="40">
        <f t="shared" si="54"/>
        <v>10888.32</v>
      </c>
      <c r="J190" s="39">
        <v>1</v>
      </c>
      <c r="K190" s="38">
        <f t="shared" si="55"/>
        <v>10888.32</v>
      </c>
      <c r="L190" s="38">
        <f t="shared" si="56"/>
        <v>907.36</v>
      </c>
      <c r="M190" s="38">
        <f t="shared" si="57"/>
        <v>16</v>
      </c>
      <c r="N190" s="27"/>
      <c r="O190" s="13"/>
      <c r="W190" s="8"/>
    </row>
    <row r="191" spans="1:23" x14ac:dyDescent="0.2">
      <c r="A191" s="59" t="s">
        <v>104</v>
      </c>
      <c r="B191" s="58" t="s">
        <v>79</v>
      </c>
      <c r="C191" s="37">
        <v>35.950000000000003</v>
      </c>
      <c r="D191" s="29" t="s">
        <v>78</v>
      </c>
      <c r="E191" s="30">
        <v>5</v>
      </c>
      <c r="F191" s="42">
        <f t="shared" si="52"/>
        <v>192</v>
      </c>
      <c r="G191" s="41">
        <f t="shared" si="53"/>
        <v>6902.4000000000005</v>
      </c>
      <c r="H191" s="39">
        <v>1</v>
      </c>
      <c r="I191" s="40">
        <f t="shared" si="54"/>
        <v>6902.4000000000005</v>
      </c>
      <c r="J191" s="39">
        <v>1</v>
      </c>
      <c r="K191" s="38">
        <f t="shared" si="55"/>
        <v>6902.4000000000005</v>
      </c>
      <c r="L191" s="38">
        <f t="shared" si="56"/>
        <v>575.20000000000005</v>
      </c>
      <c r="M191" s="38">
        <f t="shared" si="57"/>
        <v>16</v>
      </c>
      <c r="N191" s="27"/>
      <c r="O191" s="13"/>
      <c r="W191" s="8"/>
    </row>
    <row r="192" spans="1:23" x14ac:dyDescent="0.2">
      <c r="A192" s="59" t="s">
        <v>103</v>
      </c>
      <c r="B192" s="58" t="s">
        <v>102</v>
      </c>
      <c r="C192" s="37">
        <v>60.75</v>
      </c>
      <c r="D192" s="29" t="s">
        <v>75</v>
      </c>
      <c r="E192" s="30">
        <v>5</v>
      </c>
      <c r="F192" s="42">
        <f t="shared" si="52"/>
        <v>192</v>
      </c>
      <c r="G192" s="41">
        <f t="shared" si="53"/>
        <v>11664</v>
      </c>
      <c r="H192" s="39">
        <v>1</v>
      </c>
      <c r="I192" s="40">
        <f t="shared" si="54"/>
        <v>11664</v>
      </c>
      <c r="J192" s="39">
        <v>1</v>
      </c>
      <c r="K192" s="38">
        <f t="shared" si="55"/>
        <v>11664</v>
      </c>
      <c r="L192" s="38">
        <f t="shared" si="56"/>
        <v>972</v>
      </c>
      <c r="M192" s="38">
        <f t="shared" si="57"/>
        <v>16</v>
      </c>
      <c r="N192" s="27"/>
      <c r="O192" s="13"/>
      <c r="W192" s="8"/>
    </row>
    <row r="193" spans="1:23" x14ac:dyDescent="0.2">
      <c r="A193" s="59" t="s">
        <v>101</v>
      </c>
      <c r="B193" s="58" t="s">
        <v>100</v>
      </c>
      <c r="C193" s="37">
        <v>60.44</v>
      </c>
      <c r="D193" s="29" t="s">
        <v>88</v>
      </c>
      <c r="E193" s="30">
        <v>5</v>
      </c>
      <c r="F193" s="42">
        <f t="shared" si="52"/>
        <v>192</v>
      </c>
      <c r="G193" s="41">
        <f t="shared" si="53"/>
        <v>11604.48</v>
      </c>
      <c r="H193" s="39">
        <v>1</v>
      </c>
      <c r="I193" s="40">
        <f t="shared" si="54"/>
        <v>11604.48</v>
      </c>
      <c r="J193" s="39">
        <v>1</v>
      </c>
      <c r="K193" s="38">
        <f t="shared" si="55"/>
        <v>11604.48</v>
      </c>
      <c r="L193" s="38">
        <f t="shared" si="56"/>
        <v>967.04</v>
      </c>
      <c r="M193" s="38">
        <f t="shared" si="57"/>
        <v>16</v>
      </c>
      <c r="N193" s="27"/>
      <c r="O193" s="13"/>
      <c r="W193" s="8"/>
    </row>
    <row r="194" spans="1:23" x14ac:dyDescent="0.2">
      <c r="A194" s="59" t="s">
        <v>99</v>
      </c>
      <c r="B194" s="58" t="s">
        <v>98</v>
      </c>
      <c r="C194" s="37">
        <v>35.39</v>
      </c>
      <c r="D194" s="29" t="s">
        <v>91</v>
      </c>
      <c r="E194" s="30">
        <v>2</v>
      </c>
      <c r="F194" s="42">
        <f t="shared" si="52"/>
        <v>80</v>
      </c>
      <c r="G194" s="41">
        <f t="shared" si="53"/>
        <v>2831.2</v>
      </c>
      <c r="H194" s="39">
        <v>1</v>
      </c>
      <c r="I194" s="40">
        <f t="shared" si="54"/>
        <v>2831.2</v>
      </c>
      <c r="J194" s="39">
        <v>1</v>
      </c>
      <c r="K194" s="38">
        <f t="shared" si="55"/>
        <v>2831.2</v>
      </c>
      <c r="L194" s="38">
        <f t="shared" si="56"/>
        <v>235.93333333333331</v>
      </c>
      <c r="M194" s="38">
        <f t="shared" si="57"/>
        <v>6.6666666666666661</v>
      </c>
      <c r="N194" s="27"/>
      <c r="O194" s="13"/>
      <c r="W194" s="8"/>
    </row>
    <row r="195" spans="1:23" x14ac:dyDescent="0.2">
      <c r="A195" s="59" t="s">
        <v>97</v>
      </c>
      <c r="B195" s="58" t="s">
        <v>96</v>
      </c>
      <c r="C195" s="37">
        <v>176</v>
      </c>
      <c r="D195" s="29" t="s">
        <v>95</v>
      </c>
      <c r="E195" s="30">
        <v>0</v>
      </c>
      <c r="F195" s="42">
        <f t="shared" si="52"/>
        <v>0</v>
      </c>
      <c r="G195" s="41">
        <f t="shared" si="53"/>
        <v>0</v>
      </c>
      <c r="H195" s="39">
        <v>1</v>
      </c>
      <c r="I195" s="40">
        <f t="shared" si="54"/>
        <v>0</v>
      </c>
      <c r="J195" s="39">
        <v>1</v>
      </c>
      <c r="K195" s="38">
        <f t="shared" si="55"/>
        <v>0</v>
      </c>
      <c r="L195" s="38">
        <f t="shared" si="56"/>
        <v>0</v>
      </c>
      <c r="M195" s="38">
        <f t="shared" si="57"/>
        <v>0</v>
      </c>
      <c r="N195" s="60" t="s">
        <v>94</v>
      </c>
      <c r="O195" s="13"/>
      <c r="W195" s="8"/>
    </row>
    <row r="196" spans="1:23" x14ac:dyDescent="0.2">
      <c r="A196" s="59" t="s">
        <v>93</v>
      </c>
      <c r="B196" s="58" t="s">
        <v>92</v>
      </c>
      <c r="C196" s="37">
        <v>36.28</v>
      </c>
      <c r="D196" s="29" t="s">
        <v>91</v>
      </c>
      <c r="E196" s="30">
        <v>2</v>
      </c>
      <c r="F196" s="42">
        <f t="shared" si="52"/>
        <v>80</v>
      </c>
      <c r="G196" s="41">
        <f t="shared" si="53"/>
        <v>2902.4</v>
      </c>
      <c r="H196" s="39">
        <v>1</v>
      </c>
      <c r="I196" s="40">
        <f t="shared" si="54"/>
        <v>2902.4</v>
      </c>
      <c r="J196" s="39">
        <v>1</v>
      </c>
      <c r="K196" s="38">
        <f t="shared" si="55"/>
        <v>2902.4</v>
      </c>
      <c r="L196" s="38">
        <f t="shared" si="56"/>
        <v>241.86666666666667</v>
      </c>
      <c r="M196" s="38">
        <f t="shared" si="57"/>
        <v>6.666666666666667</v>
      </c>
      <c r="N196" s="27"/>
      <c r="O196" s="13"/>
      <c r="W196" s="8"/>
    </row>
    <row r="197" spans="1:23" x14ac:dyDescent="0.2">
      <c r="A197" s="59" t="s">
        <v>90</v>
      </c>
      <c r="B197" s="58" t="s">
        <v>89</v>
      </c>
      <c r="C197" s="37">
        <v>60.56</v>
      </c>
      <c r="D197" s="29" t="s">
        <v>88</v>
      </c>
      <c r="E197" s="30">
        <v>5</v>
      </c>
      <c r="F197" s="42">
        <f t="shared" si="52"/>
        <v>192</v>
      </c>
      <c r="G197" s="41">
        <f t="shared" si="53"/>
        <v>11627.52</v>
      </c>
      <c r="H197" s="39">
        <v>1</v>
      </c>
      <c r="I197" s="40">
        <f t="shared" si="54"/>
        <v>11627.52</v>
      </c>
      <c r="J197" s="39">
        <v>1</v>
      </c>
      <c r="K197" s="38">
        <f t="shared" si="55"/>
        <v>11627.52</v>
      </c>
      <c r="L197" s="38">
        <f t="shared" si="56"/>
        <v>968.96</v>
      </c>
      <c r="M197" s="38">
        <f t="shared" si="57"/>
        <v>16</v>
      </c>
      <c r="N197" s="27"/>
      <c r="O197" s="13"/>
      <c r="W197" s="8"/>
    </row>
    <row r="198" spans="1:23" x14ac:dyDescent="0.2">
      <c r="A198" s="59" t="s">
        <v>87</v>
      </c>
      <c r="B198" s="58" t="s">
        <v>86</v>
      </c>
      <c r="C198" s="37">
        <v>47.54</v>
      </c>
      <c r="D198" s="29" t="s">
        <v>64</v>
      </c>
      <c r="E198" s="30">
        <v>5</v>
      </c>
      <c r="F198" s="42">
        <f t="shared" si="52"/>
        <v>192</v>
      </c>
      <c r="G198" s="41">
        <f t="shared" si="53"/>
        <v>9127.68</v>
      </c>
      <c r="H198" s="39">
        <v>1</v>
      </c>
      <c r="I198" s="40">
        <f t="shared" si="54"/>
        <v>9127.68</v>
      </c>
      <c r="J198" s="39">
        <v>1</v>
      </c>
      <c r="K198" s="38">
        <f t="shared" si="55"/>
        <v>9127.68</v>
      </c>
      <c r="L198" s="38">
        <f t="shared" si="56"/>
        <v>760.64</v>
      </c>
      <c r="M198" s="38">
        <f t="shared" si="57"/>
        <v>16</v>
      </c>
      <c r="N198" s="27"/>
      <c r="O198" s="13"/>
      <c r="W198" s="8"/>
    </row>
    <row r="199" spans="1:23" x14ac:dyDescent="0.2">
      <c r="A199" s="59" t="s">
        <v>85</v>
      </c>
      <c r="B199" s="58" t="s">
        <v>84</v>
      </c>
      <c r="C199" s="37">
        <v>47.58</v>
      </c>
      <c r="D199" s="29" t="s">
        <v>64</v>
      </c>
      <c r="E199" s="30">
        <v>5</v>
      </c>
      <c r="F199" s="42">
        <f t="shared" si="52"/>
        <v>192</v>
      </c>
      <c r="G199" s="41">
        <f t="shared" si="53"/>
        <v>9135.36</v>
      </c>
      <c r="H199" s="39">
        <v>1</v>
      </c>
      <c r="I199" s="40">
        <f t="shared" si="54"/>
        <v>9135.36</v>
      </c>
      <c r="J199" s="39">
        <v>1</v>
      </c>
      <c r="K199" s="38">
        <f t="shared" si="55"/>
        <v>9135.36</v>
      </c>
      <c r="L199" s="38">
        <f t="shared" si="56"/>
        <v>761.28000000000009</v>
      </c>
      <c r="M199" s="38">
        <f t="shared" si="57"/>
        <v>16.000000000000004</v>
      </c>
      <c r="N199" s="27"/>
      <c r="O199" s="13"/>
      <c r="W199" s="8"/>
    </row>
    <row r="200" spans="1:23" x14ac:dyDescent="0.2">
      <c r="A200" s="59"/>
      <c r="B200" s="58"/>
      <c r="C200" s="37"/>
      <c r="D200" s="30"/>
      <c r="E200" s="30"/>
      <c r="F200" s="42"/>
      <c r="G200" s="41"/>
      <c r="H200" s="39"/>
      <c r="I200" s="40"/>
      <c r="J200" s="39"/>
      <c r="K200" s="38"/>
      <c r="L200" s="38"/>
      <c r="M200" s="38"/>
      <c r="N200" s="27"/>
      <c r="O200" s="13"/>
      <c r="W200" s="8"/>
    </row>
    <row r="201" spans="1:23" ht="15.75" customHeight="1" x14ac:dyDescent="0.2">
      <c r="A201" s="57"/>
      <c r="B201" s="56" t="s">
        <v>83</v>
      </c>
      <c r="C201" s="55"/>
      <c r="D201" s="54">
        <f>SUM(C202:C204)</f>
        <v>184.45</v>
      </c>
      <c r="E201" s="53"/>
      <c r="F201" s="52"/>
      <c r="G201" s="52"/>
      <c r="H201" s="51"/>
      <c r="I201" s="51"/>
      <c r="J201" s="51"/>
      <c r="K201" s="51"/>
      <c r="L201" s="51"/>
      <c r="M201" s="51"/>
      <c r="N201" s="50"/>
      <c r="O201" s="13"/>
      <c r="W201" s="8"/>
    </row>
    <row r="202" spans="1:23" x14ac:dyDescent="0.2">
      <c r="A202" s="59" t="s">
        <v>82</v>
      </c>
      <c r="B202" s="58" t="s">
        <v>81</v>
      </c>
      <c r="C202" s="37">
        <v>35.53</v>
      </c>
      <c r="D202" s="29" t="s">
        <v>78</v>
      </c>
      <c r="E202" s="30">
        <v>5</v>
      </c>
      <c r="F202" s="42">
        <f>VLOOKUP($E202,$P$40:$R$51,3,FALSE)</f>
        <v>192</v>
      </c>
      <c r="G202" s="41">
        <f>F202*C202</f>
        <v>6821.76</v>
      </c>
      <c r="H202" s="39">
        <v>1</v>
      </c>
      <c r="I202" s="40">
        <f>G202/H202</f>
        <v>6821.76</v>
      </c>
      <c r="J202" s="39">
        <v>1</v>
      </c>
      <c r="K202" s="38">
        <f>I202*J202</f>
        <v>6821.76</v>
      </c>
      <c r="L202" s="38">
        <f>K202/12</f>
        <v>568.48</v>
      </c>
      <c r="M202" s="38">
        <f>L202/C202</f>
        <v>16</v>
      </c>
      <c r="N202" s="27"/>
      <c r="O202" s="13"/>
      <c r="W202" s="8"/>
    </row>
    <row r="203" spans="1:23" x14ac:dyDescent="0.2">
      <c r="A203" s="59" t="s">
        <v>80</v>
      </c>
      <c r="B203" s="58" t="s">
        <v>79</v>
      </c>
      <c r="C203" s="37">
        <v>35.53</v>
      </c>
      <c r="D203" s="29" t="s">
        <v>78</v>
      </c>
      <c r="E203" s="30">
        <v>5</v>
      </c>
      <c r="F203" s="42">
        <f>VLOOKUP($E203,$P$40:$R$51,3,FALSE)</f>
        <v>192</v>
      </c>
      <c r="G203" s="41">
        <f>F203*C203</f>
        <v>6821.76</v>
      </c>
      <c r="H203" s="39">
        <v>1</v>
      </c>
      <c r="I203" s="40">
        <f>G203/H203</f>
        <v>6821.76</v>
      </c>
      <c r="J203" s="39">
        <v>1</v>
      </c>
      <c r="K203" s="38">
        <f>I203*J203</f>
        <v>6821.76</v>
      </c>
      <c r="L203" s="38">
        <f>K203/12</f>
        <v>568.48</v>
      </c>
      <c r="M203" s="38">
        <f>L203/C203</f>
        <v>16</v>
      </c>
      <c r="N203" s="27"/>
      <c r="O203" s="13"/>
      <c r="W203" s="8"/>
    </row>
    <row r="204" spans="1:23" x14ac:dyDescent="0.2">
      <c r="A204" s="59" t="s">
        <v>77</v>
      </c>
      <c r="B204" s="58" t="s">
        <v>76</v>
      </c>
      <c r="C204" s="37">
        <v>113.39</v>
      </c>
      <c r="D204" s="29" t="s">
        <v>75</v>
      </c>
      <c r="E204" s="30">
        <v>5</v>
      </c>
      <c r="F204" s="42">
        <f>VLOOKUP($E204,$P$40:$R$51,3,FALSE)</f>
        <v>192</v>
      </c>
      <c r="G204" s="41">
        <f>F204*C204</f>
        <v>21770.880000000001</v>
      </c>
      <c r="H204" s="39">
        <v>1</v>
      </c>
      <c r="I204" s="40">
        <f>G204/H204</f>
        <v>21770.880000000001</v>
      </c>
      <c r="J204" s="39">
        <v>1</v>
      </c>
      <c r="K204" s="38">
        <f>I204*J204</f>
        <v>21770.880000000001</v>
      </c>
      <c r="L204" s="38">
        <f>K204/12</f>
        <v>1814.24</v>
      </c>
      <c r="M204" s="38">
        <f>L204/C204</f>
        <v>16</v>
      </c>
      <c r="N204" s="27"/>
      <c r="O204" s="13"/>
      <c r="W204" s="8"/>
    </row>
    <row r="205" spans="1:23" x14ac:dyDescent="0.2">
      <c r="A205" s="33"/>
      <c r="B205" s="58"/>
      <c r="C205" s="37"/>
      <c r="D205" s="30"/>
      <c r="E205" s="30"/>
      <c r="F205" s="42"/>
      <c r="G205" s="41"/>
      <c r="H205" s="39"/>
      <c r="I205" s="40"/>
      <c r="J205" s="39"/>
      <c r="K205" s="38"/>
      <c r="L205" s="38"/>
      <c r="M205" s="38"/>
      <c r="N205" s="27"/>
      <c r="O205" s="13"/>
      <c r="W205" s="8"/>
    </row>
    <row r="206" spans="1:23" x14ac:dyDescent="0.2">
      <c r="A206" s="33"/>
      <c r="B206" s="32" t="s">
        <v>74</v>
      </c>
      <c r="C206" s="31">
        <f>SUM(C121:C205)</f>
        <v>3249.3500000000008</v>
      </c>
      <c r="D206" s="30"/>
      <c r="E206" s="30"/>
      <c r="F206" s="42"/>
      <c r="G206" s="41"/>
      <c r="H206" s="39"/>
      <c r="I206" s="40"/>
      <c r="J206" s="39"/>
      <c r="K206" s="38"/>
      <c r="L206" s="38"/>
      <c r="M206" s="38"/>
      <c r="N206" s="27"/>
      <c r="O206" s="13"/>
      <c r="W206" s="8"/>
    </row>
    <row r="207" spans="1:23" ht="18.75" customHeight="1" x14ac:dyDescent="0.2">
      <c r="A207" s="57"/>
      <c r="B207" s="56" t="s">
        <v>73</v>
      </c>
      <c r="C207" s="55"/>
      <c r="D207" s="54">
        <f>SUM(C208:C224)</f>
        <v>453.30000000000007</v>
      </c>
      <c r="E207" s="53"/>
      <c r="F207" s="52"/>
      <c r="G207" s="52"/>
      <c r="H207" s="51"/>
      <c r="I207" s="51"/>
      <c r="J207" s="51"/>
      <c r="K207" s="51"/>
      <c r="L207" s="51"/>
      <c r="M207" s="51"/>
      <c r="N207" s="50"/>
      <c r="O207" s="13"/>
      <c r="W207" s="8"/>
    </row>
    <row r="208" spans="1:23" ht="56.25" x14ac:dyDescent="0.2">
      <c r="A208" s="33"/>
      <c r="B208" s="49" t="s">
        <v>72</v>
      </c>
      <c r="C208" s="44">
        <v>273.7</v>
      </c>
      <c r="D208" s="43" t="s">
        <v>71</v>
      </c>
      <c r="E208" s="36">
        <v>5</v>
      </c>
      <c r="F208" s="42">
        <f>VLOOKUP($E208,$P$40:$R$51,3,FALSE)</f>
        <v>192</v>
      </c>
      <c r="G208" s="41">
        <f>F208*C208</f>
        <v>52550.399999999994</v>
      </c>
      <c r="H208" s="39">
        <v>1</v>
      </c>
      <c r="I208" s="40">
        <f>G208/H208</f>
        <v>52550.399999999994</v>
      </c>
      <c r="J208" s="39">
        <v>1</v>
      </c>
      <c r="K208" s="38">
        <f>I208*J208</f>
        <v>52550.399999999994</v>
      </c>
      <c r="L208" s="38">
        <f>K208/12</f>
        <v>4379.2</v>
      </c>
      <c r="M208" s="38">
        <f>L208/C208</f>
        <v>16</v>
      </c>
      <c r="N208" s="48" t="s">
        <v>70</v>
      </c>
      <c r="O208" s="13"/>
      <c r="W208" s="8"/>
    </row>
    <row r="209" spans="1:23" x14ac:dyDescent="0.2">
      <c r="A209" s="33"/>
      <c r="B209" s="45" t="s">
        <v>69</v>
      </c>
      <c r="C209" s="44">
        <v>22.85</v>
      </c>
      <c r="D209" s="43" t="s">
        <v>67</v>
      </c>
      <c r="E209" s="36" t="s">
        <v>66</v>
      </c>
      <c r="F209" s="42">
        <f>VLOOKUP($E209,$P$40:$R$51,3,FALSE)</f>
        <v>11</v>
      </c>
      <c r="G209" s="41">
        <f>F209*C209</f>
        <v>251.35000000000002</v>
      </c>
      <c r="H209" s="39">
        <v>1</v>
      </c>
      <c r="I209" s="40">
        <f>G209/H209</f>
        <v>251.35000000000002</v>
      </c>
      <c r="J209" s="39">
        <v>1</v>
      </c>
      <c r="K209" s="38">
        <f>I209*J209</f>
        <v>251.35000000000002</v>
      </c>
      <c r="L209" s="38">
        <f>K209/12</f>
        <v>20.945833333333336</v>
      </c>
      <c r="M209" s="38">
        <f>L209/C209</f>
        <v>0.91666666666666674</v>
      </c>
      <c r="N209" s="27"/>
      <c r="O209" s="13"/>
      <c r="W209" s="8"/>
    </row>
    <row r="210" spans="1:23" x14ac:dyDescent="0.2">
      <c r="A210" s="33"/>
      <c r="B210" s="45" t="s">
        <v>68</v>
      </c>
      <c r="C210" s="44">
        <v>28.4</v>
      </c>
      <c r="D210" s="43" t="s">
        <v>67</v>
      </c>
      <c r="E210" s="36" t="s">
        <v>66</v>
      </c>
      <c r="F210" s="42">
        <f>VLOOKUP($E210,$P$40:$R$51,3,FALSE)</f>
        <v>11</v>
      </c>
      <c r="G210" s="41">
        <f>F210*C210</f>
        <v>312.39999999999998</v>
      </c>
      <c r="H210" s="39">
        <v>1</v>
      </c>
      <c r="I210" s="40">
        <f>G210/H210</f>
        <v>312.39999999999998</v>
      </c>
      <c r="J210" s="39">
        <v>1</v>
      </c>
      <c r="K210" s="38">
        <f>I210*J210</f>
        <v>312.39999999999998</v>
      </c>
      <c r="L210" s="38">
        <f>K210/12</f>
        <v>26.033333333333331</v>
      </c>
      <c r="M210" s="38">
        <f>L210/C210</f>
        <v>0.91666666666666663</v>
      </c>
      <c r="N210" s="27"/>
      <c r="O210" s="13"/>
      <c r="W210" s="8"/>
    </row>
    <row r="211" spans="1:23" x14ac:dyDescent="0.2">
      <c r="A211" s="33"/>
      <c r="B211" s="45"/>
      <c r="C211" s="44"/>
      <c r="D211" s="43"/>
      <c r="E211" s="36"/>
      <c r="F211" s="42">
        <f>VLOOKUP($E211,$P$40:$R$51,3,FALSE)</f>
        <v>0</v>
      </c>
      <c r="G211" s="41"/>
      <c r="H211" s="39"/>
      <c r="I211" s="40"/>
      <c r="J211" s="39"/>
      <c r="K211" s="38"/>
      <c r="L211" s="38"/>
      <c r="M211" s="38"/>
      <c r="N211" s="27"/>
      <c r="O211" s="13"/>
      <c r="Q211" s="47"/>
      <c r="W211" s="8"/>
    </row>
    <row r="212" spans="1:23" x14ac:dyDescent="0.2">
      <c r="A212" s="33"/>
      <c r="B212" s="45" t="s">
        <v>65</v>
      </c>
      <c r="C212" s="44">
        <v>25.24</v>
      </c>
      <c r="D212" s="43" t="s">
        <v>64</v>
      </c>
      <c r="E212" s="36">
        <v>5</v>
      </c>
      <c r="F212" s="42">
        <f>VLOOKUP($E212,$P$40:$R$51,3,FALSE)</f>
        <v>192</v>
      </c>
      <c r="G212" s="41">
        <f>F212*C212</f>
        <v>4846.08</v>
      </c>
      <c r="H212" s="39">
        <v>1</v>
      </c>
      <c r="I212" s="40">
        <f>G212/H212</f>
        <v>4846.08</v>
      </c>
      <c r="J212" s="39">
        <v>1</v>
      </c>
      <c r="K212" s="38">
        <f>I212*J212</f>
        <v>4846.08</v>
      </c>
      <c r="L212" s="38">
        <f>K212/12</f>
        <v>403.84</v>
      </c>
      <c r="M212" s="38">
        <f>L212/C212</f>
        <v>16</v>
      </c>
      <c r="N212" s="27"/>
      <c r="O212" s="13"/>
      <c r="W212" s="8"/>
    </row>
    <row r="213" spans="1:23" x14ac:dyDescent="0.2">
      <c r="A213" s="33"/>
      <c r="B213" s="45"/>
      <c r="C213" s="44"/>
      <c r="D213" s="43"/>
      <c r="E213" s="36"/>
      <c r="F213" s="42"/>
      <c r="G213" s="41"/>
      <c r="H213" s="39"/>
      <c r="I213" s="40"/>
      <c r="J213" s="39"/>
      <c r="K213" s="38"/>
      <c r="L213" s="38"/>
      <c r="M213" s="38"/>
      <c r="N213" s="27"/>
      <c r="O213" s="13"/>
      <c r="W213" s="8"/>
    </row>
    <row r="214" spans="1:23" x14ac:dyDescent="0.2">
      <c r="A214" s="33"/>
      <c r="B214" s="45" t="s">
        <v>63</v>
      </c>
      <c r="C214" s="44">
        <v>16.399999999999999</v>
      </c>
      <c r="D214" s="43" t="s">
        <v>62</v>
      </c>
      <c r="E214" s="36">
        <v>2</v>
      </c>
      <c r="F214" s="42">
        <f>VLOOKUP($E214,$P$40:$R$51,3,FALSE)</f>
        <v>80</v>
      </c>
      <c r="G214" s="41">
        <f>F214*C214</f>
        <v>1312</v>
      </c>
      <c r="H214" s="39">
        <v>1</v>
      </c>
      <c r="I214" s="40">
        <f>G214/H214</f>
        <v>1312</v>
      </c>
      <c r="J214" s="39">
        <v>1</v>
      </c>
      <c r="K214" s="38">
        <f>I214*J214</f>
        <v>1312</v>
      </c>
      <c r="L214" s="38">
        <f>K214/12</f>
        <v>109.33333333333333</v>
      </c>
      <c r="M214" s="38">
        <f>L214/C214</f>
        <v>6.666666666666667</v>
      </c>
      <c r="N214" s="27"/>
      <c r="O214" s="13"/>
      <c r="W214" s="8"/>
    </row>
    <row r="215" spans="1:23" x14ac:dyDescent="0.2">
      <c r="A215" s="33"/>
      <c r="B215" s="45" t="s">
        <v>61</v>
      </c>
      <c r="C215" s="44">
        <v>1.8</v>
      </c>
      <c r="D215" s="43" t="s">
        <v>56</v>
      </c>
      <c r="E215" s="46">
        <v>5</v>
      </c>
      <c r="F215" s="42">
        <f>VLOOKUP($E215,$P$40:$R$51,3,FALSE)</f>
        <v>192</v>
      </c>
      <c r="G215" s="41">
        <f>F215*C215</f>
        <v>345.6</v>
      </c>
      <c r="H215" s="39">
        <v>1</v>
      </c>
      <c r="I215" s="40">
        <f>G215/H215</f>
        <v>345.6</v>
      </c>
      <c r="J215" s="39">
        <v>1</v>
      </c>
      <c r="K215" s="38">
        <f>I215*J215</f>
        <v>345.6</v>
      </c>
      <c r="L215" s="38">
        <f>K215/12</f>
        <v>28.8</v>
      </c>
      <c r="M215" s="38">
        <f>L215/C215</f>
        <v>16</v>
      </c>
      <c r="N215" s="27"/>
      <c r="O215" s="13"/>
      <c r="W215" s="8"/>
    </row>
    <row r="216" spans="1:23" x14ac:dyDescent="0.2">
      <c r="A216" s="33"/>
      <c r="B216" s="45" t="s">
        <v>60</v>
      </c>
      <c r="C216" s="44">
        <v>2.6</v>
      </c>
      <c r="D216" s="43" t="s">
        <v>56</v>
      </c>
      <c r="E216" s="46">
        <v>5</v>
      </c>
      <c r="F216" s="42">
        <f>VLOOKUP($E216,$P$40:$R$51,3,FALSE)</f>
        <v>192</v>
      </c>
      <c r="G216" s="41">
        <f>F216*C216</f>
        <v>499.20000000000005</v>
      </c>
      <c r="H216" s="39">
        <v>1</v>
      </c>
      <c r="I216" s="40">
        <f>G216/H216</f>
        <v>499.20000000000005</v>
      </c>
      <c r="J216" s="39">
        <v>1</v>
      </c>
      <c r="K216" s="38">
        <f>I216*J216</f>
        <v>499.20000000000005</v>
      </c>
      <c r="L216" s="38">
        <f>K216/12</f>
        <v>41.6</v>
      </c>
      <c r="M216" s="38">
        <f>L216/C216</f>
        <v>16</v>
      </c>
      <c r="N216" s="27"/>
      <c r="O216" s="13"/>
      <c r="W216" s="8"/>
    </row>
    <row r="217" spans="1:23" x14ac:dyDescent="0.2">
      <c r="A217" s="33"/>
      <c r="B217" s="45" t="s">
        <v>59</v>
      </c>
      <c r="C217" s="44">
        <v>2.6</v>
      </c>
      <c r="D217" s="43" t="s">
        <v>56</v>
      </c>
      <c r="E217" s="46">
        <v>5</v>
      </c>
      <c r="F217" s="42">
        <f>VLOOKUP($E217,$P$40:$R$51,3,FALSE)</f>
        <v>192</v>
      </c>
      <c r="G217" s="41">
        <f>F217*C217</f>
        <v>499.20000000000005</v>
      </c>
      <c r="H217" s="39">
        <v>1</v>
      </c>
      <c r="I217" s="40">
        <f>G217/H217</f>
        <v>499.20000000000005</v>
      </c>
      <c r="J217" s="39">
        <v>1</v>
      </c>
      <c r="K217" s="38">
        <f>I217*J217</f>
        <v>499.20000000000005</v>
      </c>
      <c r="L217" s="38">
        <f>K217/12</f>
        <v>41.6</v>
      </c>
      <c r="M217" s="38">
        <f>L217/C217</f>
        <v>16</v>
      </c>
      <c r="N217" s="27"/>
      <c r="O217" s="13"/>
      <c r="W217" s="8"/>
    </row>
    <row r="218" spans="1:23" x14ac:dyDescent="0.2">
      <c r="A218" s="33"/>
      <c r="B218" s="45" t="s">
        <v>58</v>
      </c>
      <c r="C218" s="44">
        <v>5.6</v>
      </c>
      <c r="D218" s="43" t="s">
        <v>56</v>
      </c>
      <c r="E218" s="46">
        <v>5</v>
      </c>
      <c r="F218" s="42">
        <f>VLOOKUP($E218,$P$40:$R$51,3,FALSE)</f>
        <v>192</v>
      </c>
      <c r="G218" s="41">
        <f>F218*C218</f>
        <v>1075.1999999999998</v>
      </c>
      <c r="H218" s="39">
        <v>1</v>
      </c>
      <c r="I218" s="40">
        <f>G218/H218</f>
        <v>1075.1999999999998</v>
      </c>
      <c r="J218" s="39">
        <v>1</v>
      </c>
      <c r="K218" s="38">
        <f>I218*J218</f>
        <v>1075.1999999999998</v>
      </c>
      <c r="L218" s="38">
        <f>K218/12</f>
        <v>89.59999999999998</v>
      </c>
      <c r="M218" s="38">
        <f>L218/C218</f>
        <v>15.999999999999998</v>
      </c>
      <c r="N218" s="27"/>
      <c r="O218" s="13"/>
      <c r="W218" s="8"/>
    </row>
    <row r="219" spans="1:23" x14ac:dyDescent="0.2">
      <c r="A219" s="33"/>
      <c r="B219" s="45"/>
      <c r="C219" s="44"/>
      <c r="D219" s="43"/>
      <c r="E219" s="36"/>
      <c r="F219" s="42"/>
      <c r="G219" s="41"/>
      <c r="H219" s="39"/>
      <c r="I219" s="40"/>
      <c r="J219" s="39"/>
      <c r="K219" s="38"/>
      <c r="L219" s="38"/>
      <c r="M219" s="38"/>
      <c r="N219" s="27"/>
      <c r="O219" s="13"/>
      <c r="W219" s="8"/>
    </row>
    <row r="220" spans="1:23" x14ac:dyDescent="0.2">
      <c r="A220" s="33"/>
      <c r="B220" s="45" t="s">
        <v>57</v>
      </c>
      <c r="C220" s="44">
        <v>14.07</v>
      </c>
      <c r="D220" s="43" t="s">
        <v>56</v>
      </c>
      <c r="E220" s="46">
        <v>5</v>
      </c>
      <c r="F220" s="42">
        <f>VLOOKUP($E220,$P$40:$R$51,3,FALSE)</f>
        <v>192</v>
      </c>
      <c r="G220" s="41">
        <f>F220*C220</f>
        <v>2701.44</v>
      </c>
      <c r="H220" s="39">
        <v>1</v>
      </c>
      <c r="I220" s="40">
        <f>G220/H220</f>
        <v>2701.44</v>
      </c>
      <c r="J220" s="39">
        <v>1</v>
      </c>
      <c r="K220" s="38">
        <f>I220*J220</f>
        <v>2701.44</v>
      </c>
      <c r="L220" s="38">
        <f>K220/12</f>
        <v>225.12</v>
      </c>
      <c r="M220" s="38">
        <f>L220/C220</f>
        <v>16</v>
      </c>
      <c r="N220" s="27"/>
      <c r="O220" s="13"/>
      <c r="W220" s="8"/>
    </row>
    <row r="221" spans="1:23" x14ac:dyDescent="0.2">
      <c r="A221" s="33"/>
      <c r="B221" s="45" t="s">
        <v>57</v>
      </c>
      <c r="C221" s="44">
        <v>16.05</v>
      </c>
      <c r="D221" s="43" t="s">
        <v>56</v>
      </c>
      <c r="E221" s="46">
        <v>5</v>
      </c>
      <c r="F221" s="42">
        <f>VLOOKUP($E221,$P$40:$R$51,3,FALSE)</f>
        <v>192</v>
      </c>
      <c r="G221" s="41">
        <f>F221*C221</f>
        <v>3081.6000000000004</v>
      </c>
      <c r="H221" s="39">
        <v>1</v>
      </c>
      <c r="I221" s="40">
        <f>G221/H221</f>
        <v>3081.6000000000004</v>
      </c>
      <c r="J221" s="39">
        <v>1</v>
      </c>
      <c r="K221" s="38">
        <f>I221*J221</f>
        <v>3081.6000000000004</v>
      </c>
      <c r="L221" s="38">
        <f>K221/12</f>
        <v>256.8</v>
      </c>
      <c r="M221" s="38">
        <f>L221/C221</f>
        <v>16</v>
      </c>
      <c r="N221" s="27"/>
      <c r="O221" s="13"/>
      <c r="W221" s="8"/>
    </row>
    <row r="222" spans="1:23" x14ac:dyDescent="0.2">
      <c r="A222" s="33"/>
      <c r="B222" s="45"/>
      <c r="C222" s="44"/>
      <c r="D222" s="43"/>
      <c r="E222" s="36"/>
      <c r="F222" s="42">
        <f>VLOOKUP($E222,$P$40:$R$51,3,FALSE)</f>
        <v>0</v>
      </c>
      <c r="G222" s="41">
        <f>F222*C222</f>
        <v>0</v>
      </c>
      <c r="H222" s="39">
        <v>1</v>
      </c>
      <c r="I222" s="40">
        <f>G222/H222</f>
        <v>0</v>
      </c>
      <c r="J222" s="39">
        <v>1</v>
      </c>
      <c r="K222" s="38">
        <f>I222*J222</f>
        <v>0</v>
      </c>
      <c r="L222" s="38">
        <f>K222/12</f>
        <v>0</v>
      </c>
      <c r="M222" s="38" t="e">
        <f>L222/C222</f>
        <v>#DIV/0!</v>
      </c>
      <c r="N222" s="27"/>
      <c r="O222" s="13"/>
      <c r="W222" s="8"/>
    </row>
    <row r="223" spans="1:23" x14ac:dyDescent="0.2">
      <c r="A223" s="33"/>
      <c r="B223" s="45" t="s">
        <v>55</v>
      </c>
      <c r="C223" s="44">
        <v>21.63</v>
      </c>
      <c r="D223" s="43" t="s">
        <v>54</v>
      </c>
      <c r="E223" s="36">
        <v>5</v>
      </c>
      <c r="F223" s="42">
        <f>VLOOKUP($E223,$P$40:$R$51,3,FALSE)</f>
        <v>192</v>
      </c>
      <c r="G223" s="41">
        <f>F223*C223</f>
        <v>4152.96</v>
      </c>
      <c r="H223" s="39">
        <v>1</v>
      </c>
      <c r="I223" s="40">
        <f>G223/H223</f>
        <v>4152.96</v>
      </c>
      <c r="J223" s="39">
        <v>1</v>
      </c>
      <c r="K223" s="38">
        <f>I223*J223</f>
        <v>4152.96</v>
      </c>
      <c r="L223" s="38">
        <f>K223/12</f>
        <v>346.08</v>
      </c>
      <c r="M223" s="38">
        <f>L223/C223</f>
        <v>16</v>
      </c>
      <c r="N223" s="27"/>
      <c r="O223" s="13"/>
      <c r="W223" s="8"/>
    </row>
    <row r="224" spans="1:23" x14ac:dyDescent="0.2">
      <c r="A224" s="33"/>
      <c r="B224" s="45" t="s">
        <v>55</v>
      </c>
      <c r="C224" s="44">
        <v>22.36</v>
      </c>
      <c r="D224" s="43" t="s">
        <v>54</v>
      </c>
      <c r="E224" s="36">
        <v>5</v>
      </c>
      <c r="F224" s="42">
        <f>VLOOKUP($E224,$P$40:$R$51,3,FALSE)</f>
        <v>192</v>
      </c>
      <c r="G224" s="41">
        <f>F224*C224</f>
        <v>4293.12</v>
      </c>
      <c r="H224" s="39">
        <v>1</v>
      </c>
      <c r="I224" s="40">
        <f>G224/H224</f>
        <v>4293.12</v>
      </c>
      <c r="J224" s="39">
        <v>1</v>
      </c>
      <c r="K224" s="38">
        <f>I224*J224</f>
        <v>4293.12</v>
      </c>
      <c r="L224" s="38">
        <f>K224/12</f>
        <v>357.76</v>
      </c>
      <c r="M224" s="38">
        <f>L224/C224</f>
        <v>16</v>
      </c>
      <c r="N224" s="27"/>
      <c r="O224" s="13"/>
      <c r="W224" s="8"/>
    </row>
    <row r="225" spans="1:23" x14ac:dyDescent="0.2">
      <c r="A225" s="33"/>
      <c r="B225" s="32"/>
      <c r="C225" s="37"/>
      <c r="D225" s="36"/>
      <c r="E225" s="35"/>
      <c r="F225" s="34"/>
      <c r="G225" s="34"/>
      <c r="H225" s="28"/>
      <c r="I225" s="28"/>
      <c r="J225" s="28"/>
      <c r="K225" s="28"/>
      <c r="L225" s="28"/>
      <c r="M225" s="28"/>
      <c r="N225" s="27"/>
      <c r="O225" s="13"/>
      <c r="W225" s="8"/>
    </row>
    <row r="226" spans="1:23" ht="18" customHeight="1" x14ac:dyDescent="0.2">
      <c r="A226" s="33"/>
      <c r="B226" s="32" t="s">
        <v>53</v>
      </c>
      <c r="C226" s="31">
        <f>SUM(C208:C225)</f>
        <v>453.30000000000007</v>
      </c>
      <c r="D226" s="30"/>
      <c r="E226" s="30"/>
      <c r="F226" s="29"/>
      <c r="G226" s="29"/>
      <c r="H226" s="28"/>
      <c r="I226" s="28"/>
      <c r="J226" s="28"/>
      <c r="K226" s="28"/>
      <c r="L226" s="28"/>
      <c r="M226" s="28"/>
      <c r="N226" s="27"/>
      <c r="O226" s="13"/>
      <c r="W226" s="8"/>
    </row>
    <row r="227" spans="1:23" ht="28.5" customHeight="1" thickBot="1" x14ac:dyDescent="0.25">
      <c r="A227" s="26"/>
      <c r="B227" s="25" t="s">
        <v>52</v>
      </c>
      <c r="C227" s="24">
        <f>C226+C206+C118</f>
        <v>7546.7000000000016</v>
      </c>
      <c r="D227" s="23"/>
      <c r="E227" s="23"/>
      <c r="F227" s="22"/>
      <c r="G227" s="21">
        <f>SUM(G6:G226)</f>
        <v>1178284.9599999997</v>
      </c>
      <c r="H227" s="20"/>
      <c r="I227" s="20"/>
      <c r="J227" s="20"/>
      <c r="K227" s="20"/>
      <c r="L227" s="20"/>
      <c r="M227" s="20"/>
      <c r="N227" s="19"/>
      <c r="O227" s="13"/>
      <c r="W227" s="8"/>
    </row>
    <row r="228" spans="1:23" x14ac:dyDescent="0.2">
      <c r="A228" s="15"/>
      <c r="B228" s="18"/>
      <c r="C228" s="16"/>
      <c r="N228" s="13"/>
      <c r="O228" s="13"/>
      <c r="W228" s="8"/>
    </row>
    <row r="229" spans="1:23" x14ac:dyDescent="0.2">
      <c r="A229" s="15"/>
      <c r="N229" s="13"/>
      <c r="O229" s="13"/>
      <c r="W229" s="8"/>
    </row>
    <row r="230" spans="1:23" x14ac:dyDescent="0.2">
      <c r="A230" s="15"/>
      <c r="B230" s="17"/>
      <c r="C230" s="16"/>
      <c r="N230" s="13"/>
      <c r="O230" s="13"/>
      <c r="W230" s="8"/>
    </row>
    <row r="231" spans="1:23" x14ac:dyDescent="0.2">
      <c r="A231" s="15"/>
      <c r="N231" s="13"/>
      <c r="O231" s="13"/>
      <c r="W231" s="8"/>
    </row>
    <row r="232" spans="1:23" x14ac:dyDescent="0.2">
      <c r="A232" s="15"/>
      <c r="B232" s="17"/>
      <c r="C232" s="16"/>
      <c r="N232" s="13"/>
      <c r="O232" s="13"/>
      <c r="W232" s="8"/>
    </row>
    <row r="233" spans="1:23" x14ac:dyDescent="0.2">
      <c r="A233" s="15"/>
      <c r="N233" s="13"/>
      <c r="O233" s="13"/>
      <c r="W233" s="8"/>
    </row>
    <row r="234" spans="1:23" x14ac:dyDescent="0.2">
      <c r="A234" s="15"/>
      <c r="B234" s="17"/>
      <c r="C234" s="16"/>
      <c r="N234" s="13"/>
      <c r="O234" s="13"/>
      <c r="W234" s="8"/>
    </row>
    <row r="235" spans="1:23" x14ac:dyDescent="0.2">
      <c r="A235" s="15"/>
      <c r="N235" s="13"/>
      <c r="O235" s="13"/>
      <c r="W235" s="8"/>
    </row>
    <row r="236" spans="1:23" x14ac:dyDescent="0.2">
      <c r="A236" s="15"/>
      <c r="N236" s="13"/>
      <c r="O236" s="13"/>
      <c r="W236" s="8"/>
    </row>
    <row r="237" spans="1:23" x14ac:dyDescent="0.2">
      <c r="A237" s="15"/>
      <c r="N237" s="13"/>
      <c r="O237" s="13"/>
      <c r="W237" s="8"/>
    </row>
    <row r="238" spans="1:23" x14ac:dyDescent="0.2">
      <c r="A238" s="15"/>
      <c r="N238" s="13"/>
      <c r="O238" s="13"/>
      <c r="W238" s="8"/>
    </row>
    <row r="239" spans="1:23" x14ac:dyDescent="0.2">
      <c r="A239" s="15"/>
      <c r="N239" s="13"/>
      <c r="O239" s="13"/>
      <c r="W239" s="8"/>
    </row>
    <row r="240" spans="1:23" x14ac:dyDescent="0.2">
      <c r="A240" s="15"/>
      <c r="N240" s="13"/>
      <c r="O240" s="13"/>
      <c r="W240" s="8"/>
    </row>
    <row r="241" spans="1:23" x14ac:dyDescent="0.2">
      <c r="A241" s="15"/>
      <c r="N241" s="13"/>
      <c r="O241" s="13"/>
      <c r="W241" s="8"/>
    </row>
    <row r="242" spans="1:23" x14ac:dyDescent="0.2">
      <c r="A242" s="15"/>
      <c r="N242" s="13"/>
      <c r="O242" s="13"/>
      <c r="W242" s="8"/>
    </row>
    <row r="243" spans="1:23" x14ac:dyDescent="0.2">
      <c r="A243" s="15"/>
      <c r="N243" s="13"/>
      <c r="O243" s="13"/>
      <c r="W243" s="8"/>
    </row>
    <row r="244" spans="1:23" x14ac:dyDescent="0.2">
      <c r="A244" s="15"/>
      <c r="N244" s="13"/>
      <c r="O244" s="13"/>
      <c r="W244" s="8"/>
    </row>
    <row r="245" spans="1:23" x14ac:dyDescent="0.2">
      <c r="A245" s="15"/>
      <c r="N245" s="13"/>
      <c r="O245" s="13"/>
      <c r="W245" s="8"/>
    </row>
    <row r="246" spans="1:23" x14ac:dyDescent="0.2">
      <c r="A246" s="15"/>
      <c r="N246" s="13"/>
      <c r="O246" s="13"/>
      <c r="W246" s="8"/>
    </row>
    <row r="247" spans="1:23" x14ac:dyDescent="0.2">
      <c r="A247" s="15"/>
      <c r="N247" s="13"/>
      <c r="O247" s="13"/>
      <c r="W247" s="8"/>
    </row>
    <row r="248" spans="1:23" x14ac:dyDescent="0.2">
      <c r="A248" s="15"/>
      <c r="N248" s="13"/>
      <c r="O248" s="13"/>
      <c r="W248" s="8"/>
    </row>
    <row r="249" spans="1:23" x14ac:dyDescent="0.2">
      <c r="A249" s="15"/>
      <c r="N249" s="13"/>
      <c r="O249" s="13"/>
      <c r="W249" s="8"/>
    </row>
    <row r="250" spans="1:23" x14ac:dyDescent="0.2">
      <c r="A250" s="15"/>
      <c r="N250" s="13"/>
      <c r="O250" s="13"/>
      <c r="W250" s="8"/>
    </row>
    <row r="251" spans="1:23" x14ac:dyDescent="0.2">
      <c r="A251" s="15"/>
      <c r="N251" s="13"/>
      <c r="O251" s="13"/>
      <c r="W251" s="8"/>
    </row>
    <row r="252" spans="1:23" x14ac:dyDescent="0.2">
      <c r="A252" s="15"/>
      <c r="N252" s="13"/>
      <c r="O252" s="13"/>
      <c r="W252" s="8"/>
    </row>
    <row r="253" spans="1:23" x14ac:dyDescent="0.2">
      <c r="A253" s="15"/>
      <c r="N253" s="13"/>
      <c r="O253" s="13"/>
      <c r="W253" s="8"/>
    </row>
    <row r="254" spans="1:23" x14ac:dyDescent="0.2">
      <c r="A254" s="15"/>
      <c r="N254" s="13"/>
      <c r="O254" s="13"/>
      <c r="W254" s="8"/>
    </row>
    <row r="255" spans="1:23" x14ac:dyDescent="0.2">
      <c r="A255" s="15"/>
      <c r="N255" s="13"/>
      <c r="O255" s="13"/>
      <c r="W255" s="8"/>
    </row>
    <row r="256" spans="1:23" x14ac:dyDescent="0.2">
      <c r="A256" s="15"/>
      <c r="N256" s="13"/>
      <c r="O256" s="13"/>
      <c r="W256" s="8"/>
    </row>
    <row r="257" spans="1:23" x14ac:dyDescent="0.2">
      <c r="A257" s="15"/>
      <c r="N257" s="13"/>
      <c r="O257" s="13"/>
      <c r="W257" s="8"/>
    </row>
    <row r="258" spans="1:23" x14ac:dyDescent="0.2">
      <c r="A258" s="15"/>
      <c r="N258" s="13"/>
      <c r="O258" s="13"/>
      <c r="W258" s="8"/>
    </row>
    <row r="259" spans="1:23" x14ac:dyDescent="0.2">
      <c r="A259" s="15"/>
      <c r="N259" s="13"/>
      <c r="O259" s="13"/>
      <c r="W259" s="8"/>
    </row>
    <row r="260" spans="1:23" x14ac:dyDescent="0.2">
      <c r="A260" s="15"/>
      <c r="N260" s="13"/>
      <c r="O260" s="13"/>
      <c r="W260" s="8"/>
    </row>
    <row r="261" spans="1:23" x14ac:dyDescent="0.2">
      <c r="A261" s="15"/>
      <c r="N261" s="13"/>
      <c r="O261" s="13"/>
      <c r="W261" s="8"/>
    </row>
    <row r="262" spans="1:23" x14ac:dyDescent="0.2">
      <c r="A262" s="15"/>
      <c r="N262" s="13"/>
      <c r="O262" s="13"/>
      <c r="W262" s="8"/>
    </row>
    <row r="263" spans="1:23" x14ac:dyDescent="0.2">
      <c r="A263" s="15"/>
      <c r="N263" s="13"/>
      <c r="O263" s="13"/>
      <c r="W263" s="8"/>
    </row>
    <row r="264" spans="1:23" x14ac:dyDescent="0.2">
      <c r="A264" s="15"/>
      <c r="N264" s="13"/>
      <c r="O264" s="13"/>
      <c r="W264" s="8"/>
    </row>
    <row r="265" spans="1:23" x14ac:dyDescent="0.2">
      <c r="A265" s="15"/>
      <c r="N265" s="13"/>
      <c r="O265" s="13"/>
      <c r="W265" s="8"/>
    </row>
    <row r="266" spans="1:23" x14ac:dyDescent="0.2">
      <c r="A266" s="15"/>
      <c r="N266" s="13"/>
      <c r="O266" s="13"/>
      <c r="W266" s="8"/>
    </row>
    <row r="267" spans="1:23" x14ac:dyDescent="0.2">
      <c r="A267" s="15"/>
      <c r="N267" s="13"/>
      <c r="O267" s="13"/>
      <c r="W267" s="8"/>
    </row>
    <row r="268" spans="1:23" x14ac:dyDescent="0.2">
      <c r="A268" s="15"/>
      <c r="N268" s="13"/>
      <c r="O268" s="13"/>
      <c r="W268" s="8"/>
    </row>
    <row r="269" spans="1:23" x14ac:dyDescent="0.2">
      <c r="A269" s="15"/>
      <c r="N269" s="13"/>
      <c r="O269" s="13"/>
      <c r="W269" s="8"/>
    </row>
    <row r="270" spans="1:23" x14ac:dyDescent="0.2">
      <c r="A270" s="15"/>
      <c r="N270" s="13"/>
      <c r="O270" s="13"/>
      <c r="W270" s="8"/>
    </row>
    <row r="271" spans="1:23" x14ac:dyDescent="0.2">
      <c r="A271" s="15"/>
      <c r="N271" s="13"/>
      <c r="O271" s="13"/>
      <c r="W271" s="8"/>
    </row>
    <row r="272" spans="1:23" x14ac:dyDescent="0.2">
      <c r="A272" s="15"/>
      <c r="N272" s="13"/>
      <c r="O272" s="13"/>
      <c r="W272" s="8"/>
    </row>
    <row r="273" spans="1:23" x14ac:dyDescent="0.2">
      <c r="A273" s="15"/>
      <c r="N273" s="13"/>
      <c r="O273" s="13"/>
      <c r="W273" s="8"/>
    </row>
    <row r="274" spans="1:23" x14ac:dyDescent="0.2">
      <c r="A274" s="15"/>
      <c r="N274" s="13"/>
      <c r="O274" s="13"/>
      <c r="W274" s="8"/>
    </row>
    <row r="275" spans="1:23" x14ac:dyDescent="0.2">
      <c r="A275" s="15"/>
      <c r="N275" s="13"/>
      <c r="O275" s="13"/>
      <c r="W275" s="8"/>
    </row>
    <row r="276" spans="1:23" x14ac:dyDescent="0.2">
      <c r="A276" s="15"/>
      <c r="N276" s="13"/>
      <c r="O276" s="13"/>
      <c r="W276" s="8"/>
    </row>
    <row r="277" spans="1:23" x14ac:dyDescent="0.2">
      <c r="A277" s="15"/>
      <c r="N277" s="13"/>
      <c r="O277" s="13"/>
      <c r="W277" s="8"/>
    </row>
    <row r="278" spans="1:23" x14ac:dyDescent="0.2">
      <c r="A278" s="15"/>
      <c r="N278" s="13"/>
      <c r="O278" s="13"/>
      <c r="W278" s="8"/>
    </row>
    <row r="279" spans="1:23" x14ac:dyDescent="0.2">
      <c r="A279" s="15"/>
      <c r="N279" s="13"/>
      <c r="O279" s="13"/>
      <c r="W279" s="8"/>
    </row>
    <row r="280" spans="1:23" x14ac:dyDescent="0.2">
      <c r="A280" s="15"/>
      <c r="N280" s="13"/>
      <c r="O280" s="13"/>
      <c r="W280" s="8"/>
    </row>
    <row r="281" spans="1:23" x14ac:dyDescent="0.2">
      <c r="A281" s="15"/>
      <c r="N281" s="13"/>
      <c r="O281" s="13"/>
      <c r="W281" s="8"/>
    </row>
    <row r="282" spans="1:23" x14ac:dyDescent="0.2">
      <c r="A282" s="15"/>
      <c r="N282" s="13"/>
      <c r="O282" s="13"/>
      <c r="W282" s="8"/>
    </row>
    <row r="283" spans="1:23" x14ac:dyDescent="0.2">
      <c r="A283" s="15"/>
      <c r="N283" s="13"/>
      <c r="O283" s="13"/>
      <c r="W283" s="8"/>
    </row>
    <row r="284" spans="1:23" x14ac:dyDescent="0.2">
      <c r="A284" s="15"/>
      <c r="N284" s="13"/>
      <c r="O284" s="13"/>
      <c r="W284" s="8"/>
    </row>
    <row r="285" spans="1:23" x14ac:dyDescent="0.2">
      <c r="A285" s="15"/>
      <c r="N285" s="13"/>
      <c r="O285" s="13"/>
      <c r="W285" s="8"/>
    </row>
    <row r="286" spans="1:23" x14ac:dyDescent="0.2">
      <c r="A286" s="15"/>
      <c r="N286" s="13"/>
      <c r="O286" s="13"/>
      <c r="W286" s="8"/>
    </row>
    <row r="287" spans="1:23" x14ac:dyDescent="0.2">
      <c r="A287" s="15"/>
      <c r="N287" s="13"/>
      <c r="O287" s="13"/>
      <c r="W287" s="8"/>
    </row>
    <row r="288" spans="1:23" x14ac:dyDescent="0.2">
      <c r="A288" s="15"/>
      <c r="N288" s="13"/>
      <c r="O288" s="13"/>
      <c r="W288" s="8"/>
    </row>
    <row r="289" spans="1:23" x14ac:dyDescent="0.2">
      <c r="A289" s="15"/>
      <c r="N289" s="13"/>
      <c r="O289" s="13"/>
      <c r="W289" s="8"/>
    </row>
    <row r="290" spans="1:23" x14ac:dyDescent="0.2">
      <c r="A290" s="15"/>
      <c r="N290" s="13"/>
      <c r="O290" s="13"/>
      <c r="W290" s="8"/>
    </row>
    <row r="291" spans="1:23" x14ac:dyDescent="0.2">
      <c r="A291" s="15"/>
      <c r="N291" s="13"/>
      <c r="O291" s="13"/>
      <c r="W291" s="8"/>
    </row>
    <row r="292" spans="1:23" x14ac:dyDescent="0.2">
      <c r="A292" s="15"/>
      <c r="N292" s="13"/>
      <c r="O292" s="13"/>
      <c r="W292" s="8"/>
    </row>
    <row r="293" spans="1:23" x14ac:dyDescent="0.2">
      <c r="A293" s="15"/>
      <c r="N293" s="13"/>
      <c r="O293" s="13"/>
      <c r="W293" s="8"/>
    </row>
    <row r="294" spans="1:23" x14ac:dyDescent="0.2">
      <c r="A294" s="15"/>
      <c r="N294" s="13"/>
      <c r="O294" s="13"/>
      <c r="W294" s="8"/>
    </row>
    <row r="295" spans="1:23" x14ac:dyDescent="0.2">
      <c r="A295" s="15"/>
      <c r="N295" s="13"/>
      <c r="O295" s="13"/>
      <c r="W295" s="8"/>
    </row>
    <row r="296" spans="1:23" x14ac:dyDescent="0.2">
      <c r="A296" s="15"/>
      <c r="N296" s="13"/>
      <c r="O296" s="13"/>
      <c r="W296" s="8"/>
    </row>
    <row r="297" spans="1:23" x14ac:dyDescent="0.2">
      <c r="A297" s="15"/>
      <c r="N297" s="13"/>
      <c r="O297" s="13"/>
      <c r="W297" s="8"/>
    </row>
    <row r="298" spans="1:23" x14ac:dyDescent="0.2">
      <c r="A298" s="15"/>
      <c r="N298" s="13"/>
      <c r="O298" s="13"/>
      <c r="W298" s="8"/>
    </row>
    <row r="299" spans="1:23" x14ac:dyDescent="0.2">
      <c r="A299" s="15"/>
      <c r="N299" s="13"/>
      <c r="O299" s="13"/>
      <c r="W299" s="8"/>
    </row>
    <row r="300" spans="1:23" x14ac:dyDescent="0.2">
      <c r="A300" s="15"/>
      <c r="N300" s="13"/>
      <c r="O300" s="13"/>
      <c r="W300" s="8"/>
    </row>
    <row r="301" spans="1:23" x14ac:dyDescent="0.2">
      <c r="A301" s="15"/>
      <c r="N301" s="13"/>
      <c r="O301" s="13"/>
      <c r="W301" s="8"/>
    </row>
    <row r="302" spans="1:23" x14ac:dyDescent="0.2">
      <c r="A302" s="15"/>
      <c r="N302" s="13"/>
      <c r="O302" s="13"/>
      <c r="W302" s="8"/>
    </row>
    <row r="303" spans="1:23" x14ac:dyDescent="0.2">
      <c r="A303" s="15"/>
      <c r="N303" s="13"/>
      <c r="O303" s="13"/>
      <c r="W303" s="8"/>
    </row>
    <row r="304" spans="1:23" x14ac:dyDescent="0.2">
      <c r="A304" s="15"/>
      <c r="N304" s="13"/>
      <c r="O304" s="13"/>
      <c r="W304" s="8"/>
    </row>
    <row r="305" spans="1:23" x14ac:dyDescent="0.2">
      <c r="A305" s="15"/>
      <c r="N305" s="13"/>
      <c r="O305" s="13"/>
      <c r="W305" s="8"/>
    </row>
    <row r="306" spans="1:23" x14ac:dyDescent="0.2">
      <c r="A306" s="15"/>
      <c r="N306" s="13"/>
      <c r="O306" s="13"/>
      <c r="W306" s="8"/>
    </row>
    <row r="307" spans="1:23" x14ac:dyDescent="0.2">
      <c r="A307" s="15"/>
      <c r="N307" s="13"/>
      <c r="O307" s="13"/>
      <c r="W307" s="8"/>
    </row>
    <row r="308" spans="1:23" x14ac:dyDescent="0.2">
      <c r="A308" s="15"/>
      <c r="N308" s="13"/>
      <c r="O308" s="13"/>
      <c r="W308" s="8"/>
    </row>
    <row r="309" spans="1:23" x14ac:dyDescent="0.2">
      <c r="A309" s="15"/>
      <c r="N309" s="13"/>
      <c r="O309" s="13"/>
      <c r="W309" s="8"/>
    </row>
    <row r="310" spans="1:23" x14ac:dyDescent="0.2">
      <c r="A310" s="15"/>
      <c r="N310" s="13"/>
      <c r="O310" s="13"/>
      <c r="W310" s="8"/>
    </row>
    <row r="311" spans="1:23" x14ac:dyDescent="0.2">
      <c r="A311" s="15"/>
      <c r="N311" s="13"/>
      <c r="O311" s="13"/>
      <c r="W311" s="8"/>
    </row>
    <row r="312" spans="1:23" x14ac:dyDescent="0.2">
      <c r="A312" s="15"/>
      <c r="N312" s="13"/>
      <c r="O312" s="13"/>
      <c r="W312" s="8"/>
    </row>
    <row r="313" spans="1:23" x14ac:dyDescent="0.2">
      <c r="A313" s="15"/>
      <c r="N313" s="13"/>
      <c r="O313" s="13"/>
      <c r="W313" s="8"/>
    </row>
    <row r="314" spans="1:23" x14ac:dyDescent="0.2">
      <c r="A314" s="15"/>
      <c r="N314" s="13"/>
      <c r="O314" s="13"/>
      <c r="W314" s="8"/>
    </row>
    <row r="315" spans="1:23" x14ac:dyDescent="0.2">
      <c r="A315" s="15"/>
      <c r="N315" s="13"/>
      <c r="O315" s="13"/>
      <c r="W315" s="8"/>
    </row>
    <row r="316" spans="1:23" x14ac:dyDescent="0.2">
      <c r="A316" s="15"/>
      <c r="N316" s="13"/>
      <c r="O316" s="13"/>
      <c r="W316" s="8"/>
    </row>
    <row r="317" spans="1:23" x14ac:dyDescent="0.2">
      <c r="A317" s="15"/>
      <c r="N317" s="13"/>
      <c r="O317" s="13"/>
      <c r="W317" s="8"/>
    </row>
    <row r="318" spans="1:23" x14ac:dyDescent="0.2">
      <c r="A318" s="15"/>
      <c r="N318" s="13"/>
      <c r="O318" s="13"/>
      <c r="W318" s="8"/>
    </row>
    <row r="319" spans="1:23" x14ac:dyDescent="0.2">
      <c r="A319" s="15"/>
      <c r="N319" s="13"/>
      <c r="O319" s="13"/>
      <c r="W319" s="8"/>
    </row>
    <row r="320" spans="1:23" x14ac:dyDescent="0.2">
      <c r="A320" s="15"/>
      <c r="N320" s="13"/>
      <c r="O320" s="13"/>
      <c r="W320" s="8"/>
    </row>
    <row r="321" spans="1:23" x14ac:dyDescent="0.2">
      <c r="A321" s="15"/>
      <c r="N321" s="13"/>
      <c r="O321" s="13"/>
      <c r="W321" s="8"/>
    </row>
    <row r="322" spans="1:23" x14ac:dyDescent="0.2">
      <c r="A322" s="15"/>
      <c r="N322" s="13"/>
      <c r="O322" s="13"/>
      <c r="W322" s="8"/>
    </row>
    <row r="323" spans="1:23" x14ac:dyDescent="0.2">
      <c r="A323" s="15"/>
      <c r="N323" s="13"/>
      <c r="O323" s="13"/>
      <c r="W323" s="8"/>
    </row>
    <row r="324" spans="1:23" x14ac:dyDescent="0.2">
      <c r="A324" s="15"/>
      <c r="N324" s="13"/>
      <c r="O324" s="13"/>
      <c r="W324" s="8"/>
    </row>
    <row r="325" spans="1:23" x14ac:dyDescent="0.2">
      <c r="A325" s="15"/>
      <c r="N325" s="13"/>
      <c r="O325" s="13"/>
      <c r="W325" s="8"/>
    </row>
    <row r="326" spans="1:23" x14ac:dyDescent="0.2">
      <c r="A326" s="15"/>
      <c r="N326" s="13"/>
      <c r="O326" s="13"/>
      <c r="W326" s="8"/>
    </row>
    <row r="327" spans="1:23" x14ac:dyDescent="0.2">
      <c r="A327" s="15"/>
      <c r="N327" s="13"/>
      <c r="O327" s="13"/>
      <c r="W327" s="8"/>
    </row>
    <row r="328" spans="1:23" x14ac:dyDescent="0.2">
      <c r="A328" s="15"/>
      <c r="N328" s="13"/>
      <c r="O328" s="13"/>
      <c r="W328" s="8"/>
    </row>
    <row r="329" spans="1:23" x14ac:dyDescent="0.2">
      <c r="A329" s="15"/>
      <c r="N329" s="13"/>
      <c r="O329" s="13"/>
      <c r="W329" s="8"/>
    </row>
    <row r="330" spans="1:23" x14ac:dyDescent="0.2">
      <c r="A330" s="15"/>
      <c r="N330" s="13"/>
      <c r="O330" s="13"/>
      <c r="W330" s="8"/>
    </row>
    <row r="331" spans="1:23" x14ac:dyDescent="0.2">
      <c r="A331" s="15"/>
      <c r="N331" s="13"/>
      <c r="O331" s="13"/>
      <c r="W331" s="8"/>
    </row>
    <row r="332" spans="1:23" x14ac:dyDescent="0.2">
      <c r="A332" s="15"/>
      <c r="N332" s="13"/>
      <c r="O332" s="13"/>
      <c r="W332" s="8"/>
    </row>
    <row r="333" spans="1:23" x14ac:dyDescent="0.2">
      <c r="A333" s="15"/>
      <c r="N333" s="13"/>
      <c r="O333" s="13"/>
      <c r="W333" s="8"/>
    </row>
    <row r="334" spans="1:23" x14ac:dyDescent="0.2">
      <c r="A334" s="15"/>
      <c r="N334" s="13"/>
      <c r="O334" s="13"/>
      <c r="W334" s="8"/>
    </row>
    <row r="335" spans="1:23" x14ac:dyDescent="0.2">
      <c r="A335" s="15"/>
      <c r="N335" s="13"/>
      <c r="O335" s="13"/>
      <c r="W335" s="8"/>
    </row>
    <row r="336" spans="1:23" x14ac:dyDescent="0.2">
      <c r="A336" s="15"/>
      <c r="N336" s="13"/>
      <c r="O336" s="13"/>
      <c r="W336" s="8"/>
    </row>
    <row r="337" spans="1:23" x14ac:dyDescent="0.2">
      <c r="A337" s="15"/>
      <c r="N337" s="13"/>
      <c r="O337" s="13"/>
      <c r="W337" s="8"/>
    </row>
    <row r="338" spans="1:23" x14ac:dyDescent="0.2">
      <c r="A338" s="15"/>
      <c r="N338" s="13"/>
      <c r="O338" s="13"/>
      <c r="W338" s="8"/>
    </row>
    <row r="339" spans="1:23" x14ac:dyDescent="0.2">
      <c r="A339" s="15"/>
      <c r="N339" s="13"/>
      <c r="O339" s="13"/>
      <c r="W339" s="8"/>
    </row>
    <row r="340" spans="1:23" x14ac:dyDescent="0.2">
      <c r="A340" s="15"/>
      <c r="N340" s="13"/>
      <c r="O340" s="13"/>
      <c r="W340" s="8"/>
    </row>
    <row r="341" spans="1:23" x14ac:dyDescent="0.2">
      <c r="A341" s="15"/>
      <c r="N341" s="13"/>
      <c r="O341" s="13"/>
      <c r="W341" s="8"/>
    </row>
    <row r="342" spans="1:23" x14ac:dyDescent="0.2">
      <c r="A342" s="15"/>
      <c r="N342" s="13"/>
      <c r="O342" s="13"/>
      <c r="W342" s="8"/>
    </row>
    <row r="343" spans="1:23" x14ac:dyDescent="0.2">
      <c r="A343" s="15"/>
      <c r="N343" s="13"/>
      <c r="O343" s="13"/>
      <c r="W343" s="8"/>
    </row>
    <row r="344" spans="1:23" x14ac:dyDescent="0.2">
      <c r="A344" s="15"/>
      <c r="N344" s="13"/>
      <c r="O344" s="13"/>
      <c r="W344" s="8"/>
    </row>
    <row r="345" spans="1:23" x14ac:dyDescent="0.2">
      <c r="A345" s="15"/>
      <c r="N345" s="13"/>
      <c r="O345" s="13"/>
      <c r="W345" s="8"/>
    </row>
    <row r="346" spans="1:23" x14ac:dyDescent="0.2">
      <c r="A346" s="15"/>
      <c r="N346" s="13"/>
      <c r="O346" s="13"/>
      <c r="W346" s="8"/>
    </row>
    <row r="347" spans="1:23" x14ac:dyDescent="0.2">
      <c r="A347" s="15"/>
      <c r="N347" s="13"/>
      <c r="O347" s="13"/>
      <c r="W347" s="8"/>
    </row>
    <row r="348" spans="1:23" x14ac:dyDescent="0.2">
      <c r="A348" s="15"/>
      <c r="N348" s="13"/>
      <c r="O348" s="13"/>
      <c r="W348" s="8"/>
    </row>
    <row r="349" spans="1:23" x14ac:dyDescent="0.2">
      <c r="A349" s="15"/>
      <c r="N349" s="13"/>
      <c r="O349" s="13"/>
      <c r="W349" s="8"/>
    </row>
    <row r="350" spans="1:23" x14ac:dyDescent="0.2">
      <c r="A350" s="15"/>
      <c r="N350" s="13"/>
      <c r="O350" s="13"/>
      <c r="W350" s="8"/>
    </row>
    <row r="351" spans="1:23" x14ac:dyDescent="0.2">
      <c r="A351" s="15"/>
      <c r="N351" s="13"/>
      <c r="O351" s="13"/>
      <c r="W351" s="8"/>
    </row>
    <row r="352" spans="1:23" x14ac:dyDescent="0.2">
      <c r="A352" s="15"/>
      <c r="N352" s="13"/>
      <c r="O352" s="13"/>
      <c r="W352" s="8"/>
    </row>
    <row r="353" spans="1:23" x14ac:dyDescent="0.2">
      <c r="A353" s="15"/>
      <c r="N353" s="13"/>
      <c r="O353" s="13"/>
      <c r="W353" s="8"/>
    </row>
    <row r="354" spans="1:23" x14ac:dyDescent="0.2">
      <c r="A354" s="15"/>
      <c r="N354" s="13"/>
      <c r="O354" s="13"/>
      <c r="W354" s="8"/>
    </row>
    <row r="355" spans="1:23" x14ac:dyDescent="0.2">
      <c r="A355" s="15"/>
      <c r="N355" s="13"/>
      <c r="O355" s="13"/>
      <c r="W355" s="8"/>
    </row>
    <row r="356" spans="1:23" x14ac:dyDescent="0.2">
      <c r="A356" s="15"/>
      <c r="N356" s="13"/>
      <c r="O356" s="13"/>
      <c r="W356" s="8"/>
    </row>
    <row r="357" spans="1:23" x14ac:dyDescent="0.2">
      <c r="A357" s="15"/>
      <c r="N357" s="13"/>
      <c r="O357" s="13"/>
      <c r="W357" s="8"/>
    </row>
    <row r="358" spans="1:23" x14ac:dyDescent="0.2">
      <c r="A358" s="15"/>
      <c r="N358" s="13"/>
      <c r="O358" s="13"/>
      <c r="W358" s="8"/>
    </row>
    <row r="359" spans="1:23" x14ac:dyDescent="0.2">
      <c r="A359" s="15"/>
      <c r="N359" s="13"/>
      <c r="O359" s="13"/>
      <c r="W359" s="8"/>
    </row>
    <row r="360" spans="1:23" x14ac:dyDescent="0.2">
      <c r="A360" s="15"/>
      <c r="N360" s="13"/>
      <c r="O360" s="13"/>
      <c r="W360" s="8"/>
    </row>
    <row r="361" spans="1:23" x14ac:dyDescent="0.2">
      <c r="A361" s="15"/>
      <c r="N361" s="13"/>
      <c r="O361" s="13"/>
      <c r="W361" s="8"/>
    </row>
    <row r="362" spans="1:23" x14ac:dyDescent="0.2">
      <c r="A362" s="15"/>
      <c r="N362" s="13"/>
      <c r="O362" s="13"/>
      <c r="W362" s="8"/>
    </row>
    <row r="363" spans="1:23" x14ac:dyDescent="0.2">
      <c r="A363" s="15"/>
      <c r="N363" s="13"/>
      <c r="O363" s="13"/>
      <c r="W363" s="8"/>
    </row>
    <row r="364" spans="1:23" x14ac:dyDescent="0.2">
      <c r="A364" s="15"/>
      <c r="N364" s="13"/>
      <c r="O364" s="13"/>
      <c r="W364" s="8"/>
    </row>
    <row r="365" spans="1:23" x14ac:dyDescent="0.2">
      <c r="A365" s="15"/>
      <c r="N365" s="13"/>
      <c r="O365" s="13"/>
      <c r="W365" s="8"/>
    </row>
    <row r="366" spans="1:23" x14ac:dyDescent="0.2">
      <c r="A366" s="15"/>
      <c r="N366" s="13"/>
      <c r="O366" s="13"/>
      <c r="W366" s="8"/>
    </row>
    <row r="367" spans="1:23" x14ac:dyDescent="0.2">
      <c r="A367" s="15"/>
      <c r="N367" s="13"/>
      <c r="O367" s="13"/>
      <c r="W367" s="8"/>
    </row>
    <row r="368" spans="1:23" x14ac:dyDescent="0.2">
      <c r="A368" s="15"/>
      <c r="N368" s="13"/>
      <c r="O368" s="13"/>
      <c r="W368" s="8"/>
    </row>
    <row r="369" spans="1:23" x14ac:dyDescent="0.2">
      <c r="A369" s="15"/>
      <c r="N369" s="13"/>
      <c r="O369" s="13"/>
      <c r="W369" s="8"/>
    </row>
    <row r="370" spans="1:23" x14ac:dyDescent="0.2">
      <c r="A370" s="15"/>
      <c r="O370" s="13"/>
      <c r="W370" s="8"/>
    </row>
    <row r="371" spans="1:23" x14ac:dyDescent="0.2">
      <c r="A371" s="15"/>
      <c r="O371" s="13"/>
      <c r="W371" s="8"/>
    </row>
    <row r="372" spans="1:23" x14ac:dyDescent="0.2">
      <c r="A372" s="15"/>
      <c r="O372" s="13"/>
      <c r="W372" s="8"/>
    </row>
    <row r="373" spans="1:23" x14ac:dyDescent="0.2">
      <c r="A373" s="15"/>
      <c r="O373" s="13"/>
      <c r="W373" s="8"/>
    </row>
    <row r="374" spans="1:23" x14ac:dyDescent="0.2">
      <c r="A374" s="15"/>
      <c r="W374" s="8"/>
    </row>
    <row r="375" spans="1:23" x14ac:dyDescent="0.2">
      <c r="A375" s="15"/>
      <c r="W375" s="8"/>
    </row>
    <row r="376" spans="1:23" x14ac:dyDescent="0.2">
      <c r="A376" s="15"/>
    </row>
    <row r="377" spans="1:23" x14ac:dyDescent="0.2">
      <c r="A377" s="15"/>
    </row>
    <row r="378" spans="1:23" x14ac:dyDescent="0.2">
      <c r="A378" s="15"/>
    </row>
    <row r="379" spans="1:23" x14ac:dyDescent="0.2">
      <c r="A379" s="15"/>
    </row>
    <row r="380" spans="1:23" x14ac:dyDescent="0.2">
      <c r="A380" s="15"/>
    </row>
    <row r="381" spans="1:23" x14ac:dyDescent="0.2">
      <c r="A381" s="15"/>
    </row>
    <row r="382" spans="1:23" x14ac:dyDescent="0.2">
      <c r="A382" s="15"/>
    </row>
    <row r="383" spans="1:23" x14ac:dyDescent="0.2">
      <c r="A383" s="15"/>
    </row>
    <row r="384" spans="1:23" x14ac:dyDescent="0.2">
      <c r="A384" s="15"/>
    </row>
    <row r="385" spans="1:1" x14ac:dyDescent="0.2">
      <c r="A385" s="15"/>
    </row>
    <row r="386" spans="1:1" x14ac:dyDescent="0.2">
      <c r="A386" s="15"/>
    </row>
    <row r="387" spans="1:1" x14ac:dyDescent="0.2">
      <c r="A387" s="15"/>
    </row>
    <row r="388" spans="1:1" x14ac:dyDescent="0.2">
      <c r="A388" s="15"/>
    </row>
    <row r="389" spans="1:1" x14ac:dyDescent="0.2">
      <c r="A389" s="15"/>
    </row>
    <row r="390" spans="1:1" x14ac:dyDescent="0.2">
      <c r="A390" s="15"/>
    </row>
    <row r="391" spans="1:1" x14ac:dyDescent="0.2">
      <c r="A391" s="15"/>
    </row>
    <row r="392" spans="1:1" x14ac:dyDescent="0.2">
      <c r="A392" s="15"/>
    </row>
    <row r="393" spans="1:1" x14ac:dyDescent="0.2">
      <c r="A393" s="15"/>
    </row>
    <row r="394" spans="1:1" x14ac:dyDescent="0.2">
      <c r="A394" s="15"/>
    </row>
    <row r="395" spans="1:1" x14ac:dyDescent="0.2">
      <c r="A395" s="15"/>
    </row>
    <row r="396" spans="1:1" x14ac:dyDescent="0.2">
      <c r="A396" s="15"/>
    </row>
    <row r="397" spans="1:1" x14ac:dyDescent="0.2">
      <c r="A397" s="15"/>
    </row>
    <row r="398" spans="1:1" x14ac:dyDescent="0.2">
      <c r="A398" s="15"/>
    </row>
    <row r="399" spans="1:1" x14ac:dyDescent="0.2">
      <c r="A399" s="15"/>
    </row>
    <row r="400" spans="1:1" x14ac:dyDescent="0.2">
      <c r="A400" s="15"/>
    </row>
    <row r="401" spans="1:1" x14ac:dyDescent="0.2">
      <c r="A401" s="15"/>
    </row>
    <row r="402" spans="1:1" x14ac:dyDescent="0.2">
      <c r="A402" s="15"/>
    </row>
    <row r="403" spans="1:1" x14ac:dyDescent="0.2">
      <c r="A403" s="15"/>
    </row>
    <row r="404" spans="1:1" x14ac:dyDescent="0.2">
      <c r="A404" s="15"/>
    </row>
    <row r="405" spans="1:1" x14ac:dyDescent="0.2">
      <c r="A405" s="15"/>
    </row>
    <row r="406" spans="1:1" x14ac:dyDescent="0.2">
      <c r="A406" s="15"/>
    </row>
    <row r="407" spans="1:1" x14ac:dyDescent="0.2">
      <c r="A407" s="15"/>
    </row>
    <row r="408" spans="1:1" x14ac:dyDescent="0.2">
      <c r="A408" s="15"/>
    </row>
    <row r="409" spans="1:1" x14ac:dyDescent="0.2">
      <c r="A409" s="15"/>
    </row>
    <row r="410" spans="1:1" x14ac:dyDescent="0.2">
      <c r="A410" s="15"/>
    </row>
    <row r="411" spans="1:1" x14ac:dyDescent="0.2">
      <c r="A411" s="15"/>
    </row>
    <row r="412" spans="1:1" x14ac:dyDescent="0.2">
      <c r="A412" s="15"/>
    </row>
    <row r="413" spans="1:1" x14ac:dyDescent="0.2">
      <c r="A413" s="15"/>
    </row>
    <row r="414" spans="1:1" x14ac:dyDescent="0.2">
      <c r="A414" s="15"/>
    </row>
    <row r="415" spans="1:1" x14ac:dyDescent="0.2">
      <c r="A415" s="15"/>
    </row>
    <row r="416" spans="1:1" x14ac:dyDescent="0.2">
      <c r="A416" s="15"/>
    </row>
    <row r="417" spans="1:1" x14ac:dyDescent="0.2">
      <c r="A417" s="15"/>
    </row>
    <row r="418" spans="1:1" x14ac:dyDescent="0.2">
      <c r="A418" s="15"/>
    </row>
    <row r="419" spans="1:1" x14ac:dyDescent="0.2">
      <c r="A419" s="15"/>
    </row>
    <row r="420" spans="1:1" x14ac:dyDescent="0.2">
      <c r="A420" s="15"/>
    </row>
    <row r="421" spans="1:1" x14ac:dyDescent="0.2">
      <c r="A421" s="15"/>
    </row>
    <row r="422" spans="1:1" x14ac:dyDescent="0.2">
      <c r="A422" s="15"/>
    </row>
    <row r="423" spans="1:1" x14ac:dyDescent="0.2">
      <c r="A423" s="15"/>
    </row>
    <row r="424" spans="1:1" x14ac:dyDescent="0.2">
      <c r="A424" s="15"/>
    </row>
    <row r="425" spans="1:1" x14ac:dyDescent="0.2">
      <c r="A425" s="15"/>
    </row>
    <row r="426" spans="1:1" x14ac:dyDescent="0.2">
      <c r="A426" s="15"/>
    </row>
    <row r="427" spans="1:1" x14ac:dyDescent="0.2">
      <c r="A427" s="15"/>
    </row>
    <row r="428" spans="1:1" x14ac:dyDescent="0.2">
      <c r="A428" s="15"/>
    </row>
    <row r="429" spans="1:1" x14ac:dyDescent="0.2">
      <c r="A429" s="15"/>
    </row>
    <row r="430" spans="1:1" x14ac:dyDescent="0.2">
      <c r="A430" s="15"/>
    </row>
    <row r="431" spans="1:1" x14ac:dyDescent="0.2">
      <c r="A431" s="15"/>
    </row>
    <row r="432" spans="1:1" x14ac:dyDescent="0.2">
      <c r="A432" s="15"/>
    </row>
    <row r="433" spans="1:1" x14ac:dyDescent="0.2">
      <c r="A433" s="15"/>
    </row>
    <row r="434" spans="1:1" x14ac:dyDescent="0.2">
      <c r="A434" s="15"/>
    </row>
    <row r="435" spans="1:1" x14ac:dyDescent="0.2">
      <c r="A435" s="15"/>
    </row>
    <row r="436" spans="1:1" x14ac:dyDescent="0.2">
      <c r="A436" s="15"/>
    </row>
    <row r="437" spans="1:1" x14ac:dyDescent="0.2">
      <c r="A437" s="15"/>
    </row>
    <row r="438" spans="1:1" x14ac:dyDescent="0.2">
      <c r="A438" s="15"/>
    </row>
    <row r="439" spans="1:1" x14ac:dyDescent="0.2">
      <c r="A439" s="15"/>
    </row>
    <row r="440" spans="1:1" x14ac:dyDescent="0.2">
      <c r="A440" s="15"/>
    </row>
    <row r="441" spans="1:1" x14ac:dyDescent="0.2">
      <c r="A441" s="15"/>
    </row>
    <row r="442" spans="1:1" x14ac:dyDescent="0.2">
      <c r="A442" s="15"/>
    </row>
    <row r="443" spans="1:1" x14ac:dyDescent="0.2">
      <c r="A443" s="15"/>
    </row>
    <row r="444" spans="1:1" x14ac:dyDescent="0.2">
      <c r="A444" s="15"/>
    </row>
    <row r="445" spans="1:1" x14ac:dyDescent="0.2">
      <c r="A445" s="15"/>
    </row>
    <row r="446" spans="1:1" x14ac:dyDescent="0.2">
      <c r="A446" s="15"/>
    </row>
    <row r="447" spans="1:1" x14ac:dyDescent="0.2">
      <c r="A447" s="15"/>
    </row>
    <row r="448" spans="1:1" x14ac:dyDescent="0.2">
      <c r="A448" s="15"/>
    </row>
    <row r="449" spans="1:1" x14ac:dyDescent="0.2">
      <c r="A449" s="15"/>
    </row>
    <row r="450" spans="1:1" x14ac:dyDescent="0.2">
      <c r="A450" s="15"/>
    </row>
    <row r="451" spans="1:1" x14ac:dyDescent="0.2">
      <c r="A451" s="15"/>
    </row>
    <row r="452" spans="1:1" x14ac:dyDescent="0.2">
      <c r="A452" s="15"/>
    </row>
    <row r="453" spans="1:1" x14ac:dyDescent="0.2">
      <c r="A453" s="15"/>
    </row>
    <row r="454" spans="1:1" x14ac:dyDescent="0.2">
      <c r="A454" s="15"/>
    </row>
    <row r="455" spans="1:1" x14ac:dyDescent="0.2">
      <c r="A455" s="15"/>
    </row>
    <row r="456" spans="1:1" x14ac:dyDescent="0.2">
      <c r="A456" s="15"/>
    </row>
    <row r="457" spans="1:1" x14ac:dyDescent="0.2">
      <c r="A457" s="15"/>
    </row>
    <row r="458" spans="1:1" x14ac:dyDescent="0.2">
      <c r="A458" s="15"/>
    </row>
    <row r="459" spans="1:1" x14ac:dyDescent="0.2">
      <c r="A459" s="15"/>
    </row>
    <row r="460" spans="1:1" x14ac:dyDescent="0.2">
      <c r="A460" s="15"/>
    </row>
    <row r="461" spans="1:1" x14ac:dyDescent="0.2">
      <c r="A461" s="15"/>
    </row>
    <row r="462" spans="1:1" x14ac:dyDescent="0.2">
      <c r="A462" s="15"/>
    </row>
    <row r="463" spans="1:1" x14ac:dyDescent="0.2">
      <c r="A463" s="15"/>
    </row>
    <row r="464" spans="1:1" x14ac:dyDescent="0.2">
      <c r="A464" s="15"/>
    </row>
    <row r="465" spans="1:1" x14ac:dyDescent="0.2">
      <c r="A465" s="15"/>
    </row>
    <row r="466" spans="1:1" x14ac:dyDescent="0.2">
      <c r="A466" s="15"/>
    </row>
    <row r="467" spans="1:1" x14ac:dyDescent="0.2">
      <c r="A467" s="15"/>
    </row>
    <row r="468" spans="1:1" x14ac:dyDescent="0.2">
      <c r="A468" s="15"/>
    </row>
    <row r="469" spans="1:1" x14ac:dyDescent="0.2">
      <c r="A469" s="15"/>
    </row>
    <row r="470" spans="1:1" x14ac:dyDescent="0.2">
      <c r="A470" s="15"/>
    </row>
    <row r="471" spans="1:1" x14ac:dyDescent="0.2">
      <c r="A471" s="15"/>
    </row>
    <row r="472" spans="1:1" x14ac:dyDescent="0.2">
      <c r="A472" s="15"/>
    </row>
    <row r="473" spans="1:1" x14ac:dyDescent="0.2">
      <c r="A473" s="15"/>
    </row>
    <row r="474" spans="1:1" x14ac:dyDescent="0.2">
      <c r="A474" s="15"/>
    </row>
    <row r="475" spans="1:1" x14ac:dyDescent="0.2">
      <c r="A475" s="15"/>
    </row>
    <row r="476" spans="1:1" x14ac:dyDescent="0.2">
      <c r="A476" s="15"/>
    </row>
    <row r="477" spans="1:1" x14ac:dyDescent="0.2">
      <c r="A477" s="15"/>
    </row>
    <row r="478" spans="1:1" x14ac:dyDescent="0.2">
      <c r="A478" s="15"/>
    </row>
    <row r="479" spans="1:1" x14ac:dyDescent="0.2">
      <c r="A479" s="15"/>
    </row>
    <row r="480" spans="1:1" x14ac:dyDescent="0.2">
      <c r="A480" s="15"/>
    </row>
    <row r="481" spans="1:1" x14ac:dyDescent="0.2">
      <c r="A481" s="15"/>
    </row>
    <row r="482" spans="1:1" x14ac:dyDescent="0.2">
      <c r="A482" s="15"/>
    </row>
    <row r="483" spans="1:1" x14ac:dyDescent="0.2">
      <c r="A483" s="15"/>
    </row>
    <row r="484" spans="1:1" x14ac:dyDescent="0.2">
      <c r="A484" s="15"/>
    </row>
    <row r="485" spans="1:1" x14ac:dyDescent="0.2">
      <c r="A485" s="15"/>
    </row>
    <row r="486" spans="1:1" x14ac:dyDescent="0.2">
      <c r="A486" s="15"/>
    </row>
    <row r="487" spans="1:1" x14ac:dyDescent="0.2">
      <c r="A487" s="15"/>
    </row>
    <row r="488" spans="1:1" x14ac:dyDescent="0.2">
      <c r="A488" s="15"/>
    </row>
    <row r="489" spans="1:1" x14ac:dyDescent="0.2">
      <c r="A489" s="15"/>
    </row>
    <row r="490" spans="1:1" x14ac:dyDescent="0.2">
      <c r="A490" s="15"/>
    </row>
    <row r="491" spans="1:1" x14ac:dyDescent="0.2">
      <c r="A491" s="15"/>
    </row>
    <row r="492" spans="1:1" x14ac:dyDescent="0.2">
      <c r="A492" s="15"/>
    </row>
    <row r="493" spans="1:1" x14ac:dyDescent="0.2">
      <c r="A493" s="15"/>
    </row>
    <row r="494" spans="1:1" x14ac:dyDescent="0.2">
      <c r="A494" s="15"/>
    </row>
    <row r="495" spans="1:1" x14ac:dyDescent="0.2">
      <c r="A495" s="15"/>
    </row>
    <row r="496" spans="1:1" x14ac:dyDescent="0.2">
      <c r="A496" s="15"/>
    </row>
    <row r="497" spans="1:1" x14ac:dyDescent="0.2">
      <c r="A497" s="15"/>
    </row>
    <row r="498" spans="1:1" x14ac:dyDescent="0.2">
      <c r="A498" s="15"/>
    </row>
    <row r="499" spans="1:1" x14ac:dyDescent="0.2">
      <c r="A499" s="15"/>
    </row>
    <row r="500" spans="1:1" x14ac:dyDescent="0.2">
      <c r="A500" s="15"/>
    </row>
    <row r="501" spans="1:1" x14ac:dyDescent="0.2">
      <c r="A501" s="15"/>
    </row>
    <row r="502" spans="1:1" x14ac:dyDescent="0.2">
      <c r="A502" s="15"/>
    </row>
    <row r="503" spans="1:1" x14ac:dyDescent="0.2">
      <c r="A503" s="15"/>
    </row>
    <row r="504" spans="1:1" x14ac:dyDescent="0.2">
      <c r="A504" s="15"/>
    </row>
    <row r="505" spans="1:1" x14ac:dyDescent="0.2">
      <c r="A505" s="15"/>
    </row>
    <row r="506" spans="1:1" x14ac:dyDescent="0.2">
      <c r="A506" s="15"/>
    </row>
    <row r="507" spans="1:1" x14ac:dyDescent="0.2">
      <c r="A507" s="15"/>
    </row>
    <row r="508" spans="1:1" x14ac:dyDescent="0.2">
      <c r="A508" s="15"/>
    </row>
    <row r="509" spans="1:1" x14ac:dyDescent="0.2">
      <c r="A509" s="15"/>
    </row>
    <row r="510" spans="1:1" x14ac:dyDescent="0.2">
      <c r="A510" s="15"/>
    </row>
    <row r="511" spans="1:1" x14ac:dyDescent="0.2">
      <c r="A511" s="15"/>
    </row>
    <row r="512" spans="1:1" x14ac:dyDescent="0.2">
      <c r="A512" s="15"/>
    </row>
    <row r="513" spans="1:1" x14ac:dyDescent="0.2">
      <c r="A513" s="15"/>
    </row>
    <row r="514" spans="1:1" x14ac:dyDescent="0.2">
      <c r="A514" s="15"/>
    </row>
    <row r="515" spans="1:1" x14ac:dyDescent="0.2">
      <c r="A515" s="15"/>
    </row>
    <row r="516" spans="1:1" x14ac:dyDescent="0.2">
      <c r="A516" s="15"/>
    </row>
    <row r="517" spans="1:1" x14ac:dyDescent="0.2">
      <c r="A517" s="15"/>
    </row>
    <row r="518" spans="1:1" x14ac:dyDescent="0.2">
      <c r="A518" s="15"/>
    </row>
    <row r="519" spans="1:1" x14ac:dyDescent="0.2">
      <c r="A519" s="15"/>
    </row>
    <row r="520" spans="1:1" x14ac:dyDescent="0.2">
      <c r="A520" s="15"/>
    </row>
    <row r="521" spans="1:1" x14ac:dyDescent="0.2">
      <c r="A521" s="15"/>
    </row>
    <row r="522" spans="1:1" x14ac:dyDescent="0.2">
      <c r="A522" s="15"/>
    </row>
    <row r="523" spans="1:1" x14ac:dyDescent="0.2">
      <c r="A523" s="15"/>
    </row>
    <row r="524" spans="1:1" x14ac:dyDescent="0.2">
      <c r="A524" s="15"/>
    </row>
    <row r="525" spans="1:1" x14ac:dyDescent="0.2">
      <c r="A525" s="15"/>
    </row>
    <row r="526" spans="1:1" x14ac:dyDescent="0.2">
      <c r="A526" s="15"/>
    </row>
    <row r="527" spans="1:1" x14ac:dyDescent="0.2">
      <c r="A527" s="15"/>
    </row>
    <row r="528" spans="1:1" x14ac:dyDescent="0.2">
      <c r="A528" s="15"/>
    </row>
    <row r="529" spans="1:1" x14ac:dyDescent="0.2">
      <c r="A529" s="15"/>
    </row>
    <row r="530" spans="1:1" x14ac:dyDescent="0.2">
      <c r="A530" s="15"/>
    </row>
    <row r="531" spans="1:1" x14ac:dyDescent="0.2">
      <c r="A531" s="15"/>
    </row>
    <row r="532" spans="1:1" x14ac:dyDescent="0.2">
      <c r="A532" s="15"/>
    </row>
    <row r="533" spans="1:1" x14ac:dyDescent="0.2">
      <c r="A533" s="15"/>
    </row>
    <row r="534" spans="1:1" x14ac:dyDescent="0.2">
      <c r="A534" s="15"/>
    </row>
    <row r="535" spans="1:1" x14ac:dyDescent="0.2">
      <c r="A535" s="15"/>
    </row>
    <row r="536" spans="1:1" x14ac:dyDescent="0.2">
      <c r="A536" s="15"/>
    </row>
    <row r="537" spans="1:1" x14ac:dyDescent="0.2">
      <c r="A537" s="15"/>
    </row>
    <row r="538" spans="1:1" x14ac:dyDescent="0.2">
      <c r="A538" s="15"/>
    </row>
    <row r="539" spans="1:1" x14ac:dyDescent="0.2">
      <c r="A539" s="15"/>
    </row>
    <row r="540" spans="1:1" x14ac:dyDescent="0.2">
      <c r="A540" s="15"/>
    </row>
    <row r="541" spans="1:1" x14ac:dyDescent="0.2">
      <c r="A541" s="15"/>
    </row>
    <row r="542" spans="1:1" x14ac:dyDescent="0.2">
      <c r="A542" s="15"/>
    </row>
    <row r="543" spans="1:1" x14ac:dyDescent="0.2">
      <c r="A543" s="15"/>
    </row>
    <row r="544" spans="1:1" x14ac:dyDescent="0.2">
      <c r="A544" s="15"/>
    </row>
    <row r="545" spans="1:1" x14ac:dyDescent="0.2">
      <c r="A545" s="15"/>
    </row>
    <row r="546" spans="1:1" x14ac:dyDescent="0.2">
      <c r="A546" s="15"/>
    </row>
    <row r="547" spans="1:1" x14ac:dyDescent="0.2">
      <c r="A547" s="15"/>
    </row>
    <row r="548" spans="1:1" x14ac:dyDescent="0.2">
      <c r="A548" s="15"/>
    </row>
    <row r="549" spans="1:1" x14ac:dyDescent="0.2">
      <c r="A549" s="15"/>
    </row>
    <row r="550" spans="1:1" x14ac:dyDescent="0.2">
      <c r="A550" s="15"/>
    </row>
    <row r="551" spans="1:1" x14ac:dyDescent="0.2">
      <c r="A551" s="15"/>
    </row>
    <row r="552" spans="1:1" x14ac:dyDescent="0.2">
      <c r="A552" s="15"/>
    </row>
    <row r="553" spans="1:1" x14ac:dyDescent="0.2">
      <c r="A553" s="15"/>
    </row>
    <row r="554" spans="1:1" x14ac:dyDescent="0.2">
      <c r="A554" s="15"/>
    </row>
    <row r="555" spans="1:1" x14ac:dyDescent="0.2">
      <c r="A555" s="15"/>
    </row>
    <row r="556" spans="1:1" x14ac:dyDescent="0.2">
      <c r="A556" s="15"/>
    </row>
    <row r="557" spans="1:1" x14ac:dyDescent="0.2">
      <c r="A557" s="15"/>
    </row>
    <row r="558" spans="1:1" x14ac:dyDescent="0.2">
      <c r="A558" s="15"/>
    </row>
    <row r="559" spans="1:1" x14ac:dyDescent="0.2">
      <c r="A559" s="15"/>
    </row>
    <row r="560" spans="1:1" x14ac:dyDescent="0.2">
      <c r="A560" s="15"/>
    </row>
    <row r="561" spans="1:1" x14ac:dyDescent="0.2">
      <c r="A561" s="15"/>
    </row>
    <row r="562" spans="1:1" x14ac:dyDescent="0.2">
      <c r="A562" s="15"/>
    </row>
    <row r="563" spans="1:1" x14ac:dyDescent="0.2">
      <c r="A563" s="15"/>
    </row>
    <row r="564" spans="1:1" x14ac:dyDescent="0.2">
      <c r="A564" s="15"/>
    </row>
    <row r="565" spans="1:1" x14ac:dyDescent="0.2">
      <c r="A565" s="15"/>
    </row>
    <row r="566" spans="1:1" x14ac:dyDescent="0.2">
      <c r="A566" s="15"/>
    </row>
    <row r="567" spans="1:1" x14ac:dyDescent="0.2">
      <c r="A567" s="15"/>
    </row>
    <row r="568" spans="1:1" x14ac:dyDescent="0.2">
      <c r="A568" s="15"/>
    </row>
    <row r="569" spans="1:1" x14ac:dyDescent="0.2">
      <c r="A569" s="15"/>
    </row>
    <row r="570" spans="1:1" x14ac:dyDescent="0.2">
      <c r="A570" s="15"/>
    </row>
    <row r="571" spans="1:1" x14ac:dyDescent="0.2">
      <c r="A571" s="15"/>
    </row>
    <row r="572" spans="1:1" x14ac:dyDescent="0.2">
      <c r="A572" s="15"/>
    </row>
    <row r="573" spans="1:1" x14ac:dyDescent="0.2">
      <c r="A573" s="15"/>
    </row>
    <row r="574" spans="1:1" x14ac:dyDescent="0.2">
      <c r="A574" s="15"/>
    </row>
    <row r="575" spans="1:1" x14ac:dyDescent="0.2">
      <c r="A575" s="15"/>
    </row>
    <row r="576" spans="1:1" x14ac:dyDescent="0.2">
      <c r="A576" s="15"/>
    </row>
    <row r="577" spans="1:1" x14ac:dyDescent="0.2">
      <c r="A577" s="15"/>
    </row>
    <row r="578" spans="1:1" x14ac:dyDescent="0.2">
      <c r="A578" s="15"/>
    </row>
    <row r="579" spans="1:1" x14ac:dyDescent="0.2">
      <c r="A579" s="15"/>
    </row>
    <row r="580" spans="1:1" x14ac:dyDescent="0.2">
      <c r="A580" s="15"/>
    </row>
    <row r="581" spans="1:1" x14ac:dyDescent="0.2">
      <c r="A581" s="15"/>
    </row>
    <row r="582" spans="1:1" x14ac:dyDescent="0.2">
      <c r="A582" s="15"/>
    </row>
    <row r="583" spans="1:1" x14ac:dyDescent="0.2">
      <c r="A583" s="15"/>
    </row>
    <row r="584" spans="1:1" x14ac:dyDescent="0.2">
      <c r="A584" s="15"/>
    </row>
    <row r="585" spans="1:1" x14ac:dyDescent="0.2">
      <c r="A585" s="15"/>
    </row>
    <row r="586" spans="1:1" x14ac:dyDescent="0.2">
      <c r="A586" s="15"/>
    </row>
    <row r="587" spans="1:1" x14ac:dyDescent="0.2">
      <c r="A587" s="15"/>
    </row>
    <row r="588" spans="1:1" x14ac:dyDescent="0.2">
      <c r="A588" s="15"/>
    </row>
    <row r="589" spans="1:1" x14ac:dyDescent="0.2">
      <c r="A589" s="15"/>
    </row>
    <row r="590" spans="1:1" x14ac:dyDescent="0.2">
      <c r="A590" s="15"/>
    </row>
    <row r="591" spans="1:1" x14ac:dyDescent="0.2">
      <c r="A591" s="15"/>
    </row>
    <row r="592" spans="1:1" x14ac:dyDescent="0.2">
      <c r="A592" s="15"/>
    </row>
    <row r="593" spans="1:1" x14ac:dyDescent="0.2">
      <c r="A593" s="15"/>
    </row>
    <row r="594" spans="1:1" x14ac:dyDescent="0.2">
      <c r="A594" s="15"/>
    </row>
    <row r="595" spans="1:1" x14ac:dyDescent="0.2">
      <c r="A595" s="15"/>
    </row>
    <row r="596" spans="1:1" x14ac:dyDescent="0.2">
      <c r="A596" s="15"/>
    </row>
    <row r="597" spans="1:1" x14ac:dyDescent="0.2">
      <c r="A597" s="15"/>
    </row>
    <row r="598" spans="1:1" x14ac:dyDescent="0.2">
      <c r="A598" s="15"/>
    </row>
    <row r="599" spans="1:1" x14ac:dyDescent="0.2">
      <c r="A599" s="15"/>
    </row>
    <row r="600" spans="1:1" x14ac:dyDescent="0.2">
      <c r="A600" s="15"/>
    </row>
    <row r="601" spans="1:1" x14ac:dyDescent="0.2">
      <c r="A601" s="15"/>
    </row>
    <row r="602" spans="1:1" x14ac:dyDescent="0.2">
      <c r="A602" s="15"/>
    </row>
    <row r="603" spans="1:1" x14ac:dyDescent="0.2">
      <c r="A603" s="15"/>
    </row>
    <row r="604" spans="1:1" x14ac:dyDescent="0.2">
      <c r="A604" s="15"/>
    </row>
    <row r="605" spans="1:1" x14ac:dyDescent="0.2">
      <c r="A605" s="15"/>
    </row>
    <row r="606" spans="1:1" x14ac:dyDescent="0.2">
      <c r="A606" s="15"/>
    </row>
    <row r="607" spans="1:1" x14ac:dyDescent="0.2">
      <c r="A607" s="15"/>
    </row>
    <row r="608" spans="1:1" x14ac:dyDescent="0.2">
      <c r="A608" s="15"/>
    </row>
    <row r="609" spans="1:1" x14ac:dyDescent="0.2">
      <c r="A609" s="15"/>
    </row>
    <row r="610" spans="1:1" x14ac:dyDescent="0.2">
      <c r="A610" s="15"/>
    </row>
    <row r="611" spans="1:1" x14ac:dyDescent="0.2">
      <c r="A611" s="15"/>
    </row>
    <row r="612" spans="1:1" x14ac:dyDescent="0.2">
      <c r="A612" s="15"/>
    </row>
    <row r="613" spans="1:1" x14ac:dyDescent="0.2">
      <c r="A613" s="15"/>
    </row>
    <row r="614" spans="1:1" x14ac:dyDescent="0.2">
      <c r="A614" s="15"/>
    </row>
    <row r="615" spans="1:1" x14ac:dyDescent="0.2">
      <c r="A615" s="15"/>
    </row>
    <row r="616" spans="1:1" x14ac:dyDescent="0.2">
      <c r="A616" s="15"/>
    </row>
    <row r="617" spans="1:1" x14ac:dyDescent="0.2">
      <c r="A617" s="15"/>
    </row>
    <row r="618" spans="1:1" x14ac:dyDescent="0.2">
      <c r="A618" s="15"/>
    </row>
    <row r="619" spans="1:1" x14ac:dyDescent="0.2">
      <c r="A619" s="15"/>
    </row>
    <row r="620" spans="1:1" x14ac:dyDescent="0.2">
      <c r="A620" s="15"/>
    </row>
    <row r="621" spans="1:1" x14ac:dyDescent="0.2">
      <c r="A621" s="15"/>
    </row>
    <row r="622" spans="1:1" x14ac:dyDescent="0.2">
      <c r="A622" s="15"/>
    </row>
    <row r="623" spans="1:1" x14ac:dyDescent="0.2">
      <c r="A623" s="15"/>
    </row>
    <row r="624" spans="1:1" x14ac:dyDescent="0.2">
      <c r="A624" s="15"/>
    </row>
    <row r="625" spans="1:1" x14ac:dyDescent="0.2">
      <c r="A625" s="15"/>
    </row>
    <row r="626" spans="1:1" x14ac:dyDescent="0.2">
      <c r="A626" s="15"/>
    </row>
    <row r="627" spans="1:1" x14ac:dyDescent="0.2">
      <c r="A627" s="15"/>
    </row>
    <row r="628" spans="1:1" x14ac:dyDescent="0.2">
      <c r="A628" s="15"/>
    </row>
    <row r="629" spans="1:1" x14ac:dyDescent="0.2">
      <c r="A629" s="15"/>
    </row>
    <row r="630" spans="1:1" x14ac:dyDescent="0.2">
      <c r="A630" s="15"/>
    </row>
    <row r="631" spans="1:1" x14ac:dyDescent="0.2">
      <c r="A631" s="15"/>
    </row>
    <row r="632" spans="1:1" x14ac:dyDescent="0.2">
      <c r="A632" s="15"/>
    </row>
    <row r="633" spans="1:1" x14ac:dyDescent="0.2">
      <c r="A633" s="15"/>
    </row>
    <row r="634" spans="1:1" x14ac:dyDescent="0.2">
      <c r="A634" s="15"/>
    </row>
    <row r="635" spans="1:1" x14ac:dyDescent="0.2">
      <c r="A635" s="15"/>
    </row>
    <row r="636" spans="1:1" x14ac:dyDescent="0.2">
      <c r="A636" s="15"/>
    </row>
    <row r="637" spans="1:1" x14ac:dyDescent="0.2">
      <c r="A637" s="15"/>
    </row>
    <row r="638" spans="1:1" x14ac:dyDescent="0.2">
      <c r="A638" s="15"/>
    </row>
    <row r="639" spans="1:1" x14ac:dyDescent="0.2">
      <c r="A639" s="15"/>
    </row>
    <row r="640" spans="1:1" x14ac:dyDescent="0.2">
      <c r="A640" s="15"/>
    </row>
    <row r="641" spans="1:1" x14ac:dyDescent="0.2">
      <c r="A641" s="15"/>
    </row>
    <row r="642" spans="1:1" x14ac:dyDescent="0.2">
      <c r="A642" s="15"/>
    </row>
    <row r="643" spans="1:1" x14ac:dyDescent="0.2">
      <c r="A643" s="15"/>
    </row>
    <row r="644" spans="1:1" x14ac:dyDescent="0.2">
      <c r="A644" s="15"/>
    </row>
    <row r="645" spans="1:1" x14ac:dyDescent="0.2">
      <c r="A645" s="15"/>
    </row>
    <row r="646" spans="1:1" x14ac:dyDescent="0.2">
      <c r="A646" s="15"/>
    </row>
    <row r="647" spans="1:1" x14ac:dyDescent="0.2">
      <c r="A647" s="15"/>
    </row>
    <row r="648" spans="1:1" x14ac:dyDescent="0.2">
      <c r="A648" s="15"/>
    </row>
    <row r="649" spans="1:1" x14ac:dyDescent="0.2">
      <c r="A649" s="15"/>
    </row>
    <row r="650" spans="1:1" x14ac:dyDescent="0.2">
      <c r="A650" s="15"/>
    </row>
    <row r="651" spans="1:1" x14ac:dyDescent="0.2">
      <c r="A651" s="15"/>
    </row>
    <row r="652" spans="1:1" x14ac:dyDescent="0.2">
      <c r="A652" s="15"/>
    </row>
    <row r="653" spans="1:1" x14ac:dyDescent="0.2">
      <c r="A653" s="15"/>
    </row>
    <row r="654" spans="1:1" x14ac:dyDescent="0.2">
      <c r="A654" s="15"/>
    </row>
    <row r="655" spans="1:1" x14ac:dyDescent="0.2">
      <c r="A655" s="15"/>
    </row>
    <row r="656" spans="1:1" x14ac:dyDescent="0.2">
      <c r="A656" s="15"/>
    </row>
    <row r="657" spans="1:1" x14ac:dyDescent="0.2">
      <c r="A657" s="15"/>
    </row>
    <row r="658" spans="1:1" x14ac:dyDescent="0.2">
      <c r="A658" s="15"/>
    </row>
    <row r="659" spans="1:1" x14ac:dyDescent="0.2">
      <c r="A659" s="15"/>
    </row>
    <row r="660" spans="1:1" x14ac:dyDescent="0.2">
      <c r="A660" s="15"/>
    </row>
    <row r="661" spans="1:1" x14ac:dyDescent="0.2">
      <c r="A661" s="15"/>
    </row>
    <row r="662" spans="1:1" x14ac:dyDescent="0.2">
      <c r="A662" s="15"/>
    </row>
    <row r="663" spans="1:1" x14ac:dyDescent="0.2">
      <c r="A663" s="15"/>
    </row>
    <row r="664" spans="1:1" x14ac:dyDescent="0.2">
      <c r="A664" s="15"/>
    </row>
    <row r="665" spans="1:1" x14ac:dyDescent="0.2">
      <c r="A665" s="15"/>
    </row>
    <row r="666" spans="1:1" x14ac:dyDescent="0.2">
      <c r="A666" s="15"/>
    </row>
    <row r="667" spans="1:1" x14ac:dyDescent="0.2">
      <c r="A667" s="15"/>
    </row>
    <row r="668" spans="1:1" x14ac:dyDescent="0.2">
      <c r="A668" s="15"/>
    </row>
    <row r="669" spans="1:1" x14ac:dyDescent="0.2">
      <c r="A669" s="15"/>
    </row>
    <row r="670" spans="1:1" x14ac:dyDescent="0.2">
      <c r="A670" s="15"/>
    </row>
    <row r="671" spans="1:1" x14ac:dyDescent="0.2">
      <c r="A671" s="15"/>
    </row>
    <row r="672" spans="1:1" x14ac:dyDescent="0.2">
      <c r="A672" s="15"/>
    </row>
    <row r="673" spans="1:1" x14ac:dyDescent="0.2">
      <c r="A673" s="15"/>
    </row>
    <row r="674" spans="1:1" x14ac:dyDescent="0.2">
      <c r="A674" s="15"/>
    </row>
    <row r="675" spans="1:1" x14ac:dyDescent="0.2">
      <c r="A675" s="15"/>
    </row>
    <row r="676" spans="1:1" x14ac:dyDescent="0.2">
      <c r="A676" s="15"/>
    </row>
    <row r="677" spans="1:1" x14ac:dyDescent="0.2">
      <c r="A677" s="15"/>
    </row>
    <row r="678" spans="1:1" x14ac:dyDescent="0.2">
      <c r="A678" s="15"/>
    </row>
    <row r="679" spans="1:1" x14ac:dyDescent="0.2">
      <c r="A679" s="15"/>
    </row>
    <row r="680" spans="1:1" x14ac:dyDescent="0.2">
      <c r="A680" s="15"/>
    </row>
    <row r="681" spans="1:1" x14ac:dyDescent="0.2">
      <c r="A681" s="15"/>
    </row>
    <row r="682" spans="1:1" x14ac:dyDescent="0.2">
      <c r="A682" s="15"/>
    </row>
    <row r="683" spans="1:1" x14ac:dyDescent="0.2">
      <c r="A683" s="15"/>
    </row>
    <row r="684" spans="1:1" x14ac:dyDescent="0.2">
      <c r="A684" s="15"/>
    </row>
    <row r="685" spans="1:1" x14ac:dyDescent="0.2">
      <c r="A685" s="15"/>
    </row>
    <row r="686" spans="1:1" x14ac:dyDescent="0.2">
      <c r="A686" s="15"/>
    </row>
    <row r="687" spans="1:1" x14ac:dyDescent="0.2">
      <c r="A687" s="15"/>
    </row>
    <row r="688" spans="1:1" x14ac:dyDescent="0.2">
      <c r="A688" s="15"/>
    </row>
    <row r="689" spans="1:1" x14ac:dyDescent="0.2">
      <c r="A689" s="15"/>
    </row>
    <row r="690" spans="1:1" x14ac:dyDescent="0.2">
      <c r="A690" s="15"/>
    </row>
    <row r="691" spans="1:1" x14ac:dyDescent="0.2">
      <c r="A691" s="15"/>
    </row>
    <row r="692" spans="1:1" x14ac:dyDescent="0.2">
      <c r="A692" s="15"/>
    </row>
    <row r="693" spans="1:1" x14ac:dyDescent="0.2">
      <c r="A693" s="15"/>
    </row>
    <row r="694" spans="1:1" x14ac:dyDescent="0.2">
      <c r="A694" s="15"/>
    </row>
    <row r="695" spans="1:1" x14ac:dyDescent="0.2">
      <c r="A695" s="15"/>
    </row>
    <row r="696" spans="1:1" x14ac:dyDescent="0.2">
      <c r="A696" s="15"/>
    </row>
    <row r="697" spans="1:1" x14ac:dyDescent="0.2">
      <c r="A697" s="15"/>
    </row>
    <row r="698" spans="1:1" x14ac:dyDescent="0.2">
      <c r="A698" s="15"/>
    </row>
    <row r="699" spans="1:1" x14ac:dyDescent="0.2">
      <c r="A699" s="15"/>
    </row>
    <row r="700" spans="1:1" x14ac:dyDescent="0.2">
      <c r="A700" s="15"/>
    </row>
    <row r="701" spans="1:1" x14ac:dyDescent="0.2">
      <c r="A701" s="15"/>
    </row>
    <row r="702" spans="1:1" x14ac:dyDescent="0.2">
      <c r="A702" s="15"/>
    </row>
    <row r="703" spans="1:1" x14ac:dyDescent="0.2">
      <c r="A703" s="15"/>
    </row>
    <row r="704" spans="1:1" x14ac:dyDescent="0.2">
      <c r="A704" s="15"/>
    </row>
    <row r="705" spans="1:1" x14ac:dyDescent="0.2">
      <c r="A705" s="15"/>
    </row>
    <row r="706" spans="1:1" x14ac:dyDescent="0.2">
      <c r="A706" s="15"/>
    </row>
    <row r="707" spans="1:1" x14ac:dyDescent="0.2">
      <c r="A707" s="15"/>
    </row>
    <row r="708" spans="1:1" x14ac:dyDescent="0.2">
      <c r="A708" s="15"/>
    </row>
    <row r="709" spans="1:1" x14ac:dyDescent="0.2">
      <c r="A709" s="15"/>
    </row>
    <row r="710" spans="1:1" x14ac:dyDescent="0.2">
      <c r="A710" s="15"/>
    </row>
    <row r="711" spans="1:1" x14ac:dyDescent="0.2">
      <c r="A711" s="15"/>
    </row>
    <row r="712" spans="1:1" x14ac:dyDescent="0.2">
      <c r="A712" s="15"/>
    </row>
    <row r="713" spans="1:1" x14ac:dyDescent="0.2">
      <c r="A713" s="15"/>
    </row>
    <row r="714" spans="1:1" x14ac:dyDescent="0.2">
      <c r="A714" s="15"/>
    </row>
    <row r="715" spans="1:1" x14ac:dyDescent="0.2">
      <c r="A715" s="15"/>
    </row>
    <row r="716" spans="1:1" x14ac:dyDescent="0.2">
      <c r="A716" s="15"/>
    </row>
    <row r="717" spans="1:1" x14ac:dyDescent="0.2">
      <c r="A717" s="15"/>
    </row>
    <row r="718" spans="1:1" x14ac:dyDescent="0.2">
      <c r="A718" s="15"/>
    </row>
    <row r="719" spans="1:1" x14ac:dyDescent="0.2">
      <c r="A719" s="15"/>
    </row>
    <row r="720" spans="1:1" x14ac:dyDescent="0.2">
      <c r="A720" s="15"/>
    </row>
    <row r="721" spans="1:1" x14ac:dyDescent="0.2">
      <c r="A721" s="15"/>
    </row>
    <row r="722" spans="1:1" x14ac:dyDescent="0.2">
      <c r="A722" s="15"/>
    </row>
    <row r="723" spans="1:1" x14ac:dyDescent="0.2">
      <c r="A723" s="15"/>
    </row>
    <row r="724" spans="1:1" x14ac:dyDescent="0.2">
      <c r="A724" s="15"/>
    </row>
    <row r="725" spans="1:1" x14ac:dyDescent="0.2">
      <c r="A725" s="15"/>
    </row>
    <row r="726" spans="1:1" x14ac:dyDescent="0.2">
      <c r="A726" s="15"/>
    </row>
    <row r="727" spans="1:1" x14ac:dyDescent="0.2">
      <c r="A727" s="15"/>
    </row>
    <row r="728" spans="1:1" x14ac:dyDescent="0.2">
      <c r="A728" s="15"/>
    </row>
    <row r="729" spans="1:1" x14ac:dyDescent="0.2">
      <c r="A729" s="15"/>
    </row>
    <row r="730" spans="1:1" x14ac:dyDescent="0.2">
      <c r="A730" s="15"/>
    </row>
    <row r="731" spans="1:1" x14ac:dyDescent="0.2">
      <c r="A731" s="15"/>
    </row>
    <row r="732" spans="1:1" x14ac:dyDescent="0.2">
      <c r="A732" s="15"/>
    </row>
    <row r="733" spans="1:1" x14ac:dyDescent="0.2">
      <c r="A733" s="15"/>
    </row>
    <row r="734" spans="1:1" x14ac:dyDescent="0.2">
      <c r="A734" s="15"/>
    </row>
    <row r="735" spans="1:1" x14ac:dyDescent="0.2">
      <c r="A735" s="15"/>
    </row>
    <row r="736" spans="1:1" x14ac:dyDescent="0.2">
      <c r="A736" s="15"/>
    </row>
    <row r="737" spans="1:1" x14ac:dyDescent="0.2">
      <c r="A737" s="15"/>
    </row>
    <row r="738" spans="1:1" x14ac:dyDescent="0.2">
      <c r="A738" s="15"/>
    </row>
    <row r="739" spans="1:1" x14ac:dyDescent="0.2">
      <c r="A739" s="15"/>
    </row>
    <row r="740" spans="1:1" x14ac:dyDescent="0.2">
      <c r="A740" s="15"/>
    </row>
    <row r="741" spans="1:1" x14ac:dyDescent="0.2">
      <c r="A741" s="15"/>
    </row>
    <row r="742" spans="1:1" x14ac:dyDescent="0.2">
      <c r="A742" s="15"/>
    </row>
    <row r="743" spans="1:1" x14ac:dyDescent="0.2">
      <c r="A743" s="15"/>
    </row>
    <row r="744" spans="1:1" x14ac:dyDescent="0.2">
      <c r="A744" s="15"/>
    </row>
    <row r="745" spans="1:1" x14ac:dyDescent="0.2">
      <c r="A745" s="15"/>
    </row>
    <row r="746" spans="1:1" x14ac:dyDescent="0.2">
      <c r="A746" s="15"/>
    </row>
    <row r="747" spans="1:1" x14ac:dyDescent="0.2">
      <c r="A747" s="15"/>
    </row>
    <row r="748" spans="1:1" x14ac:dyDescent="0.2">
      <c r="A748" s="15"/>
    </row>
    <row r="749" spans="1:1" x14ac:dyDescent="0.2">
      <c r="A749" s="15"/>
    </row>
    <row r="750" spans="1:1" x14ac:dyDescent="0.2">
      <c r="A750" s="15"/>
    </row>
    <row r="751" spans="1:1" x14ac:dyDescent="0.2">
      <c r="A751" s="15"/>
    </row>
    <row r="752" spans="1:1" x14ac:dyDescent="0.2">
      <c r="A752" s="15"/>
    </row>
    <row r="753" spans="1:1" x14ac:dyDescent="0.2">
      <c r="A753" s="15"/>
    </row>
    <row r="754" spans="1:1" x14ac:dyDescent="0.2">
      <c r="A754" s="15"/>
    </row>
    <row r="755" spans="1:1" x14ac:dyDescent="0.2">
      <c r="A755" s="15"/>
    </row>
    <row r="756" spans="1:1" x14ac:dyDescent="0.2">
      <c r="A756" s="15"/>
    </row>
    <row r="757" spans="1:1" x14ac:dyDescent="0.2">
      <c r="A757" s="15"/>
    </row>
    <row r="758" spans="1:1" x14ac:dyDescent="0.2">
      <c r="A758" s="15"/>
    </row>
    <row r="759" spans="1:1" x14ac:dyDescent="0.2">
      <c r="A759" s="15"/>
    </row>
    <row r="760" spans="1:1" x14ac:dyDescent="0.2">
      <c r="A760" s="15"/>
    </row>
    <row r="761" spans="1:1" x14ac:dyDescent="0.2">
      <c r="A761" s="15"/>
    </row>
    <row r="762" spans="1:1" x14ac:dyDescent="0.2">
      <c r="A762" s="15"/>
    </row>
    <row r="763" spans="1:1" x14ac:dyDescent="0.2">
      <c r="A763" s="15"/>
    </row>
    <row r="764" spans="1:1" x14ac:dyDescent="0.2">
      <c r="A764" s="15"/>
    </row>
    <row r="765" spans="1:1" x14ac:dyDescent="0.2">
      <c r="A765" s="15"/>
    </row>
    <row r="766" spans="1:1" x14ac:dyDescent="0.2">
      <c r="A766" s="15"/>
    </row>
    <row r="767" spans="1:1" x14ac:dyDescent="0.2">
      <c r="A767" s="15"/>
    </row>
    <row r="768" spans="1:1" x14ac:dyDescent="0.2">
      <c r="A768" s="15"/>
    </row>
    <row r="769" spans="1:1" x14ac:dyDescent="0.2">
      <c r="A769" s="15"/>
    </row>
    <row r="770" spans="1:1" x14ac:dyDescent="0.2">
      <c r="A770" s="15"/>
    </row>
    <row r="771" spans="1:1" x14ac:dyDescent="0.2">
      <c r="A771" s="15"/>
    </row>
    <row r="772" spans="1:1" x14ac:dyDescent="0.2">
      <c r="A772" s="15"/>
    </row>
    <row r="773" spans="1:1" x14ac:dyDescent="0.2">
      <c r="A773" s="15"/>
    </row>
    <row r="774" spans="1:1" x14ac:dyDescent="0.2">
      <c r="A774" s="15"/>
    </row>
    <row r="775" spans="1:1" x14ac:dyDescent="0.2">
      <c r="A775" s="15"/>
    </row>
    <row r="776" spans="1:1" x14ac:dyDescent="0.2">
      <c r="A776" s="15"/>
    </row>
    <row r="777" spans="1:1" x14ac:dyDescent="0.2">
      <c r="A777" s="15"/>
    </row>
    <row r="778" spans="1:1" x14ac:dyDescent="0.2">
      <c r="A778" s="15"/>
    </row>
    <row r="779" spans="1:1" x14ac:dyDescent="0.2">
      <c r="A779" s="15"/>
    </row>
    <row r="780" spans="1:1" x14ac:dyDescent="0.2">
      <c r="A780" s="15"/>
    </row>
    <row r="781" spans="1:1" x14ac:dyDescent="0.2">
      <c r="A781" s="15"/>
    </row>
    <row r="782" spans="1:1" x14ac:dyDescent="0.2">
      <c r="A782" s="15"/>
    </row>
    <row r="783" spans="1:1" x14ac:dyDescent="0.2">
      <c r="A783" s="15"/>
    </row>
    <row r="784" spans="1:1" x14ac:dyDescent="0.2">
      <c r="A784" s="15"/>
    </row>
    <row r="785" spans="1:1" x14ac:dyDescent="0.2">
      <c r="A785" s="15"/>
    </row>
    <row r="786" spans="1:1" x14ac:dyDescent="0.2">
      <c r="A786" s="15"/>
    </row>
    <row r="787" spans="1:1" x14ac:dyDescent="0.2">
      <c r="A787" s="15"/>
    </row>
    <row r="788" spans="1:1" x14ac:dyDescent="0.2">
      <c r="A788" s="15"/>
    </row>
    <row r="789" spans="1:1" x14ac:dyDescent="0.2">
      <c r="A789" s="15"/>
    </row>
    <row r="790" spans="1:1" x14ac:dyDescent="0.2">
      <c r="A790" s="15"/>
    </row>
    <row r="791" spans="1:1" x14ac:dyDescent="0.2">
      <c r="A791" s="15"/>
    </row>
    <row r="792" spans="1:1" x14ac:dyDescent="0.2">
      <c r="A792" s="15"/>
    </row>
    <row r="793" spans="1:1" x14ac:dyDescent="0.2">
      <c r="A793" s="15"/>
    </row>
    <row r="794" spans="1:1" x14ac:dyDescent="0.2">
      <c r="A794" s="15"/>
    </row>
    <row r="795" spans="1:1" x14ac:dyDescent="0.2">
      <c r="A795" s="15"/>
    </row>
    <row r="796" spans="1:1" x14ac:dyDescent="0.2">
      <c r="A796" s="15"/>
    </row>
    <row r="797" spans="1:1" x14ac:dyDescent="0.2">
      <c r="A797" s="15"/>
    </row>
    <row r="798" spans="1:1" x14ac:dyDescent="0.2">
      <c r="A798" s="15"/>
    </row>
    <row r="799" spans="1:1" x14ac:dyDescent="0.2">
      <c r="A799" s="15"/>
    </row>
    <row r="800" spans="1:1" x14ac:dyDescent="0.2">
      <c r="A800" s="15"/>
    </row>
    <row r="801" spans="1:1" x14ac:dyDescent="0.2">
      <c r="A801" s="15"/>
    </row>
    <row r="802" spans="1:1" x14ac:dyDescent="0.2">
      <c r="A802" s="15"/>
    </row>
    <row r="803" spans="1:1" x14ac:dyDescent="0.2">
      <c r="A803" s="15"/>
    </row>
    <row r="804" spans="1:1" x14ac:dyDescent="0.2">
      <c r="A804" s="15"/>
    </row>
    <row r="805" spans="1:1" x14ac:dyDescent="0.2">
      <c r="A805" s="15"/>
    </row>
    <row r="806" spans="1:1" x14ac:dyDescent="0.2">
      <c r="A806" s="15"/>
    </row>
    <row r="807" spans="1:1" x14ac:dyDescent="0.2">
      <c r="A807" s="15"/>
    </row>
    <row r="808" spans="1:1" x14ac:dyDescent="0.2">
      <c r="A808" s="15"/>
    </row>
    <row r="809" spans="1:1" x14ac:dyDescent="0.2">
      <c r="A809" s="15"/>
    </row>
    <row r="810" spans="1:1" x14ac:dyDescent="0.2">
      <c r="A810" s="15"/>
    </row>
    <row r="811" spans="1:1" x14ac:dyDescent="0.2">
      <c r="A811" s="15"/>
    </row>
    <row r="812" spans="1:1" x14ac:dyDescent="0.2">
      <c r="A812" s="15"/>
    </row>
    <row r="813" spans="1:1" x14ac:dyDescent="0.2">
      <c r="A813" s="15"/>
    </row>
    <row r="814" spans="1:1" x14ac:dyDescent="0.2">
      <c r="A814" s="15"/>
    </row>
    <row r="815" spans="1:1" x14ac:dyDescent="0.2">
      <c r="A815" s="15"/>
    </row>
    <row r="816" spans="1:1" x14ac:dyDescent="0.2">
      <c r="A816" s="15"/>
    </row>
    <row r="817" spans="1:1" x14ac:dyDescent="0.2">
      <c r="A817" s="15"/>
    </row>
    <row r="818" spans="1:1" x14ac:dyDescent="0.2">
      <c r="A818" s="15"/>
    </row>
    <row r="819" spans="1:1" x14ac:dyDescent="0.2">
      <c r="A819" s="15"/>
    </row>
    <row r="820" spans="1:1" x14ac:dyDescent="0.2">
      <c r="A820" s="15"/>
    </row>
    <row r="821" spans="1:1" x14ac:dyDescent="0.2">
      <c r="A821" s="15"/>
    </row>
    <row r="822" spans="1:1" x14ac:dyDescent="0.2">
      <c r="A822" s="15"/>
    </row>
    <row r="823" spans="1:1" x14ac:dyDescent="0.2">
      <c r="A823" s="15"/>
    </row>
    <row r="824" spans="1:1" x14ac:dyDescent="0.2">
      <c r="A824" s="15"/>
    </row>
    <row r="825" spans="1:1" x14ac:dyDescent="0.2">
      <c r="A825" s="15"/>
    </row>
    <row r="826" spans="1:1" x14ac:dyDescent="0.2">
      <c r="A826" s="15"/>
    </row>
    <row r="827" spans="1:1" x14ac:dyDescent="0.2">
      <c r="A827" s="15"/>
    </row>
    <row r="828" spans="1:1" x14ac:dyDescent="0.2">
      <c r="A828" s="15"/>
    </row>
    <row r="829" spans="1:1" x14ac:dyDescent="0.2">
      <c r="A829" s="15"/>
    </row>
    <row r="830" spans="1:1" x14ac:dyDescent="0.2">
      <c r="A830" s="15"/>
    </row>
    <row r="831" spans="1:1" x14ac:dyDescent="0.2">
      <c r="A831" s="15"/>
    </row>
    <row r="832" spans="1:1" x14ac:dyDescent="0.2">
      <c r="A832" s="15"/>
    </row>
    <row r="833" spans="1:1" x14ac:dyDescent="0.2">
      <c r="A833" s="15"/>
    </row>
    <row r="834" spans="1:1" x14ac:dyDescent="0.2">
      <c r="A834" s="15"/>
    </row>
    <row r="835" spans="1:1" x14ac:dyDescent="0.2">
      <c r="A835" s="15"/>
    </row>
    <row r="836" spans="1:1" x14ac:dyDescent="0.2">
      <c r="A836" s="15"/>
    </row>
    <row r="837" spans="1:1" x14ac:dyDescent="0.2">
      <c r="A837" s="15"/>
    </row>
    <row r="838" spans="1:1" x14ac:dyDescent="0.2">
      <c r="A838" s="15"/>
    </row>
    <row r="839" spans="1:1" x14ac:dyDescent="0.2">
      <c r="A839" s="15"/>
    </row>
    <row r="840" spans="1:1" x14ac:dyDescent="0.2">
      <c r="A840" s="15"/>
    </row>
    <row r="841" spans="1:1" x14ac:dyDescent="0.2">
      <c r="A841" s="15"/>
    </row>
    <row r="842" spans="1:1" x14ac:dyDescent="0.2">
      <c r="A842" s="15"/>
    </row>
    <row r="843" spans="1:1" x14ac:dyDescent="0.2">
      <c r="A843" s="15"/>
    </row>
    <row r="844" spans="1:1" x14ac:dyDescent="0.2">
      <c r="A844" s="15"/>
    </row>
    <row r="845" spans="1:1" x14ac:dyDescent="0.2">
      <c r="A845" s="15"/>
    </row>
    <row r="846" spans="1:1" x14ac:dyDescent="0.2">
      <c r="A846" s="15"/>
    </row>
    <row r="847" spans="1:1" x14ac:dyDescent="0.2">
      <c r="A847" s="15"/>
    </row>
    <row r="848" spans="1:1" x14ac:dyDescent="0.2">
      <c r="A848" s="15"/>
    </row>
    <row r="849" spans="1:1" x14ac:dyDescent="0.2">
      <c r="A849" s="15"/>
    </row>
    <row r="850" spans="1:1" x14ac:dyDescent="0.2">
      <c r="A850" s="15"/>
    </row>
    <row r="851" spans="1:1" x14ac:dyDescent="0.2">
      <c r="A851" s="15"/>
    </row>
    <row r="852" spans="1:1" x14ac:dyDescent="0.2">
      <c r="A852" s="15"/>
    </row>
    <row r="853" spans="1:1" x14ac:dyDescent="0.2">
      <c r="A853" s="15"/>
    </row>
    <row r="854" spans="1:1" x14ac:dyDescent="0.2">
      <c r="A854" s="15"/>
    </row>
    <row r="855" spans="1:1" x14ac:dyDescent="0.2">
      <c r="A855" s="15"/>
    </row>
    <row r="856" spans="1:1" x14ac:dyDescent="0.2">
      <c r="A856" s="15"/>
    </row>
    <row r="857" spans="1:1" x14ac:dyDescent="0.2">
      <c r="A857" s="15"/>
    </row>
    <row r="858" spans="1:1" x14ac:dyDescent="0.2">
      <c r="A858" s="15"/>
    </row>
    <row r="859" spans="1:1" x14ac:dyDescent="0.2">
      <c r="A859" s="15"/>
    </row>
    <row r="860" spans="1:1" x14ac:dyDescent="0.2">
      <c r="A860" s="15"/>
    </row>
    <row r="861" spans="1:1" x14ac:dyDescent="0.2">
      <c r="A861" s="15"/>
    </row>
    <row r="862" spans="1:1" x14ac:dyDescent="0.2">
      <c r="A862" s="15"/>
    </row>
    <row r="863" spans="1:1" x14ac:dyDescent="0.2">
      <c r="A863" s="15"/>
    </row>
    <row r="864" spans="1:1" x14ac:dyDescent="0.2">
      <c r="A864" s="15"/>
    </row>
    <row r="865" spans="1:1" x14ac:dyDescent="0.2">
      <c r="A865" s="15"/>
    </row>
    <row r="866" spans="1:1" x14ac:dyDescent="0.2">
      <c r="A866" s="15"/>
    </row>
    <row r="867" spans="1:1" x14ac:dyDescent="0.2">
      <c r="A867" s="15"/>
    </row>
    <row r="868" spans="1:1" x14ac:dyDescent="0.2">
      <c r="A868" s="15"/>
    </row>
    <row r="869" spans="1:1" x14ac:dyDescent="0.2">
      <c r="A869" s="15"/>
    </row>
    <row r="870" spans="1:1" x14ac:dyDescent="0.2">
      <c r="A870" s="15"/>
    </row>
    <row r="871" spans="1:1" x14ac:dyDescent="0.2">
      <c r="A871" s="15"/>
    </row>
    <row r="872" spans="1:1" x14ac:dyDescent="0.2">
      <c r="A872" s="15"/>
    </row>
    <row r="873" spans="1:1" x14ac:dyDescent="0.2">
      <c r="A873" s="15"/>
    </row>
    <row r="874" spans="1:1" x14ac:dyDescent="0.2">
      <c r="A874" s="15"/>
    </row>
    <row r="875" spans="1:1" x14ac:dyDescent="0.2">
      <c r="A875" s="15"/>
    </row>
    <row r="876" spans="1:1" x14ac:dyDescent="0.2">
      <c r="A876" s="15"/>
    </row>
    <row r="877" spans="1:1" x14ac:dyDescent="0.2">
      <c r="A877" s="15"/>
    </row>
    <row r="878" spans="1:1" x14ac:dyDescent="0.2">
      <c r="A878" s="15"/>
    </row>
    <row r="879" spans="1:1" x14ac:dyDescent="0.2">
      <c r="A879" s="15"/>
    </row>
    <row r="880" spans="1:1" x14ac:dyDescent="0.2">
      <c r="A880" s="15"/>
    </row>
    <row r="881" spans="1:1" x14ac:dyDescent="0.2">
      <c r="A881" s="15"/>
    </row>
    <row r="882" spans="1:1" x14ac:dyDescent="0.2">
      <c r="A882" s="15"/>
    </row>
    <row r="883" spans="1:1" x14ac:dyDescent="0.2">
      <c r="A883" s="15"/>
    </row>
    <row r="884" spans="1:1" x14ac:dyDescent="0.2">
      <c r="A884" s="15"/>
    </row>
    <row r="885" spans="1:1" x14ac:dyDescent="0.2">
      <c r="A885" s="15"/>
    </row>
    <row r="886" spans="1:1" x14ac:dyDescent="0.2">
      <c r="A886" s="15"/>
    </row>
    <row r="887" spans="1:1" x14ac:dyDescent="0.2">
      <c r="A887" s="15"/>
    </row>
    <row r="888" spans="1:1" x14ac:dyDescent="0.2">
      <c r="A888" s="15"/>
    </row>
    <row r="889" spans="1:1" x14ac:dyDescent="0.2">
      <c r="A889" s="15"/>
    </row>
    <row r="890" spans="1:1" x14ac:dyDescent="0.2">
      <c r="A890" s="15"/>
    </row>
    <row r="891" spans="1:1" x14ac:dyDescent="0.2">
      <c r="A891" s="15"/>
    </row>
    <row r="892" spans="1:1" x14ac:dyDescent="0.2">
      <c r="A892" s="15"/>
    </row>
    <row r="893" spans="1:1" x14ac:dyDescent="0.2">
      <c r="A893" s="15"/>
    </row>
    <row r="894" spans="1:1" x14ac:dyDescent="0.2">
      <c r="A894" s="15"/>
    </row>
    <row r="895" spans="1:1" x14ac:dyDescent="0.2">
      <c r="A895" s="15"/>
    </row>
    <row r="896" spans="1:1" x14ac:dyDescent="0.2">
      <c r="A896" s="15"/>
    </row>
    <row r="897" spans="1:1" x14ac:dyDescent="0.2">
      <c r="A897" s="15"/>
    </row>
    <row r="898" spans="1:1" x14ac:dyDescent="0.2">
      <c r="A898" s="15"/>
    </row>
    <row r="899" spans="1:1" x14ac:dyDescent="0.2">
      <c r="A899" s="15"/>
    </row>
    <row r="900" spans="1:1" x14ac:dyDescent="0.2">
      <c r="A900" s="15"/>
    </row>
    <row r="901" spans="1:1" x14ac:dyDescent="0.2">
      <c r="A901" s="15"/>
    </row>
    <row r="902" spans="1:1" x14ac:dyDescent="0.2">
      <c r="A902" s="15"/>
    </row>
    <row r="903" spans="1:1" x14ac:dyDescent="0.2">
      <c r="A903" s="15"/>
    </row>
    <row r="904" spans="1:1" x14ac:dyDescent="0.2">
      <c r="A904" s="15"/>
    </row>
    <row r="905" spans="1:1" x14ac:dyDescent="0.2">
      <c r="A905" s="15"/>
    </row>
    <row r="906" spans="1:1" x14ac:dyDescent="0.2">
      <c r="A906" s="15"/>
    </row>
    <row r="907" spans="1:1" x14ac:dyDescent="0.2">
      <c r="A907" s="15"/>
    </row>
    <row r="908" spans="1:1" x14ac:dyDescent="0.2">
      <c r="A908" s="15"/>
    </row>
    <row r="909" spans="1:1" x14ac:dyDescent="0.2">
      <c r="A909" s="15"/>
    </row>
    <row r="910" spans="1:1" x14ac:dyDescent="0.2">
      <c r="A910" s="15"/>
    </row>
    <row r="911" spans="1:1" x14ac:dyDescent="0.2">
      <c r="A911" s="15"/>
    </row>
    <row r="912" spans="1:1" x14ac:dyDescent="0.2">
      <c r="A912" s="15"/>
    </row>
    <row r="913" spans="1:1" x14ac:dyDescent="0.2">
      <c r="A913" s="15"/>
    </row>
    <row r="914" spans="1:1" x14ac:dyDescent="0.2">
      <c r="A914" s="15"/>
    </row>
    <row r="915" spans="1:1" x14ac:dyDescent="0.2">
      <c r="A915" s="15"/>
    </row>
    <row r="916" spans="1:1" x14ac:dyDescent="0.2">
      <c r="A916" s="15"/>
    </row>
    <row r="917" spans="1:1" x14ac:dyDescent="0.2">
      <c r="A917" s="15"/>
    </row>
    <row r="918" spans="1:1" x14ac:dyDescent="0.2">
      <c r="A918" s="15"/>
    </row>
    <row r="919" spans="1:1" x14ac:dyDescent="0.2">
      <c r="A919" s="15"/>
    </row>
    <row r="920" spans="1:1" x14ac:dyDescent="0.2">
      <c r="A920" s="15"/>
    </row>
    <row r="921" spans="1:1" x14ac:dyDescent="0.2">
      <c r="A921" s="15"/>
    </row>
    <row r="922" spans="1:1" x14ac:dyDescent="0.2">
      <c r="A922" s="15"/>
    </row>
    <row r="923" spans="1:1" x14ac:dyDescent="0.2">
      <c r="A923" s="15"/>
    </row>
    <row r="924" spans="1:1" x14ac:dyDescent="0.2">
      <c r="A924" s="15"/>
    </row>
    <row r="925" spans="1:1" x14ac:dyDescent="0.2">
      <c r="A925" s="15"/>
    </row>
    <row r="926" spans="1:1" x14ac:dyDescent="0.2">
      <c r="A926" s="15"/>
    </row>
    <row r="927" spans="1:1" x14ac:dyDescent="0.2">
      <c r="A927" s="15"/>
    </row>
    <row r="928" spans="1:1" x14ac:dyDescent="0.2">
      <c r="A928" s="15"/>
    </row>
    <row r="929" spans="1:1" x14ac:dyDescent="0.2">
      <c r="A929" s="15"/>
    </row>
    <row r="930" spans="1:1" x14ac:dyDescent="0.2">
      <c r="A930" s="15"/>
    </row>
    <row r="931" spans="1:1" x14ac:dyDescent="0.2">
      <c r="A931" s="15"/>
    </row>
    <row r="932" spans="1:1" x14ac:dyDescent="0.2">
      <c r="A932" s="15"/>
    </row>
    <row r="933" spans="1:1" x14ac:dyDescent="0.2">
      <c r="A933" s="15"/>
    </row>
    <row r="934" spans="1:1" x14ac:dyDescent="0.2">
      <c r="A934" s="15"/>
    </row>
    <row r="935" spans="1:1" x14ac:dyDescent="0.2">
      <c r="A935" s="15"/>
    </row>
    <row r="936" spans="1:1" x14ac:dyDescent="0.2">
      <c r="A936" s="15"/>
    </row>
    <row r="937" spans="1:1" x14ac:dyDescent="0.2">
      <c r="A937" s="15"/>
    </row>
    <row r="938" spans="1:1" x14ac:dyDescent="0.2">
      <c r="A938" s="15"/>
    </row>
    <row r="939" spans="1:1" x14ac:dyDescent="0.2">
      <c r="A939" s="15"/>
    </row>
    <row r="940" spans="1:1" x14ac:dyDescent="0.2">
      <c r="A940" s="15"/>
    </row>
    <row r="941" spans="1:1" x14ac:dyDescent="0.2">
      <c r="A941" s="15"/>
    </row>
    <row r="942" spans="1:1" x14ac:dyDescent="0.2">
      <c r="A942" s="15"/>
    </row>
    <row r="943" spans="1:1" x14ac:dyDescent="0.2">
      <c r="A943" s="15"/>
    </row>
    <row r="944" spans="1:1" x14ac:dyDescent="0.2">
      <c r="A944" s="15"/>
    </row>
    <row r="945" spans="1:1" x14ac:dyDescent="0.2">
      <c r="A945" s="15"/>
    </row>
    <row r="946" spans="1:1" x14ac:dyDescent="0.2">
      <c r="A946" s="15"/>
    </row>
    <row r="947" spans="1:1" x14ac:dyDescent="0.2">
      <c r="A947" s="15"/>
    </row>
    <row r="948" spans="1:1" x14ac:dyDescent="0.2">
      <c r="A948" s="15"/>
    </row>
    <row r="949" spans="1:1" x14ac:dyDescent="0.2">
      <c r="A949" s="15"/>
    </row>
    <row r="950" spans="1:1" x14ac:dyDescent="0.2">
      <c r="A950" s="15"/>
    </row>
    <row r="951" spans="1:1" x14ac:dyDescent="0.2">
      <c r="A951" s="15"/>
    </row>
    <row r="952" spans="1:1" x14ac:dyDescent="0.2">
      <c r="A952" s="15"/>
    </row>
    <row r="953" spans="1:1" x14ac:dyDescent="0.2">
      <c r="A953" s="15"/>
    </row>
    <row r="954" spans="1:1" x14ac:dyDescent="0.2">
      <c r="A954" s="15"/>
    </row>
    <row r="955" spans="1:1" x14ac:dyDescent="0.2">
      <c r="A955" s="15"/>
    </row>
    <row r="956" spans="1:1" x14ac:dyDescent="0.2">
      <c r="A956" s="15"/>
    </row>
    <row r="957" spans="1:1" x14ac:dyDescent="0.2">
      <c r="A957" s="15"/>
    </row>
    <row r="958" spans="1:1" x14ac:dyDescent="0.2">
      <c r="A958" s="15"/>
    </row>
    <row r="959" spans="1:1" x14ac:dyDescent="0.2">
      <c r="A959" s="15"/>
    </row>
    <row r="960" spans="1:1" x14ac:dyDescent="0.2">
      <c r="A960" s="15"/>
    </row>
    <row r="961" spans="1:1" x14ac:dyDescent="0.2">
      <c r="A961" s="15"/>
    </row>
    <row r="962" spans="1:1" x14ac:dyDescent="0.2">
      <c r="A962" s="15"/>
    </row>
    <row r="963" spans="1:1" x14ac:dyDescent="0.2">
      <c r="A963" s="15"/>
    </row>
    <row r="964" spans="1:1" x14ac:dyDescent="0.2">
      <c r="A964" s="15"/>
    </row>
    <row r="965" spans="1:1" x14ac:dyDescent="0.2">
      <c r="A965" s="15"/>
    </row>
    <row r="966" spans="1:1" x14ac:dyDescent="0.2">
      <c r="A966" s="15"/>
    </row>
    <row r="967" spans="1:1" x14ac:dyDescent="0.2">
      <c r="A967" s="15"/>
    </row>
    <row r="968" spans="1:1" x14ac:dyDescent="0.2">
      <c r="A968" s="15"/>
    </row>
    <row r="969" spans="1:1" x14ac:dyDescent="0.2">
      <c r="A969" s="15"/>
    </row>
    <row r="970" spans="1:1" x14ac:dyDescent="0.2">
      <c r="A970" s="15"/>
    </row>
    <row r="971" spans="1:1" x14ac:dyDescent="0.2">
      <c r="A971" s="15"/>
    </row>
    <row r="972" spans="1:1" x14ac:dyDescent="0.2">
      <c r="A972" s="15"/>
    </row>
    <row r="973" spans="1:1" x14ac:dyDescent="0.2">
      <c r="A973" s="15"/>
    </row>
    <row r="974" spans="1:1" x14ac:dyDescent="0.2">
      <c r="A974" s="15"/>
    </row>
    <row r="975" spans="1:1" x14ac:dyDescent="0.2">
      <c r="A975" s="15"/>
    </row>
    <row r="976" spans="1:1" x14ac:dyDescent="0.2">
      <c r="A976" s="15"/>
    </row>
    <row r="977" spans="1:1" x14ac:dyDescent="0.2">
      <c r="A977" s="15"/>
    </row>
    <row r="978" spans="1:1" x14ac:dyDescent="0.2">
      <c r="A978" s="15"/>
    </row>
    <row r="979" spans="1:1" x14ac:dyDescent="0.2">
      <c r="A979" s="15"/>
    </row>
    <row r="980" spans="1:1" x14ac:dyDescent="0.2">
      <c r="A980" s="15"/>
    </row>
    <row r="981" spans="1:1" x14ac:dyDescent="0.2">
      <c r="A981" s="15"/>
    </row>
    <row r="982" spans="1:1" x14ac:dyDescent="0.2">
      <c r="A982" s="15"/>
    </row>
    <row r="983" spans="1:1" x14ac:dyDescent="0.2">
      <c r="A983" s="15"/>
    </row>
    <row r="984" spans="1:1" x14ac:dyDescent="0.2">
      <c r="A984" s="15"/>
    </row>
    <row r="985" spans="1:1" x14ac:dyDescent="0.2">
      <c r="A985" s="15"/>
    </row>
    <row r="986" spans="1:1" x14ac:dyDescent="0.2">
      <c r="A986" s="15"/>
    </row>
    <row r="987" spans="1:1" x14ac:dyDescent="0.2">
      <c r="A987" s="15"/>
    </row>
    <row r="988" spans="1:1" x14ac:dyDescent="0.2">
      <c r="A988" s="15"/>
    </row>
    <row r="989" spans="1:1" x14ac:dyDescent="0.2">
      <c r="A989" s="15"/>
    </row>
    <row r="990" spans="1:1" x14ac:dyDescent="0.2">
      <c r="A990" s="15"/>
    </row>
    <row r="991" spans="1:1" x14ac:dyDescent="0.2">
      <c r="A991" s="15"/>
    </row>
    <row r="992" spans="1:1" x14ac:dyDescent="0.2">
      <c r="A992" s="15"/>
    </row>
    <row r="993" spans="1:1" x14ac:dyDescent="0.2">
      <c r="A993" s="15"/>
    </row>
    <row r="994" spans="1:1" x14ac:dyDescent="0.2">
      <c r="A994" s="15"/>
    </row>
    <row r="995" spans="1:1" x14ac:dyDescent="0.2">
      <c r="A995" s="15"/>
    </row>
    <row r="996" spans="1:1" x14ac:dyDescent="0.2">
      <c r="A996" s="15"/>
    </row>
    <row r="997" spans="1:1" x14ac:dyDescent="0.2">
      <c r="A997" s="15"/>
    </row>
    <row r="998" spans="1:1" x14ac:dyDescent="0.2">
      <c r="A998" s="15"/>
    </row>
    <row r="999" spans="1:1" x14ac:dyDescent="0.2">
      <c r="A999" s="15"/>
    </row>
    <row r="1000" spans="1:1" x14ac:dyDescent="0.2">
      <c r="A1000" s="15"/>
    </row>
    <row r="1001" spans="1:1" x14ac:dyDescent="0.2">
      <c r="A1001" s="15"/>
    </row>
    <row r="1002" spans="1:1" x14ac:dyDescent="0.2">
      <c r="A1002" s="15"/>
    </row>
    <row r="1003" spans="1:1" x14ac:dyDescent="0.2">
      <c r="A1003" s="15"/>
    </row>
    <row r="1004" spans="1:1" x14ac:dyDescent="0.2">
      <c r="A1004" s="15"/>
    </row>
    <row r="1005" spans="1:1" x14ac:dyDescent="0.2">
      <c r="A1005" s="15"/>
    </row>
    <row r="1006" spans="1:1" x14ac:dyDescent="0.2">
      <c r="A1006" s="15"/>
    </row>
    <row r="1007" spans="1:1" x14ac:dyDescent="0.2">
      <c r="A1007" s="15"/>
    </row>
    <row r="1008" spans="1:1" x14ac:dyDescent="0.2">
      <c r="A1008" s="15"/>
    </row>
    <row r="1009" spans="1:1" x14ac:dyDescent="0.2">
      <c r="A1009" s="15"/>
    </row>
    <row r="1010" spans="1:1" x14ac:dyDescent="0.2">
      <c r="A1010" s="15"/>
    </row>
    <row r="1011" spans="1:1" x14ac:dyDescent="0.2">
      <c r="A1011" s="15"/>
    </row>
    <row r="1012" spans="1:1" x14ac:dyDescent="0.2">
      <c r="A1012" s="15"/>
    </row>
    <row r="1013" spans="1:1" x14ac:dyDescent="0.2">
      <c r="A1013" s="15"/>
    </row>
    <row r="1014" spans="1:1" x14ac:dyDescent="0.2">
      <c r="A1014" s="15"/>
    </row>
    <row r="1015" spans="1:1" x14ac:dyDescent="0.2">
      <c r="A1015" s="15"/>
    </row>
    <row r="1016" spans="1:1" x14ac:dyDescent="0.2">
      <c r="A1016" s="15"/>
    </row>
    <row r="1017" spans="1:1" x14ac:dyDescent="0.2">
      <c r="A1017" s="15"/>
    </row>
    <row r="1018" spans="1:1" x14ac:dyDescent="0.2">
      <c r="A1018" s="15"/>
    </row>
    <row r="1019" spans="1:1" x14ac:dyDescent="0.2">
      <c r="A1019" s="15"/>
    </row>
    <row r="1020" spans="1:1" x14ac:dyDescent="0.2">
      <c r="A1020" s="15"/>
    </row>
    <row r="1021" spans="1:1" x14ac:dyDescent="0.2">
      <c r="A1021" s="15"/>
    </row>
    <row r="1022" spans="1:1" x14ac:dyDescent="0.2">
      <c r="A1022" s="15"/>
    </row>
    <row r="1023" spans="1:1" x14ac:dyDescent="0.2">
      <c r="A1023" s="15"/>
    </row>
    <row r="1024" spans="1:1" x14ac:dyDescent="0.2">
      <c r="A1024" s="15"/>
    </row>
    <row r="1025" spans="1:1" x14ac:dyDescent="0.2">
      <c r="A1025" s="15"/>
    </row>
    <row r="1026" spans="1:1" x14ac:dyDescent="0.2">
      <c r="A1026" s="15"/>
    </row>
    <row r="1027" spans="1:1" x14ac:dyDescent="0.2">
      <c r="A1027" s="15"/>
    </row>
    <row r="1028" spans="1:1" x14ac:dyDescent="0.2">
      <c r="A1028" s="15"/>
    </row>
    <row r="1029" spans="1:1" x14ac:dyDescent="0.2">
      <c r="A1029" s="15"/>
    </row>
    <row r="1030" spans="1:1" x14ac:dyDescent="0.2">
      <c r="A1030" s="15"/>
    </row>
    <row r="1031" spans="1:1" x14ac:dyDescent="0.2">
      <c r="A1031" s="15"/>
    </row>
    <row r="1032" spans="1:1" x14ac:dyDescent="0.2">
      <c r="A1032" s="15"/>
    </row>
    <row r="1033" spans="1:1" x14ac:dyDescent="0.2">
      <c r="A1033" s="15"/>
    </row>
    <row r="1034" spans="1:1" x14ac:dyDescent="0.2">
      <c r="A1034" s="15"/>
    </row>
    <row r="1035" spans="1:1" x14ac:dyDescent="0.2">
      <c r="A1035" s="15"/>
    </row>
    <row r="1036" spans="1:1" x14ac:dyDescent="0.2">
      <c r="A1036" s="15"/>
    </row>
    <row r="1037" spans="1:1" x14ac:dyDescent="0.2">
      <c r="A1037" s="15"/>
    </row>
    <row r="1038" spans="1:1" x14ac:dyDescent="0.2">
      <c r="A1038" s="15"/>
    </row>
    <row r="1039" spans="1:1" x14ac:dyDescent="0.2">
      <c r="A1039" s="15"/>
    </row>
    <row r="1040" spans="1:1" x14ac:dyDescent="0.2">
      <c r="A1040" s="15"/>
    </row>
    <row r="1041" spans="1:1" x14ac:dyDescent="0.2">
      <c r="A1041" s="15"/>
    </row>
    <row r="1042" spans="1:1" x14ac:dyDescent="0.2">
      <c r="A1042" s="15"/>
    </row>
    <row r="1043" spans="1:1" x14ac:dyDescent="0.2">
      <c r="A1043" s="15"/>
    </row>
    <row r="1044" spans="1:1" x14ac:dyDescent="0.2">
      <c r="A1044" s="15"/>
    </row>
    <row r="1045" spans="1:1" x14ac:dyDescent="0.2">
      <c r="A1045" s="15"/>
    </row>
    <row r="1046" spans="1:1" x14ac:dyDescent="0.2">
      <c r="A1046" s="15"/>
    </row>
    <row r="1047" spans="1:1" x14ac:dyDescent="0.2">
      <c r="A1047" s="15"/>
    </row>
    <row r="1048" spans="1:1" x14ac:dyDescent="0.2">
      <c r="A1048" s="15"/>
    </row>
    <row r="1049" spans="1:1" x14ac:dyDescent="0.2">
      <c r="A1049" s="15"/>
    </row>
    <row r="1050" spans="1:1" x14ac:dyDescent="0.2">
      <c r="A1050" s="15"/>
    </row>
    <row r="1051" spans="1:1" x14ac:dyDescent="0.2">
      <c r="A1051" s="15"/>
    </row>
    <row r="1052" spans="1:1" x14ac:dyDescent="0.2">
      <c r="A1052" s="15"/>
    </row>
    <row r="1053" spans="1:1" x14ac:dyDescent="0.2">
      <c r="A1053" s="15"/>
    </row>
    <row r="1054" spans="1:1" x14ac:dyDescent="0.2">
      <c r="A1054" s="15"/>
    </row>
    <row r="1055" spans="1:1" x14ac:dyDescent="0.2">
      <c r="A1055" s="15"/>
    </row>
    <row r="1056" spans="1:1" x14ac:dyDescent="0.2">
      <c r="A1056" s="15"/>
    </row>
    <row r="1057" spans="1:1" x14ac:dyDescent="0.2">
      <c r="A1057" s="15"/>
    </row>
    <row r="1058" spans="1:1" x14ac:dyDescent="0.2">
      <c r="A1058" s="15"/>
    </row>
    <row r="1059" spans="1:1" x14ac:dyDescent="0.2">
      <c r="A1059" s="15"/>
    </row>
    <row r="1060" spans="1:1" x14ac:dyDescent="0.2">
      <c r="A1060" s="15"/>
    </row>
    <row r="1061" spans="1:1" x14ac:dyDescent="0.2">
      <c r="A1061" s="15"/>
    </row>
    <row r="1062" spans="1:1" x14ac:dyDescent="0.2">
      <c r="A1062" s="15"/>
    </row>
    <row r="1063" spans="1:1" x14ac:dyDescent="0.2">
      <c r="A1063" s="15"/>
    </row>
    <row r="1064" spans="1:1" x14ac:dyDescent="0.2">
      <c r="A1064" s="15"/>
    </row>
    <row r="1065" spans="1:1" x14ac:dyDescent="0.2">
      <c r="A1065" s="15"/>
    </row>
    <row r="1066" spans="1:1" x14ac:dyDescent="0.2">
      <c r="A1066" s="15"/>
    </row>
    <row r="1067" spans="1:1" x14ac:dyDescent="0.2">
      <c r="A1067" s="15"/>
    </row>
    <row r="1068" spans="1:1" x14ac:dyDescent="0.2">
      <c r="A1068" s="15"/>
    </row>
    <row r="1069" spans="1:1" x14ac:dyDescent="0.2">
      <c r="A1069" s="15"/>
    </row>
    <row r="1070" spans="1:1" x14ac:dyDescent="0.2">
      <c r="A1070" s="15"/>
    </row>
    <row r="1071" spans="1:1" x14ac:dyDescent="0.2">
      <c r="A1071" s="15"/>
    </row>
    <row r="1072" spans="1:1" x14ac:dyDescent="0.2">
      <c r="A1072" s="15"/>
    </row>
    <row r="1073" spans="1:1" x14ac:dyDescent="0.2">
      <c r="A1073" s="15"/>
    </row>
    <row r="1074" spans="1:1" x14ac:dyDescent="0.2">
      <c r="A1074" s="15"/>
    </row>
    <row r="1075" spans="1:1" x14ac:dyDescent="0.2">
      <c r="A1075" s="15"/>
    </row>
    <row r="1076" spans="1:1" x14ac:dyDescent="0.2">
      <c r="A1076" s="15"/>
    </row>
    <row r="1077" spans="1:1" x14ac:dyDescent="0.2">
      <c r="A1077" s="15"/>
    </row>
    <row r="1078" spans="1:1" x14ac:dyDescent="0.2">
      <c r="A1078" s="15"/>
    </row>
    <row r="1079" spans="1:1" x14ac:dyDescent="0.2">
      <c r="A1079" s="15"/>
    </row>
    <row r="1080" spans="1:1" x14ac:dyDescent="0.2">
      <c r="A1080" s="15"/>
    </row>
    <row r="1081" spans="1:1" x14ac:dyDescent="0.2">
      <c r="A1081" s="15"/>
    </row>
    <row r="1082" spans="1:1" x14ac:dyDescent="0.2">
      <c r="A1082" s="15"/>
    </row>
    <row r="1083" spans="1:1" x14ac:dyDescent="0.2">
      <c r="A1083" s="15"/>
    </row>
    <row r="1084" spans="1:1" x14ac:dyDescent="0.2">
      <c r="A1084" s="15"/>
    </row>
    <row r="1085" spans="1:1" x14ac:dyDescent="0.2">
      <c r="A1085" s="15"/>
    </row>
    <row r="1086" spans="1:1" x14ac:dyDescent="0.2">
      <c r="A1086" s="15"/>
    </row>
    <row r="1087" spans="1:1" x14ac:dyDescent="0.2">
      <c r="A1087" s="15"/>
    </row>
    <row r="1088" spans="1:1" x14ac:dyDescent="0.2">
      <c r="A1088" s="15"/>
    </row>
    <row r="1089" spans="1:1" x14ac:dyDescent="0.2">
      <c r="A1089" s="15"/>
    </row>
    <row r="1090" spans="1:1" x14ac:dyDescent="0.2">
      <c r="A1090" s="15"/>
    </row>
    <row r="1091" spans="1:1" x14ac:dyDescent="0.2">
      <c r="A1091" s="15"/>
    </row>
    <row r="1092" spans="1:1" x14ac:dyDescent="0.2">
      <c r="A1092" s="15"/>
    </row>
    <row r="1093" spans="1:1" x14ac:dyDescent="0.2">
      <c r="A1093" s="15"/>
    </row>
    <row r="1094" spans="1:1" x14ac:dyDescent="0.2">
      <c r="A1094" s="15"/>
    </row>
    <row r="1095" spans="1:1" x14ac:dyDescent="0.2">
      <c r="A1095" s="15"/>
    </row>
    <row r="1096" spans="1:1" x14ac:dyDescent="0.2">
      <c r="A1096" s="15"/>
    </row>
    <row r="1097" spans="1:1" x14ac:dyDescent="0.2">
      <c r="A1097" s="15"/>
    </row>
    <row r="1098" spans="1:1" x14ac:dyDescent="0.2">
      <c r="A1098" s="15"/>
    </row>
    <row r="1099" spans="1:1" x14ac:dyDescent="0.2">
      <c r="A1099" s="15"/>
    </row>
    <row r="1100" spans="1:1" x14ac:dyDescent="0.2">
      <c r="A1100" s="15"/>
    </row>
    <row r="1101" spans="1:1" x14ac:dyDescent="0.2">
      <c r="A1101" s="15"/>
    </row>
    <row r="1102" spans="1:1" x14ac:dyDescent="0.2">
      <c r="A1102" s="15"/>
    </row>
    <row r="1103" spans="1:1" x14ac:dyDescent="0.2">
      <c r="A1103" s="15"/>
    </row>
    <row r="1104" spans="1:1" x14ac:dyDescent="0.2">
      <c r="A1104" s="15"/>
    </row>
    <row r="1105" spans="1:1" x14ac:dyDescent="0.2">
      <c r="A1105" s="15"/>
    </row>
    <row r="1106" spans="1:1" x14ac:dyDescent="0.2">
      <c r="A1106" s="15"/>
    </row>
    <row r="1107" spans="1:1" x14ac:dyDescent="0.2">
      <c r="A1107" s="15"/>
    </row>
    <row r="1108" spans="1:1" x14ac:dyDescent="0.2">
      <c r="A1108" s="15"/>
    </row>
    <row r="1109" spans="1:1" x14ac:dyDescent="0.2">
      <c r="A1109" s="15"/>
    </row>
    <row r="1110" spans="1:1" x14ac:dyDescent="0.2">
      <c r="A1110" s="15"/>
    </row>
    <row r="1111" spans="1:1" x14ac:dyDescent="0.2">
      <c r="A1111" s="15"/>
    </row>
    <row r="1112" spans="1:1" x14ac:dyDescent="0.2">
      <c r="A1112" s="15"/>
    </row>
    <row r="1113" spans="1:1" x14ac:dyDescent="0.2">
      <c r="A1113" s="15"/>
    </row>
    <row r="1114" spans="1:1" x14ac:dyDescent="0.2">
      <c r="A1114" s="15"/>
    </row>
    <row r="1115" spans="1:1" x14ac:dyDescent="0.2">
      <c r="A1115" s="15"/>
    </row>
    <row r="1116" spans="1:1" x14ac:dyDescent="0.2">
      <c r="A1116" s="15"/>
    </row>
    <row r="1117" spans="1:1" x14ac:dyDescent="0.2">
      <c r="A1117" s="15"/>
    </row>
    <row r="1118" spans="1:1" x14ac:dyDescent="0.2">
      <c r="A1118" s="15"/>
    </row>
    <row r="1119" spans="1:1" x14ac:dyDescent="0.2">
      <c r="A1119" s="15"/>
    </row>
    <row r="1120" spans="1:1" x14ac:dyDescent="0.2">
      <c r="A1120" s="15"/>
    </row>
    <row r="1121" spans="1:1" x14ac:dyDescent="0.2">
      <c r="A1121" s="15"/>
    </row>
    <row r="1122" spans="1:1" x14ac:dyDescent="0.2">
      <c r="A1122" s="15"/>
    </row>
    <row r="1123" spans="1:1" x14ac:dyDescent="0.2">
      <c r="A1123" s="15"/>
    </row>
    <row r="1124" spans="1:1" x14ac:dyDescent="0.2">
      <c r="A1124" s="15"/>
    </row>
    <row r="1125" spans="1:1" x14ac:dyDescent="0.2">
      <c r="A1125" s="15"/>
    </row>
    <row r="1126" spans="1:1" x14ac:dyDescent="0.2">
      <c r="A1126" s="15"/>
    </row>
    <row r="1127" spans="1:1" x14ac:dyDescent="0.2">
      <c r="A1127" s="15"/>
    </row>
    <row r="1128" spans="1:1" x14ac:dyDescent="0.2">
      <c r="A1128" s="15"/>
    </row>
    <row r="1129" spans="1:1" x14ac:dyDescent="0.2">
      <c r="A1129" s="15"/>
    </row>
    <row r="1130" spans="1:1" x14ac:dyDescent="0.2">
      <c r="A1130" s="15"/>
    </row>
    <row r="1131" spans="1:1" x14ac:dyDescent="0.2">
      <c r="A1131" s="15"/>
    </row>
    <row r="1132" spans="1:1" x14ac:dyDescent="0.2">
      <c r="A1132" s="15"/>
    </row>
    <row r="1133" spans="1:1" x14ac:dyDescent="0.2">
      <c r="A1133" s="15"/>
    </row>
    <row r="1134" spans="1:1" x14ac:dyDescent="0.2">
      <c r="A1134" s="15"/>
    </row>
    <row r="1135" spans="1:1" x14ac:dyDescent="0.2">
      <c r="A1135" s="15"/>
    </row>
    <row r="1136" spans="1:1" x14ac:dyDescent="0.2">
      <c r="A1136" s="15"/>
    </row>
    <row r="1137" spans="1:1" x14ac:dyDescent="0.2">
      <c r="A1137" s="15"/>
    </row>
    <row r="1138" spans="1:1" x14ac:dyDescent="0.2">
      <c r="A1138" s="15"/>
    </row>
    <row r="1139" spans="1:1" x14ac:dyDescent="0.2">
      <c r="A1139" s="15"/>
    </row>
    <row r="1140" spans="1:1" x14ac:dyDescent="0.2">
      <c r="A1140" s="15"/>
    </row>
    <row r="1141" spans="1:1" x14ac:dyDescent="0.2">
      <c r="A1141" s="15"/>
    </row>
    <row r="1142" spans="1:1" x14ac:dyDescent="0.2">
      <c r="A1142" s="15"/>
    </row>
    <row r="1143" spans="1:1" x14ac:dyDescent="0.2">
      <c r="A1143" s="15"/>
    </row>
    <row r="1144" spans="1:1" x14ac:dyDescent="0.2">
      <c r="A1144" s="15"/>
    </row>
    <row r="1145" spans="1:1" x14ac:dyDescent="0.2">
      <c r="A1145" s="15"/>
    </row>
    <row r="1146" spans="1:1" x14ac:dyDescent="0.2">
      <c r="A1146" s="15"/>
    </row>
    <row r="1147" spans="1:1" x14ac:dyDescent="0.2">
      <c r="A1147" s="15"/>
    </row>
    <row r="1148" spans="1:1" x14ac:dyDescent="0.2">
      <c r="A1148" s="15"/>
    </row>
    <row r="1149" spans="1:1" x14ac:dyDescent="0.2">
      <c r="A1149" s="15"/>
    </row>
    <row r="1150" spans="1:1" x14ac:dyDescent="0.2">
      <c r="A1150" s="15"/>
    </row>
    <row r="1151" spans="1:1" x14ac:dyDescent="0.2">
      <c r="A1151" s="15"/>
    </row>
    <row r="1152" spans="1:1" x14ac:dyDescent="0.2">
      <c r="A1152" s="15"/>
    </row>
    <row r="1153" spans="1:1" x14ac:dyDescent="0.2">
      <c r="A1153" s="15"/>
    </row>
    <row r="1154" spans="1:1" x14ac:dyDescent="0.2">
      <c r="A1154" s="15"/>
    </row>
    <row r="1155" spans="1:1" x14ac:dyDescent="0.2">
      <c r="A1155" s="15"/>
    </row>
    <row r="1156" spans="1:1" x14ac:dyDescent="0.2">
      <c r="A1156" s="15"/>
    </row>
    <row r="1157" spans="1:1" x14ac:dyDescent="0.2">
      <c r="A1157" s="15"/>
    </row>
    <row r="1158" spans="1:1" x14ac:dyDescent="0.2">
      <c r="A1158" s="15"/>
    </row>
    <row r="1159" spans="1:1" x14ac:dyDescent="0.2">
      <c r="A1159" s="15"/>
    </row>
    <row r="1160" spans="1:1" x14ac:dyDescent="0.2">
      <c r="A1160" s="15"/>
    </row>
    <row r="1161" spans="1:1" x14ac:dyDescent="0.2">
      <c r="A1161" s="15"/>
    </row>
    <row r="1162" spans="1:1" x14ac:dyDescent="0.2">
      <c r="A1162" s="15"/>
    </row>
    <row r="1163" spans="1:1" x14ac:dyDescent="0.2">
      <c r="A1163" s="15"/>
    </row>
    <row r="1164" spans="1:1" x14ac:dyDescent="0.2">
      <c r="A1164" s="15"/>
    </row>
    <row r="1165" spans="1:1" x14ac:dyDescent="0.2">
      <c r="A1165" s="15"/>
    </row>
    <row r="1166" spans="1:1" x14ac:dyDescent="0.2">
      <c r="A1166" s="15"/>
    </row>
    <row r="1167" spans="1:1" x14ac:dyDescent="0.2">
      <c r="A1167" s="15"/>
    </row>
    <row r="1168" spans="1:1" x14ac:dyDescent="0.2">
      <c r="A1168" s="15"/>
    </row>
    <row r="1169" spans="1:1" x14ac:dyDescent="0.2">
      <c r="A1169" s="15"/>
    </row>
    <row r="1170" spans="1:1" x14ac:dyDescent="0.2">
      <c r="A1170" s="15"/>
    </row>
    <row r="1171" spans="1:1" x14ac:dyDescent="0.2">
      <c r="A1171" s="15"/>
    </row>
    <row r="1172" spans="1:1" x14ac:dyDescent="0.2">
      <c r="A1172" s="15"/>
    </row>
    <row r="1173" spans="1:1" x14ac:dyDescent="0.2">
      <c r="A1173" s="15"/>
    </row>
    <row r="1174" spans="1:1" x14ac:dyDescent="0.2">
      <c r="A1174" s="15"/>
    </row>
    <row r="1175" spans="1:1" x14ac:dyDescent="0.2">
      <c r="A1175" s="15"/>
    </row>
    <row r="1176" spans="1:1" x14ac:dyDescent="0.2">
      <c r="A1176" s="15"/>
    </row>
    <row r="1177" spans="1:1" x14ac:dyDescent="0.2">
      <c r="A1177" s="15"/>
    </row>
    <row r="1178" spans="1:1" x14ac:dyDescent="0.2">
      <c r="A1178" s="15"/>
    </row>
    <row r="1179" spans="1:1" x14ac:dyDescent="0.2">
      <c r="A1179" s="15"/>
    </row>
    <row r="1180" spans="1:1" x14ac:dyDescent="0.2">
      <c r="A1180" s="15"/>
    </row>
    <row r="1181" spans="1:1" x14ac:dyDescent="0.2">
      <c r="A1181" s="15"/>
    </row>
    <row r="1182" spans="1:1" x14ac:dyDescent="0.2">
      <c r="A1182" s="15"/>
    </row>
    <row r="1183" spans="1:1" x14ac:dyDescent="0.2">
      <c r="A1183" s="15"/>
    </row>
    <row r="1184" spans="1:1" x14ac:dyDescent="0.2">
      <c r="A1184" s="15"/>
    </row>
    <row r="1185" spans="1:1" x14ac:dyDescent="0.2">
      <c r="A1185" s="15"/>
    </row>
    <row r="1186" spans="1:1" x14ac:dyDescent="0.2">
      <c r="A1186" s="15"/>
    </row>
    <row r="1187" spans="1:1" x14ac:dyDescent="0.2">
      <c r="A1187" s="15"/>
    </row>
    <row r="1188" spans="1:1" x14ac:dyDescent="0.2">
      <c r="A1188" s="15"/>
    </row>
    <row r="1189" spans="1:1" x14ac:dyDescent="0.2">
      <c r="A1189" s="15"/>
    </row>
    <row r="1190" spans="1:1" x14ac:dyDescent="0.2">
      <c r="A1190" s="15"/>
    </row>
    <row r="1191" spans="1:1" x14ac:dyDescent="0.2">
      <c r="A1191" s="15"/>
    </row>
    <row r="1192" spans="1:1" x14ac:dyDescent="0.2">
      <c r="A1192" s="15"/>
    </row>
    <row r="1193" spans="1:1" x14ac:dyDescent="0.2">
      <c r="A1193" s="15"/>
    </row>
    <row r="1194" spans="1:1" x14ac:dyDescent="0.2">
      <c r="A1194" s="15"/>
    </row>
    <row r="1195" spans="1:1" x14ac:dyDescent="0.2">
      <c r="A1195" s="15"/>
    </row>
    <row r="1196" spans="1:1" x14ac:dyDescent="0.2">
      <c r="A1196" s="15"/>
    </row>
    <row r="1197" spans="1:1" x14ac:dyDescent="0.2">
      <c r="A1197" s="15"/>
    </row>
    <row r="1198" spans="1:1" x14ac:dyDescent="0.2">
      <c r="A1198" s="15"/>
    </row>
    <row r="1199" spans="1:1" x14ac:dyDescent="0.2">
      <c r="A1199" s="15"/>
    </row>
    <row r="1200" spans="1:1" x14ac:dyDescent="0.2">
      <c r="A1200" s="15"/>
    </row>
    <row r="1201" spans="1:1" x14ac:dyDescent="0.2">
      <c r="A1201" s="15"/>
    </row>
    <row r="1202" spans="1:1" x14ac:dyDescent="0.2">
      <c r="A1202" s="15"/>
    </row>
    <row r="1203" spans="1:1" x14ac:dyDescent="0.2">
      <c r="A1203" s="15"/>
    </row>
    <row r="1204" spans="1:1" x14ac:dyDescent="0.2">
      <c r="A1204" s="15"/>
    </row>
    <row r="1205" spans="1:1" x14ac:dyDescent="0.2">
      <c r="A1205" s="15"/>
    </row>
    <row r="1206" spans="1:1" x14ac:dyDescent="0.2">
      <c r="A1206" s="15"/>
    </row>
    <row r="1207" spans="1:1" x14ac:dyDescent="0.2">
      <c r="A1207" s="15"/>
    </row>
    <row r="1208" spans="1:1" x14ac:dyDescent="0.2">
      <c r="A1208" s="15"/>
    </row>
    <row r="1209" spans="1:1" x14ac:dyDescent="0.2">
      <c r="A1209" s="15"/>
    </row>
    <row r="1210" spans="1:1" x14ac:dyDescent="0.2">
      <c r="A1210" s="15"/>
    </row>
    <row r="1211" spans="1:1" x14ac:dyDescent="0.2">
      <c r="A1211" s="15"/>
    </row>
    <row r="1212" spans="1:1" x14ac:dyDescent="0.2">
      <c r="A1212" s="15"/>
    </row>
    <row r="1213" spans="1:1" x14ac:dyDescent="0.2">
      <c r="A1213" s="15"/>
    </row>
    <row r="1214" spans="1:1" x14ac:dyDescent="0.2">
      <c r="A1214" s="15"/>
    </row>
    <row r="1215" spans="1:1" x14ac:dyDescent="0.2">
      <c r="A1215" s="15"/>
    </row>
    <row r="1216" spans="1:1" x14ac:dyDescent="0.2">
      <c r="A1216" s="15"/>
    </row>
    <row r="1217" spans="1:1" x14ac:dyDescent="0.2">
      <c r="A1217" s="15"/>
    </row>
    <row r="1218" spans="1:1" x14ac:dyDescent="0.2">
      <c r="A1218" s="15"/>
    </row>
    <row r="1219" spans="1:1" x14ac:dyDescent="0.2">
      <c r="A1219" s="15"/>
    </row>
    <row r="1220" spans="1:1" x14ac:dyDescent="0.2">
      <c r="A1220" s="15"/>
    </row>
    <row r="1221" spans="1:1" x14ac:dyDescent="0.2">
      <c r="A1221" s="15"/>
    </row>
    <row r="1222" spans="1:1" x14ac:dyDescent="0.2">
      <c r="A1222" s="15"/>
    </row>
    <row r="1223" spans="1:1" x14ac:dyDescent="0.2">
      <c r="A1223" s="15"/>
    </row>
    <row r="1224" spans="1:1" x14ac:dyDescent="0.2">
      <c r="A1224" s="15"/>
    </row>
    <row r="1225" spans="1:1" x14ac:dyDescent="0.2">
      <c r="A1225" s="15"/>
    </row>
    <row r="1226" spans="1:1" x14ac:dyDescent="0.2">
      <c r="A1226" s="15"/>
    </row>
    <row r="1227" spans="1:1" x14ac:dyDescent="0.2">
      <c r="A1227" s="15"/>
    </row>
    <row r="1228" spans="1:1" x14ac:dyDescent="0.2">
      <c r="A1228" s="15"/>
    </row>
    <row r="1229" spans="1:1" x14ac:dyDescent="0.2">
      <c r="A1229" s="15"/>
    </row>
    <row r="1230" spans="1:1" x14ac:dyDescent="0.2">
      <c r="A1230" s="15"/>
    </row>
    <row r="1231" spans="1:1" x14ac:dyDescent="0.2">
      <c r="A1231" s="15"/>
    </row>
    <row r="1232" spans="1:1" x14ac:dyDescent="0.2">
      <c r="A1232" s="15"/>
    </row>
    <row r="1233" spans="1:1" x14ac:dyDescent="0.2">
      <c r="A1233" s="15"/>
    </row>
    <row r="1234" spans="1:1" x14ac:dyDescent="0.2">
      <c r="A1234" s="15"/>
    </row>
    <row r="1235" spans="1:1" x14ac:dyDescent="0.2">
      <c r="A1235" s="15"/>
    </row>
    <row r="1236" spans="1:1" x14ac:dyDescent="0.2">
      <c r="A1236" s="15"/>
    </row>
    <row r="1237" spans="1:1" x14ac:dyDescent="0.2">
      <c r="A1237" s="15"/>
    </row>
    <row r="1238" spans="1:1" x14ac:dyDescent="0.2">
      <c r="A1238" s="15"/>
    </row>
    <row r="1239" spans="1:1" x14ac:dyDescent="0.2">
      <c r="A1239" s="15"/>
    </row>
    <row r="1240" spans="1:1" x14ac:dyDescent="0.2">
      <c r="A1240" s="15"/>
    </row>
    <row r="1241" spans="1:1" x14ac:dyDescent="0.2">
      <c r="A1241" s="15"/>
    </row>
    <row r="1242" spans="1:1" x14ac:dyDescent="0.2">
      <c r="A1242" s="15"/>
    </row>
    <row r="1243" spans="1:1" x14ac:dyDescent="0.2">
      <c r="A1243" s="15"/>
    </row>
    <row r="1244" spans="1:1" x14ac:dyDescent="0.2">
      <c r="A1244" s="15"/>
    </row>
    <row r="1245" spans="1:1" x14ac:dyDescent="0.2">
      <c r="A1245" s="15"/>
    </row>
    <row r="1246" spans="1:1" x14ac:dyDescent="0.2">
      <c r="A1246" s="15"/>
    </row>
    <row r="1247" spans="1:1" x14ac:dyDescent="0.2">
      <c r="A1247" s="15"/>
    </row>
    <row r="1248" spans="1:1" x14ac:dyDescent="0.2">
      <c r="A1248" s="15"/>
    </row>
    <row r="1249" spans="1:1" x14ac:dyDescent="0.2">
      <c r="A1249" s="15"/>
    </row>
    <row r="1250" spans="1:1" x14ac:dyDescent="0.2">
      <c r="A1250" s="15"/>
    </row>
    <row r="1251" spans="1:1" x14ac:dyDescent="0.2">
      <c r="A1251" s="15"/>
    </row>
    <row r="1252" spans="1:1" x14ac:dyDescent="0.2">
      <c r="A1252" s="15"/>
    </row>
    <row r="1253" spans="1:1" x14ac:dyDescent="0.2">
      <c r="A1253" s="15"/>
    </row>
    <row r="1254" spans="1:1" x14ac:dyDescent="0.2">
      <c r="A1254" s="15"/>
    </row>
    <row r="1255" spans="1:1" x14ac:dyDescent="0.2">
      <c r="A1255" s="15"/>
    </row>
    <row r="1256" spans="1:1" x14ac:dyDescent="0.2">
      <c r="A1256" s="15"/>
    </row>
    <row r="1257" spans="1:1" x14ac:dyDescent="0.2">
      <c r="A1257" s="15"/>
    </row>
    <row r="1258" spans="1:1" x14ac:dyDescent="0.2">
      <c r="A1258" s="15"/>
    </row>
    <row r="1259" spans="1:1" x14ac:dyDescent="0.2">
      <c r="A1259" s="15"/>
    </row>
    <row r="1260" spans="1:1" x14ac:dyDescent="0.2">
      <c r="A1260" s="15"/>
    </row>
    <row r="1261" spans="1:1" x14ac:dyDescent="0.2">
      <c r="A1261" s="15"/>
    </row>
    <row r="1262" spans="1:1" x14ac:dyDescent="0.2">
      <c r="A1262" s="15"/>
    </row>
    <row r="1263" spans="1:1" x14ac:dyDescent="0.2">
      <c r="A1263" s="15"/>
    </row>
    <row r="1264" spans="1:1" x14ac:dyDescent="0.2">
      <c r="A1264" s="15"/>
    </row>
    <row r="1265" spans="1:1" x14ac:dyDescent="0.2">
      <c r="A1265" s="15"/>
    </row>
    <row r="1266" spans="1:1" x14ac:dyDescent="0.2">
      <c r="A1266" s="15"/>
    </row>
    <row r="1267" spans="1:1" x14ac:dyDescent="0.2">
      <c r="A1267" s="15"/>
    </row>
    <row r="1268" spans="1:1" x14ac:dyDescent="0.2">
      <c r="A1268" s="15"/>
    </row>
    <row r="1269" spans="1:1" x14ac:dyDescent="0.2">
      <c r="A1269" s="15"/>
    </row>
    <row r="1270" spans="1:1" x14ac:dyDescent="0.2">
      <c r="A1270" s="15"/>
    </row>
    <row r="1271" spans="1:1" x14ac:dyDescent="0.2">
      <c r="A1271" s="15"/>
    </row>
    <row r="1272" spans="1:1" x14ac:dyDescent="0.2">
      <c r="A1272" s="15"/>
    </row>
    <row r="1273" spans="1:1" x14ac:dyDescent="0.2">
      <c r="A1273" s="15"/>
    </row>
    <row r="1274" spans="1:1" x14ac:dyDescent="0.2">
      <c r="A1274" s="15"/>
    </row>
    <row r="1275" spans="1:1" x14ac:dyDescent="0.2">
      <c r="A1275" s="15"/>
    </row>
    <row r="1276" spans="1:1" x14ac:dyDescent="0.2">
      <c r="A1276" s="15"/>
    </row>
    <row r="1277" spans="1:1" x14ac:dyDescent="0.2">
      <c r="A1277" s="15"/>
    </row>
    <row r="1278" spans="1:1" x14ac:dyDescent="0.2">
      <c r="A1278" s="15"/>
    </row>
    <row r="1279" spans="1:1" x14ac:dyDescent="0.2">
      <c r="A1279" s="15"/>
    </row>
    <row r="1280" spans="1:1" x14ac:dyDescent="0.2">
      <c r="A1280" s="15"/>
    </row>
    <row r="1281" spans="1:1" x14ac:dyDescent="0.2">
      <c r="A1281" s="15"/>
    </row>
    <row r="1282" spans="1:1" x14ac:dyDescent="0.2">
      <c r="A1282" s="15"/>
    </row>
    <row r="1283" spans="1:1" x14ac:dyDescent="0.2">
      <c r="A1283" s="15"/>
    </row>
    <row r="1284" spans="1:1" x14ac:dyDescent="0.2">
      <c r="A1284" s="15"/>
    </row>
    <row r="1285" spans="1:1" x14ac:dyDescent="0.2">
      <c r="A1285" s="15"/>
    </row>
    <row r="1286" spans="1:1" x14ac:dyDescent="0.2">
      <c r="A1286" s="15"/>
    </row>
    <row r="1287" spans="1:1" x14ac:dyDescent="0.2">
      <c r="A1287" s="15"/>
    </row>
    <row r="1288" spans="1:1" x14ac:dyDescent="0.2">
      <c r="A1288" s="15"/>
    </row>
    <row r="1289" spans="1:1" x14ac:dyDescent="0.2">
      <c r="A1289" s="15"/>
    </row>
    <row r="1290" spans="1:1" x14ac:dyDescent="0.2">
      <c r="A1290" s="15"/>
    </row>
    <row r="1291" spans="1:1" x14ac:dyDescent="0.2">
      <c r="A1291" s="15"/>
    </row>
    <row r="1292" spans="1:1" x14ac:dyDescent="0.2">
      <c r="A1292" s="15"/>
    </row>
    <row r="1293" spans="1:1" x14ac:dyDescent="0.2">
      <c r="A1293" s="15"/>
    </row>
    <row r="1294" spans="1:1" x14ac:dyDescent="0.2">
      <c r="A1294" s="15"/>
    </row>
    <row r="1295" spans="1:1" x14ac:dyDescent="0.2">
      <c r="A1295" s="15"/>
    </row>
    <row r="1296" spans="1:1" x14ac:dyDescent="0.2">
      <c r="A1296" s="15"/>
    </row>
    <row r="1297" spans="1:1" x14ac:dyDescent="0.2">
      <c r="A1297" s="15"/>
    </row>
    <row r="1298" spans="1:1" x14ac:dyDescent="0.2">
      <c r="A1298" s="15"/>
    </row>
    <row r="1299" spans="1:1" x14ac:dyDescent="0.2">
      <c r="A1299" s="15"/>
    </row>
    <row r="1300" spans="1:1" x14ac:dyDescent="0.2">
      <c r="A1300" s="15"/>
    </row>
    <row r="1301" spans="1:1" x14ac:dyDescent="0.2">
      <c r="A1301" s="15"/>
    </row>
    <row r="1302" spans="1:1" x14ac:dyDescent="0.2">
      <c r="A1302" s="15"/>
    </row>
    <row r="1303" spans="1:1" x14ac:dyDescent="0.2">
      <c r="A1303" s="15"/>
    </row>
    <row r="1304" spans="1:1" x14ac:dyDescent="0.2">
      <c r="A1304" s="15"/>
    </row>
    <row r="1305" spans="1:1" x14ac:dyDescent="0.2">
      <c r="A1305" s="15"/>
    </row>
    <row r="1306" spans="1:1" x14ac:dyDescent="0.2">
      <c r="A1306" s="15"/>
    </row>
    <row r="1307" spans="1:1" x14ac:dyDescent="0.2">
      <c r="A1307" s="15"/>
    </row>
    <row r="1308" spans="1:1" x14ac:dyDescent="0.2">
      <c r="A1308" s="15"/>
    </row>
    <row r="1309" spans="1:1" x14ac:dyDescent="0.2">
      <c r="A1309" s="15"/>
    </row>
    <row r="1310" spans="1:1" x14ac:dyDescent="0.2">
      <c r="A1310" s="15"/>
    </row>
    <row r="1311" spans="1:1" x14ac:dyDescent="0.2">
      <c r="A1311" s="15"/>
    </row>
    <row r="1312" spans="1:1" x14ac:dyDescent="0.2">
      <c r="A1312" s="15"/>
    </row>
    <row r="1313" spans="1:1" x14ac:dyDescent="0.2">
      <c r="A1313" s="15"/>
    </row>
    <row r="1314" spans="1:1" x14ac:dyDescent="0.2">
      <c r="A1314" s="15"/>
    </row>
    <row r="1315" spans="1:1" x14ac:dyDescent="0.2">
      <c r="A1315" s="15"/>
    </row>
    <row r="1316" spans="1:1" x14ac:dyDescent="0.2">
      <c r="A1316" s="15"/>
    </row>
    <row r="1317" spans="1:1" x14ac:dyDescent="0.2">
      <c r="A1317" s="15"/>
    </row>
    <row r="1318" spans="1:1" x14ac:dyDescent="0.2">
      <c r="A1318" s="15"/>
    </row>
    <row r="1319" spans="1:1" x14ac:dyDescent="0.2">
      <c r="A1319" s="15"/>
    </row>
    <row r="1320" spans="1:1" x14ac:dyDescent="0.2">
      <c r="A1320" s="15"/>
    </row>
    <row r="1321" spans="1:1" x14ac:dyDescent="0.2">
      <c r="A1321" s="15"/>
    </row>
    <row r="1322" spans="1:1" x14ac:dyDescent="0.2">
      <c r="A1322" s="15"/>
    </row>
    <row r="1323" spans="1:1" x14ac:dyDescent="0.2">
      <c r="A1323" s="15"/>
    </row>
    <row r="1324" spans="1:1" x14ac:dyDescent="0.2">
      <c r="A1324" s="15"/>
    </row>
    <row r="1325" spans="1:1" x14ac:dyDescent="0.2">
      <c r="A1325" s="15"/>
    </row>
    <row r="1326" spans="1:1" x14ac:dyDescent="0.2">
      <c r="A1326" s="15"/>
    </row>
    <row r="1327" spans="1:1" x14ac:dyDescent="0.2">
      <c r="A1327" s="15"/>
    </row>
    <row r="1328" spans="1:1" x14ac:dyDescent="0.2">
      <c r="A1328" s="15"/>
    </row>
    <row r="1329" spans="1:1" x14ac:dyDescent="0.2">
      <c r="A1329" s="15"/>
    </row>
    <row r="1330" spans="1:1" x14ac:dyDescent="0.2">
      <c r="A1330" s="15"/>
    </row>
    <row r="1331" spans="1:1" x14ac:dyDescent="0.2">
      <c r="A1331" s="15"/>
    </row>
    <row r="1332" spans="1:1" x14ac:dyDescent="0.2">
      <c r="A1332" s="15"/>
    </row>
    <row r="1333" spans="1:1" x14ac:dyDescent="0.2">
      <c r="A1333" s="15"/>
    </row>
    <row r="1334" spans="1:1" x14ac:dyDescent="0.2">
      <c r="A1334" s="15"/>
    </row>
    <row r="1335" spans="1:1" x14ac:dyDescent="0.2">
      <c r="A1335" s="15"/>
    </row>
    <row r="1336" spans="1:1" x14ac:dyDescent="0.2">
      <c r="A1336" s="15"/>
    </row>
    <row r="1337" spans="1:1" x14ac:dyDescent="0.2">
      <c r="A1337" s="15"/>
    </row>
    <row r="1338" spans="1:1" x14ac:dyDescent="0.2">
      <c r="A1338" s="15"/>
    </row>
    <row r="1339" spans="1:1" x14ac:dyDescent="0.2">
      <c r="A1339" s="15"/>
    </row>
    <row r="1340" spans="1:1" x14ac:dyDescent="0.2">
      <c r="A1340" s="15"/>
    </row>
    <row r="1341" spans="1:1" x14ac:dyDescent="0.2">
      <c r="A1341" s="15"/>
    </row>
    <row r="1342" spans="1:1" x14ac:dyDescent="0.2">
      <c r="A1342" s="15"/>
    </row>
    <row r="1343" spans="1:1" x14ac:dyDescent="0.2">
      <c r="A1343" s="15"/>
    </row>
    <row r="1344" spans="1:1" x14ac:dyDescent="0.2">
      <c r="A1344" s="15"/>
    </row>
    <row r="1345" spans="1:1" x14ac:dyDescent="0.2">
      <c r="A1345" s="15"/>
    </row>
    <row r="1346" spans="1:1" x14ac:dyDescent="0.2">
      <c r="A1346" s="15"/>
    </row>
    <row r="1347" spans="1:1" x14ac:dyDescent="0.2">
      <c r="A1347" s="15"/>
    </row>
    <row r="1348" spans="1:1" x14ac:dyDescent="0.2">
      <c r="A1348" s="15"/>
    </row>
    <row r="1349" spans="1:1" x14ac:dyDescent="0.2">
      <c r="A1349" s="15"/>
    </row>
    <row r="1350" spans="1:1" x14ac:dyDescent="0.2">
      <c r="A1350" s="15"/>
    </row>
    <row r="1351" spans="1:1" x14ac:dyDescent="0.2">
      <c r="A1351" s="15"/>
    </row>
    <row r="1352" spans="1:1" x14ac:dyDescent="0.2">
      <c r="A1352" s="15"/>
    </row>
    <row r="1353" spans="1:1" x14ac:dyDescent="0.2">
      <c r="A1353" s="15"/>
    </row>
    <row r="1354" spans="1:1" x14ac:dyDescent="0.2">
      <c r="A1354" s="15"/>
    </row>
    <row r="1355" spans="1:1" x14ac:dyDescent="0.2">
      <c r="A1355" s="15"/>
    </row>
    <row r="1356" spans="1:1" x14ac:dyDescent="0.2">
      <c r="A1356" s="15"/>
    </row>
    <row r="1357" spans="1:1" x14ac:dyDescent="0.2">
      <c r="A1357" s="15"/>
    </row>
    <row r="1358" spans="1:1" x14ac:dyDescent="0.2">
      <c r="A1358" s="15"/>
    </row>
    <row r="1359" spans="1:1" x14ac:dyDescent="0.2">
      <c r="A1359" s="15"/>
    </row>
    <row r="1360" spans="1:1" x14ac:dyDescent="0.2">
      <c r="A1360" s="15"/>
    </row>
    <row r="1361" spans="1:1" x14ac:dyDescent="0.2">
      <c r="A1361" s="15"/>
    </row>
    <row r="1362" spans="1:1" x14ac:dyDescent="0.2">
      <c r="A1362" s="15"/>
    </row>
    <row r="1363" spans="1:1" x14ac:dyDescent="0.2">
      <c r="A1363" s="15"/>
    </row>
    <row r="1364" spans="1:1" x14ac:dyDescent="0.2">
      <c r="A1364" s="15"/>
    </row>
    <row r="1365" spans="1:1" x14ac:dyDescent="0.2">
      <c r="A1365" s="15"/>
    </row>
    <row r="1366" spans="1:1" x14ac:dyDescent="0.2">
      <c r="A1366" s="15"/>
    </row>
    <row r="1367" spans="1:1" x14ac:dyDescent="0.2">
      <c r="A1367" s="15"/>
    </row>
    <row r="1368" spans="1:1" x14ac:dyDescent="0.2">
      <c r="A1368" s="15"/>
    </row>
    <row r="1369" spans="1:1" x14ac:dyDescent="0.2">
      <c r="A1369" s="15"/>
    </row>
    <row r="1370" spans="1:1" x14ac:dyDescent="0.2">
      <c r="A1370" s="15"/>
    </row>
    <row r="1371" spans="1:1" x14ac:dyDescent="0.2">
      <c r="A1371" s="15"/>
    </row>
    <row r="1372" spans="1:1" x14ac:dyDescent="0.2">
      <c r="A1372" s="15"/>
    </row>
    <row r="1373" spans="1:1" x14ac:dyDescent="0.2">
      <c r="A1373" s="15"/>
    </row>
    <row r="1374" spans="1:1" x14ac:dyDescent="0.2">
      <c r="A1374" s="15"/>
    </row>
    <row r="1375" spans="1:1" x14ac:dyDescent="0.2">
      <c r="A1375" s="15"/>
    </row>
    <row r="1376" spans="1:1" x14ac:dyDescent="0.2">
      <c r="A1376" s="15"/>
    </row>
  </sheetData>
  <sheetProtection algorithmName="SHA-512" hashValue="R8IAuy3LCH4EHWOCfpn5gHbDsEupuOA+70611OgnnpPjjKxie8WDdsDiyfQXnP1RK5kZs9pEKezK0a0Sp1kExA==" saltValue="cbh/mITEu3Fgf8WlDUCrEA==" spinCount="100000" sheet="1"/>
  <mergeCells count="3">
    <mergeCell ref="A4:D4"/>
    <mergeCell ref="A119:D119"/>
    <mergeCell ref="N9:N10"/>
  </mergeCells>
  <pageMargins left="0.15748031496062992" right="0.47244094488188981" top="0.59055118110236227" bottom="0.15748031496062992" header="0.35433070866141736" footer="0.27559055118110237"/>
  <pageSetup paperSize="9" orientation="landscape" r:id="rId1"/>
  <headerFooter alignWithMargins="0">
    <oddHeader>&amp;R&amp;P</oddHead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topLeftCell="A9" workbookViewId="0">
      <selection activeCell="I36" sqref="I36"/>
    </sheetView>
  </sheetViews>
  <sheetFormatPr baseColWidth="10" defaultRowHeight="15.75" x14ac:dyDescent="0.25"/>
  <cols>
    <col min="1" max="5" width="11.42578125" style="1"/>
    <col min="6" max="6" width="3.7109375" style="1" customWidth="1"/>
    <col min="7" max="16384" width="11.42578125" style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5" spans="1:8" x14ac:dyDescent="0.25">
      <c r="A5" s="1" t="s">
        <v>4</v>
      </c>
    </row>
    <row r="6" spans="1:8" x14ac:dyDescent="0.25">
      <c r="A6" s="1" t="s">
        <v>5</v>
      </c>
    </row>
    <row r="8" spans="1:8" ht="21" x14ac:dyDescent="0.35">
      <c r="A8" s="343" t="s">
        <v>40</v>
      </c>
      <c r="B8" s="343"/>
      <c r="C8" s="343"/>
      <c r="D8" s="343"/>
      <c r="E8" s="343"/>
      <c r="F8" s="343"/>
      <c r="G8" s="343"/>
      <c r="H8" s="343"/>
    </row>
    <row r="10" spans="1:8" x14ac:dyDescent="0.25">
      <c r="A10" s="1" t="s">
        <v>6</v>
      </c>
      <c r="C10" s="1" t="s">
        <v>47</v>
      </c>
    </row>
    <row r="11" spans="1:8" x14ac:dyDescent="0.25">
      <c r="C11" s="1" t="s">
        <v>51</v>
      </c>
    </row>
    <row r="12" spans="1:8" x14ac:dyDescent="0.25">
      <c r="C12" s="1" t="s">
        <v>5</v>
      </c>
    </row>
    <row r="14" spans="1:8" x14ac:dyDescent="0.25">
      <c r="A14" s="1" t="s">
        <v>7</v>
      </c>
      <c r="C14" s="1" t="s">
        <v>8</v>
      </c>
    </row>
    <row r="16" spans="1:8" x14ac:dyDescent="0.25">
      <c r="A16" s="1" t="s">
        <v>10</v>
      </c>
      <c r="C16" s="1" t="s">
        <v>48</v>
      </c>
      <c r="D16" s="1" t="s">
        <v>50</v>
      </c>
    </row>
    <row r="18" spans="1:3" x14ac:dyDescent="0.25">
      <c r="A18" s="1" t="s">
        <v>11</v>
      </c>
      <c r="C18" s="1" t="s">
        <v>49</v>
      </c>
    </row>
    <row r="20" spans="1:3" x14ac:dyDescent="0.25">
      <c r="A20" s="1" t="s">
        <v>9</v>
      </c>
      <c r="C20" s="1" t="s">
        <v>12</v>
      </c>
    </row>
    <row r="22" spans="1:3" x14ac:dyDescent="0.25">
      <c r="A22" s="1" t="s">
        <v>14</v>
      </c>
      <c r="C22" s="1" t="s">
        <v>13</v>
      </c>
    </row>
    <row r="24" spans="1:3" x14ac:dyDescent="0.25">
      <c r="A24" s="1" t="s">
        <v>15</v>
      </c>
      <c r="C24" s="1" t="s">
        <v>16</v>
      </c>
    </row>
    <row r="25" spans="1:3" x14ac:dyDescent="0.25">
      <c r="C25" s="1" t="s">
        <v>17</v>
      </c>
    </row>
    <row r="27" spans="1:3" x14ac:dyDescent="0.25">
      <c r="C27" s="1" t="s">
        <v>18</v>
      </c>
    </row>
    <row r="28" spans="1:3" x14ac:dyDescent="0.25">
      <c r="C28" s="1" t="s">
        <v>19</v>
      </c>
    </row>
    <row r="30" spans="1:3" x14ac:dyDescent="0.25">
      <c r="A30" s="1" t="s">
        <v>20</v>
      </c>
      <c r="C30" s="1" t="s">
        <v>21</v>
      </c>
    </row>
    <row r="32" spans="1:3" x14ac:dyDescent="0.25">
      <c r="C32" s="1" t="s">
        <v>22</v>
      </c>
    </row>
    <row r="33" spans="1:6" x14ac:dyDescent="0.25">
      <c r="C33" s="1" t="s">
        <v>23</v>
      </c>
    </row>
    <row r="35" spans="1:6" x14ac:dyDescent="0.25">
      <c r="C35" s="1" t="s">
        <v>24</v>
      </c>
    </row>
    <row r="36" spans="1:6" x14ac:dyDescent="0.25">
      <c r="C36" s="1" t="s">
        <v>25</v>
      </c>
    </row>
    <row r="37" spans="1:6" x14ac:dyDescent="0.25">
      <c r="C37" s="1" t="s">
        <v>26</v>
      </c>
    </row>
    <row r="38" spans="1:6" x14ac:dyDescent="0.25">
      <c r="C38" s="1" t="s">
        <v>27</v>
      </c>
    </row>
    <row r="40" spans="1:6" ht="30.75" customHeight="1" x14ac:dyDescent="0.25">
      <c r="A40" s="1" t="s">
        <v>28</v>
      </c>
      <c r="C40" s="1" t="s">
        <v>29</v>
      </c>
      <c r="D40" s="349"/>
      <c r="E40" s="350"/>
      <c r="F40" s="2" t="s">
        <v>32</v>
      </c>
    </row>
    <row r="41" spans="1:6" ht="36.75" customHeight="1" x14ac:dyDescent="0.25">
      <c r="A41" s="348" t="s">
        <v>41</v>
      </c>
      <c r="B41" s="348"/>
      <c r="C41" s="1" t="s">
        <v>30</v>
      </c>
      <c r="D41" s="349"/>
      <c r="E41" s="350"/>
      <c r="F41" s="2" t="s">
        <v>32</v>
      </c>
    </row>
    <row r="42" spans="1:6" ht="30" customHeight="1" x14ac:dyDescent="0.25">
      <c r="C42" s="1" t="s">
        <v>31</v>
      </c>
      <c r="D42" s="349"/>
      <c r="E42" s="350"/>
      <c r="F42" s="2" t="s">
        <v>32</v>
      </c>
    </row>
    <row r="47" spans="1:6" x14ac:dyDescent="0.25">
      <c r="A47" s="1" t="s">
        <v>33</v>
      </c>
    </row>
    <row r="49" spans="1:6" ht="23.25" customHeight="1" x14ac:dyDescent="0.25">
      <c r="A49" s="1" t="s">
        <v>34</v>
      </c>
      <c r="D49" s="326"/>
    </row>
    <row r="51" spans="1:6" ht="22.5" customHeight="1" x14ac:dyDescent="0.25">
      <c r="A51" s="1" t="s">
        <v>35</v>
      </c>
      <c r="D51" s="326"/>
    </row>
    <row r="53" spans="1:6" ht="21.75" customHeight="1" x14ac:dyDescent="0.25">
      <c r="A53" s="1" t="s">
        <v>42</v>
      </c>
      <c r="D53" s="326"/>
    </row>
    <row r="54" spans="1:6" ht="21.75" customHeight="1" x14ac:dyDescent="0.25">
      <c r="C54" s="6"/>
      <c r="D54" s="7"/>
    </row>
    <row r="55" spans="1:6" ht="27" customHeight="1" x14ac:dyDescent="0.25">
      <c r="A55" s="1" t="s">
        <v>43</v>
      </c>
      <c r="D55" s="349"/>
      <c r="E55" s="350"/>
      <c r="F55" s="2" t="s">
        <v>32</v>
      </c>
    </row>
    <row r="57" spans="1:6" ht="25.5" customHeight="1" x14ac:dyDescent="0.25">
      <c r="A57" s="1" t="s">
        <v>36</v>
      </c>
      <c r="C57" s="1" t="s">
        <v>29</v>
      </c>
      <c r="D57" s="349"/>
      <c r="E57" s="350"/>
      <c r="F57" s="2" t="s">
        <v>32</v>
      </c>
    </row>
    <row r="58" spans="1:6" ht="22.5" customHeight="1" x14ac:dyDescent="0.25">
      <c r="C58" s="1" t="s">
        <v>30</v>
      </c>
      <c r="D58" s="349"/>
      <c r="E58" s="350"/>
      <c r="F58" s="2" t="s">
        <v>32</v>
      </c>
    </row>
    <row r="59" spans="1:6" ht="27" customHeight="1" x14ac:dyDescent="0.25">
      <c r="C59" s="1" t="s">
        <v>31</v>
      </c>
      <c r="D59" s="349"/>
      <c r="E59" s="350"/>
      <c r="F59" s="2" t="s">
        <v>32</v>
      </c>
    </row>
    <row r="60" spans="1:6" ht="27" customHeight="1" x14ac:dyDescent="0.25">
      <c r="D60" s="5"/>
      <c r="E60" s="5"/>
      <c r="F60" s="6"/>
    </row>
    <row r="63" spans="1:6" x14ac:dyDescent="0.25">
      <c r="A63" s="3" t="s">
        <v>37</v>
      </c>
    </row>
    <row r="65" spans="1:8" ht="35.25" customHeight="1" x14ac:dyDescent="0.25">
      <c r="A65" s="348" t="s">
        <v>44</v>
      </c>
      <c r="B65" s="348"/>
      <c r="C65" s="351"/>
      <c r="D65" s="349">
        <f>D42</f>
        <v>0</v>
      </c>
      <c r="E65" s="350"/>
      <c r="F65" s="2" t="s">
        <v>32</v>
      </c>
    </row>
    <row r="67" spans="1:8" ht="32.25" customHeight="1" x14ac:dyDescent="0.25">
      <c r="A67" s="1" t="s">
        <v>38</v>
      </c>
      <c r="D67" s="349">
        <f>D59</f>
        <v>0</v>
      </c>
      <c r="E67" s="350"/>
      <c r="F67" s="2" t="s">
        <v>32</v>
      </c>
    </row>
    <row r="68" spans="1:8" ht="16.5" thickBot="1" x14ac:dyDescent="0.3">
      <c r="A68" s="4"/>
      <c r="B68" s="4"/>
      <c r="C68" s="4"/>
      <c r="D68" s="4"/>
      <c r="E68" s="4"/>
      <c r="F68" s="4"/>
    </row>
    <row r="69" spans="1:8" ht="16.5" thickTop="1" x14ac:dyDescent="0.25"/>
    <row r="70" spans="1:8" ht="51.75" customHeight="1" x14ac:dyDescent="0.25">
      <c r="A70" s="348" t="s">
        <v>45</v>
      </c>
      <c r="B70" s="348"/>
      <c r="C70" s="351"/>
      <c r="D70" s="349">
        <f>D65+D67</f>
        <v>0</v>
      </c>
      <c r="E70" s="350"/>
      <c r="F70" s="2" t="s">
        <v>32</v>
      </c>
    </row>
    <row r="73" spans="1:8" ht="45.75" customHeight="1" x14ac:dyDescent="0.25">
      <c r="A73" s="348" t="s">
        <v>39</v>
      </c>
      <c r="B73" s="348"/>
      <c r="C73" s="348"/>
      <c r="D73" s="348"/>
      <c r="E73" s="348"/>
      <c r="F73" s="348"/>
      <c r="G73" s="348"/>
      <c r="H73" s="348"/>
    </row>
    <row r="78" spans="1:8" ht="16.5" thickBot="1" x14ac:dyDescent="0.3">
      <c r="A78" s="340"/>
      <c r="B78" s="340"/>
      <c r="C78" s="340"/>
      <c r="D78" s="340"/>
      <c r="E78" s="340"/>
      <c r="F78" s="340"/>
      <c r="G78" s="340"/>
      <c r="H78" s="340"/>
    </row>
    <row r="79" spans="1:8" x14ac:dyDescent="0.25">
      <c r="A79" s="1" t="s">
        <v>46</v>
      </c>
    </row>
  </sheetData>
  <sheetProtection algorithmName="SHA-512" hashValue="OKZxYisX7P3r1gWP08mYCgQhKB15c7aJHiAqvOS7v16DtCadRGRCgxEZuSTiZyxPDGieb3b9Q0l2aeSgj+gG2A==" saltValue="0OOv2kct24qFQRkrZIFIzQ==" spinCount="100000" sheet="1" objects="1" scenarios="1"/>
  <mergeCells count="16">
    <mergeCell ref="A78:H78"/>
    <mergeCell ref="A73:H73"/>
    <mergeCell ref="A8:H8"/>
    <mergeCell ref="D40:E40"/>
    <mergeCell ref="D41:E41"/>
    <mergeCell ref="D42:E42"/>
    <mergeCell ref="D57:E57"/>
    <mergeCell ref="D58:E58"/>
    <mergeCell ref="D59:E59"/>
    <mergeCell ref="D70:E70"/>
    <mergeCell ref="D67:E67"/>
    <mergeCell ref="D65:E65"/>
    <mergeCell ref="A65:C65"/>
    <mergeCell ref="A41:B41"/>
    <mergeCell ref="D55:E55"/>
    <mergeCell ref="A70:C70"/>
  </mergeCells>
  <conditionalFormatting sqref="A78:H78">
    <cfRule type="cellIs" dxfId="12" priority="1" operator="equal">
      <formula>0</formula>
    </cfRule>
  </conditionalFormatting>
  <conditionalFormatting sqref="D49">
    <cfRule type="cellIs" dxfId="11" priority="7" operator="equal">
      <formula>0</formula>
    </cfRule>
  </conditionalFormatting>
  <conditionalFormatting sqref="D51">
    <cfRule type="cellIs" dxfId="10" priority="6" operator="equal">
      <formula>0</formula>
    </cfRule>
  </conditionalFormatting>
  <conditionalFormatting sqref="D53">
    <cfRule type="cellIs" dxfId="9" priority="5" operator="equal">
      <formula>0</formula>
    </cfRule>
  </conditionalFormatting>
  <conditionalFormatting sqref="D40:E42">
    <cfRule type="cellIs" dxfId="8" priority="10" operator="equal">
      <formula>0</formula>
    </cfRule>
  </conditionalFormatting>
  <conditionalFormatting sqref="D55:E55">
    <cfRule type="cellIs" dxfId="7" priority="9" operator="equal">
      <formula>0</formula>
    </cfRule>
  </conditionalFormatting>
  <conditionalFormatting sqref="D57:E59">
    <cfRule type="cellIs" dxfId="6" priority="8" operator="equal">
      <formula>0</formula>
    </cfRule>
  </conditionalFormatting>
  <conditionalFormatting sqref="D65:E65">
    <cfRule type="cellIs" dxfId="5" priority="4" operator="equal">
      <formula>0</formula>
    </cfRule>
  </conditionalFormatting>
  <conditionalFormatting sqref="D67:E67">
    <cfRule type="cellIs" dxfId="4" priority="3" operator="equal">
      <formula>0</formula>
    </cfRule>
  </conditionalFormatting>
  <conditionalFormatting sqref="D70:E70">
    <cfRule type="cellIs" dxfId="3" priority="2" operator="equal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0FEEE-AB8B-4CBD-AB68-2F99E692821F}">
  <dimension ref="A1:G53"/>
  <sheetViews>
    <sheetView topLeftCell="A3" workbookViewId="0">
      <selection activeCell="E28" sqref="E28"/>
    </sheetView>
  </sheetViews>
  <sheetFormatPr baseColWidth="10" defaultRowHeight="12.75" x14ac:dyDescent="0.2"/>
  <cols>
    <col min="1" max="3" width="11.42578125" style="8"/>
    <col min="4" max="4" width="10" style="8" customWidth="1"/>
    <col min="5" max="5" width="11.7109375" style="8" customWidth="1"/>
    <col min="6" max="6" width="11.42578125" style="8"/>
    <col min="7" max="7" width="13.7109375" style="8" customWidth="1"/>
    <col min="8" max="16384" width="11.42578125" style="8"/>
  </cols>
  <sheetData>
    <row r="1" spans="1:7" ht="15" x14ac:dyDescent="0.2">
      <c r="A1" s="113" t="s">
        <v>452</v>
      </c>
      <c r="B1" s="113"/>
      <c r="C1" s="113"/>
      <c r="D1" s="113"/>
      <c r="E1" s="162"/>
      <c r="F1" s="113"/>
      <c r="G1" s="113"/>
    </row>
    <row r="2" spans="1:7" ht="15" x14ac:dyDescent="0.2">
      <c r="A2" s="113" t="s">
        <v>4</v>
      </c>
      <c r="B2" s="113"/>
      <c r="C2" s="113"/>
      <c r="D2" s="113"/>
      <c r="E2" s="162"/>
      <c r="F2" s="113"/>
      <c r="G2" s="113"/>
    </row>
    <row r="3" spans="1:7" s="113" customFormat="1" ht="15" x14ac:dyDescent="0.2">
      <c r="A3" s="113" t="s">
        <v>5</v>
      </c>
      <c r="E3" s="162"/>
    </row>
    <row r="4" spans="1:7" ht="12" customHeight="1" x14ac:dyDescent="0.2">
      <c r="A4" s="113"/>
      <c r="B4" s="113"/>
      <c r="C4" s="113"/>
      <c r="D4" s="113"/>
      <c r="E4" s="162"/>
      <c r="F4" s="113"/>
      <c r="G4" s="113"/>
    </row>
    <row r="5" spans="1:7" s="13" customFormat="1" ht="17.25" customHeight="1" x14ac:dyDescent="0.25">
      <c r="A5" s="164" t="s">
        <v>451</v>
      </c>
      <c r="B5" s="113"/>
      <c r="C5" s="113"/>
      <c r="D5" s="113"/>
      <c r="E5" s="162"/>
      <c r="F5" s="113"/>
      <c r="G5" s="113"/>
    </row>
    <row r="6" spans="1:7" s="13" customFormat="1" ht="15.75" x14ac:dyDescent="0.25">
      <c r="A6" s="164" t="str">
        <f>LV_ges!$C$1</f>
        <v>Domgymnasium, Thomas-Müntzer-Straße 22/23, 06618 Naumburg</v>
      </c>
      <c r="B6" s="113"/>
      <c r="C6" s="113"/>
      <c r="D6" s="113"/>
      <c r="E6" s="162"/>
      <c r="F6" s="113"/>
      <c r="G6" s="113"/>
    </row>
    <row r="7" spans="1:7" s="13" customFormat="1" ht="18" x14ac:dyDescent="0.25">
      <c r="A7" s="164" t="s">
        <v>450</v>
      </c>
      <c r="B7" s="163" t="s">
        <v>449</v>
      </c>
      <c r="C7" s="113"/>
      <c r="D7" s="113"/>
      <c r="E7" s="162"/>
      <c r="F7" s="113"/>
      <c r="G7" s="113"/>
    </row>
    <row r="8" spans="1:7" s="13" customFormat="1" ht="15.75" thickBot="1" x14ac:dyDescent="0.25">
      <c r="A8" s="113"/>
      <c r="B8" s="113"/>
      <c r="C8" s="113"/>
      <c r="D8" s="113"/>
      <c r="E8" s="162"/>
      <c r="F8" s="113"/>
      <c r="G8" s="113"/>
    </row>
    <row r="9" spans="1:7" s="13" customFormat="1" ht="15.75" x14ac:dyDescent="0.25">
      <c r="A9" s="161" t="s">
        <v>448</v>
      </c>
      <c r="B9" s="120"/>
      <c r="C9" s="120"/>
      <c r="D9" s="160"/>
      <c r="E9" s="159" t="s">
        <v>447</v>
      </c>
      <c r="F9" s="158" t="s">
        <v>446</v>
      </c>
      <c r="G9" s="157" t="s">
        <v>445</v>
      </c>
    </row>
    <row r="10" spans="1:7" s="13" customFormat="1" ht="15" x14ac:dyDescent="0.2">
      <c r="A10" s="114"/>
      <c r="B10" s="113"/>
      <c r="C10" s="113"/>
      <c r="D10" s="134"/>
      <c r="E10" s="133" t="s">
        <v>444</v>
      </c>
      <c r="F10" s="156" t="s">
        <v>443</v>
      </c>
      <c r="G10" s="132" t="s">
        <v>442</v>
      </c>
    </row>
    <row r="11" spans="1:7" s="13" customFormat="1" ht="15" x14ac:dyDescent="0.2">
      <c r="A11" s="155"/>
      <c r="B11" s="154"/>
      <c r="C11" s="154"/>
      <c r="D11" s="153"/>
      <c r="E11" s="152"/>
      <c r="F11" s="151"/>
      <c r="G11" s="150"/>
    </row>
    <row r="12" spans="1:7" s="13" customFormat="1" ht="15.75" x14ac:dyDescent="0.25">
      <c r="A12" s="149" t="s">
        <v>415</v>
      </c>
      <c r="B12" s="148"/>
      <c r="C12" s="148"/>
      <c r="D12" s="147"/>
      <c r="E12" s="137"/>
      <c r="F12" s="146"/>
      <c r="G12" s="135"/>
    </row>
    <row r="13" spans="1:7" s="13" customFormat="1" ht="15" x14ac:dyDescent="0.2">
      <c r="A13" s="142" t="s">
        <v>208</v>
      </c>
      <c r="B13" s="141"/>
      <c r="C13" s="141"/>
      <c r="D13" s="145"/>
      <c r="E13" s="140">
        <f>LV_ges!D5</f>
        <v>530.86000000000013</v>
      </c>
      <c r="F13" s="136"/>
      <c r="G13" s="135">
        <f>E13*F13</f>
        <v>0</v>
      </c>
    </row>
    <row r="14" spans="1:7" s="13" customFormat="1" ht="15" x14ac:dyDescent="0.2">
      <c r="A14" s="142" t="s">
        <v>169</v>
      </c>
      <c r="B14" s="141"/>
      <c r="C14" s="141"/>
      <c r="D14" s="145"/>
      <c r="E14" s="140">
        <f>LV_ges!D23</f>
        <v>925.58000000000015</v>
      </c>
      <c r="F14" s="144"/>
      <c r="G14" s="135">
        <f>E14*F14</f>
        <v>0</v>
      </c>
    </row>
    <row r="15" spans="1:7" s="13" customFormat="1" ht="15" x14ac:dyDescent="0.2">
      <c r="A15" s="142" t="s">
        <v>137</v>
      </c>
      <c r="B15" s="141"/>
      <c r="C15" s="141"/>
      <c r="D15" s="145"/>
      <c r="E15" s="140">
        <f>LV_ges!D57</f>
        <v>998.56999999999994</v>
      </c>
      <c r="F15" s="136"/>
      <c r="G15" s="135">
        <f>E15*F15</f>
        <v>0</v>
      </c>
    </row>
    <row r="16" spans="1:7" s="13" customFormat="1" ht="15" x14ac:dyDescent="0.2">
      <c r="A16" s="142" t="s">
        <v>110</v>
      </c>
      <c r="B16" s="141"/>
      <c r="C16" s="141"/>
      <c r="D16" s="141"/>
      <c r="E16" s="137">
        <f>LV_ges!D82</f>
        <v>963.57</v>
      </c>
      <c r="F16" s="144"/>
      <c r="G16" s="135">
        <f>E16*F16</f>
        <v>0</v>
      </c>
    </row>
    <row r="17" spans="1:7" s="13" customFormat="1" ht="15" x14ac:dyDescent="0.2">
      <c r="A17" s="142" t="s">
        <v>83</v>
      </c>
      <c r="B17" s="141"/>
      <c r="C17" s="141"/>
      <c r="D17" s="141"/>
      <c r="E17" s="137">
        <f>LV_ges!D104</f>
        <v>425.47</v>
      </c>
      <c r="F17" s="144"/>
      <c r="G17" s="135">
        <f>E17*F17</f>
        <v>0</v>
      </c>
    </row>
    <row r="18" spans="1:7" s="13" customFormat="1" ht="15" x14ac:dyDescent="0.2">
      <c r="A18" s="142"/>
      <c r="B18" s="141"/>
      <c r="C18" s="141"/>
      <c r="D18" s="141"/>
      <c r="E18" s="137"/>
      <c r="F18" s="144"/>
      <c r="G18" s="135"/>
    </row>
    <row r="19" spans="1:7" s="13" customFormat="1" ht="15.75" x14ac:dyDescent="0.25">
      <c r="A19" s="143" t="s">
        <v>73</v>
      </c>
      <c r="B19" s="141"/>
      <c r="C19" s="141"/>
      <c r="D19" s="141"/>
      <c r="E19" s="137">
        <f>LV_ges!D207</f>
        <v>453.30000000000007</v>
      </c>
      <c r="F19" s="144"/>
      <c r="G19" s="135">
        <f>E19*F19</f>
        <v>0</v>
      </c>
    </row>
    <row r="20" spans="1:7" s="13" customFormat="1" ht="15" x14ac:dyDescent="0.2">
      <c r="A20" s="142"/>
      <c r="B20" s="141"/>
      <c r="C20" s="141"/>
      <c r="D20" s="141"/>
      <c r="E20" s="137"/>
      <c r="F20" s="136"/>
      <c r="G20" s="135"/>
    </row>
    <row r="21" spans="1:7" s="13" customFormat="1" ht="15.75" x14ac:dyDescent="0.25">
      <c r="A21" s="143" t="s">
        <v>209</v>
      </c>
      <c r="B21" s="141"/>
      <c r="C21" s="141"/>
      <c r="D21" s="141"/>
      <c r="E21" s="137"/>
      <c r="F21" s="136"/>
      <c r="G21" s="135"/>
    </row>
    <row r="22" spans="1:7" s="13" customFormat="1" ht="15" x14ac:dyDescent="0.2">
      <c r="A22" s="142" t="s">
        <v>208</v>
      </c>
      <c r="B22" s="141"/>
      <c r="C22" s="141"/>
      <c r="D22" s="141"/>
      <c r="E22" s="137">
        <f>LV_ges!D120</f>
        <v>569.18999999999983</v>
      </c>
      <c r="F22" s="136"/>
      <c r="G22" s="135">
        <f>E22*F22</f>
        <v>0</v>
      </c>
    </row>
    <row r="23" spans="1:7" s="13" customFormat="1" ht="15" x14ac:dyDescent="0.2">
      <c r="A23" s="142" t="s">
        <v>169</v>
      </c>
      <c r="B23" s="141"/>
      <c r="C23" s="141"/>
      <c r="D23" s="141"/>
      <c r="E23" s="137">
        <f>LV_ges!D143</f>
        <v>824.56000000000006</v>
      </c>
      <c r="F23" s="136"/>
      <c r="G23" s="135">
        <f>E23*F23</f>
        <v>0</v>
      </c>
    </row>
    <row r="24" spans="1:7" s="13" customFormat="1" ht="15" x14ac:dyDescent="0.2">
      <c r="A24" s="142" t="s">
        <v>137</v>
      </c>
      <c r="B24" s="141"/>
      <c r="C24" s="141"/>
      <c r="D24" s="141"/>
      <c r="E24" s="137">
        <f>LV_ges!D167</f>
        <v>839.54</v>
      </c>
      <c r="F24" s="136"/>
      <c r="G24" s="135">
        <f>E24*F24</f>
        <v>0</v>
      </c>
    </row>
    <row r="25" spans="1:7" s="13" customFormat="1" ht="15" x14ac:dyDescent="0.2">
      <c r="A25" s="142" t="s">
        <v>110</v>
      </c>
      <c r="B25" s="141"/>
      <c r="C25" s="141"/>
      <c r="D25" s="141"/>
      <c r="E25" s="140">
        <f>LV_ges!D186</f>
        <v>770.68</v>
      </c>
      <c r="F25" s="136"/>
      <c r="G25" s="135">
        <f>E25*F25</f>
        <v>0</v>
      </c>
    </row>
    <row r="26" spans="1:7" s="13" customFormat="1" ht="15" x14ac:dyDescent="0.2">
      <c r="A26" s="139" t="s">
        <v>83</v>
      </c>
      <c r="B26" s="138"/>
      <c r="C26" s="138"/>
      <c r="D26" s="138"/>
      <c r="E26" s="137">
        <f>LV_ges!D201</f>
        <v>184.45</v>
      </c>
      <c r="F26" s="136"/>
      <c r="G26" s="135">
        <f>E26*F26</f>
        <v>0</v>
      </c>
    </row>
    <row r="27" spans="1:7" s="13" customFormat="1" ht="15" x14ac:dyDescent="0.2">
      <c r="A27" s="114"/>
      <c r="B27" s="113"/>
      <c r="C27" s="113"/>
      <c r="D27" s="134"/>
      <c r="E27" s="133"/>
      <c r="F27" s="127"/>
      <c r="G27" s="132"/>
    </row>
    <row r="28" spans="1:7" s="13" customFormat="1" ht="15.75" x14ac:dyDescent="0.25">
      <c r="A28" s="131" t="s">
        <v>441</v>
      </c>
      <c r="B28" s="113"/>
      <c r="C28" s="130"/>
      <c r="D28" s="129"/>
      <c r="E28" s="128">
        <f>SUM(E12:E26)</f>
        <v>7485.77</v>
      </c>
      <c r="F28" s="127"/>
      <c r="G28" s="126"/>
    </row>
    <row r="29" spans="1:7" s="13" customFormat="1" ht="15.75" thickBot="1" x14ac:dyDescent="0.25">
      <c r="A29" s="111"/>
      <c r="B29" s="110"/>
      <c r="C29" s="110"/>
      <c r="D29" s="125"/>
      <c r="E29" s="124"/>
      <c r="F29" s="123"/>
      <c r="G29" s="122"/>
    </row>
    <row r="30" spans="1:7" s="13" customFormat="1" ht="15" x14ac:dyDescent="0.2">
      <c r="A30" s="121"/>
      <c r="B30" s="120"/>
      <c r="C30" s="120"/>
      <c r="D30" s="120"/>
      <c r="E30" s="119"/>
      <c r="F30" s="118"/>
      <c r="G30" s="117"/>
    </row>
    <row r="31" spans="1:7" s="13" customFormat="1" ht="15.75" thickBot="1" x14ac:dyDescent="0.25">
      <c r="A31" s="114"/>
      <c r="B31" s="113"/>
      <c r="C31" s="113"/>
      <c r="D31" s="113"/>
      <c r="E31" s="17" t="s">
        <v>440</v>
      </c>
      <c r="F31" s="81"/>
      <c r="G31" s="107">
        <f>SUM(G13:G30)</f>
        <v>0</v>
      </c>
    </row>
    <row r="32" spans="1:7" s="13" customFormat="1" ht="15" x14ac:dyDescent="0.2">
      <c r="A32" s="114"/>
      <c r="B32" s="113"/>
      <c r="C32" s="113"/>
      <c r="D32" s="113"/>
      <c r="E32" s="17"/>
      <c r="F32" s="81"/>
      <c r="G32" s="116"/>
    </row>
    <row r="33" spans="1:7" s="13" customFormat="1" ht="15.75" thickBot="1" x14ac:dyDescent="0.25">
      <c r="A33" s="114"/>
      <c r="B33" s="113"/>
      <c r="C33" s="113"/>
      <c r="D33" s="113"/>
      <c r="E33" s="17" t="s">
        <v>439</v>
      </c>
      <c r="F33" s="115">
        <v>0.19</v>
      </c>
      <c r="G33" s="107">
        <f>G31*F33</f>
        <v>0</v>
      </c>
    </row>
    <row r="34" spans="1:7" s="13" customFormat="1" ht="15" x14ac:dyDescent="0.2">
      <c r="A34" s="114"/>
      <c r="B34" s="113"/>
      <c r="C34" s="113"/>
      <c r="D34" s="113"/>
      <c r="E34" s="17"/>
      <c r="F34" s="81"/>
      <c r="G34" s="112"/>
    </row>
    <row r="35" spans="1:7" s="13" customFormat="1" ht="15.75" thickBot="1" x14ac:dyDescent="0.25">
      <c r="A35" s="111"/>
      <c r="B35" s="110"/>
      <c r="C35" s="110"/>
      <c r="D35" s="110"/>
      <c r="E35" s="109"/>
      <c r="F35" s="108" t="s">
        <v>438</v>
      </c>
      <c r="G35" s="107">
        <f>G31+G33</f>
        <v>0</v>
      </c>
    </row>
    <row r="36" spans="1:7" s="13" customFormat="1" ht="11.25" x14ac:dyDescent="0.2"/>
    <row r="37" spans="1:7" s="13" customFormat="1" ht="11.25" x14ac:dyDescent="0.2"/>
    <row r="38" spans="1:7" s="13" customFormat="1" ht="11.25" x14ac:dyDescent="0.2"/>
    <row r="39" spans="1:7" s="13" customFormat="1" ht="11.25" x14ac:dyDescent="0.2"/>
    <row r="40" spans="1:7" s="13" customFormat="1" ht="11.25" x14ac:dyDescent="0.2"/>
    <row r="41" spans="1:7" s="13" customFormat="1" ht="11.25" x14ac:dyDescent="0.2"/>
    <row r="42" spans="1:7" s="13" customFormat="1" ht="11.25" x14ac:dyDescent="0.2"/>
    <row r="43" spans="1:7" s="13" customFormat="1" ht="11.25" x14ac:dyDescent="0.2"/>
    <row r="44" spans="1:7" s="13" customFormat="1" ht="11.25" x14ac:dyDescent="0.2"/>
    <row r="45" spans="1:7" s="13" customFormat="1" ht="11.25" x14ac:dyDescent="0.2"/>
    <row r="46" spans="1:7" s="13" customFormat="1" ht="11.25" x14ac:dyDescent="0.2"/>
    <row r="47" spans="1:7" s="13" customFormat="1" ht="11.25" x14ac:dyDescent="0.2"/>
    <row r="48" spans="1:7" s="13" customFormat="1" ht="11.25" x14ac:dyDescent="0.2"/>
    <row r="49" s="13" customFormat="1" ht="11.25" x14ac:dyDescent="0.2"/>
    <row r="50" s="13" customFormat="1" ht="11.25" x14ac:dyDescent="0.2"/>
    <row r="51" s="13" customFormat="1" ht="11.25" x14ac:dyDescent="0.2"/>
    <row r="52" s="13" customFormat="1" ht="11.25" x14ac:dyDescent="0.2"/>
    <row r="53" s="13" customFormat="1" ht="11.25" x14ac:dyDescent="0.2"/>
  </sheetData>
  <sheetProtection password="D9B5" sheet="1"/>
  <pageMargins left="0.98425196850393704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B9A00-90B9-4C3B-BF17-9A782DD38818}">
  <dimension ref="A1:J274"/>
  <sheetViews>
    <sheetView topLeftCell="A235" zoomScaleNormal="100" workbookViewId="0">
      <selection activeCell="L256" sqref="L256"/>
    </sheetView>
  </sheetViews>
  <sheetFormatPr baseColWidth="10" defaultRowHeight="12.75" x14ac:dyDescent="0.2"/>
  <cols>
    <col min="1" max="1" width="5.5703125" style="8" customWidth="1"/>
    <col min="2" max="2" width="21.28515625" style="8" customWidth="1"/>
    <col min="3" max="3" width="13" style="8" customWidth="1"/>
    <col min="4" max="4" width="7.28515625" style="8" customWidth="1"/>
    <col min="5" max="5" width="7.85546875" style="167" customWidth="1"/>
    <col min="6" max="6" width="14.7109375" style="166" customWidth="1"/>
    <col min="7" max="7" width="5.85546875" style="165" customWidth="1"/>
    <col min="8" max="8" width="18.140625" style="8" customWidth="1"/>
    <col min="9" max="9" width="7.85546875" style="8" customWidth="1"/>
    <col min="10" max="16384" width="11.42578125" style="8"/>
  </cols>
  <sheetData>
    <row r="1" spans="1:10" x14ac:dyDescent="0.2">
      <c r="A1" s="17" t="s">
        <v>556</v>
      </c>
    </row>
    <row r="2" spans="1:10" x14ac:dyDescent="0.2">
      <c r="A2" s="17" t="s">
        <v>555</v>
      </c>
    </row>
    <row r="4" spans="1:10" ht="15.75" x14ac:dyDescent="0.25">
      <c r="A4" s="325" t="s">
        <v>554</v>
      </c>
      <c r="B4" s="309"/>
      <c r="C4" s="313"/>
      <c r="D4" s="324"/>
      <c r="E4" s="323"/>
      <c r="F4" s="322"/>
      <c r="G4" s="321"/>
      <c r="H4" s="320"/>
      <c r="I4" s="309"/>
      <c r="J4" s="309"/>
    </row>
    <row r="5" spans="1:10" ht="15.75" x14ac:dyDescent="0.25">
      <c r="A5" s="319" t="s">
        <v>553</v>
      </c>
      <c r="B5" s="314"/>
      <c r="C5" s="318"/>
      <c r="D5" s="318"/>
      <c r="E5" s="317"/>
      <c r="F5" s="316"/>
      <c r="G5" s="315"/>
      <c r="H5" s="314"/>
      <c r="I5" s="314"/>
      <c r="J5" s="314"/>
    </row>
    <row r="6" spans="1:10" ht="13.5" thickBot="1" x14ac:dyDescent="0.25">
      <c r="A6" s="309"/>
      <c r="B6" s="309"/>
      <c r="C6" s="313"/>
      <c r="D6" s="313"/>
      <c r="E6" s="312"/>
      <c r="F6" s="311"/>
      <c r="G6" s="310"/>
      <c r="H6" s="309"/>
      <c r="I6" s="309"/>
      <c r="J6" s="309"/>
    </row>
    <row r="7" spans="1:10" ht="42" thickBot="1" x14ac:dyDescent="0.25">
      <c r="A7" s="308" t="s">
        <v>434</v>
      </c>
      <c r="B7" s="307" t="s">
        <v>433</v>
      </c>
      <c r="C7" s="306" t="s">
        <v>552</v>
      </c>
      <c r="D7" s="305" t="s">
        <v>551</v>
      </c>
      <c r="E7" s="304" t="s">
        <v>550</v>
      </c>
      <c r="F7" s="303" t="s">
        <v>549</v>
      </c>
      <c r="G7" s="302" t="s">
        <v>548</v>
      </c>
      <c r="H7" s="301" t="s">
        <v>416</v>
      </c>
      <c r="I7" s="300" t="s">
        <v>547</v>
      </c>
      <c r="J7" s="299" t="s">
        <v>546</v>
      </c>
    </row>
    <row r="8" spans="1:10" ht="20.25" customHeight="1" x14ac:dyDescent="0.25">
      <c r="A8" s="357" t="s">
        <v>415</v>
      </c>
      <c r="B8" s="358"/>
      <c r="C8" s="298"/>
      <c r="D8" s="298"/>
      <c r="E8" s="297"/>
      <c r="F8" s="296"/>
      <c r="G8" s="295"/>
      <c r="H8" s="294"/>
      <c r="I8" s="293"/>
      <c r="J8" s="292"/>
    </row>
    <row r="9" spans="1:10" ht="18.75" customHeight="1" x14ac:dyDescent="0.2">
      <c r="A9" s="243"/>
      <c r="B9" s="242" t="s">
        <v>208</v>
      </c>
      <c r="C9" s="197"/>
      <c r="D9" s="197"/>
      <c r="E9" s="241"/>
      <c r="F9" s="194"/>
      <c r="G9" s="240"/>
      <c r="H9" s="45"/>
      <c r="I9" s="192"/>
      <c r="J9" s="191"/>
    </row>
    <row r="10" spans="1:10" x14ac:dyDescent="0.2">
      <c r="A10" s="280" t="s">
        <v>545</v>
      </c>
      <c r="B10" s="283" t="s">
        <v>171</v>
      </c>
      <c r="C10" s="197" t="s">
        <v>469</v>
      </c>
      <c r="D10" s="197">
        <v>0</v>
      </c>
      <c r="E10" s="245">
        <f t="shared" ref="E10:E17" si="0">1.12*0.75</f>
        <v>0.84000000000000008</v>
      </c>
      <c r="F10" s="194">
        <f t="shared" ref="F10:F25" si="1">D10*E10</f>
        <v>0</v>
      </c>
      <c r="G10" s="240">
        <v>1</v>
      </c>
      <c r="H10" s="45"/>
      <c r="I10" s="192"/>
      <c r="J10" s="191">
        <f t="shared" ref="J10:J25" si="2">ROUND(F10*2*I10*G10,2)</f>
        <v>0</v>
      </c>
    </row>
    <row r="11" spans="1:10" x14ac:dyDescent="0.2">
      <c r="A11" s="280" t="s">
        <v>544</v>
      </c>
      <c r="B11" s="283" t="s">
        <v>543</v>
      </c>
      <c r="C11" s="197" t="s">
        <v>469</v>
      </c>
      <c r="D11" s="265">
        <v>2</v>
      </c>
      <c r="E11" s="245">
        <f t="shared" si="0"/>
        <v>0.84000000000000008</v>
      </c>
      <c r="F11" s="194">
        <f t="shared" si="1"/>
        <v>1.6800000000000002</v>
      </c>
      <c r="G11" s="203">
        <v>1</v>
      </c>
      <c r="H11" s="202"/>
      <c r="I11" s="192"/>
      <c r="J11" s="191">
        <f t="shared" si="2"/>
        <v>0</v>
      </c>
    </row>
    <row r="12" spans="1:10" x14ac:dyDescent="0.2">
      <c r="A12" s="280" t="s">
        <v>542</v>
      </c>
      <c r="B12" s="283" t="s">
        <v>171</v>
      </c>
      <c r="C12" s="197" t="s">
        <v>469</v>
      </c>
      <c r="D12" s="249">
        <v>2</v>
      </c>
      <c r="E12" s="245">
        <f t="shared" si="0"/>
        <v>0.84000000000000008</v>
      </c>
      <c r="F12" s="194">
        <f t="shared" si="1"/>
        <v>1.6800000000000002</v>
      </c>
      <c r="G12" s="240">
        <v>1</v>
      </c>
      <c r="H12" s="45"/>
      <c r="I12" s="192"/>
      <c r="J12" s="191">
        <f t="shared" si="2"/>
        <v>0</v>
      </c>
    </row>
    <row r="13" spans="1:10" x14ac:dyDescent="0.2">
      <c r="A13" s="280" t="s">
        <v>541</v>
      </c>
      <c r="B13" s="283" t="s">
        <v>540</v>
      </c>
      <c r="C13" s="197" t="s">
        <v>469</v>
      </c>
      <c r="D13" s="249">
        <v>0</v>
      </c>
      <c r="E13" s="245">
        <f t="shared" si="0"/>
        <v>0.84000000000000008</v>
      </c>
      <c r="F13" s="194">
        <f t="shared" si="1"/>
        <v>0</v>
      </c>
      <c r="G13" s="240">
        <v>1</v>
      </c>
      <c r="H13" s="45"/>
      <c r="I13" s="192"/>
      <c r="J13" s="191">
        <f t="shared" si="2"/>
        <v>0</v>
      </c>
    </row>
    <row r="14" spans="1:10" x14ac:dyDescent="0.2">
      <c r="A14" s="280" t="s">
        <v>539</v>
      </c>
      <c r="B14" s="283" t="s">
        <v>538</v>
      </c>
      <c r="C14" s="197" t="s">
        <v>469</v>
      </c>
      <c r="D14" s="249">
        <v>2</v>
      </c>
      <c r="E14" s="245">
        <f t="shared" si="0"/>
        <v>0.84000000000000008</v>
      </c>
      <c r="F14" s="194">
        <f t="shared" si="1"/>
        <v>1.6800000000000002</v>
      </c>
      <c r="G14" s="203">
        <v>1</v>
      </c>
      <c r="H14" s="45"/>
      <c r="I14" s="192"/>
      <c r="J14" s="191">
        <f t="shared" si="2"/>
        <v>0</v>
      </c>
    </row>
    <row r="15" spans="1:10" x14ac:dyDescent="0.2">
      <c r="A15" s="280" t="s">
        <v>537</v>
      </c>
      <c r="B15" s="283" t="s">
        <v>536</v>
      </c>
      <c r="C15" s="197" t="s">
        <v>469</v>
      </c>
      <c r="D15" s="249">
        <v>0</v>
      </c>
      <c r="E15" s="245">
        <f t="shared" si="0"/>
        <v>0.84000000000000008</v>
      </c>
      <c r="F15" s="194">
        <f t="shared" si="1"/>
        <v>0</v>
      </c>
      <c r="G15" s="240">
        <v>1</v>
      </c>
      <c r="H15" s="45"/>
      <c r="I15" s="192"/>
      <c r="J15" s="191">
        <f t="shared" si="2"/>
        <v>0</v>
      </c>
    </row>
    <row r="16" spans="1:10" x14ac:dyDescent="0.2">
      <c r="A16" s="280" t="s">
        <v>535</v>
      </c>
      <c r="B16" s="283" t="s">
        <v>534</v>
      </c>
      <c r="C16" s="197" t="s">
        <v>469</v>
      </c>
      <c r="D16" s="249">
        <v>2</v>
      </c>
      <c r="E16" s="245">
        <f t="shared" si="0"/>
        <v>0.84000000000000008</v>
      </c>
      <c r="F16" s="194">
        <f t="shared" si="1"/>
        <v>1.6800000000000002</v>
      </c>
      <c r="G16" s="240">
        <v>1</v>
      </c>
      <c r="H16" s="45"/>
      <c r="I16" s="192"/>
      <c r="J16" s="191">
        <f t="shared" si="2"/>
        <v>0</v>
      </c>
    </row>
    <row r="17" spans="1:10" x14ac:dyDescent="0.2">
      <c r="A17" s="280" t="s">
        <v>533</v>
      </c>
      <c r="B17" s="283" t="s">
        <v>532</v>
      </c>
      <c r="C17" s="197" t="s">
        <v>469</v>
      </c>
      <c r="D17" s="249">
        <v>1</v>
      </c>
      <c r="E17" s="245">
        <f t="shared" si="0"/>
        <v>0.84000000000000008</v>
      </c>
      <c r="F17" s="194">
        <f t="shared" si="1"/>
        <v>0.84000000000000008</v>
      </c>
      <c r="G17" s="203">
        <v>1</v>
      </c>
      <c r="H17" s="45"/>
      <c r="I17" s="192"/>
      <c r="J17" s="191">
        <f t="shared" si="2"/>
        <v>0</v>
      </c>
    </row>
    <row r="18" spans="1:10" x14ac:dyDescent="0.2">
      <c r="A18" s="280" t="s">
        <v>530</v>
      </c>
      <c r="B18" s="283" t="s">
        <v>531</v>
      </c>
      <c r="C18" s="197" t="s">
        <v>469</v>
      </c>
      <c r="D18" s="249">
        <v>2</v>
      </c>
      <c r="E18" s="245">
        <f>1.06</f>
        <v>1.06</v>
      </c>
      <c r="F18" s="194">
        <f t="shared" si="1"/>
        <v>2.12</v>
      </c>
      <c r="G18" s="240">
        <v>1</v>
      </c>
      <c r="H18" s="286"/>
      <c r="I18" s="192"/>
      <c r="J18" s="191">
        <f t="shared" si="2"/>
        <v>0</v>
      </c>
    </row>
    <row r="19" spans="1:10" x14ac:dyDescent="0.2">
      <c r="A19" s="280" t="s">
        <v>530</v>
      </c>
      <c r="B19" s="283" t="s">
        <v>401</v>
      </c>
      <c r="C19" s="197" t="s">
        <v>469</v>
      </c>
      <c r="D19" s="249">
        <v>9</v>
      </c>
      <c r="E19" s="245">
        <f>1.6*2.49</f>
        <v>3.9840000000000004</v>
      </c>
      <c r="F19" s="194">
        <f t="shared" si="1"/>
        <v>35.856000000000002</v>
      </c>
      <c r="G19" s="240">
        <v>1</v>
      </c>
      <c r="H19" s="286"/>
      <c r="I19" s="192"/>
      <c r="J19" s="191">
        <f t="shared" si="2"/>
        <v>0</v>
      </c>
    </row>
    <row r="20" spans="1:10" x14ac:dyDescent="0.2">
      <c r="A20" s="280" t="s">
        <v>529</v>
      </c>
      <c r="B20" s="283" t="s">
        <v>528</v>
      </c>
      <c r="C20" s="197" t="s">
        <v>469</v>
      </c>
      <c r="D20" s="249">
        <v>5</v>
      </c>
      <c r="E20" s="245">
        <f t="shared" ref="E20:E25" si="3">1.12*0.75</f>
        <v>0.84000000000000008</v>
      </c>
      <c r="F20" s="194">
        <f t="shared" si="1"/>
        <v>4.2</v>
      </c>
      <c r="G20" s="203">
        <v>1</v>
      </c>
      <c r="H20" s="286"/>
      <c r="I20" s="192"/>
      <c r="J20" s="191">
        <f t="shared" si="2"/>
        <v>0</v>
      </c>
    </row>
    <row r="21" spans="1:10" x14ac:dyDescent="0.2">
      <c r="A21" s="280" t="s">
        <v>527</v>
      </c>
      <c r="B21" s="283" t="s">
        <v>171</v>
      </c>
      <c r="C21" s="197" t="s">
        <v>469</v>
      </c>
      <c r="D21" s="249">
        <v>0</v>
      </c>
      <c r="E21" s="245">
        <f t="shared" si="3"/>
        <v>0.84000000000000008</v>
      </c>
      <c r="F21" s="194">
        <f t="shared" si="1"/>
        <v>0</v>
      </c>
      <c r="G21" s="240">
        <v>1</v>
      </c>
      <c r="H21" s="45"/>
      <c r="I21" s="192"/>
      <c r="J21" s="191">
        <f t="shared" si="2"/>
        <v>0</v>
      </c>
    </row>
    <row r="22" spans="1:10" x14ac:dyDescent="0.2">
      <c r="A22" s="280" t="s">
        <v>526</v>
      </c>
      <c r="B22" s="283" t="s">
        <v>144</v>
      </c>
      <c r="C22" s="197" t="s">
        <v>469</v>
      </c>
      <c r="D22" s="249">
        <v>2</v>
      </c>
      <c r="E22" s="245">
        <f t="shared" si="3"/>
        <v>0.84000000000000008</v>
      </c>
      <c r="F22" s="194">
        <f t="shared" si="1"/>
        <v>1.6800000000000002</v>
      </c>
      <c r="G22" s="240">
        <v>1</v>
      </c>
      <c r="H22" s="45"/>
      <c r="I22" s="192"/>
      <c r="J22" s="191">
        <f t="shared" si="2"/>
        <v>0</v>
      </c>
    </row>
    <row r="23" spans="1:10" x14ac:dyDescent="0.2">
      <c r="A23" s="280" t="s">
        <v>525</v>
      </c>
      <c r="B23" s="283" t="s">
        <v>140</v>
      </c>
      <c r="C23" s="197" t="s">
        <v>469</v>
      </c>
      <c r="D23" s="249">
        <v>1</v>
      </c>
      <c r="E23" s="245">
        <f t="shared" si="3"/>
        <v>0.84000000000000008</v>
      </c>
      <c r="F23" s="194">
        <f t="shared" si="1"/>
        <v>0.84000000000000008</v>
      </c>
      <c r="G23" s="203">
        <v>1</v>
      </c>
      <c r="H23" s="45"/>
      <c r="I23" s="192"/>
      <c r="J23" s="191">
        <f t="shared" si="2"/>
        <v>0</v>
      </c>
    </row>
    <row r="24" spans="1:10" x14ac:dyDescent="0.2">
      <c r="A24" s="280"/>
      <c r="B24" s="283" t="s">
        <v>397</v>
      </c>
      <c r="C24" s="197" t="s">
        <v>469</v>
      </c>
      <c r="D24" s="249">
        <v>1</v>
      </c>
      <c r="E24" s="245">
        <f t="shared" si="3"/>
        <v>0.84000000000000008</v>
      </c>
      <c r="F24" s="194">
        <f t="shared" si="1"/>
        <v>0.84000000000000008</v>
      </c>
      <c r="G24" s="240">
        <v>1</v>
      </c>
      <c r="H24" s="45"/>
      <c r="I24" s="192"/>
      <c r="J24" s="191">
        <f t="shared" si="2"/>
        <v>0</v>
      </c>
    </row>
    <row r="25" spans="1:10" x14ac:dyDescent="0.2">
      <c r="A25" s="284"/>
      <c r="B25" s="288" t="s">
        <v>114</v>
      </c>
      <c r="C25" s="188" t="s">
        <v>469</v>
      </c>
      <c r="D25" s="261">
        <v>8</v>
      </c>
      <c r="E25" s="260">
        <f t="shared" si="3"/>
        <v>0.84000000000000008</v>
      </c>
      <c r="F25" s="186">
        <f t="shared" si="1"/>
        <v>6.7200000000000006</v>
      </c>
      <c r="G25" s="185">
        <v>1</v>
      </c>
      <c r="H25" s="189"/>
      <c r="I25" s="183"/>
      <c r="J25" s="182">
        <f t="shared" si="2"/>
        <v>0</v>
      </c>
    </row>
    <row r="26" spans="1:10" ht="13.5" thickBot="1" x14ac:dyDescent="0.25">
      <c r="A26" s="362" t="s">
        <v>495</v>
      </c>
      <c r="B26" s="363"/>
      <c r="C26" s="180"/>
      <c r="D26" s="180"/>
      <c r="E26" s="219"/>
      <c r="F26" s="244">
        <f>SUM(F10:F25)</f>
        <v>59.81600000000001</v>
      </c>
      <c r="G26" s="177"/>
      <c r="H26" s="181"/>
      <c r="I26" s="217"/>
      <c r="J26" s="175"/>
    </row>
    <row r="27" spans="1:10" ht="18.75" customHeight="1" x14ac:dyDescent="0.2">
      <c r="A27" s="208"/>
      <c r="B27" s="207" t="s">
        <v>169</v>
      </c>
      <c r="C27" s="206"/>
      <c r="D27" s="206"/>
      <c r="E27" s="205"/>
      <c r="F27" s="204"/>
      <c r="G27" s="203"/>
      <c r="H27" s="202"/>
      <c r="I27" s="201"/>
      <c r="J27" s="200"/>
    </row>
    <row r="28" spans="1:10" x14ac:dyDescent="0.2">
      <c r="A28" s="280" t="s">
        <v>524</v>
      </c>
      <c r="B28" s="283" t="s">
        <v>299</v>
      </c>
      <c r="C28" s="249" t="s">
        <v>469</v>
      </c>
      <c r="D28" s="249">
        <v>2</v>
      </c>
      <c r="E28" s="245">
        <f>0.9*1.72</f>
        <v>1.548</v>
      </c>
      <c r="F28" s="194">
        <f t="shared" ref="F28:F39" si="4">E28*D28</f>
        <v>3.0960000000000001</v>
      </c>
      <c r="G28" s="240">
        <v>1</v>
      </c>
      <c r="H28" s="45"/>
      <c r="I28" s="192"/>
      <c r="J28" s="191">
        <f t="shared" ref="J28:J58" si="5">ROUND(F28*2*I28*G28,2)</f>
        <v>0</v>
      </c>
    </row>
    <row r="29" spans="1:10" x14ac:dyDescent="0.2">
      <c r="A29" s="280" t="s">
        <v>380</v>
      </c>
      <c r="B29" s="283" t="s">
        <v>379</v>
      </c>
      <c r="C29" s="249" t="s">
        <v>491</v>
      </c>
      <c r="D29" s="249">
        <v>2</v>
      </c>
      <c r="E29" s="245">
        <f>2.22*1.29</f>
        <v>2.8638000000000003</v>
      </c>
      <c r="F29" s="194">
        <f t="shared" si="4"/>
        <v>5.7276000000000007</v>
      </c>
      <c r="G29" s="240">
        <v>1</v>
      </c>
      <c r="H29" s="45"/>
      <c r="I29" s="192"/>
      <c r="J29" s="191">
        <f t="shared" si="5"/>
        <v>0</v>
      </c>
    </row>
    <row r="30" spans="1:10" x14ac:dyDescent="0.2">
      <c r="A30" s="280" t="s">
        <v>377</v>
      </c>
      <c r="B30" s="283" t="s">
        <v>376</v>
      </c>
      <c r="C30" s="249" t="s">
        <v>491</v>
      </c>
      <c r="D30" s="249">
        <v>2</v>
      </c>
      <c r="E30" s="245">
        <f>2.22*1.29</f>
        <v>2.8638000000000003</v>
      </c>
      <c r="F30" s="194">
        <f t="shared" si="4"/>
        <v>5.7276000000000007</v>
      </c>
      <c r="G30" s="240">
        <v>1</v>
      </c>
      <c r="H30" s="45"/>
      <c r="I30" s="192"/>
      <c r="J30" s="191">
        <f t="shared" si="5"/>
        <v>0</v>
      </c>
    </row>
    <row r="31" spans="1:10" x14ac:dyDescent="0.2">
      <c r="A31" s="280" t="s">
        <v>375</v>
      </c>
      <c r="B31" s="283" t="s">
        <v>374</v>
      </c>
      <c r="C31" s="249" t="s">
        <v>491</v>
      </c>
      <c r="D31" s="249">
        <v>1</v>
      </c>
      <c r="E31" s="245">
        <f>2.18*1.94</f>
        <v>4.2292000000000005</v>
      </c>
      <c r="F31" s="194">
        <f t="shared" si="4"/>
        <v>4.2292000000000005</v>
      </c>
      <c r="G31" s="240">
        <v>1</v>
      </c>
      <c r="H31" s="45"/>
      <c r="I31" s="192"/>
      <c r="J31" s="191">
        <f t="shared" si="5"/>
        <v>0</v>
      </c>
    </row>
    <row r="32" spans="1:10" x14ac:dyDescent="0.2">
      <c r="A32" s="280" t="s">
        <v>372</v>
      </c>
      <c r="B32" s="283" t="s">
        <v>371</v>
      </c>
      <c r="C32" s="249" t="s">
        <v>491</v>
      </c>
      <c r="D32" s="249">
        <v>2</v>
      </c>
      <c r="E32" s="245">
        <f>2.18*1.94</f>
        <v>4.2292000000000005</v>
      </c>
      <c r="F32" s="194">
        <f t="shared" si="4"/>
        <v>8.458400000000001</v>
      </c>
      <c r="G32" s="240">
        <v>1</v>
      </c>
      <c r="H32" s="286"/>
      <c r="I32" s="192"/>
      <c r="J32" s="191">
        <f t="shared" si="5"/>
        <v>0</v>
      </c>
    </row>
    <row r="33" spans="1:10" x14ac:dyDescent="0.2">
      <c r="A33" s="280" t="s">
        <v>369</v>
      </c>
      <c r="B33" s="283" t="s">
        <v>368</v>
      </c>
      <c r="C33" s="249" t="s">
        <v>469</v>
      </c>
      <c r="D33" s="249">
        <v>3</v>
      </c>
      <c r="E33" s="245">
        <f>1.34*1.72</f>
        <v>2.3048000000000002</v>
      </c>
      <c r="F33" s="194">
        <f t="shared" si="4"/>
        <v>6.9144000000000005</v>
      </c>
      <c r="G33" s="240">
        <v>1</v>
      </c>
      <c r="H33" s="286"/>
      <c r="I33" s="192"/>
      <c r="J33" s="191">
        <f t="shared" si="5"/>
        <v>0</v>
      </c>
    </row>
    <row r="34" spans="1:10" x14ac:dyDescent="0.2">
      <c r="A34" s="280" t="s">
        <v>365</v>
      </c>
      <c r="B34" s="283" t="s">
        <v>79</v>
      </c>
      <c r="C34" s="249"/>
      <c r="D34" s="249">
        <v>2</v>
      </c>
      <c r="E34" s="245">
        <f>5.7*3.6</f>
        <v>20.52</v>
      </c>
      <c r="F34" s="194">
        <f t="shared" si="4"/>
        <v>41.04</v>
      </c>
      <c r="G34" s="240">
        <v>1</v>
      </c>
      <c r="H34" s="193" t="s">
        <v>479</v>
      </c>
      <c r="I34" s="192"/>
      <c r="J34" s="191">
        <f t="shared" si="5"/>
        <v>0</v>
      </c>
    </row>
    <row r="35" spans="1:10" x14ac:dyDescent="0.2">
      <c r="A35" s="280" t="s">
        <v>363</v>
      </c>
      <c r="B35" s="283" t="s">
        <v>362</v>
      </c>
      <c r="C35" s="249"/>
      <c r="D35" s="249">
        <v>2</v>
      </c>
      <c r="E35" s="245">
        <f>2.43*3.6</f>
        <v>8.7480000000000011</v>
      </c>
      <c r="F35" s="194">
        <f t="shared" si="4"/>
        <v>17.496000000000002</v>
      </c>
      <c r="G35" s="240">
        <v>1</v>
      </c>
      <c r="H35" s="193" t="s">
        <v>479</v>
      </c>
      <c r="I35" s="192"/>
      <c r="J35" s="191">
        <f t="shared" si="5"/>
        <v>0</v>
      </c>
    </row>
    <row r="36" spans="1:10" x14ac:dyDescent="0.2">
      <c r="A36" s="280" t="s">
        <v>361</v>
      </c>
      <c r="B36" s="283" t="s">
        <v>360</v>
      </c>
      <c r="C36" s="249"/>
      <c r="D36" s="249">
        <v>1</v>
      </c>
      <c r="E36" s="245">
        <f>2.73*3.53</f>
        <v>9.6368999999999989</v>
      </c>
      <c r="F36" s="194">
        <f t="shared" si="4"/>
        <v>9.6368999999999989</v>
      </c>
      <c r="G36" s="240">
        <v>1</v>
      </c>
      <c r="H36" s="193" t="s">
        <v>463</v>
      </c>
      <c r="I36" s="192"/>
      <c r="J36" s="191">
        <f t="shared" si="5"/>
        <v>0</v>
      </c>
    </row>
    <row r="37" spans="1:10" x14ac:dyDescent="0.2">
      <c r="A37" s="280"/>
      <c r="B37" s="283" t="s">
        <v>360</v>
      </c>
      <c r="C37" s="249" t="s">
        <v>469</v>
      </c>
      <c r="D37" s="249">
        <v>2</v>
      </c>
      <c r="E37" s="245">
        <f>1.3*0.77</f>
        <v>1.0010000000000001</v>
      </c>
      <c r="F37" s="194">
        <f t="shared" si="4"/>
        <v>2.0020000000000002</v>
      </c>
      <c r="G37" s="240">
        <v>1</v>
      </c>
      <c r="H37" s="45"/>
      <c r="I37" s="192"/>
      <c r="J37" s="191">
        <f t="shared" si="5"/>
        <v>0</v>
      </c>
    </row>
    <row r="38" spans="1:10" x14ac:dyDescent="0.2">
      <c r="A38" s="280" t="s">
        <v>359</v>
      </c>
      <c r="B38" s="287" t="s">
        <v>112</v>
      </c>
      <c r="C38" s="249" t="s">
        <v>491</v>
      </c>
      <c r="D38" s="249">
        <v>2</v>
      </c>
      <c r="E38" s="245">
        <f>2.18*1.94</f>
        <v>4.2292000000000005</v>
      </c>
      <c r="F38" s="194">
        <f t="shared" si="4"/>
        <v>8.458400000000001</v>
      </c>
      <c r="G38" s="240">
        <v>1</v>
      </c>
      <c r="H38" s="286"/>
      <c r="I38" s="192"/>
      <c r="J38" s="191">
        <f t="shared" si="5"/>
        <v>0</v>
      </c>
    </row>
    <row r="39" spans="1:10" x14ac:dyDescent="0.2">
      <c r="A39" s="280" t="s">
        <v>358</v>
      </c>
      <c r="B39" s="287" t="s">
        <v>523</v>
      </c>
      <c r="C39" s="249" t="s">
        <v>469</v>
      </c>
      <c r="D39" s="249">
        <v>3</v>
      </c>
      <c r="E39" s="245">
        <f>2.6*1.26</f>
        <v>3.2760000000000002</v>
      </c>
      <c r="F39" s="194">
        <f t="shared" si="4"/>
        <v>9.8280000000000012</v>
      </c>
      <c r="G39" s="240">
        <v>1</v>
      </c>
      <c r="H39" s="286"/>
      <c r="I39" s="192"/>
      <c r="J39" s="191">
        <f t="shared" si="5"/>
        <v>0</v>
      </c>
    </row>
    <row r="40" spans="1:10" x14ac:dyDescent="0.2">
      <c r="A40" s="280" t="s">
        <v>356</v>
      </c>
      <c r="B40" s="283" t="s">
        <v>522</v>
      </c>
      <c r="C40" s="249" t="s">
        <v>469</v>
      </c>
      <c r="D40" s="249">
        <v>3</v>
      </c>
      <c r="E40" s="245">
        <f>1.637*2.56</f>
        <v>4.1907199999999998</v>
      </c>
      <c r="F40" s="194">
        <f t="shared" ref="F40:F58" si="6">D40*E40</f>
        <v>12.57216</v>
      </c>
      <c r="G40" s="240">
        <v>1</v>
      </c>
      <c r="H40" s="45"/>
      <c r="I40" s="192"/>
      <c r="J40" s="191">
        <f t="shared" si="5"/>
        <v>0</v>
      </c>
    </row>
    <row r="41" spans="1:10" x14ac:dyDescent="0.2">
      <c r="A41" s="280" t="s">
        <v>354</v>
      </c>
      <c r="B41" s="283" t="s">
        <v>353</v>
      </c>
      <c r="C41" s="249" t="s">
        <v>469</v>
      </c>
      <c r="D41" s="249">
        <v>3</v>
      </c>
      <c r="E41" s="245">
        <f>1.62*2.55</f>
        <v>4.1310000000000002</v>
      </c>
      <c r="F41" s="194">
        <f t="shared" si="6"/>
        <v>12.393000000000001</v>
      </c>
      <c r="G41" s="240">
        <v>1</v>
      </c>
      <c r="H41" s="45"/>
      <c r="I41" s="192"/>
      <c r="J41" s="191">
        <f t="shared" si="5"/>
        <v>0</v>
      </c>
    </row>
    <row r="42" spans="1:10" x14ac:dyDescent="0.2">
      <c r="A42" s="280" t="s">
        <v>352</v>
      </c>
      <c r="B42" s="283" t="s">
        <v>86</v>
      </c>
      <c r="C42" s="249" t="s">
        <v>469</v>
      </c>
      <c r="D42" s="249">
        <v>8</v>
      </c>
      <c r="E42" s="245">
        <f>1.9*2.01</f>
        <v>3.8189999999999995</v>
      </c>
      <c r="F42" s="194">
        <f t="shared" si="6"/>
        <v>30.551999999999996</v>
      </c>
      <c r="G42" s="240">
        <v>1</v>
      </c>
      <c r="H42" s="193"/>
      <c r="I42" s="192"/>
      <c r="J42" s="191">
        <f t="shared" si="5"/>
        <v>0</v>
      </c>
    </row>
    <row r="43" spans="1:10" x14ac:dyDescent="0.2">
      <c r="A43" s="280" t="s">
        <v>351</v>
      </c>
      <c r="B43" s="283" t="s">
        <v>350</v>
      </c>
      <c r="C43" s="249" t="s">
        <v>469</v>
      </c>
      <c r="D43" s="249">
        <v>3</v>
      </c>
      <c r="E43" s="245">
        <f>1.62*2.55</f>
        <v>4.1310000000000002</v>
      </c>
      <c r="F43" s="194">
        <f t="shared" si="6"/>
        <v>12.393000000000001</v>
      </c>
      <c r="G43" s="240">
        <v>1</v>
      </c>
      <c r="H43" s="45"/>
      <c r="I43" s="192"/>
      <c r="J43" s="191">
        <f t="shared" si="5"/>
        <v>0</v>
      </c>
    </row>
    <row r="44" spans="1:10" x14ac:dyDescent="0.2">
      <c r="A44" s="280" t="s">
        <v>349</v>
      </c>
      <c r="B44" s="283" t="s">
        <v>348</v>
      </c>
      <c r="C44" s="249" t="s">
        <v>469</v>
      </c>
      <c r="D44" s="249">
        <v>3</v>
      </c>
      <c r="E44" s="245">
        <f>1.62*2.55</f>
        <v>4.1310000000000002</v>
      </c>
      <c r="F44" s="194">
        <f t="shared" si="6"/>
        <v>12.393000000000001</v>
      </c>
      <c r="G44" s="240">
        <v>1</v>
      </c>
      <c r="H44" s="286"/>
      <c r="I44" s="192"/>
      <c r="J44" s="191">
        <f t="shared" si="5"/>
        <v>0</v>
      </c>
    </row>
    <row r="45" spans="1:10" x14ac:dyDescent="0.2">
      <c r="A45" s="280" t="s">
        <v>347</v>
      </c>
      <c r="B45" s="283" t="s">
        <v>521</v>
      </c>
      <c r="C45" s="249" t="s">
        <v>469</v>
      </c>
      <c r="D45" s="249">
        <v>3</v>
      </c>
      <c r="E45" s="245">
        <f>1.98*2.56</f>
        <v>5.0688000000000004</v>
      </c>
      <c r="F45" s="194">
        <f t="shared" si="6"/>
        <v>15.206400000000002</v>
      </c>
      <c r="G45" s="240">
        <v>1</v>
      </c>
      <c r="H45" s="45"/>
      <c r="I45" s="192"/>
      <c r="J45" s="191">
        <f t="shared" si="5"/>
        <v>0</v>
      </c>
    </row>
    <row r="46" spans="1:10" x14ac:dyDescent="0.2">
      <c r="A46" s="280" t="s">
        <v>343</v>
      </c>
      <c r="B46" s="283" t="s">
        <v>126</v>
      </c>
      <c r="C46" s="249" t="s">
        <v>469</v>
      </c>
      <c r="D46" s="249">
        <v>4</v>
      </c>
      <c r="E46" s="245">
        <f>1*2.56</f>
        <v>2.56</v>
      </c>
      <c r="F46" s="194">
        <f t="shared" si="6"/>
        <v>10.24</v>
      </c>
      <c r="G46" s="240">
        <v>1</v>
      </c>
      <c r="H46" s="45"/>
      <c r="I46" s="192"/>
      <c r="J46" s="191">
        <f t="shared" si="5"/>
        <v>0</v>
      </c>
    </row>
    <row r="47" spans="1:10" x14ac:dyDescent="0.2">
      <c r="A47" s="280" t="s">
        <v>341</v>
      </c>
      <c r="B47" s="283" t="s">
        <v>270</v>
      </c>
      <c r="C47" s="249" t="s">
        <v>469</v>
      </c>
      <c r="D47" s="249">
        <v>2</v>
      </c>
      <c r="E47" s="245">
        <f>1*2.56</f>
        <v>2.56</v>
      </c>
      <c r="F47" s="194">
        <f t="shared" si="6"/>
        <v>5.12</v>
      </c>
      <c r="G47" s="240">
        <v>1</v>
      </c>
      <c r="H47" s="45"/>
      <c r="I47" s="192"/>
      <c r="J47" s="191">
        <f t="shared" si="5"/>
        <v>0</v>
      </c>
    </row>
    <row r="48" spans="1:10" x14ac:dyDescent="0.2">
      <c r="A48" s="280" t="s">
        <v>338</v>
      </c>
      <c r="B48" s="283" t="s">
        <v>140</v>
      </c>
      <c r="C48" s="249" t="s">
        <v>469</v>
      </c>
      <c r="D48" s="249">
        <v>3</v>
      </c>
      <c r="E48" s="245">
        <f>1*2</f>
        <v>2</v>
      </c>
      <c r="F48" s="194">
        <f t="shared" si="6"/>
        <v>6</v>
      </c>
      <c r="G48" s="240">
        <v>1</v>
      </c>
      <c r="H48" s="45"/>
      <c r="I48" s="192"/>
      <c r="J48" s="191">
        <f t="shared" si="5"/>
        <v>0</v>
      </c>
    </row>
    <row r="49" spans="1:10" x14ac:dyDescent="0.2">
      <c r="A49" s="280" t="s">
        <v>326</v>
      </c>
      <c r="B49" s="283" t="s">
        <v>520</v>
      </c>
      <c r="C49" s="249" t="s">
        <v>469</v>
      </c>
      <c r="D49" s="249">
        <v>3</v>
      </c>
      <c r="E49" s="245">
        <f>1.12*1.56</f>
        <v>1.7472000000000003</v>
      </c>
      <c r="F49" s="194">
        <f t="shared" si="6"/>
        <v>5.2416000000000009</v>
      </c>
      <c r="G49" s="240">
        <v>1</v>
      </c>
      <c r="H49" s="45"/>
      <c r="I49" s="192"/>
      <c r="J49" s="191">
        <f t="shared" si="5"/>
        <v>0</v>
      </c>
    </row>
    <row r="50" spans="1:10" x14ac:dyDescent="0.2">
      <c r="A50" s="280" t="s">
        <v>326</v>
      </c>
      <c r="B50" s="283" t="s">
        <v>519</v>
      </c>
      <c r="C50" s="249" t="s">
        <v>469</v>
      </c>
      <c r="D50" s="249">
        <v>2</v>
      </c>
      <c r="E50" s="245">
        <v>0.6</v>
      </c>
      <c r="F50" s="194">
        <f t="shared" si="6"/>
        <v>1.2</v>
      </c>
      <c r="G50" s="240">
        <v>1</v>
      </c>
      <c r="H50" s="45"/>
      <c r="I50" s="192"/>
      <c r="J50" s="191">
        <f t="shared" si="5"/>
        <v>0</v>
      </c>
    </row>
    <row r="51" spans="1:10" x14ac:dyDescent="0.2">
      <c r="A51" s="280" t="s">
        <v>326</v>
      </c>
      <c r="B51" s="283" t="s">
        <v>518</v>
      </c>
      <c r="C51" s="249" t="s">
        <v>469</v>
      </c>
      <c r="D51" s="249">
        <v>6</v>
      </c>
      <c r="E51" s="245">
        <v>1.54</v>
      </c>
      <c r="F51" s="194">
        <f t="shared" si="6"/>
        <v>9.24</v>
      </c>
      <c r="G51" s="240">
        <v>1</v>
      </c>
      <c r="H51" s="45"/>
      <c r="I51" s="192"/>
      <c r="J51" s="191">
        <f t="shared" si="5"/>
        <v>0</v>
      </c>
    </row>
    <row r="52" spans="1:10" x14ac:dyDescent="0.2">
      <c r="A52" s="280" t="s">
        <v>517</v>
      </c>
      <c r="B52" s="283" t="s">
        <v>65</v>
      </c>
      <c r="C52" s="249" t="s">
        <v>469</v>
      </c>
      <c r="D52" s="249">
        <v>1</v>
      </c>
      <c r="E52" s="245">
        <f>1.15*1.56</f>
        <v>1.7939999999999998</v>
      </c>
      <c r="F52" s="194">
        <f t="shared" si="6"/>
        <v>1.7939999999999998</v>
      </c>
      <c r="G52" s="240">
        <v>1</v>
      </c>
      <c r="H52" s="45"/>
      <c r="I52" s="192"/>
      <c r="J52" s="191">
        <f t="shared" si="5"/>
        <v>0</v>
      </c>
    </row>
    <row r="53" spans="1:10" x14ac:dyDescent="0.2">
      <c r="A53" s="280" t="s">
        <v>318</v>
      </c>
      <c r="B53" s="283" t="s">
        <v>317</v>
      </c>
      <c r="C53" s="249" t="s">
        <v>469</v>
      </c>
      <c r="D53" s="249">
        <v>1</v>
      </c>
      <c r="E53" s="245">
        <v>6.3</v>
      </c>
      <c r="F53" s="194">
        <f t="shared" si="6"/>
        <v>6.3</v>
      </c>
      <c r="G53" s="240">
        <v>1</v>
      </c>
      <c r="H53" s="45" t="s">
        <v>516</v>
      </c>
      <c r="I53" s="192"/>
      <c r="J53" s="191">
        <f t="shared" si="5"/>
        <v>0</v>
      </c>
    </row>
    <row r="54" spans="1:10" x14ac:dyDescent="0.2">
      <c r="A54" s="280" t="s">
        <v>314</v>
      </c>
      <c r="B54" s="283" t="s">
        <v>84</v>
      </c>
      <c r="C54" s="249" t="s">
        <v>469</v>
      </c>
      <c r="D54" s="249">
        <v>3</v>
      </c>
      <c r="E54" s="245">
        <f>1.62*2.55</f>
        <v>4.1310000000000002</v>
      </c>
      <c r="F54" s="194">
        <f t="shared" si="6"/>
        <v>12.393000000000001</v>
      </c>
      <c r="G54" s="240">
        <v>1</v>
      </c>
      <c r="H54" s="45"/>
      <c r="I54" s="192"/>
      <c r="J54" s="191">
        <f t="shared" si="5"/>
        <v>0</v>
      </c>
    </row>
    <row r="55" spans="1:10" x14ac:dyDescent="0.2">
      <c r="A55" s="291" t="s">
        <v>311</v>
      </c>
      <c r="B55" s="283" t="s">
        <v>116</v>
      </c>
      <c r="C55" s="249" t="s">
        <v>469</v>
      </c>
      <c r="D55" s="249">
        <v>0</v>
      </c>
      <c r="E55" s="245">
        <v>0</v>
      </c>
      <c r="F55" s="194">
        <f t="shared" si="6"/>
        <v>0</v>
      </c>
      <c r="G55" s="240">
        <v>1</v>
      </c>
      <c r="H55" s="45"/>
      <c r="I55" s="192"/>
      <c r="J55" s="191">
        <f t="shared" si="5"/>
        <v>0</v>
      </c>
    </row>
    <row r="56" spans="1:10" x14ac:dyDescent="0.2">
      <c r="A56" s="243" t="s">
        <v>307</v>
      </c>
      <c r="B56" s="283" t="s">
        <v>114</v>
      </c>
      <c r="C56" s="249" t="s">
        <v>469</v>
      </c>
      <c r="D56" s="249">
        <v>0</v>
      </c>
      <c r="E56" s="245">
        <v>0</v>
      </c>
      <c r="F56" s="194">
        <f t="shared" si="6"/>
        <v>0</v>
      </c>
      <c r="G56" s="240">
        <v>1</v>
      </c>
      <c r="H56" s="45"/>
      <c r="I56" s="192"/>
      <c r="J56" s="191">
        <f t="shared" si="5"/>
        <v>0</v>
      </c>
    </row>
    <row r="57" spans="1:10" x14ac:dyDescent="0.2">
      <c r="A57" s="243" t="s">
        <v>303</v>
      </c>
      <c r="B57" s="283" t="s">
        <v>155</v>
      </c>
      <c r="C57" s="249" t="s">
        <v>469</v>
      </c>
      <c r="D57" s="249">
        <v>2</v>
      </c>
      <c r="E57" s="245">
        <v>2.2999999999999998</v>
      </c>
      <c r="F57" s="194">
        <f t="shared" si="6"/>
        <v>4.5999999999999996</v>
      </c>
      <c r="G57" s="240">
        <v>1</v>
      </c>
      <c r="H57" s="45"/>
      <c r="I57" s="192"/>
      <c r="J57" s="191">
        <f t="shared" si="5"/>
        <v>0</v>
      </c>
    </row>
    <row r="58" spans="1:10" x14ac:dyDescent="0.2">
      <c r="A58" s="290" t="s">
        <v>302</v>
      </c>
      <c r="B58" s="288" t="s">
        <v>301</v>
      </c>
      <c r="C58" s="261" t="s">
        <v>469</v>
      </c>
      <c r="D58" s="261">
        <v>1</v>
      </c>
      <c r="E58" s="260">
        <v>1.2</v>
      </c>
      <c r="F58" s="186">
        <f t="shared" si="6"/>
        <v>1.2</v>
      </c>
      <c r="G58" s="185">
        <v>1</v>
      </c>
      <c r="H58" s="251"/>
      <c r="I58" s="192"/>
      <c r="J58" s="191">
        <f t="shared" si="5"/>
        <v>0</v>
      </c>
    </row>
    <row r="59" spans="1:10" ht="13.5" thickBot="1" x14ac:dyDescent="0.25">
      <c r="A59" s="362" t="s">
        <v>515</v>
      </c>
      <c r="B59" s="363"/>
      <c r="C59" s="180"/>
      <c r="D59" s="180"/>
      <c r="E59" s="219"/>
      <c r="F59" s="244">
        <f>SUM(F28:F58)</f>
        <v>281.45265999999998</v>
      </c>
      <c r="G59" s="177"/>
      <c r="H59" s="181"/>
      <c r="I59" s="217"/>
      <c r="J59" s="175"/>
    </row>
    <row r="60" spans="1:10" ht="18.75" customHeight="1" x14ac:dyDescent="0.2">
      <c r="A60" s="243"/>
      <c r="B60" s="242" t="s">
        <v>137</v>
      </c>
      <c r="C60" s="197"/>
      <c r="D60" s="197"/>
      <c r="E60" s="241"/>
      <c r="F60" s="194"/>
      <c r="G60" s="240"/>
      <c r="H60" s="45"/>
      <c r="I60" s="192"/>
      <c r="J60" s="191"/>
    </row>
    <row r="61" spans="1:10" x14ac:dyDescent="0.2">
      <c r="A61" s="280" t="s">
        <v>300</v>
      </c>
      <c r="B61" s="283" t="s">
        <v>299</v>
      </c>
      <c r="C61" s="249" t="s">
        <v>469</v>
      </c>
      <c r="D61" s="249">
        <v>2</v>
      </c>
      <c r="E61" s="245">
        <f>0.8*1.43</f>
        <v>1.1439999999999999</v>
      </c>
      <c r="F61" s="194">
        <f t="shared" ref="F61:F84" si="7">D61*E61</f>
        <v>2.2879999999999998</v>
      </c>
      <c r="G61" s="240">
        <v>1</v>
      </c>
      <c r="H61" s="45"/>
      <c r="I61" s="192"/>
      <c r="J61" s="191">
        <f t="shared" ref="J61:J86" si="8">ROUND(F61*2*I61*G61,2)</f>
        <v>0</v>
      </c>
    </row>
    <row r="62" spans="1:10" x14ac:dyDescent="0.2">
      <c r="A62" s="280"/>
      <c r="B62" s="283" t="s">
        <v>299</v>
      </c>
      <c r="C62" s="249" t="s">
        <v>469</v>
      </c>
      <c r="D62" s="249">
        <v>1</v>
      </c>
      <c r="E62" s="245">
        <f>1.06*1.63</f>
        <v>1.7278</v>
      </c>
      <c r="F62" s="194">
        <f t="shared" si="7"/>
        <v>1.7278</v>
      </c>
      <c r="G62" s="240">
        <v>1</v>
      </c>
      <c r="H62" s="45"/>
      <c r="I62" s="192"/>
      <c r="J62" s="191">
        <f t="shared" si="8"/>
        <v>0</v>
      </c>
    </row>
    <row r="63" spans="1:10" x14ac:dyDescent="0.2">
      <c r="A63" s="280" t="s">
        <v>298</v>
      </c>
      <c r="B63" s="283" t="s">
        <v>297</v>
      </c>
      <c r="C63" s="249" t="s">
        <v>469</v>
      </c>
      <c r="D63" s="249">
        <v>4</v>
      </c>
      <c r="E63" s="245">
        <f>1.36*2.54</f>
        <v>3.4544000000000001</v>
      </c>
      <c r="F63" s="194">
        <f t="shared" si="7"/>
        <v>13.817600000000001</v>
      </c>
      <c r="G63" s="240">
        <v>1</v>
      </c>
      <c r="H63" s="45"/>
      <c r="I63" s="192"/>
      <c r="J63" s="191">
        <f t="shared" si="8"/>
        <v>0</v>
      </c>
    </row>
    <row r="64" spans="1:10" x14ac:dyDescent="0.2">
      <c r="A64" s="280" t="s">
        <v>296</v>
      </c>
      <c r="B64" s="287" t="s">
        <v>295</v>
      </c>
      <c r="C64" s="249" t="s">
        <v>469</v>
      </c>
      <c r="D64" s="249">
        <v>1</v>
      </c>
      <c r="E64" s="245">
        <f>2.54*1.36</f>
        <v>3.4544000000000001</v>
      </c>
      <c r="F64" s="194">
        <f t="shared" si="7"/>
        <v>3.4544000000000001</v>
      </c>
      <c r="G64" s="240">
        <v>1</v>
      </c>
      <c r="H64" s="45"/>
      <c r="I64" s="192"/>
      <c r="J64" s="191">
        <f t="shared" si="8"/>
        <v>0</v>
      </c>
    </row>
    <row r="65" spans="1:10" x14ac:dyDescent="0.2">
      <c r="A65" s="280" t="s">
        <v>294</v>
      </c>
      <c r="B65" s="289" t="s">
        <v>293</v>
      </c>
      <c r="C65" s="249" t="s">
        <v>469</v>
      </c>
      <c r="D65" s="249">
        <v>4</v>
      </c>
      <c r="E65" s="245">
        <f>2.4*1.34</f>
        <v>3.2160000000000002</v>
      </c>
      <c r="F65" s="194">
        <f t="shared" si="7"/>
        <v>12.864000000000001</v>
      </c>
      <c r="G65" s="240">
        <v>1</v>
      </c>
      <c r="H65" s="45"/>
      <c r="I65" s="192"/>
      <c r="J65" s="191">
        <f t="shared" si="8"/>
        <v>0</v>
      </c>
    </row>
    <row r="66" spans="1:10" x14ac:dyDescent="0.2">
      <c r="A66" s="280" t="s">
        <v>292</v>
      </c>
      <c r="B66" s="283" t="s">
        <v>291</v>
      </c>
      <c r="C66" s="249" t="s">
        <v>469</v>
      </c>
      <c r="D66" s="249">
        <v>3</v>
      </c>
      <c r="E66" s="245">
        <f>2.4*1.34</f>
        <v>3.2160000000000002</v>
      </c>
      <c r="F66" s="194">
        <f t="shared" si="7"/>
        <v>9.6479999999999997</v>
      </c>
      <c r="G66" s="240">
        <v>1</v>
      </c>
      <c r="H66" s="45"/>
      <c r="I66" s="192"/>
      <c r="J66" s="191">
        <f t="shared" si="8"/>
        <v>0</v>
      </c>
    </row>
    <row r="67" spans="1:10" x14ac:dyDescent="0.2">
      <c r="A67" s="280" t="s">
        <v>290</v>
      </c>
      <c r="B67" s="283" t="s">
        <v>289</v>
      </c>
      <c r="C67" s="249" t="s">
        <v>469</v>
      </c>
      <c r="D67" s="249">
        <v>3</v>
      </c>
      <c r="E67" s="245">
        <f>2.58*1.25</f>
        <v>3.2250000000000001</v>
      </c>
      <c r="F67" s="194">
        <f t="shared" si="7"/>
        <v>9.6750000000000007</v>
      </c>
      <c r="G67" s="240">
        <v>1</v>
      </c>
      <c r="H67" s="45"/>
      <c r="I67" s="192"/>
      <c r="J67" s="191">
        <f t="shared" si="8"/>
        <v>0</v>
      </c>
    </row>
    <row r="68" spans="1:10" x14ac:dyDescent="0.2">
      <c r="A68" s="280" t="s">
        <v>288</v>
      </c>
      <c r="B68" s="283" t="s">
        <v>287</v>
      </c>
      <c r="C68" s="249" t="s">
        <v>469</v>
      </c>
      <c r="D68" s="249">
        <v>3</v>
      </c>
      <c r="E68" s="245">
        <f>1.62*2.55</f>
        <v>4.1310000000000002</v>
      </c>
      <c r="F68" s="194">
        <f t="shared" si="7"/>
        <v>12.393000000000001</v>
      </c>
      <c r="G68" s="240">
        <v>1</v>
      </c>
      <c r="H68" s="45"/>
      <c r="I68" s="192"/>
      <c r="J68" s="191">
        <f t="shared" si="8"/>
        <v>0</v>
      </c>
    </row>
    <row r="69" spans="1:10" x14ac:dyDescent="0.2">
      <c r="A69" s="280" t="s">
        <v>286</v>
      </c>
      <c r="B69" s="283" t="s">
        <v>285</v>
      </c>
      <c r="C69" s="249" t="s">
        <v>469</v>
      </c>
      <c r="D69" s="249">
        <v>1</v>
      </c>
      <c r="E69" s="245">
        <f>1.637*2.56</f>
        <v>4.1907199999999998</v>
      </c>
      <c r="F69" s="194">
        <f t="shared" si="7"/>
        <v>4.1907199999999998</v>
      </c>
      <c r="G69" s="240">
        <v>1</v>
      </c>
      <c r="H69" s="45"/>
      <c r="I69" s="192"/>
      <c r="J69" s="191">
        <f t="shared" si="8"/>
        <v>0</v>
      </c>
    </row>
    <row r="70" spans="1:10" x14ac:dyDescent="0.2">
      <c r="A70" s="280"/>
      <c r="B70" s="283" t="s">
        <v>285</v>
      </c>
      <c r="C70" s="249" t="s">
        <v>469</v>
      </c>
      <c r="D70" s="249">
        <v>2</v>
      </c>
      <c r="E70" s="245">
        <f>1.62*2.55</f>
        <v>4.1310000000000002</v>
      </c>
      <c r="F70" s="194">
        <f t="shared" si="7"/>
        <v>8.2620000000000005</v>
      </c>
      <c r="G70" s="240">
        <v>1</v>
      </c>
      <c r="H70" s="45"/>
      <c r="I70" s="192"/>
      <c r="J70" s="191">
        <f t="shared" si="8"/>
        <v>0</v>
      </c>
    </row>
    <row r="71" spans="1:10" x14ac:dyDescent="0.2">
      <c r="A71" s="280" t="s">
        <v>284</v>
      </c>
      <c r="B71" s="283" t="s">
        <v>283</v>
      </c>
      <c r="C71" s="249" t="s">
        <v>469</v>
      </c>
      <c r="D71" s="249">
        <v>3</v>
      </c>
      <c r="E71" s="245">
        <f>2.6*1.35+0.8*1.35</f>
        <v>4.59</v>
      </c>
      <c r="F71" s="194">
        <f t="shared" si="7"/>
        <v>13.77</v>
      </c>
      <c r="G71" s="240">
        <v>1</v>
      </c>
      <c r="H71" s="193" t="s">
        <v>514</v>
      </c>
      <c r="I71" s="192"/>
      <c r="J71" s="191">
        <f t="shared" si="8"/>
        <v>0</v>
      </c>
    </row>
    <row r="72" spans="1:10" x14ac:dyDescent="0.2">
      <c r="A72" s="280"/>
      <c r="B72" s="283" t="s">
        <v>283</v>
      </c>
      <c r="C72" s="249"/>
      <c r="D72" s="249">
        <v>2</v>
      </c>
      <c r="E72" s="245">
        <f>5.7*3.6</f>
        <v>20.52</v>
      </c>
      <c r="F72" s="194">
        <f t="shared" si="7"/>
        <v>41.04</v>
      </c>
      <c r="G72" s="240">
        <v>1</v>
      </c>
      <c r="H72" s="193" t="s">
        <v>479</v>
      </c>
      <c r="I72" s="192"/>
      <c r="J72" s="191">
        <f t="shared" si="8"/>
        <v>0</v>
      </c>
    </row>
    <row r="73" spans="1:10" x14ac:dyDescent="0.2">
      <c r="A73" s="280" t="s">
        <v>281</v>
      </c>
      <c r="B73" s="283" t="s">
        <v>280</v>
      </c>
      <c r="C73" s="249"/>
      <c r="D73" s="249">
        <v>1</v>
      </c>
      <c r="E73" s="245">
        <f>2.47*3.6</f>
        <v>8.8920000000000012</v>
      </c>
      <c r="F73" s="194">
        <f t="shared" si="7"/>
        <v>8.8920000000000012</v>
      </c>
      <c r="G73" s="240">
        <v>1</v>
      </c>
      <c r="H73" s="193" t="s">
        <v>485</v>
      </c>
      <c r="I73" s="192"/>
      <c r="J73" s="191">
        <f t="shared" si="8"/>
        <v>0</v>
      </c>
    </row>
    <row r="74" spans="1:10" x14ac:dyDescent="0.2">
      <c r="A74" s="280" t="s">
        <v>279</v>
      </c>
      <c r="B74" s="283" t="s">
        <v>86</v>
      </c>
      <c r="C74" s="249" t="s">
        <v>469</v>
      </c>
      <c r="D74" s="249">
        <v>8</v>
      </c>
      <c r="E74" s="245">
        <f>1.9*2.01</f>
        <v>3.8189999999999995</v>
      </c>
      <c r="F74" s="194">
        <f t="shared" si="7"/>
        <v>30.551999999999996</v>
      </c>
      <c r="G74" s="240">
        <v>1</v>
      </c>
      <c r="H74" s="193" t="s">
        <v>513</v>
      </c>
      <c r="I74" s="192"/>
      <c r="J74" s="191">
        <f t="shared" si="8"/>
        <v>0</v>
      </c>
    </row>
    <row r="75" spans="1:10" x14ac:dyDescent="0.2">
      <c r="A75" s="280" t="s">
        <v>278</v>
      </c>
      <c r="B75" s="283" t="s">
        <v>277</v>
      </c>
      <c r="C75" s="249" t="s">
        <v>469</v>
      </c>
      <c r="D75" s="249">
        <v>3</v>
      </c>
      <c r="E75" s="245">
        <f>1.62*2.55</f>
        <v>4.1310000000000002</v>
      </c>
      <c r="F75" s="194">
        <f t="shared" si="7"/>
        <v>12.393000000000001</v>
      </c>
      <c r="G75" s="240">
        <v>1</v>
      </c>
      <c r="H75" s="45"/>
      <c r="I75" s="192"/>
      <c r="J75" s="191">
        <f t="shared" si="8"/>
        <v>0</v>
      </c>
    </row>
    <row r="76" spans="1:10" x14ac:dyDescent="0.2">
      <c r="A76" s="280" t="s">
        <v>276</v>
      </c>
      <c r="B76" s="283" t="s">
        <v>275</v>
      </c>
      <c r="C76" s="249" t="s">
        <v>469</v>
      </c>
      <c r="D76" s="249">
        <v>3</v>
      </c>
      <c r="E76" s="245">
        <f>1.62*2.55</f>
        <v>4.1310000000000002</v>
      </c>
      <c r="F76" s="194">
        <f t="shared" si="7"/>
        <v>12.393000000000001</v>
      </c>
      <c r="G76" s="240">
        <v>1</v>
      </c>
      <c r="H76" s="45"/>
      <c r="I76" s="192"/>
      <c r="J76" s="191">
        <f t="shared" si="8"/>
        <v>0</v>
      </c>
    </row>
    <row r="77" spans="1:10" x14ac:dyDescent="0.2">
      <c r="A77" s="280" t="s">
        <v>274</v>
      </c>
      <c r="B77" s="283" t="s">
        <v>512</v>
      </c>
      <c r="C77" s="249" t="s">
        <v>469</v>
      </c>
      <c r="D77" s="249">
        <v>3</v>
      </c>
      <c r="E77" s="245">
        <f>1.98*2.56</f>
        <v>5.0688000000000004</v>
      </c>
      <c r="F77" s="194">
        <f t="shared" si="7"/>
        <v>15.206400000000002</v>
      </c>
      <c r="G77" s="240">
        <v>1</v>
      </c>
      <c r="H77" s="193"/>
      <c r="I77" s="192"/>
      <c r="J77" s="191">
        <f t="shared" si="8"/>
        <v>0</v>
      </c>
    </row>
    <row r="78" spans="1:10" x14ac:dyDescent="0.2">
      <c r="A78" s="280" t="s">
        <v>272</v>
      </c>
      <c r="B78" s="283" t="s">
        <v>98</v>
      </c>
      <c r="C78" s="249" t="s">
        <v>469</v>
      </c>
      <c r="D78" s="249">
        <v>2</v>
      </c>
      <c r="E78" s="245">
        <f>1.98*2.56</f>
        <v>5.0688000000000004</v>
      </c>
      <c r="F78" s="194">
        <f t="shared" si="7"/>
        <v>10.137600000000001</v>
      </c>
      <c r="G78" s="240">
        <v>1</v>
      </c>
      <c r="H78" s="193"/>
      <c r="I78" s="192"/>
      <c r="J78" s="191">
        <f t="shared" si="8"/>
        <v>0</v>
      </c>
    </row>
    <row r="79" spans="1:10" x14ac:dyDescent="0.2">
      <c r="A79" s="280" t="s">
        <v>271</v>
      </c>
      <c r="B79" s="283" t="s">
        <v>270</v>
      </c>
      <c r="C79" s="249" t="s">
        <v>469</v>
      </c>
      <c r="D79" s="249">
        <v>1</v>
      </c>
      <c r="E79" s="245">
        <f>1.98*2.56</f>
        <v>5.0688000000000004</v>
      </c>
      <c r="F79" s="194">
        <f t="shared" si="7"/>
        <v>5.0688000000000004</v>
      </c>
      <c r="G79" s="240">
        <v>1</v>
      </c>
      <c r="H79" s="45"/>
      <c r="I79" s="192"/>
      <c r="J79" s="191">
        <f t="shared" si="8"/>
        <v>0</v>
      </c>
    </row>
    <row r="80" spans="1:10" x14ac:dyDescent="0.2">
      <c r="A80" s="280" t="s">
        <v>269</v>
      </c>
      <c r="B80" s="283" t="s">
        <v>144</v>
      </c>
      <c r="C80" s="249" t="s">
        <v>469</v>
      </c>
      <c r="D80" s="249">
        <v>3</v>
      </c>
      <c r="E80" s="245">
        <f>1*2</f>
        <v>2</v>
      </c>
      <c r="F80" s="194">
        <f t="shared" si="7"/>
        <v>6</v>
      </c>
      <c r="G80" s="240">
        <v>1</v>
      </c>
      <c r="H80" s="45"/>
      <c r="I80" s="192"/>
      <c r="J80" s="191">
        <f t="shared" si="8"/>
        <v>0</v>
      </c>
    </row>
    <row r="81" spans="1:10" x14ac:dyDescent="0.2">
      <c r="A81" s="280" t="s">
        <v>268</v>
      </c>
      <c r="B81" s="287" t="s">
        <v>511</v>
      </c>
      <c r="C81" s="249" t="s">
        <v>469</v>
      </c>
      <c r="D81" s="249">
        <v>4</v>
      </c>
      <c r="E81" s="245">
        <f>1.39*2.3</f>
        <v>3.1969999999999996</v>
      </c>
      <c r="F81" s="194">
        <f t="shared" si="7"/>
        <v>12.787999999999998</v>
      </c>
      <c r="G81" s="240">
        <v>1</v>
      </c>
      <c r="H81" s="45"/>
      <c r="I81" s="192"/>
      <c r="J81" s="191">
        <f t="shared" si="8"/>
        <v>0</v>
      </c>
    </row>
    <row r="82" spans="1:10" x14ac:dyDescent="0.2">
      <c r="A82" s="280" t="s">
        <v>266</v>
      </c>
      <c r="B82" s="287" t="s">
        <v>265</v>
      </c>
      <c r="C82" s="249" t="s">
        <v>469</v>
      </c>
      <c r="D82" s="249">
        <v>1</v>
      </c>
      <c r="E82" s="245">
        <f>2.3*1.39</f>
        <v>3.1969999999999996</v>
      </c>
      <c r="F82" s="194">
        <f t="shared" si="7"/>
        <v>3.1969999999999996</v>
      </c>
      <c r="G82" s="240">
        <v>1</v>
      </c>
      <c r="H82" s="45"/>
      <c r="I82" s="192"/>
      <c r="J82" s="191">
        <f t="shared" si="8"/>
        <v>0</v>
      </c>
    </row>
    <row r="83" spans="1:10" x14ac:dyDescent="0.2">
      <c r="A83" s="280" t="s">
        <v>264</v>
      </c>
      <c r="B83" s="283" t="s">
        <v>84</v>
      </c>
      <c r="C83" s="249" t="s">
        <v>469</v>
      </c>
      <c r="D83" s="249">
        <v>3</v>
      </c>
      <c r="E83" s="245">
        <f>1.637*2.56</f>
        <v>4.1907199999999998</v>
      </c>
      <c r="F83" s="194">
        <f t="shared" si="7"/>
        <v>12.57216</v>
      </c>
      <c r="G83" s="240">
        <v>1</v>
      </c>
      <c r="H83" s="45"/>
      <c r="I83" s="192"/>
      <c r="J83" s="191">
        <f t="shared" si="8"/>
        <v>0</v>
      </c>
    </row>
    <row r="84" spans="1:10" x14ac:dyDescent="0.2">
      <c r="A84" s="280" t="s">
        <v>263</v>
      </c>
      <c r="B84" s="283" t="s">
        <v>116</v>
      </c>
      <c r="C84" s="249" t="s">
        <v>469</v>
      </c>
      <c r="D84" s="249">
        <v>1</v>
      </c>
      <c r="E84" s="245">
        <f>1.62*2.55</f>
        <v>4.1310000000000002</v>
      </c>
      <c r="F84" s="194">
        <f t="shared" si="7"/>
        <v>4.1310000000000002</v>
      </c>
      <c r="G84" s="240">
        <v>1</v>
      </c>
      <c r="H84" s="193"/>
      <c r="I84" s="192"/>
      <c r="J84" s="191">
        <f t="shared" si="8"/>
        <v>0</v>
      </c>
    </row>
    <row r="85" spans="1:10" x14ac:dyDescent="0.2">
      <c r="A85" s="280" t="s">
        <v>262</v>
      </c>
      <c r="B85" s="283" t="s">
        <v>510</v>
      </c>
      <c r="C85" s="249"/>
      <c r="D85" s="249">
        <v>0</v>
      </c>
      <c r="E85" s="245">
        <v>0</v>
      </c>
      <c r="F85" s="194">
        <v>0</v>
      </c>
      <c r="G85" s="240"/>
      <c r="H85" s="193"/>
      <c r="I85" s="192"/>
      <c r="J85" s="191">
        <f t="shared" si="8"/>
        <v>0</v>
      </c>
    </row>
    <row r="86" spans="1:10" x14ac:dyDescent="0.2">
      <c r="A86" s="284" t="s">
        <v>261</v>
      </c>
      <c r="B86" s="288" t="s">
        <v>260</v>
      </c>
      <c r="C86" s="261" t="s">
        <v>469</v>
      </c>
      <c r="D86" s="261">
        <v>2</v>
      </c>
      <c r="E86" s="260">
        <v>2.9</v>
      </c>
      <c r="F86" s="186">
        <f>D86*E86</f>
        <v>5.8</v>
      </c>
      <c r="G86" s="185">
        <v>1</v>
      </c>
      <c r="H86" s="189"/>
      <c r="I86" s="192"/>
      <c r="J86" s="191">
        <f t="shared" si="8"/>
        <v>0</v>
      </c>
    </row>
    <row r="87" spans="1:10" ht="13.5" thickBot="1" x14ac:dyDescent="0.25">
      <c r="A87" s="362" t="s">
        <v>482</v>
      </c>
      <c r="B87" s="363"/>
      <c r="C87" s="180"/>
      <c r="D87" s="180"/>
      <c r="E87" s="219"/>
      <c r="F87" s="244">
        <f>SUM(F61:F86)</f>
        <v>272.26148000000006</v>
      </c>
      <c r="G87" s="177"/>
      <c r="H87" s="181"/>
      <c r="I87" s="217"/>
      <c r="J87" s="175"/>
    </row>
    <row r="88" spans="1:10" ht="18.75" customHeight="1" x14ac:dyDescent="0.2">
      <c r="A88" s="243"/>
      <c r="B88" s="242" t="s">
        <v>110</v>
      </c>
      <c r="C88" s="197"/>
      <c r="D88" s="197"/>
      <c r="E88" s="241"/>
      <c r="F88" s="194"/>
      <c r="G88" s="240"/>
      <c r="H88" s="45"/>
      <c r="I88" s="192"/>
      <c r="J88" s="191"/>
    </row>
    <row r="89" spans="1:10" x14ac:dyDescent="0.2">
      <c r="A89" s="280" t="s">
        <v>509</v>
      </c>
      <c r="B89" s="283" t="s">
        <v>335</v>
      </c>
      <c r="C89" s="249" t="s">
        <v>469</v>
      </c>
      <c r="D89" s="249">
        <v>2</v>
      </c>
      <c r="E89" s="245">
        <f>0.8*1.43</f>
        <v>1.1439999999999999</v>
      </c>
      <c r="F89" s="194">
        <f>D89*E89</f>
        <v>2.2879999999999998</v>
      </c>
      <c r="G89" s="240">
        <v>1</v>
      </c>
      <c r="H89" s="45"/>
      <c r="I89" s="192"/>
      <c r="J89" s="191">
        <f t="shared" ref="J89:J113" si="9">ROUND(F89*2*I89*G89,2)</f>
        <v>0</v>
      </c>
    </row>
    <row r="90" spans="1:10" x14ac:dyDescent="0.2">
      <c r="A90" s="280"/>
      <c r="B90" s="283" t="s">
        <v>335</v>
      </c>
      <c r="C90" s="249" t="s">
        <v>469</v>
      </c>
      <c r="D90" s="249">
        <v>1</v>
      </c>
      <c r="E90" s="245">
        <f>1.06*1.63</f>
        <v>1.7278</v>
      </c>
      <c r="F90" s="194">
        <f>D90*E90</f>
        <v>1.7278</v>
      </c>
      <c r="G90" s="240">
        <v>1</v>
      </c>
      <c r="H90" s="45"/>
      <c r="I90" s="192"/>
      <c r="J90" s="191">
        <f t="shared" si="9"/>
        <v>0</v>
      </c>
    </row>
    <row r="91" spans="1:10" x14ac:dyDescent="0.2">
      <c r="A91" s="280" t="s">
        <v>508</v>
      </c>
      <c r="B91" s="283" t="s">
        <v>335</v>
      </c>
      <c r="C91" s="249" t="s">
        <v>469</v>
      </c>
      <c r="D91" s="249">
        <v>1</v>
      </c>
      <c r="E91" s="245">
        <f>0.82*1.28</f>
        <v>1.0495999999999999</v>
      </c>
      <c r="F91" s="194">
        <f>D91*E91</f>
        <v>1.0495999999999999</v>
      </c>
      <c r="G91" s="240">
        <v>1</v>
      </c>
      <c r="H91" s="45"/>
      <c r="I91" s="192"/>
      <c r="J91" s="191">
        <f t="shared" si="9"/>
        <v>0</v>
      </c>
    </row>
    <row r="92" spans="1:10" x14ac:dyDescent="0.2">
      <c r="A92" s="280" t="s">
        <v>255</v>
      </c>
      <c r="B92" s="283" t="s">
        <v>254</v>
      </c>
      <c r="C92" s="249" t="s">
        <v>469</v>
      </c>
      <c r="D92" s="249">
        <v>1</v>
      </c>
      <c r="E92" s="245">
        <f>2.05*2.38</f>
        <v>4.8789999999999996</v>
      </c>
      <c r="F92" s="194">
        <f>D92*E92</f>
        <v>4.8789999999999996</v>
      </c>
      <c r="G92" s="240">
        <v>1</v>
      </c>
      <c r="H92" s="45"/>
      <c r="I92" s="192"/>
      <c r="J92" s="191">
        <f t="shared" si="9"/>
        <v>0</v>
      </c>
    </row>
    <row r="93" spans="1:10" x14ac:dyDescent="0.2">
      <c r="A93" s="280" t="s">
        <v>253</v>
      </c>
      <c r="B93" s="283" t="s">
        <v>96</v>
      </c>
      <c r="C93" s="249" t="s">
        <v>469</v>
      </c>
      <c r="D93" s="249">
        <v>7</v>
      </c>
      <c r="E93" s="245">
        <f>1.35*3.98</f>
        <v>5.3730000000000002</v>
      </c>
      <c r="F93" s="194">
        <f>D93*E93</f>
        <v>37.611000000000004</v>
      </c>
      <c r="G93" s="240">
        <v>1</v>
      </c>
      <c r="H93" s="45"/>
      <c r="I93" s="192"/>
      <c r="J93" s="191">
        <f t="shared" si="9"/>
        <v>0</v>
      </c>
    </row>
    <row r="94" spans="1:10" x14ac:dyDescent="0.2">
      <c r="A94" s="280" t="s">
        <v>252</v>
      </c>
      <c r="B94" s="283" t="s">
        <v>86</v>
      </c>
      <c r="C94" s="249"/>
      <c r="D94" s="249">
        <v>0</v>
      </c>
      <c r="E94" s="245">
        <v>0</v>
      </c>
      <c r="F94" s="194">
        <v>0</v>
      </c>
      <c r="G94" s="240"/>
      <c r="H94" s="45"/>
      <c r="I94" s="192"/>
      <c r="J94" s="191">
        <f t="shared" si="9"/>
        <v>0</v>
      </c>
    </row>
    <row r="95" spans="1:10" x14ac:dyDescent="0.2">
      <c r="A95" s="280" t="s">
        <v>251</v>
      </c>
      <c r="B95" s="283" t="s">
        <v>84</v>
      </c>
      <c r="C95" s="249" t="s">
        <v>469</v>
      </c>
      <c r="D95" s="249">
        <v>3</v>
      </c>
      <c r="E95" s="245">
        <f>1.64*2.55</f>
        <v>4.1819999999999995</v>
      </c>
      <c r="F95" s="194">
        <f t="shared" ref="F95:F113" si="10">D95*E95</f>
        <v>12.545999999999999</v>
      </c>
      <c r="G95" s="240">
        <v>1</v>
      </c>
      <c r="H95" s="45"/>
      <c r="I95" s="192"/>
      <c r="J95" s="191">
        <f t="shared" si="9"/>
        <v>0</v>
      </c>
    </row>
    <row r="96" spans="1:10" x14ac:dyDescent="0.2">
      <c r="A96" s="280" t="s">
        <v>250</v>
      </c>
      <c r="B96" s="283" t="s">
        <v>357</v>
      </c>
      <c r="C96" s="249" t="s">
        <v>469</v>
      </c>
      <c r="D96" s="249">
        <v>1</v>
      </c>
      <c r="E96" s="245">
        <f>1.62*2.55</f>
        <v>4.1310000000000002</v>
      </c>
      <c r="F96" s="194">
        <f t="shared" si="10"/>
        <v>4.1310000000000002</v>
      </c>
      <c r="G96" s="240">
        <v>1</v>
      </c>
      <c r="H96" s="45"/>
      <c r="I96" s="192"/>
      <c r="J96" s="191">
        <f t="shared" si="9"/>
        <v>0</v>
      </c>
    </row>
    <row r="97" spans="1:10" x14ac:dyDescent="0.2">
      <c r="A97" s="280" t="s">
        <v>248</v>
      </c>
      <c r="B97" s="283" t="s">
        <v>171</v>
      </c>
      <c r="C97" s="249" t="s">
        <v>469</v>
      </c>
      <c r="D97" s="249">
        <v>2</v>
      </c>
      <c r="E97" s="245">
        <f>1.63*2.555</f>
        <v>4.16465</v>
      </c>
      <c r="F97" s="194">
        <f t="shared" si="10"/>
        <v>8.3292999999999999</v>
      </c>
      <c r="G97" s="240">
        <v>1</v>
      </c>
      <c r="H97" s="45"/>
      <c r="I97" s="192"/>
      <c r="J97" s="191">
        <f t="shared" si="9"/>
        <v>0</v>
      </c>
    </row>
    <row r="98" spans="1:10" x14ac:dyDescent="0.2">
      <c r="A98" s="280" t="s">
        <v>247</v>
      </c>
      <c r="B98" s="287" t="s">
        <v>246</v>
      </c>
      <c r="C98" s="249" t="s">
        <v>469</v>
      </c>
      <c r="D98" s="249">
        <v>3</v>
      </c>
      <c r="E98" s="245">
        <f>1.63*2.555</f>
        <v>4.16465</v>
      </c>
      <c r="F98" s="194">
        <f t="shared" si="10"/>
        <v>12.49395</v>
      </c>
      <c r="G98" s="240">
        <v>1</v>
      </c>
      <c r="H98" s="45"/>
      <c r="I98" s="192"/>
      <c r="J98" s="191">
        <f t="shared" si="9"/>
        <v>0</v>
      </c>
    </row>
    <row r="99" spans="1:10" x14ac:dyDescent="0.2">
      <c r="A99" s="280" t="s">
        <v>245</v>
      </c>
      <c r="B99" s="283" t="s">
        <v>244</v>
      </c>
      <c r="C99" s="249" t="s">
        <v>469</v>
      </c>
      <c r="D99" s="249">
        <v>3</v>
      </c>
      <c r="E99" s="245">
        <f>1.63*2.555</f>
        <v>4.16465</v>
      </c>
      <c r="F99" s="194">
        <f t="shared" si="10"/>
        <v>12.49395</v>
      </c>
      <c r="G99" s="240">
        <v>1</v>
      </c>
      <c r="H99" s="286"/>
      <c r="I99" s="192"/>
      <c r="J99" s="191">
        <f t="shared" si="9"/>
        <v>0</v>
      </c>
    </row>
    <row r="100" spans="1:10" x14ac:dyDescent="0.2">
      <c r="A100" s="280" t="s">
        <v>243</v>
      </c>
      <c r="B100" s="283" t="s">
        <v>242</v>
      </c>
      <c r="C100" s="249" t="s">
        <v>469</v>
      </c>
      <c r="D100" s="249">
        <v>3</v>
      </c>
      <c r="E100" s="245">
        <f>1.63*2.555</f>
        <v>4.16465</v>
      </c>
      <c r="F100" s="194">
        <f t="shared" si="10"/>
        <v>12.49395</v>
      </c>
      <c r="G100" s="240">
        <v>1</v>
      </c>
      <c r="H100" s="285"/>
      <c r="I100" s="192"/>
      <c r="J100" s="191">
        <f t="shared" si="9"/>
        <v>0</v>
      </c>
    </row>
    <row r="101" spans="1:10" x14ac:dyDescent="0.2">
      <c r="A101" s="280" t="s">
        <v>241</v>
      </c>
      <c r="B101" s="283" t="s">
        <v>116</v>
      </c>
      <c r="C101" s="249" t="s">
        <v>469</v>
      </c>
      <c r="D101" s="249">
        <v>8</v>
      </c>
      <c r="E101" s="245">
        <f>2.89*1.595</f>
        <v>4.6095500000000005</v>
      </c>
      <c r="F101" s="194">
        <f t="shared" si="10"/>
        <v>36.876400000000004</v>
      </c>
      <c r="G101" s="240">
        <v>1</v>
      </c>
      <c r="H101" s="285"/>
      <c r="I101" s="192"/>
      <c r="J101" s="191">
        <f t="shared" si="9"/>
        <v>0</v>
      </c>
    </row>
    <row r="102" spans="1:10" x14ac:dyDescent="0.2">
      <c r="A102" s="280"/>
      <c r="B102" s="283" t="s">
        <v>116</v>
      </c>
      <c r="C102" s="249"/>
      <c r="D102" s="249">
        <v>1</v>
      </c>
      <c r="E102" s="245">
        <f>2.47*3.6</f>
        <v>8.8920000000000012</v>
      </c>
      <c r="F102" s="194">
        <f t="shared" si="10"/>
        <v>8.8920000000000012</v>
      </c>
      <c r="G102" s="240">
        <v>1</v>
      </c>
      <c r="H102" s="285" t="s">
        <v>485</v>
      </c>
      <c r="I102" s="192"/>
      <c r="J102" s="191">
        <f t="shared" si="9"/>
        <v>0</v>
      </c>
    </row>
    <row r="103" spans="1:10" x14ac:dyDescent="0.2">
      <c r="A103" s="280" t="s">
        <v>240</v>
      </c>
      <c r="B103" s="283" t="s">
        <v>114</v>
      </c>
      <c r="C103" s="249" t="s">
        <v>469</v>
      </c>
      <c r="D103" s="249">
        <v>4</v>
      </c>
      <c r="E103" s="245">
        <f>2.56*1.33</f>
        <v>3.4048000000000003</v>
      </c>
      <c r="F103" s="194">
        <f t="shared" si="10"/>
        <v>13.619200000000001</v>
      </c>
      <c r="G103" s="240">
        <v>1</v>
      </c>
      <c r="H103" s="193"/>
      <c r="I103" s="192"/>
      <c r="J103" s="191">
        <f t="shared" si="9"/>
        <v>0</v>
      </c>
    </row>
    <row r="104" spans="1:10" x14ac:dyDescent="0.2">
      <c r="A104" s="280" t="s">
        <v>239</v>
      </c>
      <c r="B104" s="283" t="s">
        <v>238</v>
      </c>
      <c r="C104" s="249" t="s">
        <v>469</v>
      </c>
      <c r="D104" s="249">
        <v>1</v>
      </c>
      <c r="E104" s="245">
        <f>2.32*1.41</f>
        <v>3.2711999999999994</v>
      </c>
      <c r="F104" s="194">
        <f t="shared" si="10"/>
        <v>3.2711999999999994</v>
      </c>
      <c r="G104" s="240">
        <v>1</v>
      </c>
      <c r="H104" s="45"/>
      <c r="I104" s="192"/>
      <c r="J104" s="191">
        <f t="shared" si="9"/>
        <v>0</v>
      </c>
    </row>
    <row r="105" spans="1:10" x14ac:dyDescent="0.2">
      <c r="A105" s="280" t="s">
        <v>237</v>
      </c>
      <c r="B105" s="283" t="s">
        <v>236</v>
      </c>
      <c r="C105" s="249" t="s">
        <v>469</v>
      </c>
      <c r="D105" s="249">
        <v>4</v>
      </c>
      <c r="E105" s="245">
        <f>2.32*1.41</f>
        <v>3.2711999999999994</v>
      </c>
      <c r="F105" s="194">
        <f t="shared" si="10"/>
        <v>13.084799999999998</v>
      </c>
      <c r="G105" s="240">
        <v>1</v>
      </c>
      <c r="H105" s="45"/>
      <c r="I105" s="192"/>
      <c r="J105" s="191">
        <f t="shared" si="9"/>
        <v>0</v>
      </c>
    </row>
    <row r="106" spans="1:10" x14ac:dyDescent="0.2">
      <c r="A106" s="280" t="s">
        <v>235</v>
      </c>
      <c r="B106" s="283" t="s">
        <v>234</v>
      </c>
      <c r="C106" s="249" t="s">
        <v>469</v>
      </c>
      <c r="D106" s="249">
        <v>1</v>
      </c>
      <c r="E106" s="245">
        <f>2.215*2.55</f>
        <v>5.6482499999999991</v>
      </c>
      <c r="F106" s="194">
        <f t="shared" si="10"/>
        <v>5.6482499999999991</v>
      </c>
      <c r="G106" s="240">
        <v>1</v>
      </c>
      <c r="H106" s="45"/>
      <c r="I106" s="192"/>
      <c r="J106" s="191">
        <f t="shared" si="9"/>
        <v>0</v>
      </c>
    </row>
    <row r="107" spans="1:10" x14ac:dyDescent="0.2">
      <c r="A107" s="280"/>
      <c r="B107" s="283" t="s">
        <v>234</v>
      </c>
      <c r="C107" s="249" t="s">
        <v>469</v>
      </c>
      <c r="D107" s="249">
        <v>1</v>
      </c>
      <c r="E107" s="245">
        <f>0.8*2.26</f>
        <v>1.8079999999999998</v>
      </c>
      <c r="F107" s="194">
        <f t="shared" si="10"/>
        <v>1.8079999999999998</v>
      </c>
      <c r="G107" s="240">
        <v>1</v>
      </c>
      <c r="I107" s="192"/>
      <c r="J107" s="191">
        <f t="shared" si="9"/>
        <v>0</v>
      </c>
    </row>
    <row r="108" spans="1:10" x14ac:dyDescent="0.2">
      <c r="A108" s="280"/>
      <c r="B108" s="283" t="s">
        <v>234</v>
      </c>
      <c r="C108" s="249"/>
      <c r="D108" s="249">
        <v>1</v>
      </c>
      <c r="E108" s="245">
        <f>5.7*3.6</f>
        <v>20.52</v>
      </c>
      <c r="F108" s="194">
        <f t="shared" si="10"/>
        <v>20.52</v>
      </c>
      <c r="G108" s="240">
        <v>1</v>
      </c>
      <c r="H108" s="193" t="s">
        <v>479</v>
      </c>
      <c r="I108" s="192"/>
      <c r="J108" s="191">
        <f t="shared" si="9"/>
        <v>0</v>
      </c>
    </row>
    <row r="109" spans="1:10" x14ac:dyDescent="0.2">
      <c r="A109" s="280" t="s">
        <v>233</v>
      </c>
      <c r="B109" s="283" t="s">
        <v>140</v>
      </c>
      <c r="C109" s="249" t="s">
        <v>469</v>
      </c>
      <c r="D109" s="249">
        <v>3</v>
      </c>
      <c r="E109" s="245">
        <f>1*2</f>
        <v>2</v>
      </c>
      <c r="F109" s="194">
        <f t="shared" si="10"/>
        <v>6</v>
      </c>
      <c r="G109" s="240">
        <v>1</v>
      </c>
      <c r="H109" s="45"/>
      <c r="I109" s="192"/>
      <c r="J109" s="191">
        <f t="shared" si="9"/>
        <v>0</v>
      </c>
    </row>
    <row r="110" spans="1:10" x14ac:dyDescent="0.2">
      <c r="A110" s="280" t="s">
        <v>232</v>
      </c>
      <c r="B110" s="283" t="s">
        <v>246</v>
      </c>
      <c r="C110" s="249" t="s">
        <v>507</v>
      </c>
      <c r="D110" s="249">
        <v>1</v>
      </c>
      <c r="E110" s="245">
        <v>12</v>
      </c>
      <c r="F110" s="194">
        <f t="shared" si="10"/>
        <v>12</v>
      </c>
      <c r="G110" s="240">
        <v>0.5</v>
      </c>
      <c r="H110" s="45"/>
      <c r="I110" s="192"/>
      <c r="J110" s="191">
        <f t="shared" si="9"/>
        <v>0</v>
      </c>
    </row>
    <row r="111" spans="1:10" x14ac:dyDescent="0.2">
      <c r="A111" s="280" t="s">
        <v>259</v>
      </c>
      <c r="B111" s="283" t="s">
        <v>171</v>
      </c>
      <c r="C111" s="249" t="s">
        <v>469</v>
      </c>
      <c r="D111" s="249">
        <v>2</v>
      </c>
      <c r="E111" s="245">
        <f>1.2*2.56</f>
        <v>3.0720000000000001</v>
      </c>
      <c r="F111" s="194">
        <f t="shared" si="10"/>
        <v>6.1440000000000001</v>
      </c>
      <c r="G111" s="240">
        <v>1</v>
      </c>
      <c r="H111" s="45"/>
      <c r="I111" s="192"/>
      <c r="J111" s="191">
        <f t="shared" si="9"/>
        <v>0</v>
      </c>
    </row>
    <row r="112" spans="1:10" x14ac:dyDescent="0.2">
      <c r="A112" s="284" t="s">
        <v>232</v>
      </c>
      <c r="B112" s="283" t="s">
        <v>246</v>
      </c>
      <c r="C112" s="249" t="s">
        <v>469</v>
      </c>
      <c r="D112" s="261">
        <v>8</v>
      </c>
      <c r="E112" s="245">
        <f>0.998*2.56</f>
        <v>2.5548800000000003</v>
      </c>
      <c r="F112" s="194">
        <f t="shared" si="10"/>
        <v>20.439040000000002</v>
      </c>
      <c r="G112" s="240">
        <v>1</v>
      </c>
      <c r="H112" s="189"/>
      <c r="I112" s="192"/>
      <c r="J112" s="191">
        <f t="shared" si="9"/>
        <v>0</v>
      </c>
    </row>
    <row r="113" spans="1:10" x14ac:dyDescent="0.2">
      <c r="A113" s="284" t="s">
        <v>232</v>
      </c>
      <c r="B113" s="283" t="s">
        <v>246</v>
      </c>
      <c r="C113" s="249" t="s">
        <v>469</v>
      </c>
      <c r="D113" s="261">
        <v>1</v>
      </c>
      <c r="E113" s="260">
        <v>3.85</v>
      </c>
      <c r="F113" s="194">
        <f t="shared" si="10"/>
        <v>3.85</v>
      </c>
      <c r="G113" s="240">
        <v>1</v>
      </c>
      <c r="H113" s="189"/>
      <c r="I113" s="192"/>
      <c r="J113" s="191">
        <f t="shared" si="9"/>
        <v>0</v>
      </c>
    </row>
    <row r="114" spans="1:10" ht="13.5" thickBot="1" x14ac:dyDescent="0.25">
      <c r="A114" s="362" t="s">
        <v>474</v>
      </c>
      <c r="B114" s="363"/>
      <c r="C114" s="180"/>
      <c r="D114" s="180"/>
      <c r="E114" s="219"/>
      <c r="F114" s="244">
        <f>SUM(F89:F113)</f>
        <v>262.19644000000005</v>
      </c>
      <c r="G114" s="177"/>
      <c r="H114" s="181"/>
      <c r="I114" s="217"/>
      <c r="J114" s="175"/>
    </row>
    <row r="115" spans="1:10" ht="18.75" customHeight="1" x14ac:dyDescent="0.2">
      <c r="A115" s="243"/>
      <c r="B115" s="242" t="s">
        <v>83</v>
      </c>
      <c r="C115" s="197"/>
      <c r="D115" s="197"/>
      <c r="E115" s="241"/>
      <c r="F115" s="194"/>
      <c r="G115" s="240"/>
      <c r="H115" s="45"/>
      <c r="I115" s="192"/>
      <c r="J115" s="191"/>
    </row>
    <row r="116" spans="1:10" x14ac:dyDescent="0.2">
      <c r="A116" s="282" t="s">
        <v>227</v>
      </c>
      <c r="B116" s="281" t="s">
        <v>226</v>
      </c>
      <c r="C116" s="206" t="s">
        <v>469</v>
      </c>
      <c r="D116" s="197">
        <v>1</v>
      </c>
      <c r="E116" s="245">
        <f>0.76*2.4</f>
        <v>1.8239999999999998</v>
      </c>
      <c r="F116" s="194">
        <f t="shared" ref="F116:F126" si="11">D116*E116</f>
        <v>1.8239999999999998</v>
      </c>
      <c r="G116" s="240">
        <v>1</v>
      </c>
      <c r="H116" s="45"/>
      <c r="I116" s="192"/>
      <c r="J116" s="191">
        <f t="shared" ref="J116:J126" si="12">ROUND(F116*2*I116*G116,2)</f>
        <v>0</v>
      </c>
    </row>
    <row r="117" spans="1:10" x14ac:dyDescent="0.2">
      <c r="A117" s="280" t="s">
        <v>225</v>
      </c>
      <c r="B117" s="62" t="s">
        <v>224</v>
      </c>
      <c r="C117" s="206" t="s">
        <v>469</v>
      </c>
      <c r="D117" s="197">
        <v>3</v>
      </c>
      <c r="E117" s="245">
        <f>0.82*1.26</f>
        <v>1.0331999999999999</v>
      </c>
      <c r="F117" s="194">
        <f t="shared" si="11"/>
        <v>3.0995999999999997</v>
      </c>
      <c r="G117" s="240">
        <v>1</v>
      </c>
      <c r="H117" s="45"/>
      <c r="I117" s="192"/>
      <c r="J117" s="191">
        <f t="shared" si="12"/>
        <v>0</v>
      </c>
    </row>
    <row r="118" spans="1:10" x14ac:dyDescent="0.2">
      <c r="A118" s="280" t="s">
        <v>223</v>
      </c>
      <c r="B118" s="62" t="s">
        <v>86</v>
      </c>
      <c r="C118" s="197" t="s">
        <v>469</v>
      </c>
      <c r="D118" s="197">
        <v>2</v>
      </c>
      <c r="E118" s="245">
        <f>0.82*1.26</f>
        <v>1.0331999999999999</v>
      </c>
      <c r="F118" s="194">
        <f t="shared" si="11"/>
        <v>2.0663999999999998</v>
      </c>
      <c r="G118" s="240">
        <v>1</v>
      </c>
      <c r="H118" s="45"/>
      <c r="I118" s="192"/>
      <c r="J118" s="191">
        <f t="shared" si="12"/>
        <v>0</v>
      </c>
    </row>
    <row r="119" spans="1:10" x14ac:dyDescent="0.2">
      <c r="A119" s="280"/>
      <c r="B119" s="62" t="s">
        <v>86</v>
      </c>
      <c r="C119" s="197" t="s">
        <v>469</v>
      </c>
      <c r="D119" s="197">
        <v>1</v>
      </c>
      <c r="E119" s="245">
        <f>2.12*1.26</f>
        <v>2.6712000000000002</v>
      </c>
      <c r="F119" s="194">
        <f t="shared" si="11"/>
        <v>2.6712000000000002</v>
      </c>
      <c r="G119" s="240">
        <v>1</v>
      </c>
      <c r="H119" s="45"/>
      <c r="I119" s="192"/>
      <c r="J119" s="191">
        <f t="shared" si="12"/>
        <v>0</v>
      </c>
    </row>
    <row r="120" spans="1:10" x14ac:dyDescent="0.2">
      <c r="A120" s="280" t="s">
        <v>221</v>
      </c>
      <c r="B120" s="62" t="s">
        <v>171</v>
      </c>
      <c r="C120" s="197"/>
      <c r="D120" s="197">
        <v>0</v>
      </c>
      <c r="E120" s="245">
        <v>0</v>
      </c>
      <c r="F120" s="194">
        <f t="shared" si="11"/>
        <v>0</v>
      </c>
      <c r="G120" s="240"/>
      <c r="H120" s="45"/>
      <c r="I120" s="192"/>
      <c r="J120" s="191">
        <f t="shared" si="12"/>
        <v>0</v>
      </c>
    </row>
    <row r="121" spans="1:10" x14ac:dyDescent="0.2">
      <c r="A121" s="280" t="s">
        <v>219</v>
      </c>
      <c r="B121" s="62" t="s">
        <v>84</v>
      </c>
      <c r="C121" s="197" t="s">
        <v>469</v>
      </c>
      <c r="D121" s="197">
        <v>1</v>
      </c>
      <c r="E121" s="245">
        <f>1.52*1</f>
        <v>1.52</v>
      </c>
      <c r="F121" s="194">
        <f t="shared" si="11"/>
        <v>1.52</v>
      </c>
      <c r="G121" s="240">
        <v>1</v>
      </c>
      <c r="H121" s="45"/>
      <c r="I121" s="192"/>
      <c r="J121" s="191">
        <f t="shared" si="12"/>
        <v>0</v>
      </c>
    </row>
    <row r="122" spans="1:10" x14ac:dyDescent="0.2">
      <c r="A122" s="280"/>
      <c r="B122" s="62" t="s">
        <v>84</v>
      </c>
      <c r="C122" s="197"/>
      <c r="D122" s="197">
        <v>1</v>
      </c>
      <c r="E122" s="245">
        <f>4.1*3</f>
        <v>12.299999999999999</v>
      </c>
      <c r="F122" s="194">
        <f t="shared" si="11"/>
        <v>12.299999999999999</v>
      </c>
      <c r="G122" s="240">
        <v>1</v>
      </c>
      <c r="H122" s="193" t="s">
        <v>484</v>
      </c>
      <c r="I122" s="192"/>
      <c r="J122" s="191">
        <f t="shared" si="12"/>
        <v>0</v>
      </c>
    </row>
    <row r="123" spans="1:10" x14ac:dyDescent="0.2">
      <c r="A123" s="280" t="s">
        <v>213</v>
      </c>
      <c r="B123" s="62" t="s">
        <v>122</v>
      </c>
      <c r="C123" s="197" t="s">
        <v>469</v>
      </c>
      <c r="D123" s="197">
        <v>2</v>
      </c>
      <c r="E123" s="245">
        <f>1.53*1.63</f>
        <v>2.4939</v>
      </c>
      <c r="F123" s="194">
        <f t="shared" si="11"/>
        <v>4.9878</v>
      </c>
      <c r="G123" s="240">
        <v>1</v>
      </c>
      <c r="H123" s="45"/>
      <c r="I123" s="192"/>
      <c r="J123" s="191">
        <f t="shared" si="12"/>
        <v>0</v>
      </c>
    </row>
    <row r="124" spans="1:10" x14ac:dyDescent="0.2">
      <c r="A124" s="280" t="s">
        <v>212</v>
      </c>
      <c r="B124" s="62" t="s">
        <v>211</v>
      </c>
      <c r="C124" s="197" t="s">
        <v>469</v>
      </c>
      <c r="D124" s="197">
        <v>6</v>
      </c>
      <c r="E124" s="245">
        <f>1.52*2.11</f>
        <v>3.2071999999999998</v>
      </c>
      <c r="F124" s="194">
        <f t="shared" si="11"/>
        <v>19.243199999999998</v>
      </c>
      <c r="G124" s="240">
        <v>1</v>
      </c>
      <c r="H124" s="45"/>
      <c r="I124" s="192"/>
      <c r="J124" s="191">
        <f t="shared" si="12"/>
        <v>0</v>
      </c>
    </row>
    <row r="125" spans="1:10" x14ac:dyDescent="0.2">
      <c r="A125" s="280"/>
      <c r="B125" s="62" t="s">
        <v>211</v>
      </c>
      <c r="C125" s="197" t="s">
        <v>469</v>
      </c>
      <c r="D125" s="197">
        <v>2</v>
      </c>
      <c r="E125" s="245">
        <f>1.53*0.98</f>
        <v>1.4994000000000001</v>
      </c>
      <c r="F125" s="194">
        <f t="shared" si="11"/>
        <v>2.9988000000000001</v>
      </c>
      <c r="G125" s="240">
        <v>1</v>
      </c>
      <c r="H125" s="45"/>
      <c r="I125" s="192"/>
      <c r="J125" s="191">
        <f t="shared" si="12"/>
        <v>0</v>
      </c>
    </row>
    <row r="126" spans="1:10" x14ac:dyDescent="0.2">
      <c r="A126" s="280" t="s">
        <v>217</v>
      </c>
      <c r="B126" s="62" t="s">
        <v>102</v>
      </c>
      <c r="C126" s="197" t="s">
        <v>469</v>
      </c>
      <c r="D126" s="197">
        <v>7</v>
      </c>
      <c r="E126" s="245">
        <f>1.49*0.75</f>
        <v>1.1174999999999999</v>
      </c>
      <c r="F126" s="194">
        <f t="shared" si="11"/>
        <v>7.8224999999999998</v>
      </c>
      <c r="G126" s="240">
        <v>1</v>
      </c>
      <c r="H126" s="45"/>
      <c r="I126" s="192"/>
      <c r="J126" s="191">
        <f t="shared" si="12"/>
        <v>0</v>
      </c>
    </row>
    <row r="127" spans="1:10" ht="13.5" thickBot="1" x14ac:dyDescent="0.25">
      <c r="A127" s="362" t="s">
        <v>506</v>
      </c>
      <c r="B127" s="363"/>
      <c r="C127" s="180"/>
      <c r="D127" s="180"/>
      <c r="E127" s="219"/>
      <c r="F127" s="244">
        <f>SUM(F116:F126)</f>
        <v>58.533499999999997</v>
      </c>
      <c r="G127" s="177"/>
      <c r="H127" s="181"/>
      <c r="I127" s="217"/>
      <c r="J127" s="175"/>
    </row>
    <row r="128" spans="1:10" ht="13.5" thickBot="1" x14ac:dyDescent="0.25">
      <c r="A128" s="279"/>
      <c r="B128" s="278" t="s">
        <v>210</v>
      </c>
      <c r="C128" s="174"/>
      <c r="D128" s="174"/>
      <c r="E128" s="277"/>
      <c r="F128" s="276">
        <f>F127+F114+F87+F59+F26</f>
        <v>934.26008000000002</v>
      </c>
      <c r="G128" s="171"/>
      <c r="H128" s="275"/>
      <c r="I128" s="210"/>
      <c r="J128" s="209"/>
    </row>
    <row r="129" spans="1:10" ht="13.5" thickBot="1" x14ac:dyDescent="0.25">
      <c r="A129" s="274"/>
      <c r="B129" s="273"/>
      <c r="C129" s="272"/>
      <c r="D129" s="272"/>
      <c r="E129" s="271"/>
      <c r="F129" s="270"/>
      <c r="G129" s="269"/>
      <c r="H129" s="268"/>
      <c r="I129" s="267"/>
      <c r="J129" s="266"/>
    </row>
    <row r="130" spans="1:10" ht="15.75" x14ac:dyDescent="0.25">
      <c r="A130" s="357" t="s">
        <v>209</v>
      </c>
      <c r="B130" s="358" t="s">
        <v>209</v>
      </c>
      <c r="C130" s="265"/>
      <c r="D130" s="265"/>
      <c r="E130" s="264"/>
      <c r="F130" s="204"/>
      <c r="G130" s="203"/>
      <c r="H130" s="202"/>
      <c r="I130" s="201"/>
      <c r="J130" s="200"/>
    </row>
    <row r="131" spans="1:10" ht="18.75" customHeight="1" x14ac:dyDescent="0.2">
      <c r="A131" s="243"/>
      <c r="B131" s="242" t="s">
        <v>414</v>
      </c>
      <c r="C131" s="197"/>
      <c r="D131" s="197"/>
      <c r="E131" s="241"/>
      <c r="F131" s="194"/>
      <c r="G131" s="240"/>
      <c r="H131" s="45"/>
      <c r="I131" s="192"/>
      <c r="J131" s="191"/>
    </row>
    <row r="132" spans="1:10" x14ac:dyDescent="0.2">
      <c r="A132" s="33" t="s">
        <v>505</v>
      </c>
      <c r="B132" s="58" t="s">
        <v>504</v>
      </c>
      <c r="C132" s="249" t="s">
        <v>469</v>
      </c>
      <c r="D132" s="249">
        <v>2</v>
      </c>
      <c r="E132" s="245">
        <f>1.14*1.14</f>
        <v>1.2995999999999999</v>
      </c>
      <c r="F132" s="194">
        <f>D132*E132</f>
        <v>2.5991999999999997</v>
      </c>
      <c r="G132" s="240">
        <v>1</v>
      </c>
      <c r="H132" s="45"/>
      <c r="I132" s="192"/>
      <c r="J132" s="191">
        <f t="shared" ref="J132:J153" si="13">ROUND(F132*2*I132*G132,2)</f>
        <v>0</v>
      </c>
    </row>
    <row r="133" spans="1:10" x14ac:dyDescent="0.2">
      <c r="A133" s="33" t="s">
        <v>203</v>
      </c>
      <c r="B133" s="58" t="s">
        <v>177</v>
      </c>
      <c r="C133" s="249" t="s">
        <v>469</v>
      </c>
      <c r="D133" s="249">
        <v>1</v>
      </c>
      <c r="E133" s="245">
        <f>1.24*1.13</f>
        <v>1.4011999999999998</v>
      </c>
      <c r="F133" s="194">
        <f>D133*E133</f>
        <v>1.4011999999999998</v>
      </c>
      <c r="G133" s="240">
        <v>1</v>
      </c>
      <c r="H133" s="45"/>
      <c r="I133" s="192"/>
      <c r="J133" s="191">
        <f t="shared" si="13"/>
        <v>0</v>
      </c>
    </row>
    <row r="134" spans="1:10" x14ac:dyDescent="0.2">
      <c r="A134" s="33" t="s">
        <v>202</v>
      </c>
      <c r="B134" s="82" t="s">
        <v>503</v>
      </c>
      <c r="C134" s="249" t="s">
        <v>469</v>
      </c>
      <c r="D134" s="249">
        <v>2</v>
      </c>
      <c r="E134" s="245">
        <f>1.14*1.14</f>
        <v>1.2995999999999999</v>
      </c>
      <c r="F134" s="194">
        <f>D134*E134</f>
        <v>2.5991999999999997</v>
      </c>
      <c r="G134" s="240">
        <v>1</v>
      </c>
      <c r="H134" s="45"/>
      <c r="I134" s="192"/>
      <c r="J134" s="191">
        <f t="shared" si="13"/>
        <v>0</v>
      </c>
    </row>
    <row r="135" spans="1:10" x14ac:dyDescent="0.2">
      <c r="A135" s="33" t="s">
        <v>201</v>
      </c>
      <c r="B135" s="58" t="s">
        <v>200</v>
      </c>
      <c r="C135" s="249" t="s">
        <v>469</v>
      </c>
      <c r="D135" s="249">
        <v>0</v>
      </c>
      <c r="E135" s="245"/>
      <c r="F135" s="194">
        <f>D135*E135</f>
        <v>0</v>
      </c>
      <c r="G135" s="240">
        <v>1</v>
      </c>
      <c r="H135" s="45"/>
      <c r="I135" s="192"/>
      <c r="J135" s="191">
        <f t="shared" si="13"/>
        <v>0</v>
      </c>
    </row>
    <row r="136" spans="1:10" x14ac:dyDescent="0.2">
      <c r="A136" s="33" t="s">
        <v>199</v>
      </c>
      <c r="B136" s="58" t="s">
        <v>81</v>
      </c>
      <c r="C136" s="249" t="s">
        <v>469</v>
      </c>
      <c r="D136" s="249">
        <v>0</v>
      </c>
      <c r="E136" s="245">
        <v>0</v>
      </c>
      <c r="F136" s="194">
        <v>0</v>
      </c>
      <c r="G136" s="240">
        <v>1</v>
      </c>
      <c r="H136" s="45"/>
      <c r="I136" s="192"/>
      <c r="J136" s="191">
        <f t="shared" si="13"/>
        <v>0</v>
      </c>
    </row>
    <row r="137" spans="1:10" x14ac:dyDescent="0.2">
      <c r="A137" s="33" t="s">
        <v>198</v>
      </c>
      <c r="B137" s="58" t="s">
        <v>197</v>
      </c>
      <c r="C137" s="249" t="s">
        <v>469</v>
      </c>
      <c r="D137" s="249">
        <v>4</v>
      </c>
      <c r="E137" s="245">
        <f>0.98*0.88</f>
        <v>0.86239999999999994</v>
      </c>
      <c r="F137" s="194">
        <f t="shared" ref="F137:F153" si="14">D137*E137</f>
        <v>3.4495999999999998</v>
      </c>
      <c r="G137" s="240">
        <v>1</v>
      </c>
      <c r="H137" s="193"/>
      <c r="I137" s="192"/>
      <c r="J137" s="191">
        <f t="shared" si="13"/>
        <v>0</v>
      </c>
    </row>
    <row r="138" spans="1:10" x14ac:dyDescent="0.2">
      <c r="A138" s="33" t="s">
        <v>196</v>
      </c>
      <c r="B138" s="58" t="s">
        <v>195</v>
      </c>
      <c r="C138" s="249" t="s">
        <v>469</v>
      </c>
      <c r="D138" s="249">
        <v>4</v>
      </c>
      <c r="E138" s="245">
        <f>0.98*0.88</f>
        <v>0.86239999999999994</v>
      </c>
      <c r="F138" s="194">
        <f t="shared" si="14"/>
        <v>3.4495999999999998</v>
      </c>
      <c r="G138" s="240">
        <v>1</v>
      </c>
      <c r="H138" s="45"/>
      <c r="I138" s="192"/>
      <c r="J138" s="191">
        <f t="shared" si="13"/>
        <v>0</v>
      </c>
    </row>
    <row r="139" spans="1:10" x14ac:dyDescent="0.2">
      <c r="A139" s="33" t="s">
        <v>502</v>
      </c>
      <c r="B139" s="58" t="s">
        <v>501</v>
      </c>
      <c r="C139" s="249" t="s">
        <v>469</v>
      </c>
      <c r="D139" s="249">
        <v>0</v>
      </c>
      <c r="E139" s="245">
        <v>0</v>
      </c>
      <c r="F139" s="194">
        <f t="shared" si="14"/>
        <v>0</v>
      </c>
      <c r="G139" s="240">
        <v>1</v>
      </c>
      <c r="H139" s="45"/>
      <c r="I139" s="192"/>
      <c r="J139" s="191">
        <f t="shared" si="13"/>
        <v>0</v>
      </c>
    </row>
    <row r="140" spans="1:10" x14ac:dyDescent="0.2">
      <c r="A140" s="33" t="s">
        <v>194</v>
      </c>
      <c r="B140" s="58" t="s">
        <v>79</v>
      </c>
      <c r="C140" s="249" t="s">
        <v>469</v>
      </c>
      <c r="D140" s="249">
        <v>0</v>
      </c>
      <c r="E140" s="245">
        <v>0</v>
      </c>
      <c r="F140" s="194">
        <f t="shared" si="14"/>
        <v>0</v>
      </c>
      <c r="G140" s="240">
        <v>1</v>
      </c>
      <c r="H140" s="45"/>
      <c r="I140" s="192"/>
      <c r="J140" s="191">
        <f t="shared" si="13"/>
        <v>0</v>
      </c>
    </row>
    <row r="141" spans="1:10" x14ac:dyDescent="0.2">
      <c r="A141" s="33" t="s">
        <v>192</v>
      </c>
      <c r="B141" s="58" t="s">
        <v>191</v>
      </c>
      <c r="C141" s="249" t="s">
        <v>469</v>
      </c>
      <c r="D141" s="249">
        <v>2</v>
      </c>
      <c r="E141" s="245">
        <f>1.11*0.88</f>
        <v>0.97680000000000011</v>
      </c>
      <c r="F141" s="194">
        <f t="shared" si="14"/>
        <v>1.9536000000000002</v>
      </c>
      <c r="G141" s="240">
        <v>1</v>
      </c>
      <c r="H141" s="45"/>
      <c r="I141" s="192"/>
      <c r="J141" s="191">
        <f t="shared" si="13"/>
        <v>0</v>
      </c>
    </row>
    <row r="142" spans="1:10" x14ac:dyDescent="0.2">
      <c r="A142" s="33" t="s">
        <v>190</v>
      </c>
      <c r="B142" s="58" t="s">
        <v>189</v>
      </c>
      <c r="C142" s="249" t="s">
        <v>469</v>
      </c>
      <c r="D142" s="249">
        <v>0</v>
      </c>
      <c r="E142" s="245">
        <v>0</v>
      </c>
      <c r="F142" s="194">
        <f t="shared" si="14"/>
        <v>0</v>
      </c>
      <c r="G142" s="240">
        <v>1</v>
      </c>
      <c r="H142" s="45"/>
      <c r="I142" s="192"/>
      <c r="J142" s="191">
        <f t="shared" si="13"/>
        <v>0</v>
      </c>
    </row>
    <row r="143" spans="1:10" x14ac:dyDescent="0.2">
      <c r="A143" s="33" t="s">
        <v>188</v>
      </c>
      <c r="B143" s="58" t="s">
        <v>187</v>
      </c>
      <c r="C143" s="249" t="s">
        <v>469</v>
      </c>
      <c r="D143" s="249">
        <v>2</v>
      </c>
      <c r="E143" s="245">
        <f>1.03*0.88</f>
        <v>0.90639999999999998</v>
      </c>
      <c r="F143" s="194">
        <f t="shared" si="14"/>
        <v>1.8128</v>
      </c>
      <c r="G143" s="240">
        <v>1</v>
      </c>
      <c r="H143" s="45"/>
      <c r="I143" s="192"/>
      <c r="J143" s="191">
        <f t="shared" si="13"/>
        <v>0</v>
      </c>
    </row>
    <row r="144" spans="1:10" x14ac:dyDescent="0.2">
      <c r="A144" s="33" t="s">
        <v>185</v>
      </c>
      <c r="B144" s="58" t="s">
        <v>184</v>
      </c>
      <c r="C144" s="249" t="s">
        <v>469</v>
      </c>
      <c r="D144" s="249">
        <v>4</v>
      </c>
      <c r="E144" s="245">
        <f>0.98*1.86</f>
        <v>1.8228</v>
      </c>
      <c r="F144" s="194">
        <f t="shared" si="14"/>
        <v>7.2911999999999999</v>
      </c>
      <c r="G144" s="240">
        <v>1</v>
      </c>
      <c r="H144" s="45"/>
      <c r="I144" s="192"/>
      <c r="J144" s="191">
        <f t="shared" si="13"/>
        <v>0</v>
      </c>
    </row>
    <row r="145" spans="1:10" x14ac:dyDescent="0.2">
      <c r="A145" s="33" t="s">
        <v>183</v>
      </c>
      <c r="B145" s="58" t="s">
        <v>182</v>
      </c>
      <c r="C145" s="249" t="s">
        <v>469</v>
      </c>
      <c r="D145" s="249">
        <v>0</v>
      </c>
      <c r="E145" s="245">
        <v>0</v>
      </c>
      <c r="F145" s="194">
        <f t="shared" si="14"/>
        <v>0</v>
      </c>
      <c r="G145" s="240">
        <v>1</v>
      </c>
      <c r="H145" s="45"/>
      <c r="I145" s="192"/>
      <c r="J145" s="191">
        <f t="shared" si="13"/>
        <v>0</v>
      </c>
    </row>
    <row r="146" spans="1:10" x14ac:dyDescent="0.2">
      <c r="A146" s="33" t="s">
        <v>181</v>
      </c>
      <c r="B146" s="58" t="s">
        <v>180</v>
      </c>
      <c r="C146" s="249" t="s">
        <v>469</v>
      </c>
      <c r="D146" s="249">
        <v>4</v>
      </c>
      <c r="E146" s="245">
        <f>1.04*1.87</f>
        <v>1.9448000000000001</v>
      </c>
      <c r="F146" s="194">
        <f t="shared" si="14"/>
        <v>7.7792000000000003</v>
      </c>
      <c r="G146" s="240">
        <v>1</v>
      </c>
      <c r="H146" s="193"/>
      <c r="I146" s="192"/>
      <c r="J146" s="191">
        <f t="shared" si="13"/>
        <v>0</v>
      </c>
    </row>
    <row r="147" spans="1:10" x14ac:dyDescent="0.2">
      <c r="A147" s="33" t="s">
        <v>179</v>
      </c>
      <c r="B147" s="58" t="s">
        <v>178</v>
      </c>
      <c r="C147" s="249" t="s">
        <v>469</v>
      </c>
      <c r="D147" s="249">
        <v>4</v>
      </c>
      <c r="E147" s="245">
        <f>1.04*1.87</f>
        <v>1.9448000000000001</v>
      </c>
      <c r="F147" s="194">
        <f t="shared" si="14"/>
        <v>7.7792000000000003</v>
      </c>
      <c r="G147" s="240">
        <v>1</v>
      </c>
      <c r="H147" s="193"/>
      <c r="I147" s="192"/>
      <c r="J147" s="191">
        <f t="shared" si="13"/>
        <v>0</v>
      </c>
    </row>
    <row r="148" spans="1:10" x14ac:dyDescent="0.2">
      <c r="A148" s="33"/>
      <c r="B148" s="58" t="s">
        <v>500</v>
      </c>
      <c r="C148" s="249" t="s">
        <v>469</v>
      </c>
      <c r="D148" s="263">
        <v>1</v>
      </c>
      <c r="E148" s="262">
        <f>0.8*2</f>
        <v>1.6</v>
      </c>
      <c r="F148" s="194">
        <f t="shared" si="14"/>
        <v>1.6</v>
      </c>
      <c r="G148" s="240">
        <v>1</v>
      </c>
      <c r="H148" s="193" t="s">
        <v>483</v>
      </c>
      <c r="I148" s="192"/>
      <c r="J148" s="191">
        <f t="shared" si="13"/>
        <v>0</v>
      </c>
    </row>
    <row r="149" spans="1:10" x14ac:dyDescent="0.2">
      <c r="A149" s="33"/>
      <c r="B149" s="58" t="s">
        <v>499</v>
      </c>
      <c r="C149" s="249" t="s">
        <v>469</v>
      </c>
      <c r="D149" s="249">
        <v>1</v>
      </c>
      <c r="E149" s="245">
        <f>1.24*2</f>
        <v>2.48</v>
      </c>
      <c r="F149" s="194">
        <f t="shared" si="14"/>
        <v>2.48</v>
      </c>
      <c r="G149" s="240">
        <v>1</v>
      </c>
      <c r="H149" s="193"/>
      <c r="I149" s="192"/>
      <c r="J149" s="191">
        <f t="shared" si="13"/>
        <v>0</v>
      </c>
    </row>
    <row r="150" spans="1:10" x14ac:dyDescent="0.2">
      <c r="A150" s="33"/>
      <c r="B150" s="58" t="s">
        <v>86</v>
      </c>
      <c r="C150" s="249" t="s">
        <v>469</v>
      </c>
      <c r="D150" s="249">
        <v>1</v>
      </c>
      <c r="E150" s="245">
        <f>1.12*1.85</f>
        <v>2.0720000000000005</v>
      </c>
      <c r="F150" s="194">
        <f t="shared" si="14"/>
        <v>2.0720000000000005</v>
      </c>
      <c r="G150" s="240">
        <v>1</v>
      </c>
      <c r="H150" s="193"/>
      <c r="I150" s="192"/>
      <c r="J150" s="191">
        <f t="shared" si="13"/>
        <v>0</v>
      </c>
    </row>
    <row r="151" spans="1:10" x14ac:dyDescent="0.2">
      <c r="A151" s="33"/>
      <c r="B151" s="58" t="s">
        <v>86</v>
      </c>
      <c r="C151" s="249" t="s">
        <v>469</v>
      </c>
      <c r="D151" s="249">
        <v>1</v>
      </c>
      <c r="E151" s="245">
        <f>1.11*2.79</f>
        <v>3.0969000000000002</v>
      </c>
      <c r="F151" s="194">
        <f t="shared" si="14"/>
        <v>3.0969000000000002</v>
      </c>
      <c r="G151" s="240">
        <v>1</v>
      </c>
      <c r="H151" s="193" t="s">
        <v>463</v>
      </c>
      <c r="I151" s="192"/>
      <c r="J151" s="191">
        <f t="shared" si="13"/>
        <v>0</v>
      </c>
    </row>
    <row r="152" spans="1:10" x14ac:dyDescent="0.2">
      <c r="A152" s="33" t="s">
        <v>498</v>
      </c>
      <c r="B152" s="58" t="s">
        <v>497</v>
      </c>
      <c r="C152" s="249" t="s">
        <v>469</v>
      </c>
      <c r="D152" s="249">
        <v>2</v>
      </c>
      <c r="E152" s="245">
        <f>1.15*1.87</f>
        <v>2.1505000000000001</v>
      </c>
      <c r="F152" s="194">
        <f t="shared" si="14"/>
        <v>4.3010000000000002</v>
      </c>
      <c r="G152" s="240">
        <v>1</v>
      </c>
      <c r="H152" s="193"/>
      <c r="I152" s="192"/>
      <c r="J152" s="191">
        <f t="shared" si="13"/>
        <v>0</v>
      </c>
    </row>
    <row r="153" spans="1:10" x14ac:dyDescent="0.2">
      <c r="A153" s="256" t="s">
        <v>172</v>
      </c>
      <c r="B153" s="225" t="s">
        <v>496</v>
      </c>
      <c r="C153" s="249" t="s">
        <v>469</v>
      </c>
      <c r="D153" s="261">
        <v>2</v>
      </c>
      <c r="E153" s="260">
        <f>1.15*1.87</f>
        <v>2.1505000000000001</v>
      </c>
      <c r="F153" s="186">
        <f t="shared" si="14"/>
        <v>4.3010000000000002</v>
      </c>
      <c r="G153" s="240">
        <v>1</v>
      </c>
      <c r="H153" s="189"/>
      <c r="I153" s="192"/>
      <c r="J153" s="191">
        <f t="shared" si="13"/>
        <v>0</v>
      </c>
    </row>
    <row r="154" spans="1:10" ht="13.5" thickBot="1" x14ac:dyDescent="0.25">
      <c r="A154" s="362" t="s">
        <v>495</v>
      </c>
      <c r="B154" s="363"/>
      <c r="C154" s="180"/>
      <c r="D154" s="180"/>
      <c r="E154" s="219"/>
      <c r="F154" s="244">
        <f>SUM(F132:F153)</f>
        <v>57.965700000000005</v>
      </c>
      <c r="G154" s="177"/>
      <c r="H154" s="181"/>
      <c r="I154" s="217"/>
      <c r="J154" s="175"/>
    </row>
    <row r="155" spans="1:10" ht="18.75" customHeight="1" x14ac:dyDescent="0.2">
      <c r="A155" s="243"/>
      <c r="B155" s="242" t="s">
        <v>169</v>
      </c>
      <c r="C155" s="197"/>
      <c r="D155" s="197"/>
      <c r="E155" s="241"/>
      <c r="F155" s="194"/>
      <c r="G155" s="240"/>
      <c r="H155" s="45"/>
      <c r="I155" s="192"/>
      <c r="J155" s="191"/>
    </row>
    <row r="156" spans="1:10" x14ac:dyDescent="0.2">
      <c r="A156" s="243" t="s">
        <v>168</v>
      </c>
      <c r="B156" s="58" t="s">
        <v>167</v>
      </c>
      <c r="C156" s="249" t="s">
        <v>469</v>
      </c>
      <c r="D156" s="249">
        <v>4</v>
      </c>
      <c r="E156" s="245">
        <f>2.8*2.7</f>
        <v>7.56</v>
      </c>
      <c r="F156" s="194">
        <f t="shared" ref="F156:F183" si="15">D156*E156</f>
        <v>30.24</v>
      </c>
      <c r="G156" s="240">
        <v>1</v>
      </c>
      <c r="H156" s="45"/>
      <c r="I156" s="192"/>
      <c r="J156" s="191">
        <f t="shared" ref="J156:J183" si="16">ROUND(F156*2*I156*G156,2)</f>
        <v>0</v>
      </c>
    </row>
    <row r="157" spans="1:10" x14ac:dyDescent="0.2">
      <c r="A157" s="243" t="s">
        <v>166</v>
      </c>
      <c r="B157" s="58" t="s">
        <v>81</v>
      </c>
      <c r="C157" s="249"/>
      <c r="D157" s="249">
        <v>2</v>
      </c>
      <c r="E157" s="245">
        <f>4.75*3.64</f>
        <v>17.29</v>
      </c>
      <c r="F157" s="194">
        <f t="shared" si="15"/>
        <v>34.58</v>
      </c>
      <c r="G157" s="240">
        <v>1</v>
      </c>
      <c r="H157" s="193" t="s">
        <v>479</v>
      </c>
      <c r="I157" s="192"/>
      <c r="J157" s="191">
        <f t="shared" si="16"/>
        <v>0</v>
      </c>
    </row>
    <row r="158" spans="1:10" x14ac:dyDescent="0.2">
      <c r="A158" s="243" t="s">
        <v>165</v>
      </c>
      <c r="B158" s="58" t="s">
        <v>102</v>
      </c>
      <c r="C158" s="249" t="s">
        <v>475</v>
      </c>
      <c r="D158" s="249">
        <v>4</v>
      </c>
      <c r="E158" s="245">
        <f>2.06*1.38</f>
        <v>2.8428</v>
      </c>
      <c r="F158" s="194">
        <f t="shared" si="15"/>
        <v>11.3712</v>
      </c>
      <c r="G158" s="240">
        <v>2</v>
      </c>
      <c r="H158" s="193"/>
      <c r="I158" s="192"/>
      <c r="J158" s="191">
        <f t="shared" si="16"/>
        <v>0</v>
      </c>
    </row>
    <row r="159" spans="1:10" x14ac:dyDescent="0.2">
      <c r="A159" s="33" t="s">
        <v>157</v>
      </c>
      <c r="B159" s="58" t="s">
        <v>102</v>
      </c>
      <c r="C159" s="249" t="s">
        <v>469</v>
      </c>
      <c r="D159" s="249">
        <v>2</v>
      </c>
      <c r="E159" s="245">
        <f>2.7*2.61</f>
        <v>7.0469999999999997</v>
      </c>
      <c r="F159" s="194">
        <f t="shared" si="15"/>
        <v>14.093999999999999</v>
      </c>
      <c r="G159" s="240">
        <v>1</v>
      </c>
      <c r="H159" s="193"/>
      <c r="I159" s="192"/>
      <c r="J159" s="191">
        <f t="shared" si="16"/>
        <v>0</v>
      </c>
    </row>
    <row r="160" spans="1:10" x14ac:dyDescent="0.2">
      <c r="A160" s="33" t="s">
        <v>163</v>
      </c>
      <c r="B160" s="58" t="s">
        <v>79</v>
      </c>
      <c r="C160" s="249"/>
      <c r="D160" s="249">
        <v>2</v>
      </c>
      <c r="E160" s="245">
        <f>4.75*3.64</f>
        <v>17.29</v>
      </c>
      <c r="F160" s="194">
        <f t="shared" si="15"/>
        <v>34.58</v>
      </c>
      <c r="G160" s="240">
        <v>1</v>
      </c>
      <c r="H160" s="193" t="s">
        <v>479</v>
      </c>
      <c r="I160" s="192"/>
      <c r="J160" s="191">
        <f t="shared" si="16"/>
        <v>0</v>
      </c>
    </row>
    <row r="161" spans="1:10" x14ac:dyDescent="0.2">
      <c r="A161" s="33"/>
      <c r="B161" s="58" t="s">
        <v>79</v>
      </c>
      <c r="C161" s="249"/>
      <c r="D161" s="249">
        <v>1</v>
      </c>
      <c r="E161" s="245">
        <f>5.97+6.6</f>
        <v>12.57</v>
      </c>
      <c r="F161" s="194">
        <f t="shared" si="15"/>
        <v>12.57</v>
      </c>
      <c r="G161" s="240">
        <v>1</v>
      </c>
      <c r="H161" s="250" t="s">
        <v>494</v>
      </c>
      <c r="I161" s="192"/>
      <c r="J161" s="191">
        <f t="shared" si="16"/>
        <v>0</v>
      </c>
    </row>
    <row r="162" spans="1:10" x14ac:dyDescent="0.2">
      <c r="A162" s="33" t="s">
        <v>162</v>
      </c>
      <c r="B162" s="58" t="s">
        <v>102</v>
      </c>
      <c r="C162" s="249" t="s">
        <v>475</v>
      </c>
      <c r="D162" s="249">
        <v>4</v>
      </c>
      <c r="E162" s="245">
        <f>2.06*1.38</f>
        <v>2.8428</v>
      </c>
      <c r="F162" s="194">
        <f t="shared" si="15"/>
        <v>11.3712</v>
      </c>
      <c r="G162" s="240">
        <v>2</v>
      </c>
      <c r="H162" s="250"/>
      <c r="I162" s="192"/>
      <c r="J162" s="191">
        <f t="shared" si="16"/>
        <v>0</v>
      </c>
    </row>
    <row r="163" spans="1:10" x14ac:dyDescent="0.2">
      <c r="A163" s="33" t="s">
        <v>161</v>
      </c>
      <c r="B163" s="58" t="s">
        <v>102</v>
      </c>
      <c r="C163" s="249" t="s">
        <v>469</v>
      </c>
      <c r="D163" s="249">
        <v>4</v>
      </c>
      <c r="E163" s="245">
        <f>2.7*2.61</f>
        <v>7.0469999999999997</v>
      </c>
      <c r="F163" s="194">
        <f t="shared" si="15"/>
        <v>28.187999999999999</v>
      </c>
      <c r="G163" s="240">
        <v>1</v>
      </c>
      <c r="H163" s="193"/>
      <c r="I163" s="192"/>
      <c r="J163" s="191">
        <f t="shared" si="16"/>
        <v>0</v>
      </c>
    </row>
    <row r="164" spans="1:10" ht="33.75" x14ac:dyDescent="0.2">
      <c r="A164" s="33" t="s">
        <v>160</v>
      </c>
      <c r="B164" s="58" t="s">
        <v>159</v>
      </c>
      <c r="C164" s="249" t="s">
        <v>491</v>
      </c>
      <c r="D164" s="249">
        <v>1</v>
      </c>
      <c r="E164" s="245">
        <f>9.24*2+15.64*2</f>
        <v>49.760000000000005</v>
      </c>
      <c r="F164" s="194">
        <f t="shared" si="15"/>
        <v>49.760000000000005</v>
      </c>
      <c r="G164" s="240">
        <v>1</v>
      </c>
      <c r="H164" s="250" t="s">
        <v>493</v>
      </c>
      <c r="I164" s="192"/>
      <c r="J164" s="191">
        <f t="shared" si="16"/>
        <v>0</v>
      </c>
    </row>
    <row r="165" spans="1:10" x14ac:dyDescent="0.2">
      <c r="A165" s="33" t="s">
        <v>158</v>
      </c>
      <c r="B165" s="58" t="s">
        <v>102</v>
      </c>
      <c r="C165" s="249" t="s">
        <v>469</v>
      </c>
      <c r="D165" s="249">
        <v>4</v>
      </c>
      <c r="E165" s="245">
        <f>2.7*2.61</f>
        <v>7.0469999999999997</v>
      </c>
      <c r="F165" s="194">
        <f t="shared" si="15"/>
        <v>28.187999999999999</v>
      </c>
      <c r="G165" s="240">
        <v>1</v>
      </c>
      <c r="H165" s="250"/>
      <c r="I165" s="192"/>
      <c r="J165" s="191">
        <f t="shared" si="16"/>
        <v>0</v>
      </c>
    </row>
    <row r="166" spans="1:10" x14ac:dyDescent="0.2">
      <c r="A166" s="33" t="s">
        <v>164</v>
      </c>
      <c r="B166" s="58" t="s">
        <v>102</v>
      </c>
      <c r="C166" s="249" t="s">
        <v>475</v>
      </c>
      <c r="D166" s="249">
        <v>4</v>
      </c>
      <c r="E166" s="245">
        <f>2.06*1.38</f>
        <v>2.8428</v>
      </c>
      <c r="F166" s="194">
        <f t="shared" si="15"/>
        <v>11.3712</v>
      </c>
      <c r="G166" s="240">
        <v>2</v>
      </c>
      <c r="H166" s="250"/>
      <c r="I166" s="192"/>
      <c r="J166" s="191">
        <f t="shared" si="16"/>
        <v>0</v>
      </c>
    </row>
    <row r="167" spans="1:10" ht="33.75" x14ac:dyDescent="0.2">
      <c r="A167" s="33" t="s">
        <v>156</v>
      </c>
      <c r="B167" s="58" t="s">
        <v>155</v>
      </c>
      <c r="C167" s="249" t="s">
        <v>469</v>
      </c>
      <c r="D167" s="249">
        <v>1</v>
      </c>
      <c r="E167" s="245">
        <f>9.24*2+15.64*2</f>
        <v>49.760000000000005</v>
      </c>
      <c r="F167" s="194">
        <f t="shared" si="15"/>
        <v>49.760000000000005</v>
      </c>
      <c r="G167" s="240">
        <v>1</v>
      </c>
      <c r="H167" s="250" t="s">
        <v>493</v>
      </c>
      <c r="I167" s="192"/>
      <c r="J167" s="191">
        <f t="shared" si="16"/>
        <v>0</v>
      </c>
    </row>
    <row r="168" spans="1:10" x14ac:dyDescent="0.2">
      <c r="A168" s="33" t="s">
        <v>154</v>
      </c>
      <c r="B168" s="58" t="s">
        <v>102</v>
      </c>
      <c r="C168" s="259" t="s">
        <v>475</v>
      </c>
      <c r="D168" s="246">
        <v>4</v>
      </c>
      <c r="E168" s="245">
        <f>2.7*2.61</f>
        <v>7.0469999999999997</v>
      </c>
      <c r="F168" s="194">
        <f t="shared" si="15"/>
        <v>28.187999999999999</v>
      </c>
      <c r="G168" s="240">
        <v>2</v>
      </c>
      <c r="H168" s="193"/>
      <c r="I168" s="192"/>
      <c r="J168" s="191">
        <f t="shared" si="16"/>
        <v>0</v>
      </c>
    </row>
    <row r="169" spans="1:10" x14ac:dyDescent="0.2">
      <c r="A169" s="33" t="s">
        <v>153</v>
      </c>
      <c r="B169" s="58" t="s">
        <v>86</v>
      </c>
      <c r="C169" s="259" t="s">
        <v>475</v>
      </c>
      <c r="D169" s="246">
        <v>2</v>
      </c>
      <c r="E169" s="245">
        <f>2.78*2.7</f>
        <v>7.5060000000000002</v>
      </c>
      <c r="F169" s="194">
        <f t="shared" si="15"/>
        <v>15.012</v>
      </c>
      <c r="G169" s="240">
        <v>2</v>
      </c>
      <c r="H169" s="193"/>
      <c r="I169" s="192"/>
      <c r="J169" s="191">
        <f t="shared" si="16"/>
        <v>0</v>
      </c>
    </row>
    <row r="170" spans="1:10" x14ac:dyDescent="0.2">
      <c r="A170" s="33"/>
      <c r="B170" s="58" t="s">
        <v>86</v>
      </c>
      <c r="C170" s="259"/>
      <c r="D170" s="258">
        <v>1</v>
      </c>
      <c r="E170" s="257">
        <f>4*3.1</f>
        <v>12.4</v>
      </c>
      <c r="F170" s="194">
        <f t="shared" si="15"/>
        <v>12.4</v>
      </c>
      <c r="G170" s="240">
        <v>1</v>
      </c>
      <c r="H170" s="193" t="s">
        <v>484</v>
      </c>
      <c r="I170" s="192"/>
      <c r="J170" s="191">
        <f t="shared" si="16"/>
        <v>0</v>
      </c>
    </row>
    <row r="171" spans="1:10" x14ac:dyDescent="0.2">
      <c r="A171" s="33" t="s">
        <v>152</v>
      </c>
      <c r="B171" s="58" t="s">
        <v>84</v>
      </c>
      <c r="C171" s="231"/>
      <c r="D171" s="230">
        <v>2</v>
      </c>
      <c r="E171" s="229">
        <f>4.75*3.64</f>
        <v>17.29</v>
      </c>
      <c r="F171" s="194">
        <f t="shared" si="15"/>
        <v>34.58</v>
      </c>
      <c r="G171" s="255">
        <v>1</v>
      </c>
      <c r="H171" s="193" t="s">
        <v>484</v>
      </c>
      <c r="I171" s="192"/>
      <c r="J171" s="191">
        <f t="shared" si="16"/>
        <v>0</v>
      </c>
    </row>
    <row r="172" spans="1:10" x14ac:dyDescent="0.2">
      <c r="A172" s="33"/>
      <c r="B172" s="58" t="s">
        <v>84</v>
      </c>
      <c r="C172" s="231"/>
      <c r="D172" s="230">
        <v>2</v>
      </c>
      <c r="E172" s="229">
        <f>4*3.1</f>
        <v>12.4</v>
      </c>
      <c r="F172" s="194">
        <f t="shared" si="15"/>
        <v>24.8</v>
      </c>
      <c r="G172" s="255">
        <v>1</v>
      </c>
      <c r="H172" s="193" t="s">
        <v>484</v>
      </c>
      <c r="I172" s="192"/>
      <c r="J172" s="191">
        <f t="shared" si="16"/>
        <v>0</v>
      </c>
    </row>
    <row r="173" spans="1:10" x14ac:dyDescent="0.2">
      <c r="A173" s="33" t="s">
        <v>151</v>
      </c>
      <c r="B173" s="58" t="s">
        <v>116</v>
      </c>
      <c r="C173" s="231" t="s">
        <v>475</v>
      </c>
      <c r="D173" s="230">
        <v>2</v>
      </c>
      <c r="E173" s="229">
        <f>2.6*3</f>
        <v>7.8000000000000007</v>
      </c>
      <c r="F173" s="194">
        <f t="shared" si="15"/>
        <v>15.600000000000001</v>
      </c>
      <c r="G173" s="255">
        <v>2</v>
      </c>
      <c r="H173" s="193"/>
      <c r="I173" s="192"/>
      <c r="J173" s="191">
        <f t="shared" si="16"/>
        <v>0</v>
      </c>
    </row>
    <row r="174" spans="1:10" x14ac:dyDescent="0.2">
      <c r="A174" s="33" t="s">
        <v>150</v>
      </c>
      <c r="B174" s="58" t="s">
        <v>114</v>
      </c>
      <c r="C174" s="231" t="s">
        <v>469</v>
      </c>
      <c r="D174" s="230">
        <v>4</v>
      </c>
      <c r="E174" s="229">
        <f>2.57*1.83</f>
        <v>4.7031000000000001</v>
      </c>
      <c r="F174" s="194">
        <f t="shared" si="15"/>
        <v>18.8124</v>
      </c>
      <c r="G174" s="255">
        <v>1</v>
      </c>
      <c r="H174" s="193" t="s">
        <v>492</v>
      </c>
      <c r="I174" s="192"/>
      <c r="J174" s="191">
        <f t="shared" si="16"/>
        <v>0</v>
      </c>
    </row>
    <row r="175" spans="1:10" x14ac:dyDescent="0.2">
      <c r="A175" s="33"/>
      <c r="B175" s="58" t="s">
        <v>114</v>
      </c>
      <c r="C175" s="231" t="s">
        <v>491</v>
      </c>
      <c r="D175" s="230">
        <v>3</v>
      </c>
      <c r="E175" s="229">
        <f>1.79*2.58</f>
        <v>4.6181999999999999</v>
      </c>
      <c r="F175" s="194">
        <f t="shared" si="15"/>
        <v>13.8546</v>
      </c>
      <c r="G175" s="255">
        <v>1</v>
      </c>
      <c r="H175" s="193"/>
      <c r="I175" s="192"/>
      <c r="J175" s="191">
        <f t="shared" si="16"/>
        <v>0</v>
      </c>
    </row>
    <row r="176" spans="1:10" x14ac:dyDescent="0.2">
      <c r="A176" s="33"/>
      <c r="B176" s="58" t="s">
        <v>114</v>
      </c>
      <c r="C176" s="231" t="s">
        <v>491</v>
      </c>
      <c r="D176" s="230">
        <v>1</v>
      </c>
      <c r="E176" s="229">
        <f>2.25*2.16</f>
        <v>4.8600000000000003</v>
      </c>
      <c r="F176" s="194">
        <f t="shared" si="15"/>
        <v>4.8600000000000003</v>
      </c>
      <c r="G176" s="255">
        <v>1</v>
      </c>
      <c r="H176" s="193" t="s">
        <v>490</v>
      </c>
      <c r="I176" s="192"/>
      <c r="J176" s="191">
        <f t="shared" si="16"/>
        <v>0</v>
      </c>
    </row>
    <row r="177" spans="1:10" x14ac:dyDescent="0.2">
      <c r="A177" s="33"/>
      <c r="B177" s="58" t="s">
        <v>114</v>
      </c>
      <c r="C177" s="231"/>
      <c r="D177" s="230">
        <v>1</v>
      </c>
      <c r="E177" s="229">
        <f>2.1*2.95</f>
        <v>6.1950000000000003</v>
      </c>
      <c r="F177" s="194">
        <f t="shared" si="15"/>
        <v>6.1950000000000003</v>
      </c>
      <c r="G177" s="255">
        <v>1</v>
      </c>
      <c r="H177" s="193" t="s">
        <v>489</v>
      </c>
      <c r="I177" s="192"/>
      <c r="J177" s="191">
        <f t="shared" si="16"/>
        <v>0</v>
      </c>
    </row>
    <row r="178" spans="1:10" x14ac:dyDescent="0.2">
      <c r="A178" s="33" t="s">
        <v>149</v>
      </c>
      <c r="B178" s="58" t="s">
        <v>148</v>
      </c>
      <c r="C178" s="231"/>
      <c r="D178" s="230">
        <v>1</v>
      </c>
      <c r="E178" s="229">
        <v>0</v>
      </c>
      <c r="F178" s="194">
        <f t="shared" si="15"/>
        <v>0</v>
      </c>
      <c r="G178" s="255">
        <v>1</v>
      </c>
      <c r="H178" s="193" t="s">
        <v>489</v>
      </c>
      <c r="I178" s="192"/>
      <c r="J178" s="191">
        <f t="shared" si="16"/>
        <v>0</v>
      </c>
    </row>
    <row r="179" spans="1:10" x14ac:dyDescent="0.2">
      <c r="A179" s="33" t="s">
        <v>145</v>
      </c>
      <c r="B179" s="58" t="s">
        <v>144</v>
      </c>
      <c r="C179" s="231" t="s">
        <v>469</v>
      </c>
      <c r="D179" s="230">
        <v>2</v>
      </c>
      <c r="E179" s="229">
        <f>1.71*1.35</f>
        <v>2.3085</v>
      </c>
      <c r="F179" s="194">
        <f t="shared" si="15"/>
        <v>4.617</v>
      </c>
      <c r="G179" s="255">
        <v>1</v>
      </c>
      <c r="H179" s="193"/>
      <c r="I179" s="192"/>
      <c r="J179" s="191">
        <f t="shared" si="16"/>
        <v>0</v>
      </c>
    </row>
    <row r="180" spans="1:10" x14ac:dyDescent="0.2">
      <c r="A180" s="33"/>
      <c r="B180" s="58" t="s">
        <v>144</v>
      </c>
      <c r="C180" s="231" t="s">
        <v>469</v>
      </c>
      <c r="D180" s="230">
        <v>1</v>
      </c>
      <c r="E180" s="229">
        <f>0.78*1.26</f>
        <v>0.98280000000000001</v>
      </c>
      <c r="F180" s="194">
        <f t="shared" si="15"/>
        <v>0.98280000000000001</v>
      </c>
      <c r="G180" s="255">
        <v>1</v>
      </c>
      <c r="H180" s="193" t="s">
        <v>488</v>
      </c>
      <c r="I180" s="192"/>
      <c r="J180" s="191">
        <f t="shared" si="16"/>
        <v>0</v>
      </c>
    </row>
    <row r="181" spans="1:10" x14ac:dyDescent="0.2">
      <c r="A181" s="33" t="s">
        <v>141</v>
      </c>
      <c r="B181" s="58" t="s">
        <v>140</v>
      </c>
      <c r="C181" s="231" t="s">
        <v>469</v>
      </c>
      <c r="D181" s="230">
        <v>1</v>
      </c>
      <c r="E181" s="229">
        <f>1.71*1.35</f>
        <v>2.3085</v>
      </c>
      <c r="F181" s="194">
        <f t="shared" si="15"/>
        <v>2.3085</v>
      </c>
      <c r="G181" s="255">
        <v>1</v>
      </c>
      <c r="H181" s="193"/>
      <c r="I181" s="192"/>
      <c r="J181" s="191">
        <f t="shared" si="16"/>
        <v>0</v>
      </c>
    </row>
    <row r="182" spans="1:10" x14ac:dyDescent="0.2">
      <c r="A182" s="256"/>
      <c r="B182" s="58" t="s">
        <v>140</v>
      </c>
      <c r="C182" s="231" t="s">
        <v>469</v>
      </c>
      <c r="D182" s="230">
        <v>2</v>
      </c>
      <c r="E182" s="229">
        <f>0.78*1.26</f>
        <v>0.98280000000000001</v>
      </c>
      <c r="F182" s="194">
        <f t="shared" si="15"/>
        <v>1.9656</v>
      </c>
      <c r="G182" s="255">
        <v>1</v>
      </c>
      <c r="H182" s="193" t="s">
        <v>483</v>
      </c>
      <c r="I182" s="192"/>
      <c r="J182" s="191">
        <f t="shared" si="16"/>
        <v>0</v>
      </c>
    </row>
    <row r="183" spans="1:10" x14ac:dyDescent="0.2">
      <c r="A183" s="256" t="s">
        <v>139</v>
      </c>
      <c r="B183" s="225" t="s">
        <v>138</v>
      </c>
      <c r="C183" s="224" t="s">
        <v>469</v>
      </c>
      <c r="D183" s="223">
        <v>1</v>
      </c>
      <c r="E183" s="254">
        <f>1.71*1.35</f>
        <v>2.3085</v>
      </c>
      <c r="F183" s="186">
        <f t="shared" si="15"/>
        <v>2.3085</v>
      </c>
      <c r="G183" s="255">
        <v>1</v>
      </c>
      <c r="H183" s="251"/>
      <c r="I183" s="192"/>
      <c r="J183" s="191">
        <f t="shared" si="16"/>
        <v>0</v>
      </c>
    </row>
    <row r="184" spans="1:10" ht="13.5" thickBot="1" x14ac:dyDescent="0.25">
      <c r="A184" s="362" t="s">
        <v>487</v>
      </c>
      <c r="B184" s="363"/>
      <c r="C184" s="180"/>
      <c r="D184" s="180"/>
      <c r="E184" s="219"/>
      <c r="F184" s="244">
        <f>SUM(F156:F183)</f>
        <v>502.55799999999994</v>
      </c>
      <c r="G184" s="177"/>
      <c r="H184" s="181"/>
      <c r="I184" s="217"/>
      <c r="J184" s="175"/>
    </row>
    <row r="185" spans="1:10" ht="18.75" customHeight="1" x14ac:dyDescent="0.2">
      <c r="A185" s="243"/>
      <c r="B185" s="242" t="s">
        <v>137</v>
      </c>
      <c r="C185" s="197"/>
      <c r="D185" s="197"/>
      <c r="E185" s="241"/>
      <c r="F185" s="194"/>
      <c r="G185" s="240"/>
      <c r="H185" s="45"/>
      <c r="I185" s="192"/>
      <c r="J185" s="191"/>
    </row>
    <row r="186" spans="1:10" x14ac:dyDescent="0.2">
      <c r="A186" s="232" t="s">
        <v>136</v>
      </c>
      <c r="B186" s="58" t="s">
        <v>102</v>
      </c>
      <c r="C186" s="231" t="s">
        <v>469</v>
      </c>
      <c r="D186" s="249">
        <v>4</v>
      </c>
      <c r="E186" s="245">
        <f>2.8*2.7</f>
        <v>7.56</v>
      </c>
      <c r="F186" s="194">
        <f t="shared" ref="F186:F206" si="17">D186*E186</f>
        <v>30.24</v>
      </c>
      <c r="G186" s="248">
        <v>1</v>
      </c>
      <c r="H186" s="193"/>
      <c r="I186" s="192"/>
      <c r="J186" s="191">
        <f t="shared" ref="J186:J206" si="18">ROUND(F186*2*I186*G186,2)</f>
        <v>0</v>
      </c>
    </row>
    <row r="187" spans="1:10" x14ac:dyDescent="0.2">
      <c r="A187" s="232" t="s">
        <v>135</v>
      </c>
      <c r="B187" s="58" t="s">
        <v>81</v>
      </c>
      <c r="C187" s="231"/>
      <c r="D187" s="249">
        <v>2</v>
      </c>
      <c r="E187" s="245">
        <f>4.75*3.64</f>
        <v>17.29</v>
      </c>
      <c r="F187" s="194">
        <f t="shared" si="17"/>
        <v>34.58</v>
      </c>
      <c r="G187" s="248">
        <v>1</v>
      </c>
      <c r="H187" s="193" t="s">
        <v>479</v>
      </c>
      <c r="I187" s="192"/>
      <c r="J187" s="191">
        <f t="shared" si="18"/>
        <v>0</v>
      </c>
    </row>
    <row r="188" spans="1:10" ht="15" customHeight="1" x14ac:dyDescent="0.2">
      <c r="A188" s="232" t="s">
        <v>133</v>
      </c>
      <c r="B188" s="58" t="s">
        <v>102</v>
      </c>
      <c r="C188" s="231" t="s">
        <v>475</v>
      </c>
      <c r="D188" s="249">
        <v>4</v>
      </c>
      <c r="E188" s="245">
        <f>2.06*1.38</f>
        <v>2.8428</v>
      </c>
      <c r="F188" s="194">
        <f t="shared" si="17"/>
        <v>11.3712</v>
      </c>
      <c r="G188" s="248">
        <v>2</v>
      </c>
      <c r="H188" s="193"/>
      <c r="I188" s="192"/>
      <c r="J188" s="191">
        <f t="shared" si="18"/>
        <v>0</v>
      </c>
    </row>
    <row r="189" spans="1:10" x14ac:dyDescent="0.2">
      <c r="A189" s="232" t="s">
        <v>132</v>
      </c>
      <c r="B189" s="58" t="s">
        <v>102</v>
      </c>
      <c r="C189" s="231" t="s">
        <v>475</v>
      </c>
      <c r="D189" s="249">
        <v>4</v>
      </c>
      <c r="E189" s="245">
        <f>2.06*1.38</f>
        <v>2.8428</v>
      </c>
      <c r="F189" s="194">
        <f t="shared" si="17"/>
        <v>11.3712</v>
      </c>
      <c r="G189" s="248">
        <v>2</v>
      </c>
      <c r="H189" s="193"/>
      <c r="I189" s="192"/>
      <c r="J189" s="191">
        <f t="shared" si="18"/>
        <v>0</v>
      </c>
    </row>
    <row r="190" spans="1:10" x14ac:dyDescent="0.2">
      <c r="A190" s="232" t="s">
        <v>131</v>
      </c>
      <c r="B190" s="58" t="s">
        <v>79</v>
      </c>
      <c r="C190" s="231" t="s">
        <v>471</v>
      </c>
      <c r="D190" s="230">
        <v>3</v>
      </c>
      <c r="E190" s="229">
        <f>2.5*1.1</f>
        <v>2.75</v>
      </c>
      <c r="F190" s="194">
        <f t="shared" si="17"/>
        <v>8.25</v>
      </c>
      <c r="G190" s="248">
        <v>2</v>
      </c>
      <c r="H190" s="193" t="s">
        <v>486</v>
      </c>
      <c r="I190" s="192"/>
      <c r="J190" s="191">
        <f t="shared" si="18"/>
        <v>0</v>
      </c>
    </row>
    <row r="191" spans="1:10" x14ac:dyDescent="0.2">
      <c r="A191" s="232"/>
      <c r="B191" s="58" t="s">
        <v>79</v>
      </c>
      <c r="C191" s="231"/>
      <c r="D191" s="249">
        <v>2</v>
      </c>
      <c r="E191" s="245">
        <f>4.75*3.64</f>
        <v>17.29</v>
      </c>
      <c r="F191" s="194">
        <f t="shared" si="17"/>
        <v>34.58</v>
      </c>
      <c r="G191" s="248">
        <v>1</v>
      </c>
      <c r="H191" s="193" t="s">
        <v>479</v>
      </c>
      <c r="I191" s="192"/>
      <c r="J191" s="191">
        <f t="shared" si="18"/>
        <v>0</v>
      </c>
    </row>
    <row r="192" spans="1:10" x14ac:dyDescent="0.2">
      <c r="A192" s="232" t="s">
        <v>130</v>
      </c>
      <c r="B192" s="58" t="s">
        <v>102</v>
      </c>
      <c r="C192" s="231" t="s">
        <v>469</v>
      </c>
      <c r="D192" s="249">
        <v>4</v>
      </c>
      <c r="E192" s="245">
        <f>2.06*1.38</f>
        <v>2.8428</v>
      </c>
      <c r="F192" s="194">
        <f t="shared" si="17"/>
        <v>11.3712</v>
      </c>
      <c r="G192" s="248">
        <v>1</v>
      </c>
      <c r="H192" s="193"/>
      <c r="I192" s="192"/>
      <c r="J192" s="191">
        <f t="shared" si="18"/>
        <v>0</v>
      </c>
    </row>
    <row r="193" spans="1:10" x14ac:dyDescent="0.2">
      <c r="A193" s="232" t="s">
        <v>129</v>
      </c>
      <c r="B193" s="58" t="s">
        <v>128</v>
      </c>
      <c r="C193" s="231" t="s">
        <v>469</v>
      </c>
      <c r="D193" s="249">
        <v>4</v>
      </c>
      <c r="E193" s="245">
        <f t="shared" ref="E193:E198" si="19">2.7*2.61</f>
        <v>7.0469999999999997</v>
      </c>
      <c r="F193" s="194">
        <f t="shared" si="17"/>
        <v>28.187999999999999</v>
      </c>
      <c r="G193" s="248">
        <v>1.01</v>
      </c>
      <c r="H193" s="193"/>
      <c r="I193" s="192"/>
      <c r="J193" s="191">
        <f t="shared" si="18"/>
        <v>0</v>
      </c>
    </row>
    <row r="194" spans="1:10" x14ac:dyDescent="0.2">
      <c r="A194" s="232" t="s">
        <v>127</v>
      </c>
      <c r="B194" s="58" t="s">
        <v>126</v>
      </c>
      <c r="C194" s="231" t="s">
        <v>469</v>
      </c>
      <c r="D194" s="230">
        <v>2</v>
      </c>
      <c r="E194" s="245">
        <f t="shared" si="19"/>
        <v>7.0469999999999997</v>
      </c>
      <c r="F194" s="194">
        <f t="shared" si="17"/>
        <v>14.093999999999999</v>
      </c>
      <c r="G194" s="248">
        <v>1</v>
      </c>
      <c r="H194" s="193"/>
      <c r="I194" s="192"/>
      <c r="J194" s="191">
        <f t="shared" si="18"/>
        <v>0</v>
      </c>
    </row>
    <row r="195" spans="1:10" x14ac:dyDescent="0.2">
      <c r="A195" s="232" t="s">
        <v>125</v>
      </c>
      <c r="B195" s="58" t="s">
        <v>102</v>
      </c>
      <c r="C195" s="231" t="s">
        <v>469</v>
      </c>
      <c r="D195" s="249">
        <v>4</v>
      </c>
      <c r="E195" s="245">
        <f t="shared" si="19"/>
        <v>7.0469999999999997</v>
      </c>
      <c r="F195" s="194">
        <f t="shared" si="17"/>
        <v>28.187999999999999</v>
      </c>
      <c r="G195" s="248">
        <v>1</v>
      </c>
      <c r="H195" s="193"/>
      <c r="I195" s="192"/>
      <c r="J195" s="191">
        <f t="shared" si="18"/>
        <v>0</v>
      </c>
    </row>
    <row r="196" spans="1:10" x14ac:dyDescent="0.2">
      <c r="A196" s="232" t="s">
        <v>124</v>
      </c>
      <c r="B196" s="58" t="s">
        <v>102</v>
      </c>
      <c r="C196" s="231" t="s">
        <v>469</v>
      </c>
      <c r="D196" s="249">
        <v>2</v>
      </c>
      <c r="E196" s="245">
        <f t="shared" si="19"/>
        <v>7.0469999999999997</v>
      </c>
      <c r="F196" s="195">
        <f t="shared" si="17"/>
        <v>14.093999999999999</v>
      </c>
      <c r="G196" s="248">
        <v>1</v>
      </c>
      <c r="H196" s="193"/>
      <c r="I196" s="192"/>
      <c r="J196" s="191">
        <f t="shared" si="18"/>
        <v>0</v>
      </c>
    </row>
    <row r="197" spans="1:10" x14ac:dyDescent="0.2">
      <c r="A197" s="232" t="s">
        <v>123</v>
      </c>
      <c r="B197" s="58" t="s">
        <v>122</v>
      </c>
      <c r="C197" s="231" t="s">
        <v>475</v>
      </c>
      <c r="D197" s="230">
        <v>2</v>
      </c>
      <c r="E197" s="245">
        <f t="shared" si="19"/>
        <v>7.0469999999999997</v>
      </c>
      <c r="F197" s="195">
        <f t="shared" si="17"/>
        <v>14.093999999999999</v>
      </c>
      <c r="G197" s="248">
        <v>2</v>
      </c>
      <c r="H197" s="193"/>
      <c r="I197" s="192"/>
      <c r="J197" s="191">
        <f t="shared" si="18"/>
        <v>0</v>
      </c>
    </row>
    <row r="198" spans="1:10" x14ac:dyDescent="0.2">
      <c r="A198" s="232" t="s">
        <v>121</v>
      </c>
      <c r="B198" s="58" t="s">
        <v>120</v>
      </c>
      <c r="C198" s="231" t="s">
        <v>475</v>
      </c>
      <c r="D198" s="246">
        <v>4</v>
      </c>
      <c r="E198" s="245">
        <f t="shared" si="19"/>
        <v>7.0469999999999997</v>
      </c>
      <c r="F198" s="195">
        <f t="shared" si="17"/>
        <v>28.187999999999999</v>
      </c>
      <c r="G198" s="248">
        <v>2</v>
      </c>
      <c r="H198" s="193"/>
      <c r="I198" s="192"/>
      <c r="J198" s="191">
        <f t="shared" si="18"/>
        <v>0</v>
      </c>
    </row>
    <row r="199" spans="1:10" x14ac:dyDescent="0.2">
      <c r="A199" s="232" t="s">
        <v>119</v>
      </c>
      <c r="B199" s="58" t="s">
        <v>86</v>
      </c>
      <c r="C199" s="231" t="s">
        <v>469</v>
      </c>
      <c r="D199" s="230">
        <v>2</v>
      </c>
      <c r="E199" s="229">
        <f>2.78*2.7</f>
        <v>7.5060000000000002</v>
      </c>
      <c r="F199" s="195">
        <f t="shared" si="17"/>
        <v>15.012</v>
      </c>
      <c r="G199" s="248">
        <v>1</v>
      </c>
      <c r="H199" s="193"/>
      <c r="I199" s="192"/>
      <c r="J199" s="191">
        <f t="shared" si="18"/>
        <v>0</v>
      </c>
    </row>
    <row r="200" spans="1:10" x14ac:dyDescent="0.2">
      <c r="A200" s="232"/>
      <c r="B200" s="58" t="s">
        <v>86</v>
      </c>
      <c r="C200" s="231"/>
      <c r="D200" s="230">
        <v>1</v>
      </c>
      <c r="E200" s="229">
        <f>4*3.1</f>
        <v>12.4</v>
      </c>
      <c r="F200" s="195">
        <f t="shared" si="17"/>
        <v>12.4</v>
      </c>
      <c r="G200" s="248">
        <v>1</v>
      </c>
      <c r="H200" s="193" t="s">
        <v>485</v>
      </c>
      <c r="I200" s="192"/>
      <c r="J200" s="191">
        <f t="shared" si="18"/>
        <v>0</v>
      </c>
    </row>
    <row r="201" spans="1:10" x14ac:dyDescent="0.2">
      <c r="A201" s="232" t="s">
        <v>118</v>
      </c>
      <c r="B201" s="58" t="s">
        <v>84</v>
      </c>
      <c r="C201" s="231"/>
      <c r="D201" s="230">
        <v>2</v>
      </c>
      <c r="E201" s="229">
        <f>4.75*3.64</f>
        <v>17.29</v>
      </c>
      <c r="F201" s="195">
        <f t="shared" si="17"/>
        <v>34.58</v>
      </c>
      <c r="G201" s="248">
        <v>1</v>
      </c>
      <c r="H201" s="193" t="s">
        <v>484</v>
      </c>
      <c r="I201" s="192"/>
      <c r="J201" s="191">
        <f t="shared" si="18"/>
        <v>0</v>
      </c>
    </row>
    <row r="202" spans="1:10" x14ac:dyDescent="0.2">
      <c r="A202" s="232"/>
      <c r="B202" s="58" t="s">
        <v>84</v>
      </c>
      <c r="C202" s="231"/>
      <c r="D202" s="230">
        <v>2</v>
      </c>
      <c r="E202" s="229">
        <f>4*3.1</f>
        <v>12.4</v>
      </c>
      <c r="F202" s="195">
        <f t="shared" si="17"/>
        <v>24.8</v>
      </c>
      <c r="G202" s="248">
        <v>1</v>
      </c>
      <c r="H202" s="193" t="s">
        <v>484</v>
      </c>
      <c r="I202" s="192"/>
      <c r="J202" s="191">
        <f t="shared" si="18"/>
        <v>0</v>
      </c>
    </row>
    <row r="203" spans="1:10" x14ac:dyDescent="0.2">
      <c r="A203" s="232" t="s">
        <v>117</v>
      </c>
      <c r="B203" s="58" t="s">
        <v>116</v>
      </c>
      <c r="C203" s="231" t="s">
        <v>475</v>
      </c>
      <c r="D203" s="230">
        <v>2</v>
      </c>
      <c r="E203" s="229">
        <f>2.6*3</f>
        <v>7.8000000000000007</v>
      </c>
      <c r="F203" s="195">
        <f t="shared" si="17"/>
        <v>15.600000000000001</v>
      </c>
      <c r="G203" s="248">
        <v>2</v>
      </c>
      <c r="H203" s="193"/>
      <c r="I203" s="192"/>
      <c r="J203" s="191">
        <f t="shared" si="18"/>
        <v>0</v>
      </c>
    </row>
    <row r="204" spans="1:10" x14ac:dyDescent="0.2">
      <c r="A204" s="232" t="s">
        <v>115</v>
      </c>
      <c r="B204" s="58" t="s">
        <v>114</v>
      </c>
      <c r="C204" s="231" t="s">
        <v>469</v>
      </c>
      <c r="D204" s="230">
        <v>4</v>
      </c>
      <c r="E204" s="229">
        <f>1.79*2.58</f>
        <v>4.6181999999999999</v>
      </c>
      <c r="F204" s="195">
        <f t="shared" si="17"/>
        <v>18.472799999999999</v>
      </c>
      <c r="G204" s="248">
        <v>1</v>
      </c>
      <c r="H204" s="193"/>
      <c r="I204" s="192"/>
      <c r="J204" s="191">
        <f t="shared" si="18"/>
        <v>0</v>
      </c>
    </row>
    <row r="205" spans="1:10" x14ac:dyDescent="0.2">
      <c r="A205" s="226" t="s">
        <v>113</v>
      </c>
      <c r="B205" s="225" t="s">
        <v>112</v>
      </c>
      <c r="C205" s="224" t="s">
        <v>469</v>
      </c>
      <c r="D205" s="223">
        <v>4</v>
      </c>
      <c r="E205" s="254">
        <f>1.71*1.35</f>
        <v>2.3085</v>
      </c>
      <c r="F205" s="195">
        <f t="shared" si="17"/>
        <v>9.234</v>
      </c>
      <c r="G205" s="252">
        <v>1</v>
      </c>
      <c r="H205" s="251"/>
      <c r="I205" s="192"/>
      <c r="J205" s="191">
        <f t="shared" si="18"/>
        <v>0</v>
      </c>
    </row>
    <row r="206" spans="1:10" x14ac:dyDescent="0.2">
      <c r="A206" s="226" t="s">
        <v>113</v>
      </c>
      <c r="B206" s="225" t="s">
        <v>112</v>
      </c>
      <c r="C206" s="224" t="s">
        <v>469</v>
      </c>
      <c r="D206" s="223">
        <v>3</v>
      </c>
      <c r="E206" s="254">
        <f>0.78*1.26</f>
        <v>0.98280000000000001</v>
      </c>
      <c r="F206" s="253">
        <f t="shared" si="17"/>
        <v>2.9483999999999999</v>
      </c>
      <c r="G206" s="252">
        <v>1</v>
      </c>
      <c r="H206" s="251" t="s">
        <v>483</v>
      </c>
      <c r="I206" s="192"/>
      <c r="J206" s="191">
        <f t="shared" si="18"/>
        <v>0</v>
      </c>
    </row>
    <row r="207" spans="1:10" ht="13.5" thickBot="1" x14ac:dyDescent="0.25">
      <c r="A207" s="362" t="s">
        <v>482</v>
      </c>
      <c r="B207" s="363"/>
      <c r="C207" s="180"/>
      <c r="D207" s="180"/>
      <c r="E207" s="219"/>
      <c r="F207" s="244">
        <f>SUM(F186:F206)</f>
        <v>401.65679999999992</v>
      </c>
      <c r="G207" s="177"/>
      <c r="H207" s="181"/>
      <c r="I207" s="217"/>
      <c r="J207" s="175"/>
    </row>
    <row r="208" spans="1:10" ht="18.75" customHeight="1" x14ac:dyDescent="0.2">
      <c r="A208" s="243"/>
      <c r="B208" s="242" t="s">
        <v>110</v>
      </c>
      <c r="C208" s="197"/>
      <c r="D208" s="197"/>
      <c r="E208" s="241"/>
      <c r="F208" s="194"/>
      <c r="G208" s="240"/>
      <c r="H208" s="45"/>
      <c r="I208" s="192"/>
      <c r="J208" s="191"/>
    </row>
    <row r="209" spans="1:10" x14ac:dyDescent="0.2">
      <c r="A209" s="232" t="s">
        <v>109</v>
      </c>
      <c r="B209" s="58" t="s">
        <v>108</v>
      </c>
      <c r="C209" s="231" t="s">
        <v>469</v>
      </c>
      <c r="D209" s="249">
        <v>4</v>
      </c>
      <c r="E209" s="245">
        <f>2.8*2.7</f>
        <v>7.56</v>
      </c>
      <c r="F209" s="194">
        <f t="shared" ref="F209:F223" si="20">D209*E209</f>
        <v>30.24</v>
      </c>
      <c r="G209" s="248">
        <v>1</v>
      </c>
      <c r="H209" s="193"/>
      <c r="I209" s="192"/>
      <c r="J209" s="191">
        <f t="shared" ref="J209:J223" si="21">ROUND(F209*2*I209*G209,2)</f>
        <v>0</v>
      </c>
    </row>
    <row r="210" spans="1:10" x14ac:dyDescent="0.2">
      <c r="A210" s="232" t="s">
        <v>107</v>
      </c>
      <c r="B210" s="58" t="s">
        <v>81</v>
      </c>
      <c r="C210" s="231" t="s">
        <v>471</v>
      </c>
      <c r="D210" s="230">
        <v>3</v>
      </c>
      <c r="E210" s="229">
        <f>1.15*1.25</f>
        <v>1.4375</v>
      </c>
      <c r="F210" s="194">
        <f t="shared" si="20"/>
        <v>4.3125</v>
      </c>
      <c r="G210" s="248">
        <v>2</v>
      </c>
      <c r="H210" s="193" t="s">
        <v>481</v>
      </c>
      <c r="I210" s="192"/>
      <c r="J210" s="191">
        <f t="shared" si="21"/>
        <v>0</v>
      </c>
    </row>
    <row r="211" spans="1:10" x14ac:dyDescent="0.2">
      <c r="A211" s="232"/>
      <c r="B211" s="58" t="s">
        <v>81</v>
      </c>
      <c r="C211" s="231"/>
      <c r="D211" s="249">
        <v>2</v>
      </c>
      <c r="E211" s="245">
        <f>4.75*3.64</f>
        <v>17.29</v>
      </c>
      <c r="F211" s="194">
        <f t="shared" si="20"/>
        <v>34.58</v>
      </c>
      <c r="G211" s="248">
        <v>1</v>
      </c>
      <c r="H211" s="193" t="s">
        <v>479</v>
      </c>
      <c r="I211" s="192"/>
      <c r="J211" s="191">
        <f t="shared" si="21"/>
        <v>0</v>
      </c>
    </row>
    <row r="212" spans="1:10" x14ac:dyDescent="0.2">
      <c r="A212" s="232" t="s">
        <v>106</v>
      </c>
      <c r="B212" s="58" t="s">
        <v>102</v>
      </c>
      <c r="C212" s="231" t="s">
        <v>469</v>
      </c>
      <c r="D212" s="249">
        <v>4</v>
      </c>
      <c r="E212" s="245">
        <f>2.06*1.38</f>
        <v>2.8428</v>
      </c>
      <c r="F212" s="194">
        <f t="shared" si="20"/>
        <v>11.3712</v>
      </c>
      <c r="G212" s="248">
        <v>1</v>
      </c>
      <c r="H212" s="193"/>
      <c r="I212" s="192"/>
      <c r="J212" s="191">
        <f t="shared" si="21"/>
        <v>0</v>
      </c>
    </row>
    <row r="213" spans="1:10" x14ac:dyDescent="0.2">
      <c r="A213" s="232" t="s">
        <v>105</v>
      </c>
      <c r="B213" s="58" t="s">
        <v>102</v>
      </c>
      <c r="C213" s="231" t="s">
        <v>469</v>
      </c>
      <c r="D213" s="249">
        <v>4</v>
      </c>
      <c r="E213" s="245">
        <f>2.06*1.38</f>
        <v>2.8428</v>
      </c>
      <c r="F213" s="194">
        <f t="shared" si="20"/>
        <v>11.3712</v>
      </c>
      <c r="G213" s="248">
        <v>1</v>
      </c>
      <c r="H213" s="193"/>
      <c r="I213" s="192"/>
      <c r="J213" s="191">
        <f t="shared" si="21"/>
        <v>0</v>
      </c>
    </row>
    <row r="214" spans="1:10" ht="22.5" x14ac:dyDescent="0.2">
      <c r="A214" s="232" t="s">
        <v>104</v>
      </c>
      <c r="B214" s="58" t="s">
        <v>79</v>
      </c>
      <c r="C214" s="231" t="s">
        <v>471</v>
      </c>
      <c r="D214" s="230">
        <v>3</v>
      </c>
      <c r="E214" s="229">
        <f>2.5*1.1</f>
        <v>2.75</v>
      </c>
      <c r="F214" s="194">
        <f t="shared" si="20"/>
        <v>8.25</v>
      </c>
      <c r="G214" s="248">
        <v>2</v>
      </c>
      <c r="H214" s="250" t="s">
        <v>480</v>
      </c>
      <c r="I214" s="192"/>
      <c r="J214" s="191">
        <f t="shared" si="21"/>
        <v>0</v>
      </c>
    </row>
    <row r="215" spans="1:10" x14ac:dyDescent="0.2">
      <c r="A215" s="232"/>
      <c r="B215" s="58" t="s">
        <v>79</v>
      </c>
      <c r="C215" s="231"/>
      <c r="D215" s="249">
        <v>2</v>
      </c>
      <c r="E215" s="245">
        <f>4.75*3.64</f>
        <v>17.29</v>
      </c>
      <c r="F215" s="194">
        <f t="shared" si="20"/>
        <v>34.58</v>
      </c>
      <c r="G215" s="248">
        <v>1</v>
      </c>
      <c r="H215" s="193" t="s">
        <v>479</v>
      </c>
      <c r="I215" s="192"/>
      <c r="J215" s="191">
        <f t="shared" si="21"/>
        <v>0</v>
      </c>
    </row>
    <row r="216" spans="1:10" x14ac:dyDescent="0.2">
      <c r="A216" s="232" t="s">
        <v>103</v>
      </c>
      <c r="B216" s="58" t="s">
        <v>102</v>
      </c>
      <c r="C216" s="231" t="s">
        <v>469</v>
      </c>
      <c r="D216" s="249">
        <v>4</v>
      </c>
      <c r="E216" s="245">
        <f>2.06*1.38</f>
        <v>2.8428</v>
      </c>
      <c r="F216" s="194">
        <f t="shared" si="20"/>
        <v>11.3712</v>
      </c>
      <c r="G216" s="248">
        <v>1</v>
      </c>
      <c r="H216" s="193"/>
      <c r="I216" s="192"/>
      <c r="J216" s="191">
        <f t="shared" si="21"/>
        <v>0</v>
      </c>
    </row>
    <row r="217" spans="1:10" x14ac:dyDescent="0.2">
      <c r="A217" s="232" t="s">
        <v>101</v>
      </c>
      <c r="B217" s="58" t="s">
        <v>100</v>
      </c>
      <c r="C217" s="231" t="s">
        <v>469</v>
      </c>
      <c r="D217" s="246">
        <v>4</v>
      </c>
      <c r="E217" s="245">
        <f>2.7*2.61</f>
        <v>7.0469999999999997</v>
      </c>
      <c r="F217" s="194">
        <f t="shared" si="20"/>
        <v>28.187999999999999</v>
      </c>
      <c r="G217" s="248">
        <v>1</v>
      </c>
      <c r="H217" s="193"/>
      <c r="I217" s="192"/>
      <c r="J217" s="191">
        <f t="shared" si="21"/>
        <v>0</v>
      </c>
    </row>
    <row r="218" spans="1:10" x14ac:dyDescent="0.2">
      <c r="A218" s="232" t="s">
        <v>99</v>
      </c>
      <c r="B218" s="58" t="s">
        <v>98</v>
      </c>
      <c r="C218" s="231" t="s">
        <v>469</v>
      </c>
      <c r="D218" s="230">
        <v>2</v>
      </c>
      <c r="E218" s="245">
        <f>2.7*2.61</f>
        <v>7.0469999999999997</v>
      </c>
      <c r="F218" s="194">
        <f t="shared" si="20"/>
        <v>14.093999999999999</v>
      </c>
      <c r="G218" s="228">
        <v>1</v>
      </c>
      <c r="H218" s="227"/>
      <c r="I218" s="192"/>
      <c r="J218" s="191">
        <f t="shared" si="21"/>
        <v>0</v>
      </c>
    </row>
    <row r="219" spans="1:10" x14ac:dyDescent="0.2">
      <c r="A219" s="232" t="s">
        <v>97</v>
      </c>
      <c r="B219" s="58" t="s">
        <v>478</v>
      </c>
      <c r="C219" s="231" t="s">
        <v>477</v>
      </c>
      <c r="D219" s="230">
        <v>4</v>
      </c>
      <c r="E219" s="247">
        <v>10.6</v>
      </c>
      <c r="F219" s="194">
        <f t="shared" si="20"/>
        <v>42.4</v>
      </c>
      <c r="G219" s="228">
        <v>1</v>
      </c>
      <c r="H219" s="227"/>
      <c r="I219" s="192"/>
      <c r="J219" s="191">
        <f t="shared" si="21"/>
        <v>0</v>
      </c>
    </row>
    <row r="220" spans="1:10" x14ac:dyDescent="0.2">
      <c r="A220" s="232" t="s">
        <v>93</v>
      </c>
      <c r="B220" s="58" t="s">
        <v>92</v>
      </c>
      <c r="C220" s="231" t="s">
        <v>469</v>
      </c>
      <c r="D220" s="230">
        <v>2</v>
      </c>
      <c r="E220" s="245">
        <f>2.7*2.61</f>
        <v>7.0469999999999997</v>
      </c>
      <c r="F220" s="194">
        <f t="shared" si="20"/>
        <v>14.093999999999999</v>
      </c>
      <c r="G220" s="228">
        <v>1</v>
      </c>
      <c r="H220" s="227"/>
      <c r="I220" s="192"/>
      <c r="J220" s="191">
        <f t="shared" si="21"/>
        <v>0</v>
      </c>
    </row>
    <row r="221" spans="1:10" x14ac:dyDescent="0.2">
      <c r="A221" s="232" t="s">
        <v>90</v>
      </c>
      <c r="B221" s="58" t="s">
        <v>89</v>
      </c>
      <c r="C221" s="231" t="s">
        <v>469</v>
      </c>
      <c r="D221" s="246">
        <v>4</v>
      </c>
      <c r="E221" s="245">
        <f>2.7*2.61</f>
        <v>7.0469999999999997</v>
      </c>
      <c r="F221" s="194">
        <f t="shared" si="20"/>
        <v>28.187999999999999</v>
      </c>
      <c r="G221" s="228">
        <v>1</v>
      </c>
      <c r="H221" s="227"/>
      <c r="I221" s="192"/>
      <c r="J221" s="191">
        <f t="shared" si="21"/>
        <v>0</v>
      </c>
    </row>
    <row r="222" spans="1:10" x14ac:dyDescent="0.2">
      <c r="A222" s="226" t="s">
        <v>87</v>
      </c>
      <c r="B222" s="58" t="s">
        <v>86</v>
      </c>
      <c r="C222" s="231" t="s">
        <v>469</v>
      </c>
      <c r="D222" s="230">
        <v>2</v>
      </c>
      <c r="E222" s="229">
        <f>2.78*2.7</f>
        <v>7.5060000000000002</v>
      </c>
      <c r="F222" s="195">
        <f t="shared" si="20"/>
        <v>15.012</v>
      </c>
      <c r="G222" s="228">
        <v>1</v>
      </c>
      <c r="H222" s="227"/>
      <c r="I222" s="192"/>
      <c r="J222" s="191">
        <f t="shared" si="21"/>
        <v>0</v>
      </c>
    </row>
    <row r="223" spans="1:10" x14ac:dyDescent="0.2">
      <c r="A223" s="226" t="s">
        <v>476</v>
      </c>
      <c r="B223" s="82" t="s">
        <v>84</v>
      </c>
      <c r="C223" s="224" t="s">
        <v>475</v>
      </c>
      <c r="D223" s="230">
        <v>2</v>
      </c>
      <c r="E223" s="229">
        <f>2.6*3</f>
        <v>7.8000000000000007</v>
      </c>
      <c r="F223" s="195">
        <f t="shared" si="20"/>
        <v>15.600000000000001</v>
      </c>
      <c r="G223" s="221">
        <v>2</v>
      </c>
      <c r="H223" s="220"/>
      <c r="I223" s="192"/>
      <c r="J223" s="191">
        <f t="shared" si="21"/>
        <v>0</v>
      </c>
    </row>
    <row r="224" spans="1:10" ht="13.5" thickBot="1" x14ac:dyDescent="0.25">
      <c r="A224" s="362" t="s">
        <v>474</v>
      </c>
      <c r="B224" s="363"/>
      <c r="C224" s="180"/>
      <c r="D224" s="180"/>
      <c r="E224" s="219"/>
      <c r="F224" s="244">
        <f>SUM(F209:F223)</f>
        <v>303.65210000000002</v>
      </c>
      <c r="G224" s="177"/>
      <c r="H224" s="181"/>
      <c r="I224" s="217"/>
      <c r="J224" s="175"/>
    </row>
    <row r="225" spans="1:10" ht="18.75" customHeight="1" x14ac:dyDescent="0.2">
      <c r="A225" s="243"/>
      <c r="B225" s="242" t="s">
        <v>83</v>
      </c>
      <c r="C225" s="197"/>
      <c r="D225" s="197"/>
      <c r="E225" s="241"/>
      <c r="F225" s="194"/>
      <c r="G225" s="240"/>
      <c r="H225" s="45"/>
      <c r="I225" s="192"/>
      <c r="J225" s="191"/>
    </row>
    <row r="226" spans="1:10" x14ac:dyDescent="0.2">
      <c r="A226" s="239"/>
      <c r="B226" s="238" t="s">
        <v>472</v>
      </c>
      <c r="C226" s="237" t="s">
        <v>469</v>
      </c>
      <c r="D226" s="236">
        <v>1</v>
      </c>
      <c r="E226" s="235">
        <f>2.2*1.1</f>
        <v>2.4200000000000004</v>
      </c>
      <c r="F226" s="194">
        <f>D226*E226</f>
        <v>2.4200000000000004</v>
      </c>
      <c r="G226" s="234">
        <v>1</v>
      </c>
      <c r="H226" s="233"/>
      <c r="I226" s="192"/>
      <c r="J226" s="191">
        <f>ROUND(F226*2*I226*G226,2)</f>
        <v>0</v>
      </c>
    </row>
    <row r="227" spans="1:10" x14ac:dyDescent="0.2">
      <c r="A227" s="239" t="s">
        <v>473</v>
      </c>
      <c r="B227" s="238" t="s">
        <v>472</v>
      </c>
      <c r="C227" s="237" t="s">
        <v>469</v>
      </c>
      <c r="D227" s="236">
        <v>3</v>
      </c>
      <c r="E227" s="235">
        <f>1.15*0.7</f>
        <v>0.80499999999999994</v>
      </c>
      <c r="F227" s="194">
        <f>D227*E227</f>
        <v>2.415</v>
      </c>
      <c r="G227" s="234">
        <v>1</v>
      </c>
      <c r="H227" s="233"/>
      <c r="I227" s="192"/>
      <c r="J227" s="191">
        <f>ROUND(F227*2*I227*G227,2)</f>
        <v>0</v>
      </c>
    </row>
    <row r="228" spans="1:10" x14ac:dyDescent="0.2">
      <c r="A228" s="232" t="s">
        <v>82</v>
      </c>
      <c r="B228" s="58" t="s">
        <v>81</v>
      </c>
      <c r="C228" s="231" t="s">
        <v>471</v>
      </c>
      <c r="D228" s="230">
        <v>3</v>
      </c>
      <c r="E228" s="229">
        <f>1.15*1.25</f>
        <v>1.4375</v>
      </c>
      <c r="F228" s="194">
        <f>D228*E228</f>
        <v>4.3125</v>
      </c>
      <c r="G228" s="228">
        <v>2</v>
      </c>
      <c r="H228" s="227"/>
      <c r="I228" s="192"/>
      <c r="J228" s="191">
        <f>ROUND(F228*2*I228*G228,2)</f>
        <v>0</v>
      </c>
    </row>
    <row r="229" spans="1:10" x14ac:dyDescent="0.2">
      <c r="A229" s="232" t="s">
        <v>80</v>
      </c>
      <c r="B229" s="58" t="s">
        <v>79</v>
      </c>
      <c r="C229" s="231" t="s">
        <v>471</v>
      </c>
      <c r="D229" s="230">
        <v>3</v>
      </c>
      <c r="E229" s="229">
        <f>1.15*1.25</f>
        <v>1.4375</v>
      </c>
      <c r="F229" s="194">
        <f>D229*E229</f>
        <v>4.3125</v>
      </c>
      <c r="G229" s="228">
        <v>2</v>
      </c>
      <c r="H229" s="227"/>
      <c r="I229" s="192"/>
      <c r="J229" s="191">
        <f>ROUND(F229*2*I229*G229,2)</f>
        <v>0</v>
      </c>
    </row>
    <row r="230" spans="1:10" x14ac:dyDescent="0.2">
      <c r="A230" s="226" t="s">
        <v>77</v>
      </c>
      <c r="B230" s="225" t="s">
        <v>470</v>
      </c>
      <c r="C230" s="224" t="s">
        <v>469</v>
      </c>
      <c r="D230" s="223">
        <v>4</v>
      </c>
      <c r="E230" s="222">
        <f>2.2*1.3</f>
        <v>2.8600000000000003</v>
      </c>
      <c r="F230" s="186">
        <f>D230*E230</f>
        <v>11.440000000000001</v>
      </c>
      <c r="G230" s="221">
        <v>1</v>
      </c>
      <c r="H230" s="220"/>
      <c r="I230" s="192"/>
      <c r="J230" s="191">
        <f>ROUND(F230*2*I230*G230,2)</f>
        <v>0</v>
      </c>
    </row>
    <row r="231" spans="1:10" ht="13.5" thickBot="1" x14ac:dyDescent="0.25">
      <c r="A231" s="362"/>
      <c r="B231" s="363"/>
      <c r="C231" s="180"/>
      <c r="D231" s="180"/>
      <c r="E231" s="219"/>
      <c r="F231" s="218">
        <f>SUM(F226:F230)</f>
        <v>24.900000000000002</v>
      </c>
      <c r="G231" s="177"/>
      <c r="H231" s="181"/>
      <c r="I231" s="217"/>
      <c r="J231" s="175"/>
    </row>
    <row r="232" spans="1:10" ht="13.5" thickBot="1" x14ac:dyDescent="0.25">
      <c r="A232" s="364" t="s">
        <v>74</v>
      </c>
      <c r="B232" s="365"/>
      <c r="C232" s="216"/>
      <c r="D232" s="215"/>
      <c r="E232" s="214"/>
      <c r="F232" s="213">
        <f>F231+F224+F184+F207+F154</f>
        <v>1290.7325999999998</v>
      </c>
      <c r="G232" s="212"/>
      <c r="H232" s="211"/>
      <c r="I232" s="210"/>
      <c r="J232" s="209"/>
    </row>
    <row r="233" spans="1:10" ht="18.75" customHeight="1" x14ac:dyDescent="0.2">
      <c r="A233" s="208"/>
      <c r="B233" s="207" t="s">
        <v>73</v>
      </c>
      <c r="C233" s="206"/>
      <c r="D233" s="206"/>
      <c r="E233" s="205"/>
      <c r="F233" s="204"/>
      <c r="G233" s="203"/>
      <c r="H233" s="202"/>
      <c r="I233" s="201"/>
      <c r="J233" s="200">
        <f>ROUND(F233*2*I233*G233,2)</f>
        <v>0</v>
      </c>
    </row>
    <row r="234" spans="1:10" ht="18.75" x14ac:dyDescent="0.2">
      <c r="A234" s="198"/>
      <c r="B234" s="45" t="s">
        <v>466</v>
      </c>
      <c r="C234" s="45" t="s">
        <v>462</v>
      </c>
      <c r="D234" s="197">
        <v>1</v>
      </c>
      <c r="E234" s="196"/>
      <c r="F234" s="195">
        <v>10</v>
      </c>
      <c r="G234" s="194">
        <v>1</v>
      </c>
      <c r="H234" s="199" t="s">
        <v>468</v>
      </c>
      <c r="I234" s="192"/>
      <c r="J234" s="191">
        <f>ROUND(F234*2*I234*G234,2)</f>
        <v>0</v>
      </c>
    </row>
    <row r="235" spans="1:10" ht="18.75" x14ac:dyDescent="0.2">
      <c r="A235" s="198"/>
      <c r="B235" s="45" t="s">
        <v>466</v>
      </c>
      <c r="C235" s="45" t="s">
        <v>462</v>
      </c>
      <c r="D235" s="197">
        <v>1</v>
      </c>
      <c r="E235" s="196"/>
      <c r="F235" s="195">
        <v>8.9700000000000006</v>
      </c>
      <c r="G235" s="194">
        <v>1</v>
      </c>
      <c r="H235" s="199" t="s">
        <v>467</v>
      </c>
      <c r="I235" s="192"/>
      <c r="J235" s="191">
        <f>ROUND(F235*2*I235*G235,2)</f>
        <v>0</v>
      </c>
    </row>
    <row r="236" spans="1:10" x14ac:dyDescent="0.2">
      <c r="A236" s="198"/>
      <c r="B236" s="45" t="s">
        <v>466</v>
      </c>
      <c r="C236" s="45" t="s">
        <v>465</v>
      </c>
      <c r="D236" s="197">
        <v>1</v>
      </c>
      <c r="E236" s="196"/>
      <c r="F236" s="195">
        <v>3.96</v>
      </c>
      <c r="G236" s="194">
        <v>1</v>
      </c>
      <c r="H236" s="193" t="s">
        <v>464</v>
      </c>
      <c r="I236" s="192"/>
      <c r="J236" s="191">
        <f>ROUND(F236*2*I236*G236,2)</f>
        <v>0</v>
      </c>
    </row>
    <row r="237" spans="1:10" x14ac:dyDescent="0.2">
      <c r="A237" s="198"/>
      <c r="B237" s="45"/>
      <c r="C237" s="45"/>
      <c r="D237" s="197"/>
      <c r="E237" s="196"/>
      <c r="F237" s="195"/>
      <c r="G237" s="194"/>
      <c r="H237" s="45"/>
      <c r="I237" s="192"/>
      <c r="J237" s="191"/>
    </row>
    <row r="238" spans="1:10" x14ac:dyDescent="0.2">
      <c r="A238" s="198"/>
      <c r="B238" s="45" t="s">
        <v>463</v>
      </c>
      <c r="C238" s="45" t="s">
        <v>462</v>
      </c>
      <c r="D238" s="197">
        <v>1</v>
      </c>
      <c r="E238" s="196"/>
      <c r="F238" s="195">
        <v>4.4000000000000004</v>
      </c>
      <c r="G238" s="194">
        <v>1</v>
      </c>
      <c r="H238" s="193" t="s">
        <v>461</v>
      </c>
      <c r="I238" s="192"/>
      <c r="J238" s="191">
        <f>ROUND(F238*2*I238*G238,2)</f>
        <v>0</v>
      </c>
    </row>
    <row r="239" spans="1:10" x14ac:dyDescent="0.2">
      <c r="A239" s="190"/>
      <c r="B239" s="189"/>
      <c r="C239" s="189"/>
      <c r="D239" s="188"/>
      <c r="E239" s="187"/>
      <c r="F239" s="186"/>
      <c r="G239" s="185"/>
      <c r="H239" s="184" t="s">
        <v>460</v>
      </c>
      <c r="I239" s="183"/>
      <c r="J239" s="182"/>
    </row>
    <row r="240" spans="1:10" ht="13.5" thickBot="1" x14ac:dyDescent="0.25">
      <c r="A240" s="355" t="s">
        <v>53</v>
      </c>
      <c r="B240" s="356" t="s">
        <v>459</v>
      </c>
      <c r="C240" s="181"/>
      <c r="D240" s="180"/>
      <c r="E240" s="179"/>
      <c r="F240" s="178">
        <f>SUM(F234:F239)</f>
        <v>27.33</v>
      </c>
      <c r="G240" s="177"/>
      <c r="H240" s="176"/>
      <c r="I240" s="20"/>
      <c r="J240" s="175"/>
    </row>
    <row r="241" spans="1:10" ht="25.5" customHeight="1" thickBot="1" x14ac:dyDescent="0.3">
      <c r="A241" s="359" t="s">
        <v>458</v>
      </c>
      <c r="B241" s="360"/>
      <c r="C241" s="361"/>
      <c r="D241" s="174"/>
      <c r="E241" s="173"/>
      <c r="F241" s="172">
        <f>F240+F232+F128</f>
        <v>2252.3226799999998</v>
      </c>
      <c r="G241" s="171"/>
      <c r="H241" s="170"/>
      <c r="I241" s="92"/>
      <c r="J241" s="169">
        <f>SUM(J3:J240)</f>
        <v>0</v>
      </c>
    </row>
    <row r="242" spans="1:10" x14ac:dyDescent="0.2">
      <c r="E242" s="168"/>
    </row>
    <row r="243" spans="1:10" x14ac:dyDescent="0.2">
      <c r="E243" s="168"/>
    </row>
    <row r="244" spans="1:10" x14ac:dyDescent="0.2">
      <c r="A244" s="18" t="s">
        <v>457</v>
      </c>
      <c r="E244" s="168"/>
    </row>
    <row r="245" spans="1:10" x14ac:dyDescent="0.2">
      <c r="A245" s="18" t="s">
        <v>456</v>
      </c>
      <c r="E245" s="168"/>
    </row>
    <row r="246" spans="1:10" x14ac:dyDescent="0.2">
      <c r="A246" s="18" t="s">
        <v>455</v>
      </c>
      <c r="E246" s="168"/>
    </row>
    <row r="247" spans="1:10" x14ac:dyDescent="0.2">
      <c r="A247" s="18" t="s">
        <v>454</v>
      </c>
      <c r="E247" s="168"/>
    </row>
    <row r="248" spans="1:10" x14ac:dyDescent="0.2">
      <c r="A248" s="18" t="s">
        <v>453</v>
      </c>
      <c r="E248" s="168"/>
    </row>
    <row r="249" spans="1:10" x14ac:dyDescent="0.2">
      <c r="E249" s="168"/>
    </row>
    <row r="250" spans="1:10" x14ac:dyDescent="0.2">
      <c r="E250" s="168"/>
    </row>
    <row r="251" spans="1:10" ht="20.100000000000001" customHeight="1" x14ac:dyDescent="0.2">
      <c r="B251" s="352" t="s">
        <v>570</v>
      </c>
      <c r="C251" s="352"/>
      <c r="D251" s="352"/>
      <c r="E251" s="352"/>
      <c r="F251" s="352"/>
      <c r="G251" s="352"/>
      <c r="H251" s="353">
        <f>J241</f>
        <v>0</v>
      </c>
      <c r="I251" s="354"/>
    </row>
    <row r="252" spans="1:10" ht="44.25" customHeight="1" x14ac:dyDescent="0.2">
      <c r="B252" s="352" t="s">
        <v>571</v>
      </c>
      <c r="C252" s="352"/>
      <c r="D252" s="352"/>
      <c r="E252" s="352"/>
      <c r="F252" s="352"/>
      <c r="G252" s="352"/>
      <c r="H252" s="353">
        <f>H251*1.19</f>
        <v>0</v>
      </c>
      <c r="I252" s="354"/>
    </row>
    <row r="253" spans="1:10" ht="15.75" x14ac:dyDescent="0.25">
      <c r="B253" s="328"/>
      <c r="C253" s="328"/>
      <c r="D253" s="329"/>
      <c r="E253" s="330"/>
      <c r="F253" s="328"/>
      <c r="G253" s="328"/>
      <c r="H253" s="328"/>
      <c r="I253" s="328"/>
    </row>
    <row r="254" spans="1:10" ht="20.100000000000001" customHeight="1" x14ac:dyDescent="0.25">
      <c r="B254" s="333" t="s">
        <v>562</v>
      </c>
      <c r="C254" s="333"/>
      <c r="D254" s="333"/>
      <c r="E254" s="333"/>
      <c r="F254" s="333"/>
      <c r="G254" s="333"/>
      <c r="H254" s="334"/>
      <c r="I254" s="335"/>
    </row>
    <row r="255" spans="1:10" ht="20.100000000000001" customHeight="1" x14ac:dyDescent="0.25">
      <c r="B255" s="333" t="s">
        <v>559</v>
      </c>
      <c r="C255" s="333"/>
      <c r="D255" s="333"/>
      <c r="E255" s="333"/>
      <c r="F255" s="333"/>
      <c r="G255" s="333"/>
      <c r="H255" s="334"/>
      <c r="I255" s="335"/>
    </row>
    <row r="256" spans="1:10" ht="20.100000000000001" customHeight="1" x14ac:dyDescent="0.25">
      <c r="B256" s="333" t="s">
        <v>558</v>
      </c>
      <c r="C256" s="333"/>
      <c r="D256" s="333"/>
      <c r="E256" s="333"/>
      <c r="F256" s="333"/>
      <c r="G256" s="333"/>
      <c r="H256" s="334"/>
      <c r="I256" s="335"/>
    </row>
    <row r="257" spans="2:9" ht="20.100000000000001" customHeight="1" x14ac:dyDescent="0.25">
      <c r="B257" s="333" t="s">
        <v>557</v>
      </c>
      <c r="C257" s="333"/>
      <c r="D257" s="333"/>
      <c r="E257" s="333"/>
      <c r="F257" s="333"/>
      <c r="G257" s="333"/>
      <c r="H257" s="334"/>
      <c r="I257" s="335"/>
    </row>
    <row r="258" spans="2:9" ht="15" x14ac:dyDescent="0.25">
      <c r="B258" s="309"/>
      <c r="C258" s="313"/>
      <c r="D258" s="309"/>
      <c r="E258" s="331"/>
      <c r="F258" s="309"/>
      <c r="G258" s="309"/>
      <c r="H258" s="332"/>
      <c r="I258" s="309"/>
    </row>
    <row r="259" spans="2:9" ht="16.5" thickBot="1" x14ac:dyDescent="0.3">
      <c r="B259" s="340"/>
      <c r="C259" s="340"/>
      <c r="D259" s="340"/>
      <c r="E259" s="340"/>
      <c r="F259" s="340"/>
      <c r="G259" s="340"/>
      <c r="H259" s="340"/>
      <c r="I259" s="340"/>
    </row>
    <row r="260" spans="2:9" ht="15.75" x14ac:dyDescent="0.25">
      <c r="B260" s="1" t="s">
        <v>46</v>
      </c>
      <c r="C260" s="1"/>
      <c r="D260" s="1"/>
      <c r="E260" s="1"/>
      <c r="F260" s="1"/>
      <c r="G260" s="1"/>
      <c r="H260" s="1"/>
      <c r="I260" s="1"/>
    </row>
    <row r="261" spans="2:9" x14ac:dyDescent="0.2">
      <c r="E261" s="168"/>
    </row>
    <row r="262" spans="2:9" x14ac:dyDescent="0.2">
      <c r="E262" s="168"/>
    </row>
    <row r="263" spans="2:9" x14ac:dyDescent="0.2">
      <c r="E263" s="168"/>
    </row>
    <row r="264" spans="2:9" x14ac:dyDescent="0.2">
      <c r="E264" s="168"/>
    </row>
    <row r="265" spans="2:9" x14ac:dyDescent="0.2">
      <c r="E265" s="168"/>
    </row>
    <row r="266" spans="2:9" x14ac:dyDescent="0.2">
      <c r="E266" s="168"/>
    </row>
    <row r="267" spans="2:9" x14ac:dyDescent="0.2">
      <c r="E267" s="168"/>
    </row>
    <row r="268" spans="2:9" x14ac:dyDescent="0.2">
      <c r="E268" s="168"/>
    </row>
    <row r="269" spans="2:9" x14ac:dyDescent="0.2">
      <c r="E269" s="168"/>
    </row>
    <row r="270" spans="2:9" x14ac:dyDescent="0.2">
      <c r="E270" s="168"/>
    </row>
    <row r="271" spans="2:9" x14ac:dyDescent="0.2">
      <c r="E271" s="168"/>
    </row>
    <row r="272" spans="2:9" x14ac:dyDescent="0.2">
      <c r="E272" s="168"/>
    </row>
    <row r="273" spans="5:5" x14ac:dyDescent="0.2">
      <c r="E273" s="168"/>
    </row>
    <row r="274" spans="5:5" x14ac:dyDescent="0.2">
      <c r="E274" s="168"/>
    </row>
  </sheetData>
  <sheetProtection algorithmName="SHA-512" hashValue="mWjjaEwRy4A4Qjdz1AxNeIxmbk93bp4AM7kDQ9DVWwbIrcgVdZIpDmbY2cPmGm+Q6x6stsNa8Xm6+utQmFxLzA==" saltValue="7HKRXs89PRJAjDlVzoyOiQ==" spinCount="100000" sheet="1"/>
  <mergeCells count="28">
    <mergeCell ref="A8:B8"/>
    <mergeCell ref="A224:B224"/>
    <mergeCell ref="A231:B231"/>
    <mergeCell ref="A232:B232"/>
    <mergeCell ref="A26:B26"/>
    <mergeCell ref="A59:B59"/>
    <mergeCell ref="A87:B87"/>
    <mergeCell ref="A114:B114"/>
    <mergeCell ref="A127:B127"/>
    <mergeCell ref="A154:B154"/>
    <mergeCell ref="A240:B240"/>
    <mergeCell ref="A130:B130"/>
    <mergeCell ref="A241:C241"/>
    <mergeCell ref="A184:B184"/>
    <mergeCell ref="A207:B207"/>
    <mergeCell ref="B251:G251"/>
    <mergeCell ref="H251:I251"/>
    <mergeCell ref="B252:G252"/>
    <mergeCell ref="H252:I252"/>
    <mergeCell ref="B254:G254"/>
    <mergeCell ref="H254:I254"/>
    <mergeCell ref="B259:I259"/>
    <mergeCell ref="B255:G255"/>
    <mergeCell ref="H255:I255"/>
    <mergeCell ref="B256:G256"/>
    <mergeCell ref="H256:I256"/>
    <mergeCell ref="B257:G257"/>
    <mergeCell ref="H257:I257"/>
  </mergeCells>
  <conditionalFormatting sqref="B259:I259">
    <cfRule type="cellIs" dxfId="2" priority="1" operator="equal">
      <formula>0</formula>
    </cfRule>
  </conditionalFormatting>
  <conditionalFormatting sqref="H251:I252">
    <cfRule type="cellIs" dxfId="1" priority="2" operator="equal">
      <formula>0</formula>
    </cfRule>
  </conditionalFormatting>
  <conditionalFormatting sqref="H254:I257">
    <cfRule type="cellIs" dxfId="0" priority="3" operator="equal">
      <formula>0</formula>
    </cfRule>
  </conditionalFormatting>
  <pageMargins left="0.70866141732283472" right="0.70866141732283472" top="0.78740157480314965" bottom="0.78740157480314965" header="0.31496062992125984" footer="0.31496062992125984"/>
  <pageSetup paperSize="9" scale="78" orientation="portrait" r:id="rId1"/>
  <rowBreaks count="3" manualBreakCount="3">
    <brk id="59" max="9" man="1"/>
    <brk id="128" max="9" man="1"/>
    <brk id="18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Angebot - UHR, GR</vt:lpstr>
      <vt:lpstr>LV_ges</vt:lpstr>
      <vt:lpstr>Nebenangebot</vt:lpstr>
      <vt:lpstr>Grundreinigung</vt:lpstr>
      <vt:lpstr>Angebot - Glasreinigung</vt:lpstr>
      <vt:lpstr>'Angebot - Glasreinigung'!Druckbereich</vt:lpstr>
      <vt:lpstr>LV_ges!Druckbereich</vt:lpstr>
      <vt:lpstr>'Angebot - Glasreinigung'!Drucktitel</vt:lpstr>
      <vt:lpstr>LV_ges!Drucktitel</vt:lpstr>
    </vt:vector>
  </TitlesOfParts>
  <Company>Burgenlandkreis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Sparschuh, Angela</dc:creator>
  <cp:lastModifiedBy>Ellmerich, Anne</cp:lastModifiedBy>
  <cp:lastPrinted>2025-11-13T09:12:06Z</cp:lastPrinted>
  <dcterms:created xsi:type="dcterms:W3CDTF">2025-11-13T08:25:49Z</dcterms:created>
  <dcterms:modified xsi:type="dcterms:W3CDTF">2025-12-09T12:40:45Z</dcterms:modified>
</cp:coreProperties>
</file>