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EigeneDateien\Bauamt\HOCHBAU\Investitionen\Gelsdorfhütte_51110800-18\Teilprojekt 2 Erschließung\2.2_Landmarke_Gelsdorfruine\02_Vergabe_Abrechnung_Planer\03_Architekt\01_Vergabeverfahren\01_Vergabeunterlagen\Bearbeitung Lara\"/>
    </mc:Choice>
  </mc:AlternateContent>
  <xr:revisionPtr revIDLastSave="0" documentId="13_ncr:1_{B7AF39E9-0E5F-447F-BA53-02727E87C48B}" xr6:coauthVersionLast="47" xr6:coauthVersionMax="47" xr10:uidLastSave="{00000000-0000-0000-0000-000000000000}"/>
  <bookViews>
    <workbookView xWindow="-120" yWindow="-120" windowWidth="29040" windowHeight="15840" activeTab="3" xr2:uid="{F5AEEA20-8E05-4F1D-B54A-28CE84AD337D}"/>
  </bookViews>
  <sheets>
    <sheet name="Gebäude" sheetId="3" r:id="rId1"/>
    <sheet name="Freianlagen" sheetId="4" r:id="rId2"/>
    <sheet name="Tragwerk" sheetId="1" r:id="rId3"/>
    <sheet name="Gesamt" sheetId="5" r:id="rId4"/>
  </sheets>
  <definedNames>
    <definedName name="_xlnm.Print_Area" localSheetId="2">Tragwerk!$A$1:$E$61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4" l="1"/>
  <c r="D53" i="4"/>
  <c r="D15" i="5"/>
  <c r="D16" i="5"/>
  <c r="E16" i="5" s="1"/>
  <c r="D52" i="4"/>
  <c r="E52" i="4"/>
  <c r="D47" i="4"/>
  <c r="E46" i="4"/>
  <c r="E45" i="4"/>
  <c r="E44" i="4"/>
  <c r="E43" i="4"/>
  <c r="E42" i="4"/>
  <c r="E47" i="4" s="1"/>
  <c r="D47" i="1" l="1"/>
  <c r="E45" i="1"/>
  <c r="E42" i="1"/>
  <c r="E43" i="1"/>
  <c r="E48" i="3"/>
  <c r="E46" i="3"/>
  <c r="C12" i="1"/>
  <c r="C11" i="1"/>
  <c r="D30" i="5"/>
  <c r="E30" i="5" s="1"/>
  <c r="E29" i="5"/>
  <c r="E28" i="5"/>
  <c r="E27" i="5"/>
  <c r="C36" i="4"/>
  <c r="D22" i="4"/>
  <c r="D23" i="4" s="1"/>
  <c r="C10" i="4"/>
  <c r="D10" i="4" s="1"/>
  <c r="D11" i="4" s="1"/>
  <c r="D50" i="3"/>
  <c r="D55" i="3" s="1"/>
  <c r="D14" i="5" s="1"/>
  <c r="E14" i="5" s="1"/>
  <c r="E49" i="3"/>
  <c r="E47" i="3"/>
  <c r="E45" i="3"/>
  <c r="C39" i="3"/>
  <c r="D25" i="3"/>
  <c r="D26" i="3" s="1"/>
  <c r="C11" i="3"/>
  <c r="C10" i="3"/>
  <c r="E10" i="3" s="1"/>
  <c r="C36" i="1"/>
  <c r="E50" i="3" l="1"/>
  <c r="E55" i="3" s="1"/>
  <c r="C12" i="3"/>
  <c r="E12" i="3" s="1"/>
  <c r="D35" i="4"/>
  <c r="E35" i="4" s="1"/>
  <c r="D31" i="4"/>
  <c r="E31" i="4" s="1"/>
  <c r="D27" i="4"/>
  <c r="D34" i="4"/>
  <c r="E34" i="4" s="1"/>
  <c r="D32" i="4"/>
  <c r="E32" i="4" s="1"/>
  <c r="D30" i="4"/>
  <c r="E30" i="4" s="1"/>
  <c r="D33" i="4"/>
  <c r="E33" i="4" s="1"/>
  <c r="D29" i="4"/>
  <c r="E29" i="4" s="1"/>
  <c r="D28" i="4"/>
  <c r="E28" i="4" s="1"/>
  <c r="D37" i="3"/>
  <c r="E37" i="3" s="1"/>
  <c r="D33" i="3"/>
  <c r="E33" i="3" s="1"/>
  <c r="D30" i="3"/>
  <c r="D36" i="3"/>
  <c r="E36" i="3" s="1"/>
  <c r="D32" i="3"/>
  <c r="E32" i="3" s="1"/>
  <c r="D35" i="3"/>
  <c r="E35" i="3" s="1"/>
  <c r="D31" i="3"/>
  <c r="E31" i="3" s="1"/>
  <c r="D34" i="3"/>
  <c r="E34" i="3" s="1"/>
  <c r="D38" i="3"/>
  <c r="E38" i="3" s="1"/>
  <c r="D52" i="1"/>
  <c r="D18" i="5" s="1"/>
  <c r="E18" i="5" s="1"/>
  <c r="E46" i="1"/>
  <c r="E44" i="1"/>
  <c r="D25" i="1"/>
  <c r="D26" i="1" s="1"/>
  <c r="D30" i="1" s="1"/>
  <c r="E30" i="1" s="1"/>
  <c r="E12" i="1"/>
  <c r="E11" i="1"/>
  <c r="C13" i="3" l="1"/>
  <c r="E13" i="3" s="1"/>
  <c r="E14" i="3" s="1"/>
  <c r="D36" i="4"/>
  <c r="D51" i="4" s="1"/>
  <c r="E27" i="4"/>
  <c r="E30" i="3"/>
  <c r="E39" i="3" s="1"/>
  <c r="E54" i="3" s="1"/>
  <c r="E56" i="3" s="1"/>
  <c r="D39" i="3"/>
  <c r="D54" i="3" s="1"/>
  <c r="D56" i="3" s="1"/>
  <c r="D36" i="1"/>
  <c r="E36" i="1" s="1"/>
  <c r="E13" i="1"/>
  <c r="E47" i="1"/>
  <c r="E52" i="1" s="1"/>
  <c r="D35" i="1"/>
  <c r="E35" i="1" s="1"/>
  <c r="D34" i="1"/>
  <c r="E34" i="1" s="1"/>
  <c r="D32" i="1"/>
  <c r="E32" i="1" s="1"/>
  <c r="D33" i="1"/>
  <c r="E33" i="1" s="1"/>
  <c r="D31" i="1"/>
  <c r="E31" i="1" s="1"/>
  <c r="E51" i="4" l="1"/>
  <c r="D5" i="5"/>
  <c r="D13" i="5"/>
  <c r="E13" i="5" s="1"/>
  <c r="E36" i="4"/>
  <c r="E51" i="1"/>
  <c r="E5" i="5" l="1"/>
  <c r="D19" i="5"/>
  <c r="E19" i="5" s="1"/>
  <c r="D7" i="5"/>
  <c r="E53" i="1"/>
  <c r="D51" i="1"/>
  <c r="D17" i="5" s="1"/>
  <c r="E17" i="5" s="1"/>
  <c r="E7" i="5" l="1"/>
  <c r="D21" i="5"/>
  <c r="E21" i="5" s="1"/>
  <c r="D53" i="1"/>
  <c r="D6" i="5" l="1"/>
  <c r="D20" i="5" l="1"/>
  <c r="E20" i="5" s="1"/>
  <c r="E6" i="5"/>
  <c r="D8" i="5"/>
  <c r="E8" i="5" s="1"/>
  <c r="E15" i="5" l="1"/>
  <c r="E23" i="5" s="1"/>
  <c r="D23" i="5"/>
</calcChain>
</file>

<file path=xl/sharedStrings.xml><?xml version="1.0" encoding="utf-8"?>
<sst xmlns="http://schemas.openxmlformats.org/spreadsheetml/2006/main" count="269" uniqueCount="172">
  <si>
    <t>Anlage 3</t>
  </si>
  <si>
    <t>Es sind nur die farbig hinterlegten Felder auszufüllen</t>
  </si>
  <si>
    <t>Leistungen Tragwerksplanung nach §§ 49 ff. HOAI 2021, LPH 1-6</t>
  </si>
  <si>
    <t>Grundlage des Honorarangebotes:</t>
  </si>
  <si>
    <t>Aufforderung zur Teilnahme am offenen Verfahren mit Aufgabenbeschreibung für Leistungen der
Planungsleistungen Tragwerksplanung §§ 49-52 HOAI Leistungsphasen 1 bis 6 / Anlage 14</t>
  </si>
  <si>
    <t>Technische Anlagen</t>
  </si>
  <si>
    <t>Tragwerksplanung</t>
  </si>
  <si>
    <t>1. Grundleistungen</t>
  </si>
  <si>
    <t xml:space="preserve">Baukosten
gesamt netto </t>
  </si>
  <si>
    <t>anrechenbar</t>
  </si>
  <si>
    <t>anrechenbare BK gesamt netto</t>
  </si>
  <si>
    <t>KG 300</t>
  </si>
  <si>
    <t>Bauwerk</t>
  </si>
  <si>
    <t>KG 400</t>
  </si>
  <si>
    <t>Anrechenbare Baukosten gesamt</t>
  </si>
  <si>
    <t xml:space="preserve">Einordnung in Honorarzone </t>
  </si>
  <si>
    <t>III</t>
  </si>
  <si>
    <t>Erhöhungssatz</t>
  </si>
  <si>
    <t>Basishonorarsatz (Vollhonorar)</t>
  </si>
  <si>
    <t>Auf- und Abschläge:</t>
  </si>
  <si>
    <t>in v. H.</t>
  </si>
  <si>
    <t>angebotenes Vollhonorar
 in Euro netto</t>
  </si>
  <si>
    <t>Umbauzuschlag</t>
  </si>
  <si>
    <t>Auf-/ Abschlag auf
 Basishonorarsatz (Vollhonorar)</t>
  </si>
  <si>
    <t>- Honorarsatz (HOAI 2021 (nach Honorartafel zu § 52 HOAI und Objektliste Anlage 14.2)</t>
  </si>
  <si>
    <t>Honorarsatz
v.H.</t>
  </si>
  <si>
    <t>Honorar netto
in Euro</t>
  </si>
  <si>
    <t>Honorar brutto
in Euro</t>
  </si>
  <si>
    <t>LPH1</t>
  </si>
  <si>
    <t>Grundlagenermittlung</t>
  </si>
  <si>
    <t>LPH2</t>
  </si>
  <si>
    <t>Vorplanung</t>
  </si>
  <si>
    <t>LPH3</t>
  </si>
  <si>
    <t>Entwurfsplanung</t>
  </si>
  <si>
    <t>LPH4</t>
  </si>
  <si>
    <t>Genehmigungsplanung</t>
  </si>
  <si>
    <t>LPH5</t>
  </si>
  <si>
    <t>Ausführungsplanung</t>
  </si>
  <si>
    <t>LPH6</t>
  </si>
  <si>
    <t>Vorbereitung der Vergabe</t>
  </si>
  <si>
    <t>Zusammenfassung
Grundleistungen netto:</t>
  </si>
  <si>
    <t>- Bewertung d. Grundleistungen in v. H. der Honorare gem. § 51 (1) HOAI unter Berücksichtigung Auf-/Abschlag</t>
  </si>
  <si>
    <t>Honorar netto
in Euro pauschal</t>
  </si>
  <si>
    <t>Honorar brutto
in Euro pauschal</t>
  </si>
  <si>
    <t>2.1</t>
  </si>
  <si>
    <t>Zusammenfassung Besondere Leistungen:</t>
  </si>
  <si>
    <t>Besondere Leistungen</t>
  </si>
  <si>
    <t>Honorar netto</t>
  </si>
  <si>
    <t>Honorar brutto</t>
  </si>
  <si>
    <t>1.</t>
  </si>
  <si>
    <t>2.2</t>
  </si>
  <si>
    <t>Gesamt</t>
  </si>
  <si>
    <t>Grundleistungen LPH 1-6</t>
  </si>
  <si>
    <t>2.</t>
  </si>
  <si>
    <t>in v. H. 
vom Honorar</t>
  </si>
  <si>
    <t>Nebenkosten 
netto</t>
  </si>
  <si>
    <t>Nebenkosten 
brutto 
(incl. 19 % Mwst.)</t>
  </si>
  <si>
    <t>5. Stundenlohnleistungen</t>
  </si>
  <si>
    <t>Stundensatz 
netto in Euro</t>
  </si>
  <si>
    <t>Stundensatz 
brutto in Euro</t>
  </si>
  <si>
    <t>Auftragnehmer und Partner</t>
  </si>
  <si>
    <t>Mitarbeiter 
(Dipl.-Ing., Planer, Techniker, Bauleiter)</t>
  </si>
  <si>
    <t>3.</t>
  </si>
  <si>
    <t>Techn. Zeichner/ CAD/ Schreibkraft / MA EDV</t>
  </si>
  <si>
    <t>4.</t>
  </si>
  <si>
    <t>Mittelstundensatz</t>
  </si>
  <si>
    <t>Erklärung des Bieters</t>
  </si>
  <si>
    <t>Ort / Datum</t>
  </si>
  <si>
    <t xml:space="preserve">...................................................................... </t>
  </si>
  <si>
    <t>…………………………………………….........</t>
  </si>
  <si>
    <t>Name</t>
  </si>
  <si>
    <t>Unterschrift</t>
  </si>
  <si>
    <t>Zusammenfassung Angebote Tragwerksplanung</t>
  </si>
  <si>
    <t>Nebenkostenpauschale Tragwerksplanung</t>
  </si>
  <si>
    <t>Leistungen Objektplanung Gebäude nach §§ 34 ff. HOAI 2021, LPH 1-9</t>
  </si>
  <si>
    <t>Aufforderung zur Teilnahme am Verhandlungsverfahren mit Aufgabenbeschreibung für Leistungen der Planungsleistungen Objektplanung §§ 33-37 HOAI Leistungsphasen 2 bis 9 / Anlage 10</t>
  </si>
  <si>
    <t>Anrechenbare Baukosten netto (vorläufig auf der Grundlage der Studie des Auftraggebers und entsprechend
der Aufgabenstellung / HOAI § 33):</t>
  </si>
  <si>
    <t>§ 33 (2) Nr. 1 HOAI-25% KG 300</t>
  </si>
  <si>
    <t>§ 33 (2) Nr. 1 HOAI-üb. Teil 50%</t>
  </si>
  <si>
    <t>Gebäude</t>
  </si>
  <si>
    <t>- Honorarsatz (HOAI 2021 nach Honorartafel zu § 35 HOAI und Objektliste Anlage 10.2)</t>
  </si>
  <si>
    <t>- Bewertung d. Grundleistungen in v.H. der Honorare gem.§ 35 (3) HOAI unter Berücksichtigung Auf-/ Abschlag</t>
  </si>
  <si>
    <t>LPH7</t>
  </si>
  <si>
    <t>Mitwirkung bei der Vergabe</t>
  </si>
  <si>
    <t>LPH8</t>
  </si>
  <si>
    <t>Objektüberwachung</t>
  </si>
  <si>
    <t>LPH9</t>
  </si>
  <si>
    <t>Objektbetreuung</t>
  </si>
  <si>
    <t>2. Besondere / Zusätzliche Leistungen</t>
  </si>
  <si>
    <t>zusätzliche Besondere Leistungen</t>
  </si>
  <si>
    <t>Zusammenfassung zusätzliche Besondere
Leistungen:</t>
  </si>
  <si>
    <t>Zusammenfassung Objektplanung</t>
  </si>
  <si>
    <t>Grundleistungen LPH 1-9</t>
  </si>
  <si>
    <t>Bitte Angebot auf Tabellenblatt "Gesamt" unterzeichnen.</t>
  </si>
  <si>
    <t>Leistungen Freianlagen nach §§ 38 ff. HOAI 2021, LPH 1-9</t>
  </si>
  <si>
    <t>Aufforderung zur Teilnahme am Verhandlungsverfahren mit Aufgabenbeschreibung für Leistungen der Planungsleistungen Freianlagen §§ 38-40 HOAI Leistungsphasen 1 bis 9 /  Anlage 11</t>
  </si>
  <si>
    <t>Anrechenbare Baukosten netto (vorläufig auf der Grundlage der Studie des Auftraggebers und entsprechend der Aufgabenstellung / HOAI § 38):</t>
  </si>
  <si>
    <t>Baukosten 
gesamt netto</t>
  </si>
  <si>
    <t>anrechenbare BK 
gesamt netto</t>
  </si>
  <si>
    <t xml:space="preserve">KG 500 </t>
  </si>
  <si>
    <t xml:space="preserve">Freianlagen </t>
  </si>
  <si>
    <t>Anrechenbare Baukosten  gesamt</t>
  </si>
  <si>
    <t>Freianlagen</t>
  </si>
  <si>
    <t>3. Grundleistungen</t>
  </si>
  <si>
    <t>- Honorarsatz (HOAI 2021 (nach Honorartafel zu § 40 HOAI und Objektliste Anlage 11.2)</t>
  </si>
  <si>
    <t xml:space="preserve">Erhöhungssatz </t>
  </si>
  <si>
    <t xml:space="preserve"> Auf- und Abschläge:</t>
  </si>
  <si>
    <t xml:space="preserve">in v. H. </t>
  </si>
  <si>
    <t>angebotenes Vollhonorar 
in Euro netto</t>
  </si>
  <si>
    <t>- Bewertung d. Grundleistungen in v. H. der Honorare gem. § 39 (3) HOAI unter Berücksichtigung Auf-/Abschlag</t>
  </si>
  <si>
    <t xml:space="preserve">Honorarsatz </t>
  </si>
  <si>
    <t>Honorar netto 
in Euro</t>
  </si>
  <si>
    <t>Honorar brutto 
in Euro</t>
  </si>
  <si>
    <t>LPH 2</t>
  </si>
  <si>
    <t xml:space="preserve">Vorplanung  </t>
  </si>
  <si>
    <t>LPH 3</t>
  </si>
  <si>
    <t>LPH 4</t>
  </si>
  <si>
    <t>LPH 5</t>
  </si>
  <si>
    <t>LPH 6</t>
  </si>
  <si>
    <t>LPH 7</t>
  </si>
  <si>
    <t>LPH 8</t>
  </si>
  <si>
    <t>LPH 9</t>
  </si>
  <si>
    <t>Zusammenfassung Grundleistungen netto:</t>
  </si>
  <si>
    <t xml:space="preserve">Zusammenfassung Freianlagen </t>
  </si>
  <si>
    <t xml:space="preserve">Grundleistungen HOAI </t>
  </si>
  <si>
    <t>Nebenkostenpauschale Leistungen Gebäude</t>
  </si>
  <si>
    <t>Nebenkostenpauschale Freianlagen</t>
  </si>
  <si>
    <t>Nebenkosten gesamt</t>
  </si>
  <si>
    <t>Nebenkostenpauschale Objektplanung Gebäude</t>
  </si>
  <si>
    <t>Anrechenbare Baukosten netto (vorläufig auf der Grundlage der Studie des Auftraggebers und entsprechend der Aufgabenstellung / HOAI § 50):</t>
  </si>
  <si>
    <t>Nebenkostenpauschale Tragwergsplanung</t>
  </si>
  <si>
    <t>Grundleistungen LPH 1-9 Freianlagen</t>
  </si>
  <si>
    <t>Grundleistungen LPH 1-9 Gebäude</t>
  </si>
  <si>
    <t>Grundleistungen LPH 1-6 Tragwerksplanung</t>
  </si>
  <si>
    <t>5.</t>
  </si>
  <si>
    <t>6.1</t>
  </si>
  <si>
    <t>6.2</t>
  </si>
  <si>
    <t>6.3</t>
  </si>
  <si>
    <t>Leistungen Objektplanung Gebäude und Freianlagen HOAI 2021, LPH 1-9 und Tragwerksplanung HOAI 2021, LPH 1-6</t>
  </si>
  <si>
    <t xml:space="preserve">Perspektivische Darstellungen aus zwei Blickrichtungen </t>
  </si>
  <si>
    <t>Prüfen und Werten von Nebenangeboten mit Auswirkungen auf die abgestimmte Planung</t>
  </si>
  <si>
    <t>Mitwirkung bei der Prüfung von bauwirtschaftlich begründeten Nachtragsangeboten</t>
  </si>
  <si>
    <t>Leistungen für den vorbeugenden baulichen Brandschutz, Erstellung und Abstimmung Brandschutzkonzeption</t>
  </si>
  <si>
    <t>Beratungsleistungen im Zusammenhang mit der
Gewährung von Fördermitteln</t>
  </si>
  <si>
    <t>2.3</t>
  </si>
  <si>
    <t>2.4</t>
  </si>
  <si>
    <t>2.5</t>
  </si>
  <si>
    <t>Besondere / Zusätzliche Leistungen</t>
  </si>
  <si>
    <t xml:space="preserve">Besondere / Zusätzliche Leistungen </t>
  </si>
  <si>
    <t>Statische Berechnung und zeichnerische Darstellung von Bauzuständen bei Ingenieurbauwerken, soweit diese Leistungen über das Erfassen von normalen Bauzuständen hinausgehen</t>
  </si>
  <si>
    <t>Statische Nachweise an nicht zum Tragwerk gehörende Konstruktionen (zum Beispiel Fassaden)</t>
  </si>
  <si>
    <t>Ingenieurtechnische Kontrolle und Abnahme der Ausführung des Tragwerks auf Übereinstimmung mit den geprüften statischen Unterlagen</t>
  </si>
  <si>
    <t>Ingenieurtechnische Kontrolle der Baubehelfe, zum Beispiel Arbeits- und Lehrgerüste, Kranbahnen, Baugrubensicherungen</t>
  </si>
  <si>
    <t>Mitwirken bei der Überwachung der Ausführung der Tragwerkseingriffe bei Umbauten und Modernisierungen</t>
  </si>
  <si>
    <t>IV</t>
  </si>
  <si>
    <t>4. Besondere / Zusätzliche Leistungen</t>
  </si>
  <si>
    <t>4.1</t>
  </si>
  <si>
    <t>4.2</t>
  </si>
  <si>
    <t>4.3</t>
  </si>
  <si>
    <t>4.4</t>
  </si>
  <si>
    <t>4.5</t>
  </si>
  <si>
    <t>5. Grundleistungen</t>
  </si>
  <si>
    <t>6. Besondere / Zusätzliche Leistungen</t>
  </si>
  <si>
    <t>6.</t>
  </si>
  <si>
    <t>6.4</t>
  </si>
  <si>
    <t>6.5</t>
  </si>
  <si>
    <t>7.1</t>
  </si>
  <si>
    <t>7.2</t>
  </si>
  <si>
    <t>7.3</t>
  </si>
  <si>
    <t>7. Nebenkostenpauschale</t>
  </si>
  <si>
    <t>Zusammenfassung Angebote Objektplanung Gebäude, Freianlagen und Tragwerksplanung  + Nebenkosten</t>
  </si>
  <si>
    <t xml:space="preserve">An meine/unsere Honorarangabe halte ich mich/halten wir uns bis zum 13.12.2024 gebunden. Ich bin mir/Wir sind uns bewusst, dass eine wissentlich falsche Erklärung im Angebotsschreiben meinen/unseren Ausschluss von weiteren Auftragserteilungen zur Folge haben kann. Die nachstehende Bezeichnung des Erklärenden gilt für alle Bestandteile des Angebotes. Mit der Unterzeichnung des Erklärenden erklärt der Bieter sein Einverständnis zur Anwendung des übergebenen Mustervertrages Planungsleistungen.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</si>
</sst>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quot;v.H.&quot;"/>
    <numFmt numFmtId="165" formatCode="#,##0.00\ &quot;€&quot;"/>
  </numFmts>
  <fonts count="11" x14ac:knownFonts="1">
    <font>
      <sz val="11"/>
      <color theme="1"/>
      <name val="Calibri"/>
      <family val="2"/>
      <scheme val="minor"/>
    </font>
    <font>
      <sz val="11"/>
      <color theme="1"/>
      <name val="Calibri"/>
      <family val="2"/>
      <scheme val="minor"/>
    </font>
    <font>
      <sz val="11"/>
      <color theme="1"/>
      <name val="Arial Narrow"/>
      <family val="2"/>
    </font>
    <font>
      <b/>
      <sz val="12"/>
      <color theme="1"/>
      <name val="Arial Narrow"/>
      <family val="2"/>
    </font>
    <font>
      <b/>
      <sz val="11"/>
      <color theme="1"/>
      <name val="Arial Narrow"/>
      <family val="2"/>
    </font>
    <font>
      <sz val="11"/>
      <color rgb="FFFF0000"/>
      <name val="Arial Narrow"/>
      <family val="2"/>
    </font>
    <font>
      <b/>
      <u/>
      <sz val="11"/>
      <color theme="1"/>
      <name val="Arial Narrow"/>
      <family val="2"/>
    </font>
    <font>
      <sz val="11"/>
      <name val="Arial Narrow"/>
      <family val="2"/>
    </font>
    <font>
      <sz val="10"/>
      <color theme="1"/>
      <name val="Arial Narrow"/>
      <family val="2"/>
    </font>
    <font>
      <u/>
      <sz val="11"/>
      <color theme="1"/>
      <name val="Arial Narrow"/>
      <family val="2"/>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164" fontId="2" fillId="3"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5" fillId="0" borderId="0" xfId="0" applyFont="1"/>
    <xf numFmtId="0" fontId="2" fillId="0" borderId="0" xfId="0" applyFont="1"/>
    <xf numFmtId="165" fontId="2" fillId="0" borderId="1" xfId="0" applyNumberFormat="1"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xf numFmtId="9" fontId="2" fillId="0" borderId="1" xfId="0" applyNumberFormat="1" applyFont="1" applyBorder="1" applyAlignment="1">
      <alignment horizontal="center"/>
    </xf>
    <xf numFmtId="0" fontId="2" fillId="0" borderId="1" xfId="0" applyFont="1" applyBorder="1" applyAlignment="1">
      <alignment horizontal="center"/>
    </xf>
    <xf numFmtId="0" fontId="2" fillId="0" borderId="2" xfId="0" applyFont="1" applyBorder="1"/>
    <xf numFmtId="0" fontId="2" fillId="0" borderId="3" xfId="0" applyFont="1" applyBorder="1"/>
    <xf numFmtId="165" fontId="4" fillId="0" borderId="1" xfId="0" applyNumberFormat="1" applyFont="1" applyBorder="1"/>
    <xf numFmtId="0" fontId="4" fillId="0" borderId="0" xfId="0" applyFont="1" applyAlignment="1">
      <alignment vertical="center"/>
    </xf>
    <xf numFmtId="0" fontId="2" fillId="0" borderId="1" xfId="0" applyFont="1" applyBorder="1" applyAlignment="1">
      <alignment horizontal="center" vertical="center"/>
    </xf>
    <xf numFmtId="49" fontId="2" fillId="0" borderId="2" xfId="0" applyNumberFormat="1" applyFont="1" applyBorder="1"/>
    <xf numFmtId="0" fontId="2" fillId="0" borderId="5" xfId="0" applyFont="1" applyBorder="1"/>
    <xf numFmtId="0" fontId="4" fillId="0" borderId="1" xfId="0" applyFont="1" applyBorder="1" applyAlignment="1">
      <alignment wrapText="1"/>
    </xf>
    <xf numFmtId="0" fontId="4" fillId="0" borderId="1" xfId="0" applyFont="1" applyBorder="1" applyAlignment="1">
      <alignment horizontal="center" vertical="center"/>
    </xf>
    <xf numFmtId="165" fontId="4" fillId="0" borderId="1" xfId="0" applyNumberFormat="1" applyFont="1" applyBorder="1" applyAlignment="1">
      <alignment vertical="center"/>
    </xf>
    <xf numFmtId="49" fontId="4" fillId="0" borderId="1" xfId="0" applyNumberFormat="1" applyFont="1" applyBorder="1" applyAlignment="1">
      <alignment horizontal="right" vertical="top"/>
    </xf>
    <xf numFmtId="49" fontId="4" fillId="0" borderId="6" xfId="0" applyNumberFormat="1" applyFont="1" applyBorder="1" applyAlignment="1">
      <alignment vertical="top"/>
    </xf>
    <xf numFmtId="49" fontId="2" fillId="0" borderId="6" xfId="0" applyNumberFormat="1" applyFont="1" applyBorder="1"/>
    <xf numFmtId="49" fontId="2" fillId="0" borderId="1" xfId="0" applyNumberFormat="1" applyFont="1" applyBorder="1" applyAlignment="1">
      <alignment horizontal="right" vertical="top"/>
    </xf>
    <xf numFmtId="165" fontId="2" fillId="3" borderId="1" xfId="0" applyNumberFormat="1" applyFont="1" applyFill="1" applyBorder="1" applyAlignment="1" applyProtection="1">
      <alignment vertical="center"/>
      <protection locked="0"/>
    </xf>
    <xf numFmtId="0" fontId="2" fillId="0" borderId="6" xfId="0" applyFont="1" applyBorder="1"/>
    <xf numFmtId="0" fontId="2" fillId="0" borderId="7" xfId="0" applyFont="1" applyBorder="1"/>
    <xf numFmtId="0" fontId="4" fillId="4" borderId="3" xfId="0" applyFont="1" applyFill="1" applyBorder="1"/>
    <xf numFmtId="0" fontId="2" fillId="4" borderId="6" xfId="0" applyFont="1" applyFill="1" applyBorder="1"/>
    <xf numFmtId="165" fontId="4" fillId="4" borderId="1" xfId="0" applyNumberFormat="1" applyFont="1" applyFill="1" applyBorder="1"/>
    <xf numFmtId="0" fontId="6" fillId="0" borderId="0" xfId="0" applyFont="1"/>
    <xf numFmtId="0" fontId="4" fillId="0" borderId="0" xfId="0" applyFont="1"/>
    <xf numFmtId="0" fontId="8" fillId="0" borderId="0" xfId="0" applyFont="1"/>
    <xf numFmtId="0" fontId="8" fillId="0" borderId="0" xfId="0" applyFont="1" applyAlignment="1">
      <alignment horizontal="left"/>
    </xf>
    <xf numFmtId="0" fontId="2" fillId="0" borderId="0" xfId="0" applyFont="1" applyAlignment="1">
      <alignment horizontal="left" vertical="top"/>
    </xf>
    <xf numFmtId="0" fontId="4" fillId="4" borderId="3" xfId="0" applyFont="1" applyFill="1" applyBorder="1" applyAlignment="1">
      <alignment vertical="center"/>
    </xf>
    <xf numFmtId="0" fontId="4" fillId="4" borderId="6" xfId="0" applyFont="1" applyFill="1" applyBorder="1" applyAlignment="1">
      <alignment vertical="center"/>
    </xf>
    <xf numFmtId="0" fontId="4" fillId="4" borderId="4" xfId="0" applyFont="1" applyFill="1" applyBorder="1" applyAlignment="1">
      <alignment vertical="center"/>
    </xf>
    <xf numFmtId="0" fontId="4" fillId="4" borderId="1" xfId="0" applyFont="1" applyFill="1" applyBorder="1" applyAlignment="1">
      <alignment horizontal="center" vertical="center"/>
    </xf>
    <xf numFmtId="0" fontId="9" fillId="0" borderId="0" xfId="0" applyFont="1"/>
    <xf numFmtId="0" fontId="2" fillId="0" borderId="0" xfId="0" applyFont="1" applyAlignment="1">
      <alignment horizontal="left" vertical="center" wrapText="1"/>
    </xf>
    <xf numFmtId="0" fontId="2" fillId="0" borderId="4" xfId="0" applyFont="1" applyBorder="1"/>
    <xf numFmtId="49" fontId="2" fillId="0" borderId="0" xfId="0" applyNumberFormat="1" applyFont="1"/>
    <xf numFmtId="165" fontId="2" fillId="0" borderId="1" xfId="0" applyNumberFormat="1" applyFont="1" applyBorder="1" applyAlignment="1">
      <alignment vertical="center"/>
    </xf>
    <xf numFmtId="0" fontId="2" fillId="0" borderId="0" xfId="0" applyFont="1" applyAlignment="1">
      <alignment horizontal="left" indent="1"/>
    </xf>
    <xf numFmtId="0" fontId="2" fillId="0" borderId="0" xfId="0" applyFont="1" applyAlignment="1">
      <alignment vertical="center"/>
    </xf>
    <xf numFmtId="165" fontId="2" fillId="0" borderId="1" xfId="1" applyNumberFormat="1" applyFont="1" applyBorder="1" applyAlignment="1" applyProtection="1">
      <alignment horizontal="right" vertical="center" wrapText="1"/>
    </xf>
    <xf numFmtId="165" fontId="2" fillId="0" borderId="1" xfId="1" applyNumberFormat="1" applyFont="1" applyBorder="1" applyAlignment="1" applyProtection="1">
      <alignment vertical="center"/>
    </xf>
    <xf numFmtId="0" fontId="6" fillId="0" borderId="0" xfId="0" applyFont="1" applyAlignment="1">
      <alignment horizontal="left"/>
    </xf>
    <xf numFmtId="0" fontId="2" fillId="0" borderId="0" xfId="0" applyFont="1" applyAlignment="1">
      <alignment horizontal="left" indent="5"/>
    </xf>
    <xf numFmtId="0" fontId="2" fillId="0" borderId="1" xfId="0" applyFont="1" applyBorder="1" applyAlignment="1">
      <alignment vertical="center"/>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44" fontId="2" fillId="0" borderId="1" xfId="1" applyFont="1" applyFill="1" applyBorder="1" applyAlignment="1" applyProtection="1">
      <alignment horizontal="center" vertical="center" wrapText="1"/>
    </xf>
    <xf numFmtId="44" fontId="2" fillId="0" borderId="0" xfId="1" applyFont="1" applyFill="1" applyBorder="1" applyAlignment="1" applyProtection="1">
      <alignment horizontal="center" wrapText="1"/>
    </xf>
    <xf numFmtId="0" fontId="4" fillId="0" borderId="0" xfId="0" quotePrefix="1" applyFont="1" applyAlignment="1">
      <alignment horizontal="left" vertical="center"/>
    </xf>
    <xf numFmtId="0" fontId="4" fillId="0" borderId="8" xfId="0" quotePrefix="1" applyFont="1" applyBorder="1" applyAlignment="1">
      <alignment horizontal="left" vertical="center"/>
    </xf>
    <xf numFmtId="44" fontId="2" fillId="0" borderId="1" xfId="1" applyFont="1" applyBorder="1" applyAlignment="1" applyProtection="1">
      <alignment vertical="center"/>
    </xf>
    <xf numFmtId="44" fontId="4" fillId="0" borderId="1" xfId="1" applyFont="1" applyBorder="1" applyAlignment="1" applyProtection="1">
      <alignment vertical="center"/>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164" fontId="2" fillId="0" borderId="11" xfId="0" applyNumberFormat="1" applyFont="1" applyBorder="1" applyAlignment="1">
      <alignment horizontal="center" vertical="center" wrapText="1"/>
    </xf>
    <xf numFmtId="44" fontId="2" fillId="0" borderId="11" xfId="0" applyNumberFormat="1" applyFont="1" applyBorder="1" applyAlignment="1">
      <alignment vertical="center" wrapText="1"/>
    </xf>
    <xf numFmtId="0" fontId="4" fillId="0" borderId="11" xfId="0" applyFont="1" applyBorder="1" applyAlignment="1">
      <alignment vertical="center" wrapText="1"/>
    </xf>
    <xf numFmtId="164" fontId="4" fillId="0" borderId="11" xfId="0" applyNumberFormat="1" applyFont="1" applyBorder="1" applyAlignment="1">
      <alignment horizontal="center" vertical="center" wrapText="1"/>
    </xf>
    <xf numFmtId="44" fontId="4" fillId="0" borderId="11" xfId="0" applyNumberFormat="1"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44" fontId="4" fillId="2" borderId="1" xfId="0" applyNumberFormat="1" applyFont="1" applyFill="1" applyBorder="1" applyAlignment="1">
      <alignment vertical="center"/>
    </xf>
    <xf numFmtId="44" fontId="4" fillId="0" borderId="1" xfId="1" applyFont="1" applyFill="1" applyBorder="1" applyAlignment="1">
      <alignment horizontal="center" vertical="center"/>
    </xf>
    <xf numFmtId="0" fontId="4" fillId="0" borderId="0" xfId="0" applyFont="1" applyAlignment="1">
      <alignment horizontal="right" vertical="center"/>
    </xf>
    <xf numFmtId="49" fontId="4" fillId="0" borderId="1" xfId="0" applyNumberFormat="1" applyFont="1" applyBorder="1" applyAlignment="1">
      <alignment horizontal="righ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44" fontId="4" fillId="2" borderId="14" xfId="0" applyNumberFormat="1" applyFont="1" applyFill="1" applyBorder="1" applyAlignment="1">
      <alignment vertical="center"/>
    </xf>
    <xf numFmtId="0" fontId="2" fillId="0" borderId="1" xfId="0" applyFont="1" applyBorder="1" applyAlignment="1">
      <alignment horizontal="center" vertical="top" wrapText="1"/>
    </xf>
    <xf numFmtId="0" fontId="2" fillId="0" borderId="0" xfId="0" applyFont="1" applyAlignment="1">
      <alignment horizontal="center"/>
    </xf>
    <xf numFmtId="0" fontId="2" fillId="0" borderId="1" xfId="0" applyFont="1" applyBorder="1" applyAlignment="1">
      <alignment horizontal="center" wrapText="1"/>
    </xf>
    <xf numFmtId="44" fontId="2" fillId="0" borderId="1" xfId="1" applyFont="1" applyBorder="1" applyAlignment="1">
      <alignment horizontal="center" vertical="center"/>
    </xf>
    <xf numFmtId="0" fontId="7" fillId="0" borderId="0" xfId="0" applyFont="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44" fontId="2" fillId="3" borderId="1" xfId="1" applyFont="1" applyFill="1" applyBorder="1" applyAlignment="1" applyProtection="1">
      <alignment horizontal="center" vertical="top"/>
      <protection locked="0"/>
    </xf>
    <xf numFmtId="44" fontId="2" fillId="0" borderId="1" xfId="1" applyFont="1" applyBorder="1" applyAlignment="1">
      <alignment horizontal="center" vertical="top"/>
    </xf>
    <xf numFmtId="165" fontId="2" fillId="3" borderId="1" xfId="0" applyNumberFormat="1" applyFont="1" applyFill="1" applyBorder="1" applyAlignment="1" applyProtection="1">
      <alignment horizontal="left" vertical="top"/>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top" wrapText="1"/>
    </xf>
    <xf numFmtId="44" fontId="2" fillId="0" borderId="1" xfId="0" applyNumberFormat="1" applyFont="1" applyBorder="1" applyAlignment="1">
      <alignment horizontal="right" vertical="center"/>
    </xf>
    <xf numFmtId="0" fontId="2" fillId="0" borderId="1" xfId="0" applyFont="1" applyBorder="1" applyAlignment="1">
      <alignment horizontal="left" wrapText="1"/>
    </xf>
    <xf numFmtId="44" fontId="2" fillId="0" borderId="1" xfId="1" applyFont="1" applyFill="1" applyBorder="1" applyAlignment="1">
      <alignment horizontal="center" vertical="center"/>
    </xf>
    <xf numFmtId="0" fontId="2" fillId="0" borderId="0" xfId="0" applyFont="1" applyAlignment="1">
      <alignment horizontal="left" wrapText="1"/>
    </xf>
    <xf numFmtId="9" fontId="2" fillId="0" borderId="0" xfId="0" applyNumberFormat="1" applyFont="1" applyAlignment="1">
      <alignment horizontal="left" wrapText="1"/>
    </xf>
    <xf numFmtId="44" fontId="2" fillId="0" borderId="0" xfId="1" applyFont="1" applyFill="1" applyBorder="1" applyAlignment="1">
      <alignment horizontal="center" vertical="center"/>
    </xf>
    <xf numFmtId="49" fontId="2" fillId="0" borderId="1" xfId="0" applyNumberFormat="1" applyFont="1" applyBorder="1" applyAlignment="1">
      <alignment horizontal="left" vertical="center"/>
    </xf>
    <xf numFmtId="44" fontId="2" fillId="0" borderId="1" xfId="0" applyNumberFormat="1"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right" vertical="center"/>
    </xf>
    <xf numFmtId="0" fontId="2" fillId="0" borderId="0" xfId="0" applyFont="1" applyAlignment="1">
      <alignment vertical="center" wrapText="1"/>
    </xf>
    <xf numFmtId="44" fontId="2" fillId="0" borderId="0" xfId="1" applyFont="1" applyBorder="1" applyAlignment="1">
      <alignment horizontal="center" vertical="center"/>
    </xf>
    <xf numFmtId="0" fontId="2" fillId="0" borderId="0" xfId="0" applyFont="1" applyAlignment="1">
      <alignment horizontal="left"/>
    </xf>
    <xf numFmtId="44" fontId="2" fillId="0" borderId="1" xfId="1" applyFont="1" applyBorder="1" applyAlignment="1">
      <alignment horizontal="left" vertical="top"/>
    </xf>
    <xf numFmtId="165" fontId="4" fillId="0" borderId="1" xfId="1" applyNumberFormat="1" applyFont="1" applyBorder="1" applyAlignment="1">
      <alignment horizontal="center" vertical="center"/>
    </xf>
    <xf numFmtId="44" fontId="4" fillId="0" borderId="1" xfId="1" applyFont="1" applyBorder="1" applyAlignment="1">
      <alignment horizontal="center" vertical="center"/>
    </xf>
    <xf numFmtId="0" fontId="2" fillId="0" borderId="0" xfId="0" quotePrefix="1" applyFont="1" applyAlignment="1">
      <alignment vertical="center"/>
    </xf>
    <xf numFmtId="0" fontId="2"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quotePrefix="1" applyFont="1" applyBorder="1" applyAlignment="1">
      <alignment horizontal="left" vertical="center"/>
    </xf>
    <xf numFmtId="0" fontId="2" fillId="0" borderId="10" xfId="0" quotePrefix="1" applyFont="1" applyBorder="1" applyAlignment="1">
      <alignment horizontal="center" vertical="center"/>
    </xf>
    <xf numFmtId="0" fontId="2" fillId="0" borderId="11" xfId="0" applyFont="1" applyBorder="1" applyAlignment="1">
      <alignment vertical="center"/>
    </xf>
    <xf numFmtId="49" fontId="6" fillId="0" borderId="0" xfId="0" applyNumberFormat="1" applyFont="1" applyAlignment="1">
      <alignment horizontal="left"/>
    </xf>
    <xf numFmtId="0" fontId="2" fillId="0" borderId="1" xfId="0" applyFont="1" applyBorder="1" applyAlignment="1">
      <alignment horizontal="right" vertical="center"/>
    </xf>
    <xf numFmtId="49" fontId="2" fillId="0" borderId="6"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2" borderId="1" xfId="0" applyFont="1" applyFill="1" applyBorder="1" applyAlignment="1">
      <alignment horizontal="left" vertical="center"/>
    </xf>
    <xf numFmtId="0" fontId="4" fillId="0" borderId="0" xfId="0" quotePrefix="1" applyFont="1" applyAlignment="1">
      <alignment horizontal="left" wrapText="1"/>
    </xf>
    <xf numFmtId="0" fontId="2" fillId="0" borderId="0" xfId="0" quotePrefix="1" applyFont="1" applyAlignment="1">
      <alignment horizontal="left" wrapText="1"/>
    </xf>
    <xf numFmtId="49" fontId="2" fillId="0" borderId="6" xfId="0" quotePrefix="1" applyNumberFormat="1" applyFont="1" applyBorder="1" applyAlignment="1">
      <alignment horizontal="left" vertical="top" wrapText="1"/>
    </xf>
    <xf numFmtId="49" fontId="2" fillId="0" borderId="6" xfId="0" quotePrefix="1"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0" xfId="0" applyFont="1" applyAlignment="1">
      <alignment horizontal="left" vertical="center"/>
    </xf>
    <xf numFmtId="0" fontId="2" fillId="0" borderId="0" xfId="0" quotePrefix="1" applyFont="1" applyAlignment="1">
      <alignment horizontal="left" vertical="top" wrapText="1"/>
    </xf>
    <xf numFmtId="0" fontId="2" fillId="0" borderId="0" xfId="0" applyFont="1" applyAlignment="1">
      <alignment horizontal="left" vertical="top"/>
    </xf>
    <xf numFmtId="49" fontId="2" fillId="0" borderId="3" xfId="0" quotePrefix="1" applyNumberFormat="1" applyFont="1" applyBorder="1" applyAlignment="1">
      <alignment horizontal="left" vertical="top" wrapText="1"/>
    </xf>
    <xf numFmtId="49" fontId="2" fillId="0" borderId="4" xfId="0" quotePrefix="1" applyNumberFormat="1" applyFont="1" applyBorder="1" applyAlignment="1">
      <alignment horizontal="left" vertical="top" wrapText="1"/>
    </xf>
    <xf numFmtId="0" fontId="2" fillId="0" borderId="1" xfId="0" applyFont="1" applyBorder="1" applyAlignment="1">
      <alignment horizontal="right" vertical="center" wrapText="1"/>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7" fillId="0" borderId="0" xfId="0" applyFont="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8E16-E13E-4737-9D76-4F434D695F9B}">
  <dimension ref="A1:E58"/>
  <sheetViews>
    <sheetView workbookViewId="0">
      <selection activeCell="H20" sqref="H20"/>
    </sheetView>
  </sheetViews>
  <sheetFormatPr baseColWidth="10" defaultRowHeight="16.5" x14ac:dyDescent="0.3"/>
  <cols>
    <col min="1" max="1" width="11.42578125" style="4"/>
    <col min="2" max="2" width="25.7109375" style="4" customWidth="1"/>
    <col min="3" max="5" width="16.7109375" style="4" customWidth="1"/>
    <col min="6" max="16384" width="11.42578125" style="4"/>
  </cols>
  <sheetData>
    <row r="1" spans="1:5" x14ac:dyDescent="0.3">
      <c r="A1" s="36" t="s">
        <v>74</v>
      </c>
      <c r="B1" s="37"/>
      <c r="C1" s="37"/>
      <c r="D1" s="38"/>
      <c r="E1" s="39" t="s">
        <v>0</v>
      </c>
    </row>
    <row r="2" spans="1:5" x14ac:dyDescent="0.3">
      <c r="A2" s="3" t="s">
        <v>1</v>
      </c>
      <c r="B2" s="3"/>
      <c r="C2" s="3"/>
    </row>
    <row r="4" spans="1:5" x14ac:dyDescent="0.3">
      <c r="A4" s="40" t="s">
        <v>3</v>
      </c>
      <c r="B4" s="40"/>
    </row>
    <row r="6" spans="1:5" x14ac:dyDescent="0.3">
      <c r="A6" s="118" t="s">
        <v>75</v>
      </c>
      <c r="B6" s="119"/>
      <c r="C6" s="119"/>
      <c r="D6" s="119"/>
      <c r="E6" s="119"/>
    </row>
    <row r="8" spans="1:5" ht="32.1" customHeight="1" x14ac:dyDescent="0.3">
      <c r="A8" s="120" t="s">
        <v>76</v>
      </c>
      <c r="B8" s="120"/>
      <c r="C8" s="120"/>
      <c r="D8" s="120"/>
      <c r="E8" s="120"/>
    </row>
    <row r="9" spans="1:5" ht="33" x14ac:dyDescent="0.3">
      <c r="A9" s="11"/>
      <c r="B9" s="11"/>
      <c r="C9" s="6" t="s">
        <v>8</v>
      </c>
      <c r="D9" s="6" t="s">
        <v>9</v>
      </c>
      <c r="E9" s="6" t="s">
        <v>10</v>
      </c>
    </row>
    <row r="10" spans="1:5" x14ac:dyDescent="0.3">
      <c r="A10" s="8" t="s">
        <v>11</v>
      </c>
      <c r="B10" s="8" t="s">
        <v>12</v>
      </c>
      <c r="C10" s="5">
        <f>1500000/1.19</f>
        <v>1260504.2016806724</v>
      </c>
      <c r="D10" s="9">
        <v>1</v>
      </c>
      <c r="E10" s="5">
        <f>ROUND(C10*D10,2)</f>
        <v>1260504.2</v>
      </c>
    </row>
    <row r="11" spans="1:5" x14ac:dyDescent="0.3">
      <c r="A11" s="8" t="s">
        <v>13</v>
      </c>
      <c r="B11" s="8" t="s">
        <v>5</v>
      </c>
      <c r="C11" s="5">
        <f>400000/1.19</f>
        <v>336134.45378151262</v>
      </c>
      <c r="D11" s="12"/>
      <c r="E11" s="42"/>
    </row>
    <row r="12" spans="1:5" x14ac:dyDescent="0.3">
      <c r="A12" s="8"/>
      <c r="B12" s="8" t="s">
        <v>77</v>
      </c>
      <c r="C12" s="5">
        <f>C10*0.25</f>
        <v>315126.05042016809</v>
      </c>
      <c r="D12" s="9">
        <v>1</v>
      </c>
      <c r="E12" s="5">
        <f>ROUND(C12*D12,2)</f>
        <v>315126.05</v>
      </c>
    </row>
    <row r="13" spans="1:5" x14ac:dyDescent="0.3">
      <c r="A13" s="8"/>
      <c r="B13" s="8" t="s">
        <v>78</v>
      </c>
      <c r="C13" s="5">
        <f>ROUND((C11-C12),2)</f>
        <v>21008.400000000001</v>
      </c>
      <c r="D13" s="9">
        <v>0.5</v>
      </c>
      <c r="E13" s="5">
        <f>ROUND(C13*D13,2)</f>
        <v>10504.2</v>
      </c>
    </row>
    <row r="14" spans="1:5" x14ac:dyDescent="0.3">
      <c r="A14" s="8"/>
      <c r="B14" s="8" t="s">
        <v>14</v>
      </c>
      <c r="C14" s="8"/>
      <c r="D14" s="8"/>
      <c r="E14" s="13">
        <f>SUM(E10:E13)</f>
        <v>1586134.45</v>
      </c>
    </row>
    <row r="15" spans="1:5" x14ac:dyDescent="0.3">
      <c r="A15" s="27"/>
      <c r="E15" s="27"/>
    </row>
    <row r="16" spans="1:5" x14ac:dyDescent="0.3">
      <c r="A16" s="31" t="s">
        <v>79</v>
      </c>
    </row>
    <row r="17" spans="1:5" x14ac:dyDescent="0.3">
      <c r="A17" s="31" t="s">
        <v>7</v>
      </c>
    </row>
    <row r="19" spans="1:5" x14ac:dyDescent="0.3">
      <c r="A19" s="43" t="s">
        <v>80</v>
      </c>
    </row>
    <row r="20" spans="1:5" x14ac:dyDescent="0.3">
      <c r="B20" s="8" t="s">
        <v>15</v>
      </c>
      <c r="C20" s="10" t="s">
        <v>154</v>
      </c>
    </row>
    <row r="21" spans="1:5" x14ac:dyDescent="0.3">
      <c r="B21" s="8" t="s">
        <v>17</v>
      </c>
      <c r="C21" s="9">
        <v>0</v>
      </c>
    </row>
    <row r="22" spans="1:5" x14ac:dyDescent="0.3">
      <c r="B22" s="8" t="s">
        <v>18</v>
      </c>
      <c r="C22" s="5">
        <v>217278.26</v>
      </c>
    </row>
    <row r="24" spans="1:5" ht="49.5" x14ac:dyDescent="0.3">
      <c r="A24" s="14" t="s">
        <v>19</v>
      </c>
      <c r="C24" s="15" t="s">
        <v>20</v>
      </c>
      <c r="D24" s="6" t="s">
        <v>21</v>
      </c>
    </row>
    <row r="25" spans="1:5" x14ac:dyDescent="0.3">
      <c r="B25" s="8" t="s">
        <v>22</v>
      </c>
      <c r="C25" s="1"/>
      <c r="D25" s="5">
        <f>ROUND(C22+(C22*C25/100),2)</f>
        <v>217278.26</v>
      </c>
    </row>
    <row r="26" spans="1:5" ht="33" customHeight="1" x14ac:dyDescent="0.3">
      <c r="B26" s="7" t="s">
        <v>23</v>
      </c>
      <c r="C26" s="1"/>
      <c r="D26" s="13">
        <f>ROUND(D25+(D25*C26/100),2)</f>
        <v>217278.26</v>
      </c>
    </row>
    <row r="28" spans="1:5" x14ac:dyDescent="0.3">
      <c r="A28" s="16" t="s">
        <v>81</v>
      </c>
      <c r="E28" s="11"/>
    </row>
    <row r="29" spans="1:5" ht="33" x14ac:dyDescent="0.3">
      <c r="A29" s="8"/>
      <c r="B29" s="8"/>
      <c r="C29" s="6" t="s">
        <v>25</v>
      </c>
      <c r="D29" s="6" t="s">
        <v>26</v>
      </c>
      <c r="E29" s="6" t="s">
        <v>27</v>
      </c>
    </row>
    <row r="30" spans="1:5" x14ac:dyDescent="0.3">
      <c r="A30" s="10" t="s">
        <v>28</v>
      </c>
      <c r="B30" s="8" t="s">
        <v>29</v>
      </c>
      <c r="C30" s="10">
        <v>2</v>
      </c>
      <c r="D30" s="5">
        <f>ROUND($D$26*C30/100,2)</f>
        <v>4345.57</v>
      </c>
      <c r="E30" s="5">
        <f>ROUND(D30+(D30*19/100),2)</f>
        <v>5171.2299999999996</v>
      </c>
    </row>
    <row r="31" spans="1:5" x14ac:dyDescent="0.3">
      <c r="A31" s="10" t="s">
        <v>30</v>
      </c>
      <c r="B31" s="8" t="s">
        <v>31</v>
      </c>
      <c r="C31" s="10">
        <v>7</v>
      </c>
      <c r="D31" s="5">
        <f>ROUND($D$26*C31/100,2)</f>
        <v>15209.48</v>
      </c>
      <c r="E31" s="5">
        <f t="shared" ref="E31:E38" si="0">ROUND(D31+(D31*19/100),2)</f>
        <v>18099.28</v>
      </c>
    </row>
    <row r="32" spans="1:5" x14ac:dyDescent="0.3">
      <c r="A32" s="10" t="s">
        <v>32</v>
      </c>
      <c r="B32" s="8" t="s">
        <v>33</v>
      </c>
      <c r="C32" s="10">
        <v>15</v>
      </c>
      <c r="D32" s="5">
        <f t="shared" ref="D32:D38" si="1">ROUND($D$26*C32/100,2)</f>
        <v>32591.74</v>
      </c>
      <c r="E32" s="5">
        <f t="shared" si="0"/>
        <v>38784.17</v>
      </c>
    </row>
    <row r="33" spans="1:5" x14ac:dyDescent="0.3">
      <c r="A33" s="10" t="s">
        <v>34</v>
      </c>
      <c r="B33" s="8" t="s">
        <v>35</v>
      </c>
      <c r="C33" s="10">
        <v>3</v>
      </c>
      <c r="D33" s="5">
        <f t="shared" si="1"/>
        <v>6518.35</v>
      </c>
      <c r="E33" s="5">
        <f t="shared" si="0"/>
        <v>7756.84</v>
      </c>
    </row>
    <row r="34" spans="1:5" x14ac:dyDescent="0.3">
      <c r="A34" s="10" t="s">
        <v>36</v>
      </c>
      <c r="B34" s="8" t="s">
        <v>37</v>
      </c>
      <c r="C34" s="10">
        <v>25</v>
      </c>
      <c r="D34" s="5">
        <f t="shared" si="1"/>
        <v>54319.57</v>
      </c>
      <c r="E34" s="5">
        <f t="shared" si="0"/>
        <v>64640.29</v>
      </c>
    </row>
    <row r="35" spans="1:5" x14ac:dyDescent="0.3">
      <c r="A35" s="10" t="s">
        <v>38</v>
      </c>
      <c r="B35" s="8" t="s">
        <v>39</v>
      </c>
      <c r="C35" s="10">
        <v>10</v>
      </c>
      <c r="D35" s="5">
        <f t="shared" si="1"/>
        <v>21727.83</v>
      </c>
      <c r="E35" s="5">
        <f t="shared" si="0"/>
        <v>25856.12</v>
      </c>
    </row>
    <row r="36" spans="1:5" x14ac:dyDescent="0.3">
      <c r="A36" s="10" t="s">
        <v>82</v>
      </c>
      <c r="B36" s="8" t="s">
        <v>83</v>
      </c>
      <c r="C36" s="10">
        <v>4</v>
      </c>
      <c r="D36" s="5">
        <f t="shared" si="1"/>
        <v>8691.1299999999992</v>
      </c>
      <c r="E36" s="5">
        <f t="shared" si="0"/>
        <v>10342.44</v>
      </c>
    </row>
    <row r="37" spans="1:5" x14ac:dyDescent="0.3">
      <c r="A37" s="10" t="s">
        <v>84</v>
      </c>
      <c r="B37" s="8" t="s">
        <v>85</v>
      </c>
      <c r="C37" s="10">
        <v>32</v>
      </c>
      <c r="D37" s="5">
        <f t="shared" si="1"/>
        <v>69529.039999999994</v>
      </c>
      <c r="E37" s="5">
        <f t="shared" si="0"/>
        <v>82739.56</v>
      </c>
    </row>
    <row r="38" spans="1:5" x14ac:dyDescent="0.3">
      <c r="A38" s="10" t="s">
        <v>86</v>
      </c>
      <c r="B38" s="8" t="s">
        <v>87</v>
      </c>
      <c r="C38" s="10">
        <v>2</v>
      </c>
      <c r="D38" s="5">
        <f t="shared" si="1"/>
        <v>4345.57</v>
      </c>
      <c r="E38" s="5">
        <f t="shared" si="0"/>
        <v>5171.2299999999996</v>
      </c>
    </row>
    <row r="39" spans="1:5" ht="33" x14ac:dyDescent="0.3">
      <c r="A39" s="17"/>
      <c r="B39" s="18" t="s">
        <v>40</v>
      </c>
      <c r="C39" s="19">
        <f>SUM(C30:C38)</f>
        <v>100</v>
      </c>
      <c r="D39" s="20">
        <f>SUM(D30:D38)</f>
        <v>217278.27999999997</v>
      </c>
      <c r="E39" s="20">
        <f>SUM(E30:E38)</f>
        <v>258561.16</v>
      </c>
    </row>
    <row r="40" spans="1:5" x14ac:dyDescent="0.3">
      <c r="E40" s="27"/>
    </row>
    <row r="41" spans="1:5" x14ac:dyDescent="0.3">
      <c r="A41" s="114" t="s">
        <v>88</v>
      </c>
    </row>
    <row r="42" spans="1:5" x14ac:dyDescent="0.3">
      <c r="E42" s="11"/>
    </row>
    <row r="43" spans="1:5" ht="30" customHeight="1" x14ac:dyDescent="0.3">
      <c r="A43" s="11"/>
      <c r="D43" s="6" t="s">
        <v>42</v>
      </c>
      <c r="E43" s="6" t="s">
        <v>43</v>
      </c>
    </row>
    <row r="44" spans="1:5" x14ac:dyDescent="0.3">
      <c r="A44" s="21" t="s">
        <v>53</v>
      </c>
      <c r="B44" s="22" t="s">
        <v>89</v>
      </c>
      <c r="C44" s="23"/>
      <c r="D44" s="8"/>
      <c r="E44" s="8"/>
    </row>
    <row r="45" spans="1:5" ht="32.1" customHeight="1" x14ac:dyDescent="0.3">
      <c r="A45" s="24" t="s">
        <v>44</v>
      </c>
      <c r="B45" s="116" t="s">
        <v>139</v>
      </c>
      <c r="C45" s="116"/>
      <c r="D45" s="25"/>
      <c r="E45" s="44">
        <f>ROUND(D45+(D45*19/100),2)</f>
        <v>0</v>
      </c>
    </row>
    <row r="46" spans="1:5" ht="32.1" customHeight="1" x14ac:dyDescent="0.3">
      <c r="A46" s="24" t="s">
        <v>50</v>
      </c>
      <c r="B46" s="116" t="s">
        <v>140</v>
      </c>
      <c r="C46" s="116"/>
      <c r="D46" s="25"/>
      <c r="E46" s="44">
        <f>ROUND(D46+(D46*19/100),2)</f>
        <v>0</v>
      </c>
    </row>
    <row r="47" spans="1:5" ht="32.1" customHeight="1" x14ac:dyDescent="0.3">
      <c r="A47" s="24" t="s">
        <v>144</v>
      </c>
      <c r="B47" s="116" t="s">
        <v>141</v>
      </c>
      <c r="C47" s="116"/>
      <c r="D47" s="25"/>
      <c r="E47" s="44">
        <f>ROUND(D47+(D47*19/100),2)</f>
        <v>0</v>
      </c>
    </row>
    <row r="48" spans="1:5" ht="32.1" customHeight="1" x14ac:dyDescent="0.3">
      <c r="A48" s="24" t="s">
        <v>145</v>
      </c>
      <c r="B48" s="116" t="s">
        <v>143</v>
      </c>
      <c r="C48" s="116"/>
      <c r="D48" s="25"/>
      <c r="E48" s="44">
        <f t="shared" ref="E48" si="2">ROUND(D48+(D48*19/100),2)</f>
        <v>0</v>
      </c>
    </row>
    <row r="49" spans="1:5" ht="32.1" customHeight="1" x14ac:dyDescent="0.3">
      <c r="A49" s="24" t="s">
        <v>146</v>
      </c>
      <c r="B49" s="116" t="s">
        <v>142</v>
      </c>
      <c r="C49" s="116"/>
      <c r="D49" s="25"/>
      <c r="E49" s="44">
        <f t="shared" ref="E49" si="3">ROUND(D49+(D49*19/100),2)</f>
        <v>0</v>
      </c>
    </row>
    <row r="50" spans="1:5" ht="32.1" customHeight="1" x14ac:dyDescent="0.3">
      <c r="A50" s="21" t="s">
        <v>53</v>
      </c>
      <c r="B50" s="117" t="s">
        <v>90</v>
      </c>
      <c r="C50" s="117"/>
      <c r="D50" s="20">
        <f>SUM(D45:D49)</f>
        <v>0</v>
      </c>
      <c r="E50" s="20">
        <f>SUM(E45:E49)</f>
        <v>0</v>
      </c>
    </row>
    <row r="52" spans="1:5" x14ac:dyDescent="0.3">
      <c r="B52" s="32" t="s">
        <v>91</v>
      </c>
      <c r="E52" s="11"/>
    </row>
    <row r="53" spans="1:5" x14ac:dyDescent="0.3">
      <c r="A53" s="11"/>
      <c r="B53" s="12"/>
      <c r="C53" s="26"/>
      <c r="D53" s="6" t="s">
        <v>47</v>
      </c>
      <c r="E53" s="6" t="s">
        <v>48</v>
      </c>
    </row>
    <row r="54" spans="1:5" x14ac:dyDescent="0.3">
      <c r="A54" s="24" t="s">
        <v>49</v>
      </c>
      <c r="B54" s="12" t="s">
        <v>92</v>
      </c>
      <c r="C54" s="26"/>
      <c r="D54" s="5">
        <f>D39</f>
        <v>217278.27999999997</v>
      </c>
      <c r="E54" s="5">
        <f>E39</f>
        <v>258561.16</v>
      </c>
    </row>
    <row r="55" spans="1:5" x14ac:dyDescent="0.3">
      <c r="A55" s="24" t="s">
        <v>53</v>
      </c>
      <c r="B55" s="12" t="s">
        <v>89</v>
      </c>
      <c r="C55" s="26"/>
      <c r="D55" s="5">
        <f>D50</f>
        <v>0</v>
      </c>
      <c r="E55" s="5">
        <f>E50</f>
        <v>0</v>
      </c>
    </row>
    <row r="56" spans="1:5" x14ac:dyDescent="0.3">
      <c r="A56" s="27"/>
      <c r="B56" s="28" t="s">
        <v>51</v>
      </c>
      <c r="C56" s="29"/>
      <c r="D56" s="30">
        <f>SUM(D54:D55)</f>
        <v>217278.27999999997</v>
      </c>
      <c r="E56" s="30">
        <f>SUM(E54:E55)</f>
        <v>258561.16</v>
      </c>
    </row>
    <row r="57" spans="1:5" x14ac:dyDescent="0.3">
      <c r="E57" s="27"/>
    </row>
    <row r="58" spans="1:5" x14ac:dyDescent="0.3">
      <c r="B58" s="4" t="s">
        <v>93</v>
      </c>
    </row>
  </sheetData>
  <sheetProtection algorithmName="SHA-512" hashValue="X3Ut3yaFIU5FkHtFyEcvW4W0NnqpVSGzs65cxUtZCpoJeWtrfDU8g60s2YKsuKfgF1OgblT3w5Rr/f5o194/YQ==" saltValue="hWAfdv3l7ADNS99KCbbNMA==" spinCount="100000" sheet="1" objects="1" scenarios="1"/>
  <mergeCells count="8">
    <mergeCell ref="B49:C49"/>
    <mergeCell ref="B50:C50"/>
    <mergeCell ref="B46:C46"/>
    <mergeCell ref="B48:C48"/>
    <mergeCell ref="A6:E6"/>
    <mergeCell ref="A8:E8"/>
    <mergeCell ref="B45:C45"/>
    <mergeCell ref="B47:C47"/>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946A-5255-4FD2-85D1-56E876277191}">
  <dimension ref="A1:E55"/>
  <sheetViews>
    <sheetView workbookViewId="0">
      <selection activeCell="G20" sqref="G20"/>
    </sheetView>
  </sheetViews>
  <sheetFormatPr baseColWidth="10" defaultRowHeight="16.5" x14ac:dyDescent="0.3"/>
  <cols>
    <col min="1" max="1" width="11.42578125" style="4"/>
    <col min="2" max="2" width="25.7109375" style="4" customWidth="1"/>
    <col min="3" max="5" width="16.7109375" style="4" customWidth="1"/>
    <col min="6" max="16384" width="11.42578125" style="4"/>
  </cols>
  <sheetData>
    <row r="1" spans="1:5" x14ac:dyDescent="0.3">
      <c r="A1" s="121" t="s">
        <v>94</v>
      </c>
      <c r="B1" s="121"/>
      <c r="C1" s="121"/>
      <c r="D1" s="121"/>
      <c r="E1" s="2" t="s">
        <v>0</v>
      </c>
    </row>
    <row r="2" spans="1:5" x14ac:dyDescent="0.3">
      <c r="A2" s="3" t="s">
        <v>1</v>
      </c>
    </row>
    <row r="4" spans="1:5" x14ac:dyDescent="0.3">
      <c r="A4" s="40" t="s">
        <v>3</v>
      </c>
    </row>
    <row r="6" spans="1:5" x14ac:dyDescent="0.3">
      <c r="A6" s="122" t="s">
        <v>95</v>
      </c>
      <c r="B6" s="122"/>
      <c r="C6" s="122"/>
      <c r="D6" s="122"/>
      <c r="E6" s="122"/>
    </row>
    <row r="7" spans="1:5" x14ac:dyDescent="0.3">
      <c r="A7" s="45"/>
    </row>
    <row r="8" spans="1:5" ht="32.1" customHeight="1" x14ac:dyDescent="0.3">
      <c r="A8" s="123" t="s">
        <v>96</v>
      </c>
      <c r="B8" s="123"/>
      <c r="C8" s="123"/>
      <c r="D8" s="123"/>
      <c r="E8" s="123"/>
    </row>
    <row r="9" spans="1:5" ht="30" customHeight="1" x14ac:dyDescent="0.3">
      <c r="A9" s="46"/>
      <c r="B9" s="46"/>
      <c r="C9" s="6" t="s">
        <v>97</v>
      </c>
      <c r="D9" s="6" t="s">
        <v>98</v>
      </c>
      <c r="E9" s="46"/>
    </row>
    <row r="10" spans="1:5" x14ac:dyDescent="0.3">
      <c r="A10" s="51" t="s">
        <v>99</v>
      </c>
      <c r="B10" s="52" t="s">
        <v>100</v>
      </c>
      <c r="C10" s="47">
        <f>400000/1.19</f>
        <v>336134.45378151262</v>
      </c>
      <c r="D10" s="44">
        <f>C10</f>
        <v>336134.45378151262</v>
      </c>
      <c r="E10" s="46"/>
    </row>
    <row r="11" spans="1:5" ht="30" customHeight="1" x14ac:dyDescent="0.3">
      <c r="A11" s="51"/>
      <c r="B11" s="52" t="s">
        <v>101</v>
      </c>
      <c r="C11" s="58"/>
      <c r="D11" s="48">
        <f>SUM(D10:D10)</f>
        <v>336134.45378151262</v>
      </c>
      <c r="E11" s="46"/>
    </row>
    <row r="12" spans="1:5" x14ac:dyDescent="0.3">
      <c r="A12" s="46"/>
      <c r="B12" s="46"/>
      <c r="C12" s="46"/>
      <c r="D12" s="46"/>
      <c r="E12" s="46"/>
    </row>
    <row r="13" spans="1:5" x14ac:dyDescent="0.3">
      <c r="A13" s="31" t="s">
        <v>102</v>
      </c>
    </row>
    <row r="14" spans="1:5" x14ac:dyDescent="0.3">
      <c r="A14" s="49" t="s">
        <v>103</v>
      </c>
    </row>
    <row r="15" spans="1:5" x14ac:dyDescent="0.3">
      <c r="A15" s="50"/>
    </row>
    <row r="16" spans="1:5" x14ac:dyDescent="0.3">
      <c r="A16" s="107" t="s">
        <v>104</v>
      </c>
      <c r="B16" s="46"/>
      <c r="C16" s="46"/>
      <c r="D16" s="46"/>
      <c r="E16" s="46"/>
    </row>
    <row r="17" spans="1:5" x14ac:dyDescent="0.3">
      <c r="A17" s="46"/>
      <c r="B17" s="51" t="s">
        <v>15</v>
      </c>
      <c r="C17" s="6" t="s">
        <v>16</v>
      </c>
      <c r="D17" s="46"/>
      <c r="E17" s="46"/>
    </row>
    <row r="18" spans="1:5" ht="16.5" customHeight="1" x14ac:dyDescent="0.3">
      <c r="A18" s="46"/>
      <c r="B18" s="52" t="s">
        <v>105</v>
      </c>
      <c r="C18" s="53">
        <v>0</v>
      </c>
      <c r="D18" s="46"/>
      <c r="E18" s="46"/>
    </row>
    <row r="19" spans="1:5" x14ac:dyDescent="0.3">
      <c r="A19" s="46"/>
      <c r="B19" s="8" t="s">
        <v>18</v>
      </c>
      <c r="C19" s="54">
        <v>57056.88</v>
      </c>
      <c r="D19" s="46"/>
      <c r="E19" s="46"/>
    </row>
    <row r="20" spans="1:5" x14ac:dyDescent="0.3">
      <c r="B20" s="108"/>
      <c r="C20" s="55"/>
    </row>
    <row r="21" spans="1:5" ht="49.5" customHeight="1" x14ac:dyDescent="0.3">
      <c r="A21" s="56" t="s">
        <v>106</v>
      </c>
      <c r="B21" s="57"/>
      <c r="C21" s="109" t="s">
        <v>107</v>
      </c>
      <c r="D21" s="110" t="s">
        <v>108</v>
      </c>
      <c r="E21" s="46"/>
    </row>
    <row r="22" spans="1:5" x14ac:dyDescent="0.3">
      <c r="A22" s="56"/>
      <c r="B22" s="99" t="s">
        <v>22</v>
      </c>
      <c r="C22" s="1"/>
      <c r="D22" s="58">
        <f>ROUND(C19*(1+(C22/100)),2)</f>
        <v>57056.88</v>
      </c>
      <c r="E22" s="46"/>
    </row>
    <row r="23" spans="1:5" ht="33" customHeight="1" x14ac:dyDescent="0.3">
      <c r="B23" s="7" t="s">
        <v>23</v>
      </c>
      <c r="C23" s="1"/>
      <c r="D23" s="59">
        <f>ROUND(D22*(1+(C23/100)),2)</f>
        <v>57056.88</v>
      </c>
      <c r="E23" s="46"/>
    </row>
    <row r="25" spans="1:5" x14ac:dyDescent="0.3">
      <c r="A25" s="111" t="s">
        <v>109</v>
      </c>
      <c r="B25" s="112"/>
      <c r="C25" s="112"/>
      <c r="D25" s="112"/>
      <c r="E25" s="112"/>
    </row>
    <row r="26" spans="1:5" ht="33" x14ac:dyDescent="0.3">
      <c r="A26" s="60"/>
      <c r="B26" s="60"/>
      <c r="C26" s="61" t="s">
        <v>110</v>
      </c>
      <c r="D26" s="61" t="s">
        <v>111</v>
      </c>
      <c r="E26" s="61" t="s">
        <v>112</v>
      </c>
    </row>
    <row r="27" spans="1:5" ht="16.5" customHeight="1" x14ac:dyDescent="0.3">
      <c r="A27" s="61" t="s">
        <v>28</v>
      </c>
      <c r="B27" s="60" t="s">
        <v>29</v>
      </c>
      <c r="C27" s="62">
        <v>3</v>
      </c>
      <c r="D27" s="63">
        <f>ROUND((C27/100)*$D$23,2)</f>
        <v>1711.71</v>
      </c>
      <c r="E27" s="63">
        <f>ROUND(D27*1.19,2)</f>
        <v>2036.93</v>
      </c>
    </row>
    <row r="28" spans="1:5" ht="16.5" customHeight="1" x14ac:dyDescent="0.3">
      <c r="A28" s="61" t="s">
        <v>113</v>
      </c>
      <c r="B28" s="60" t="s">
        <v>114</v>
      </c>
      <c r="C28" s="62">
        <v>10</v>
      </c>
      <c r="D28" s="63">
        <f t="shared" ref="D28:D34" si="0">ROUND((C28/100)*$D$23,2)</f>
        <v>5705.69</v>
      </c>
      <c r="E28" s="63">
        <f t="shared" ref="E28:E35" si="1">ROUND(D28*1.19,2)</f>
        <v>6789.77</v>
      </c>
    </row>
    <row r="29" spans="1:5" ht="16.5" customHeight="1" x14ac:dyDescent="0.3">
      <c r="A29" s="61" t="s">
        <v>115</v>
      </c>
      <c r="B29" s="60" t="s">
        <v>33</v>
      </c>
      <c r="C29" s="62">
        <v>16</v>
      </c>
      <c r="D29" s="63">
        <f t="shared" si="0"/>
        <v>9129.1</v>
      </c>
      <c r="E29" s="63">
        <f t="shared" si="1"/>
        <v>10863.63</v>
      </c>
    </row>
    <row r="30" spans="1:5" ht="16.5" customHeight="1" x14ac:dyDescent="0.3">
      <c r="A30" s="61" t="s">
        <v>116</v>
      </c>
      <c r="B30" s="60" t="s">
        <v>35</v>
      </c>
      <c r="C30" s="62">
        <v>4</v>
      </c>
      <c r="D30" s="63">
        <f t="shared" si="0"/>
        <v>2282.2800000000002</v>
      </c>
      <c r="E30" s="63">
        <f t="shared" si="1"/>
        <v>2715.91</v>
      </c>
    </row>
    <row r="31" spans="1:5" ht="16.5" customHeight="1" x14ac:dyDescent="0.3">
      <c r="A31" s="61" t="s">
        <v>117</v>
      </c>
      <c r="B31" s="60" t="s">
        <v>37</v>
      </c>
      <c r="C31" s="62">
        <v>25</v>
      </c>
      <c r="D31" s="63">
        <f t="shared" si="0"/>
        <v>14264.22</v>
      </c>
      <c r="E31" s="63">
        <f t="shared" si="1"/>
        <v>16974.419999999998</v>
      </c>
    </row>
    <row r="32" spans="1:5" ht="16.5" customHeight="1" x14ac:dyDescent="0.3">
      <c r="A32" s="61" t="s">
        <v>118</v>
      </c>
      <c r="B32" s="60" t="s">
        <v>39</v>
      </c>
      <c r="C32" s="62">
        <v>7</v>
      </c>
      <c r="D32" s="63">
        <f t="shared" si="0"/>
        <v>3993.98</v>
      </c>
      <c r="E32" s="63">
        <f t="shared" si="1"/>
        <v>4752.84</v>
      </c>
    </row>
    <row r="33" spans="1:5" ht="16.5" customHeight="1" x14ac:dyDescent="0.3">
      <c r="A33" s="61" t="s">
        <v>119</v>
      </c>
      <c r="B33" s="113" t="s">
        <v>83</v>
      </c>
      <c r="C33" s="62">
        <v>3</v>
      </c>
      <c r="D33" s="63">
        <f t="shared" si="0"/>
        <v>1711.71</v>
      </c>
      <c r="E33" s="63">
        <f t="shared" si="1"/>
        <v>2036.93</v>
      </c>
    </row>
    <row r="34" spans="1:5" ht="16.5" customHeight="1" x14ac:dyDescent="0.3">
      <c r="A34" s="61" t="s">
        <v>120</v>
      </c>
      <c r="B34" s="60" t="s">
        <v>85</v>
      </c>
      <c r="C34" s="62">
        <v>30</v>
      </c>
      <c r="D34" s="63">
        <f t="shared" si="0"/>
        <v>17117.060000000001</v>
      </c>
      <c r="E34" s="63">
        <f t="shared" si="1"/>
        <v>20369.3</v>
      </c>
    </row>
    <row r="35" spans="1:5" ht="16.5" customHeight="1" x14ac:dyDescent="0.3">
      <c r="A35" s="61" t="s">
        <v>121</v>
      </c>
      <c r="B35" s="60" t="s">
        <v>87</v>
      </c>
      <c r="C35" s="62">
        <v>2</v>
      </c>
      <c r="D35" s="63">
        <f>ROUND((C35/100)*$D$23,2)</f>
        <v>1141.1400000000001</v>
      </c>
      <c r="E35" s="63">
        <f t="shared" si="1"/>
        <v>1357.96</v>
      </c>
    </row>
    <row r="36" spans="1:5" ht="66" customHeight="1" x14ac:dyDescent="0.3">
      <c r="A36" s="61"/>
      <c r="B36" s="64" t="s">
        <v>122</v>
      </c>
      <c r="C36" s="65">
        <f>SUM(C27:C35)</f>
        <v>100</v>
      </c>
      <c r="D36" s="66">
        <f>SUM(D27:D35)</f>
        <v>57056.89</v>
      </c>
      <c r="E36" s="66">
        <f>D36*1.19</f>
        <v>67897.699099999998</v>
      </c>
    </row>
    <row r="38" spans="1:5" customFormat="1" x14ac:dyDescent="0.3">
      <c r="A38" s="114" t="s">
        <v>155</v>
      </c>
      <c r="B38" s="4"/>
      <c r="C38" s="4"/>
      <c r="D38" s="4"/>
      <c r="E38" s="4"/>
    </row>
    <row r="39" spans="1:5" customFormat="1" x14ac:dyDescent="0.3">
      <c r="A39" s="4"/>
      <c r="B39" s="4"/>
      <c r="C39" s="4"/>
      <c r="D39" s="4"/>
      <c r="E39" s="11"/>
    </row>
    <row r="40" spans="1:5" customFormat="1" ht="33" x14ac:dyDescent="0.3">
      <c r="A40" s="11"/>
      <c r="B40" s="4"/>
      <c r="C40" s="4"/>
      <c r="D40" s="6" t="s">
        <v>42</v>
      </c>
      <c r="E40" s="6" t="s">
        <v>43</v>
      </c>
    </row>
    <row r="41" spans="1:5" customFormat="1" x14ac:dyDescent="0.3">
      <c r="A41" s="21" t="s">
        <v>64</v>
      </c>
      <c r="B41" s="22" t="s">
        <v>89</v>
      </c>
      <c r="C41" s="23"/>
      <c r="D41" s="8"/>
      <c r="E41" s="8"/>
    </row>
    <row r="42" spans="1:5" ht="32.1" customHeight="1" x14ac:dyDescent="0.3">
      <c r="A42" s="24" t="s">
        <v>156</v>
      </c>
      <c r="B42" s="116" t="s">
        <v>139</v>
      </c>
      <c r="C42" s="116"/>
      <c r="D42" s="25"/>
      <c r="E42" s="44">
        <f>ROUND(D42+(D42*19/100),2)</f>
        <v>0</v>
      </c>
    </row>
    <row r="43" spans="1:5" ht="32.1" customHeight="1" x14ac:dyDescent="0.3">
      <c r="A43" s="24" t="s">
        <v>157</v>
      </c>
      <c r="B43" s="116" t="s">
        <v>140</v>
      </c>
      <c r="C43" s="116"/>
      <c r="D43" s="25"/>
      <c r="E43" s="44">
        <f>ROUND(D43+(D43*19/100),2)</f>
        <v>0</v>
      </c>
    </row>
    <row r="44" spans="1:5" ht="32.1" customHeight="1" x14ac:dyDescent="0.3">
      <c r="A44" s="24" t="s">
        <v>158</v>
      </c>
      <c r="B44" s="116" t="s">
        <v>141</v>
      </c>
      <c r="C44" s="116"/>
      <c r="D44" s="25"/>
      <c r="E44" s="44">
        <f>ROUND(D44+(D44*19/100),2)</f>
        <v>0</v>
      </c>
    </row>
    <row r="45" spans="1:5" ht="32.1" customHeight="1" x14ac:dyDescent="0.3">
      <c r="A45" s="24" t="s">
        <v>159</v>
      </c>
      <c r="B45" s="116" t="s">
        <v>143</v>
      </c>
      <c r="C45" s="116"/>
      <c r="D45" s="25"/>
      <c r="E45" s="44">
        <f t="shared" ref="E45:E46" si="2">ROUND(D45+(D45*19/100),2)</f>
        <v>0</v>
      </c>
    </row>
    <row r="46" spans="1:5" ht="32.1" customHeight="1" x14ac:dyDescent="0.3">
      <c r="A46" s="24" t="s">
        <v>160</v>
      </c>
      <c r="B46" s="116" t="s">
        <v>142</v>
      </c>
      <c r="C46" s="116"/>
      <c r="D46" s="25"/>
      <c r="E46" s="44">
        <f t="shared" si="2"/>
        <v>0</v>
      </c>
    </row>
    <row r="47" spans="1:5" x14ac:dyDescent="0.3">
      <c r="A47" s="21" t="s">
        <v>64</v>
      </c>
      <c r="B47" s="117" t="s">
        <v>90</v>
      </c>
      <c r="C47" s="117"/>
      <c r="D47" s="20">
        <f>SUM(D42:D46)</f>
        <v>0</v>
      </c>
      <c r="E47" s="20">
        <f>SUM(E42:E46)</f>
        <v>0</v>
      </c>
    </row>
    <row r="49" spans="1:5" x14ac:dyDescent="0.3">
      <c r="A49" s="14"/>
      <c r="B49" s="14" t="s">
        <v>123</v>
      </c>
      <c r="C49" s="46"/>
      <c r="D49" s="46"/>
      <c r="E49" s="46"/>
    </row>
    <row r="50" spans="1:5" ht="16.5" customHeight="1" x14ac:dyDescent="0.3">
      <c r="A50" s="14"/>
      <c r="B50" s="67"/>
      <c r="C50" s="68"/>
      <c r="D50" s="15" t="s">
        <v>47</v>
      </c>
      <c r="E50" s="15" t="s">
        <v>48</v>
      </c>
    </row>
    <row r="51" spans="1:5" x14ac:dyDescent="0.3">
      <c r="A51" s="115" t="s">
        <v>62</v>
      </c>
      <c r="B51" s="88" t="s">
        <v>124</v>
      </c>
      <c r="C51" s="89"/>
      <c r="D51" s="98">
        <f>D36</f>
        <v>57056.89</v>
      </c>
      <c r="E51" s="98">
        <f>ROUND(D51*1.19,2)</f>
        <v>67897.7</v>
      </c>
    </row>
    <row r="52" spans="1:5" x14ac:dyDescent="0.3">
      <c r="A52" s="115" t="s">
        <v>64</v>
      </c>
      <c r="B52" s="12" t="s">
        <v>89</v>
      </c>
      <c r="C52" s="89"/>
      <c r="D52" s="5">
        <f>D47</f>
        <v>0</v>
      </c>
      <c r="E52" s="5">
        <f>E47</f>
        <v>0</v>
      </c>
    </row>
    <row r="53" spans="1:5" x14ac:dyDescent="0.3">
      <c r="A53" s="46"/>
      <c r="B53" s="69" t="s">
        <v>51</v>
      </c>
      <c r="C53" s="70"/>
      <c r="D53" s="71">
        <f>SUM(D51:D52)</f>
        <v>57056.89</v>
      </c>
      <c r="E53" s="71">
        <f>SUM(E51:E52)</f>
        <v>67897.7</v>
      </c>
    </row>
    <row r="54" spans="1:5" x14ac:dyDescent="0.3">
      <c r="A54" s="46"/>
      <c r="B54" s="46"/>
      <c r="C54" s="46"/>
      <c r="D54" s="46"/>
      <c r="E54" s="46"/>
    </row>
    <row r="55" spans="1:5" x14ac:dyDescent="0.3">
      <c r="B55" s="4" t="s">
        <v>93</v>
      </c>
      <c r="D55" s="79"/>
      <c r="E55" s="79"/>
    </row>
  </sheetData>
  <sheetProtection algorithmName="SHA-512" hashValue="HtHlLX4mTI2L16ZBjcdl/GUTHu4v6TEGlQ5AIzdzy6GM9DVdIwgWSLtXNbgk72QGa0DDs5fOXA+Mu4qaxUnKeA==" saltValue="IkbwKE2JDnNMaJBAQ0uQJg==" spinCount="100000" sheet="1" objects="1" scenarios="1"/>
  <mergeCells count="9">
    <mergeCell ref="A1:D1"/>
    <mergeCell ref="A6:E6"/>
    <mergeCell ref="A8:E8"/>
    <mergeCell ref="B43:C43"/>
    <mergeCell ref="B44:C44"/>
    <mergeCell ref="B45:C45"/>
    <mergeCell ref="B46:C46"/>
    <mergeCell ref="B47:C47"/>
    <mergeCell ref="B42:C42"/>
  </mergeCells>
  <phoneticPr fontId="10"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776DB-4EE1-486E-9EFF-76432E8D93BB}">
  <dimension ref="A1:E61"/>
  <sheetViews>
    <sheetView topLeftCell="A6" zoomScaleNormal="100" workbookViewId="0">
      <selection activeCell="D25" sqref="D25"/>
    </sheetView>
  </sheetViews>
  <sheetFormatPr baseColWidth="10" defaultColWidth="11.42578125" defaultRowHeight="16.5" x14ac:dyDescent="0.3"/>
  <cols>
    <col min="1" max="1" width="11.42578125" style="4" customWidth="1"/>
    <col min="2" max="2" width="25.7109375" style="4" customWidth="1"/>
    <col min="3" max="5" width="16.7109375" style="4" customWidth="1"/>
    <col min="6" max="16384" width="11.42578125" style="4"/>
  </cols>
  <sheetData>
    <row r="1" spans="1:5" ht="30" customHeight="1" x14ac:dyDescent="0.3">
      <c r="A1" s="127" t="s">
        <v>2</v>
      </c>
      <c r="B1" s="127"/>
      <c r="C1" s="127"/>
      <c r="D1" s="127"/>
      <c r="E1" s="2" t="s">
        <v>0</v>
      </c>
    </row>
    <row r="2" spans="1:5" x14ac:dyDescent="0.3">
      <c r="A2" s="3" t="s">
        <v>1</v>
      </c>
    </row>
    <row r="4" spans="1:5" x14ac:dyDescent="0.3">
      <c r="A4" s="4" t="s">
        <v>3</v>
      </c>
    </row>
    <row r="6" spans="1:5" ht="30" customHeight="1" x14ac:dyDescent="0.3">
      <c r="A6" s="119" t="s">
        <v>4</v>
      </c>
      <c r="B6" s="128"/>
      <c r="C6" s="128"/>
      <c r="D6" s="128"/>
      <c r="E6" s="128"/>
    </row>
    <row r="8" spans="1:5" ht="32.1" customHeight="1" x14ac:dyDescent="0.3">
      <c r="A8" s="129" t="s">
        <v>129</v>
      </c>
      <c r="B8" s="130"/>
      <c r="C8" s="130"/>
      <c r="D8" s="130"/>
      <c r="E8" s="130"/>
    </row>
    <row r="9" spans="1:5" ht="16.5" customHeight="1" x14ac:dyDescent="0.3"/>
    <row r="10" spans="1:5" ht="33" x14ac:dyDescent="0.3">
      <c r="A10" s="11"/>
      <c r="B10" s="11"/>
      <c r="C10" s="6" t="s">
        <v>8</v>
      </c>
      <c r="D10" s="6" t="s">
        <v>9</v>
      </c>
      <c r="E10" s="6" t="s">
        <v>10</v>
      </c>
    </row>
    <row r="11" spans="1:5" x14ac:dyDescent="0.3">
      <c r="A11" s="8" t="s">
        <v>11</v>
      </c>
      <c r="B11" s="8" t="s">
        <v>12</v>
      </c>
      <c r="C11" s="5">
        <f>1500000/1.19</f>
        <v>1260504.2016806724</v>
      </c>
      <c r="D11" s="9">
        <v>0.55000000000000004</v>
      </c>
      <c r="E11" s="5">
        <f>ROUND(C11*D11,2)</f>
        <v>693277.31</v>
      </c>
    </row>
    <row r="12" spans="1:5" x14ac:dyDescent="0.3">
      <c r="A12" s="8" t="s">
        <v>13</v>
      </c>
      <c r="B12" s="8" t="s">
        <v>5</v>
      </c>
      <c r="C12" s="5">
        <f>400000/1.19</f>
        <v>336134.45378151262</v>
      </c>
      <c r="D12" s="9">
        <v>0.1</v>
      </c>
      <c r="E12" s="5">
        <f>ROUND(C12*D12,2)</f>
        <v>33613.449999999997</v>
      </c>
    </row>
    <row r="13" spans="1:5" x14ac:dyDescent="0.3">
      <c r="A13" s="8"/>
      <c r="B13" s="8" t="s">
        <v>14</v>
      </c>
      <c r="C13" s="8"/>
      <c r="D13" s="8"/>
      <c r="E13" s="13">
        <f>SUM(E11:E12)</f>
        <v>726890.76</v>
      </c>
    </row>
    <row r="15" spans="1:5" x14ac:dyDescent="0.3">
      <c r="A15" s="31" t="s">
        <v>6</v>
      </c>
    </row>
    <row r="16" spans="1:5" x14ac:dyDescent="0.3">
      <c r="A16" s="31" t="s">
        <v>161</v>
      </c>
    </row>
    <row r="18" spans="1:5" x14ac:dyDescent="0.3">
      <c r="A18" s="43" t="s">
        <v>24</v>
      </c>
    </row>
    <row r="20" spans="1:5" x14ac:dyDescent="0.3">
      <c r="B20" s="8" t="s">
        <v>15</v>
      </c>
      <c r="C20" s="10" t="s">
        <v>16</v>
      </c>
    </row>
    <row r="21" spans="1:5" x14ac:dyDescent="0.3">
      <c r="B21" s="8" t="s">
        <v>17</v>
      </c>
      <c r="C21" s="9">
        <v>0</v>
      </c>
    </row>
    <row r="22" spans="1:5" x14ac:dyDescent="0.3">
      <c r="B22" s="8" t="s">
        <v>18</v>
      </c>
      <c r="C22" s="5">
        <v>59851.02</v>
      </c>
    </row>
    <row r="24" spans="1:5" ht="49.5" customHeight="1" x14ac:dyDescent="0.3">
      <c r="A24" s="14" t="s">
        <v>19</v>
      </c>
      <c r="C24" s="15" t="s">
        <v>20</v>
      </c>
      <c r="D24" s="6" t="s">
        <v>21</v>
      </c>
    </row>
    <row r="25" spans="1:5" x14ac:dyDescent="0.3">
      <c r="B25" s="8" t="s">
        <v>22</v>
      </c>
      <c r="C25" s="1"/>
      <c r="D25" s="5">
        <f>ROUND(C22+(C22*C25/100),2)</f>
        <v>59851.02</v>
      </c>
    </row>
    <row r="26" spans="1:5" ht="33" x14ac:dyDescent="0.3">
      <c r="B26" s="7" t="s">
        <v>23</v>
      </c>
      <c r="C26" s="1"/>
      <c r="D26" s="13">
        <f>ROUND(D25+(D25*C26/100),2)</f>
        <v>59851.02</v>
      </c>
    </row>
    <row r="28" spans="1:5" x14ac:dyDescent="0.3">
      <c r="A28" s="16" t="s">
        <v>41</v>
      </c>
      <c r="E28" s="11"/>
    </row>
    <row r="29" spans="1:5" ht="33" x14ac:dyDescent="0.3">
      <c r="A29" s="8"/>
      <c r="B29" s="8"/>
      <c r="C29" s="6" t="s">
        <v>25</v>
      </c>
      <c r="D29" s="6" t="s">
        <v>26</v>
      </c>
      <c r="E29" s="6" t="s">
        <v>27</v>
      </c>
    </row>
    <row r="30" spans="1:5" x14ac:dyDescent="0.3">
      <c r="A30" s="10" t="s">
        <v>28</v>
      </c>
      <c r="B30" s="8" t="s">
        <v>29</v>
      </c>
      <c r="C30" s="10">
        <v>3</v>
      </c>
      <c r="D30" s="5">
        <f>ROUND($D$26*C30/100,2)</f>
        <v>1795.53</v>
      </c>
      <c r="E30" s="5">
        <f>ROUND(D30+(D30*19/100),2)</f>
        <v>2136.6799999999998</v>
      </c>
    </row>
    <row r="31" spans="1:5" x14ac:dyDescent="0.3">
      <c r="A31" s="10" t="s">
        <v>30</v>
      </c>
      <c r="B31" s="8" t="s">
        <v>31</v>
      </c>
      <c r="C31" s="10">
        <v>10</v>
      </c>
      <c r="D31" s="5">
        <f>ROUND($D$26*C31/100,2)</f>
        <v>5985.1</v>
      </c>
      <c r="E31" s="5">
        <f>ROUND(D31+(D31*19/100),2)</f>
        <v>7122.27</v>
      </c>
    </row>
    <row r="32" spans="1:5" x14ac:dyDescent="0.3">
      <c r="A32" s="10" t="s">
        <v>32</v>
      </c>
      <c r="B32" s="8" t="s">
        <v>33</v>
      </c>
      <c r="C32" s="10">
        <v>15</v>
      </c>
      <c r="D32" s="5">
        <f t="shared" ref="D32:D34" si="0">ROUND($D$26*C32/100,2)</f>
        <v>8977.65</v>
      </c>
      <c r="E32" s="5">
        <f t="shared" ref="E32:E35" si="1">ROUND(D32+(D32*19/100),2)</f>
        <v>10683.4</v>
      </c>
    </row>
    <row r="33" spans="1:5" x14ac:dyDescent="0.3">
      <c r="A33" s="10" t="s">
        <v>34</v>
      </c>
      <c r="B33" s="8" t="s">
        <v>35</v>
      </c>
      <c r="C33" s="10">
        <v>30</v>
      </c>
      <c r="D33" s="5">
        <f t="shared" si="0"/>
        <v>17955.310000000001</v>
      </c>
      <c r="E33" s="5">
        <f t="shared" si="1"/>
        <v>21366.82</v>
      </c>
    </row>
    <row r="34" spans="1:5" x14ac:dyDescent="0.3">
      <c r="A34" s="10" t="s">
        <v>36</v>
      </c>
      <c r="B34" s="8" t="s">
        <v>37</v>
      </c>
      <c r="C34" s="10">
        <v>40</v>
      </c>
      <c r="D34" s="5">
        <f t="shared" si="0"/>
        <v>23940.41</v>
      </c>
      <c r="E34" s="5">
        <f t="shared" si="1"/>
        <v>28489.09</v>
      </c>
    </row>
    <row r="35" spans="1:5" x14ac:dyDescent="0.3">
      <c r="A35" s="10" t="s">
        <v>38</v>
      </c>
      <c r="B35" s="8" t="s">
        <v>39</v>
      </c>
      <c r="C35" s="10">
        <v>2</v>
      </c>
      <c r="D35" s="5">
        <f>ROUND($D$26*C35/100,2)</f>
        <v>1197.02</v>
      </c>
      <c r="E35" s="5">
        <f t="shared" si="1"/>
        <v>1424.45</v>
      </c>
    </row>
    <row r="36" spans="1:5" ht="33" x14ac:dyDescent="0.3">
      <c r="A36" s="17"/>
      <c r="B36" s="18" t="s">
        <v>40</v>
      </c>
      <c r="C36" s="19">
        <f>IF(SUM(C30:C35)&gt;100,"FEHLER",SUM(C30:C35))</f>
        <v>100</v>
      </c>
      <c r="D36" s="20">
        <f>ROUND(D26*C36/100,2)</f>
        <v>59851.02</v>
      </c>
      <c r="E36" s="20">
        <f>ROUND(D36+(D36*19/100),2)</f>
        <v>71222.710000000006</v>
      </c>
    </row>
    <row r="38" spans="1:5" x14ac:dyDescent="0.3">
      <c r="A38" s="31" t="s">
        <v>162</v>
      </c>
    </row>
    <row r="39" spans="1:5" ht="9" customHeight="1" x14ac:dyDescent="0.3"/>
    <row r="40" spans="1:5" ht="33" x14ac:dyDescent="0.3">
      <c r="A40" s="11"/>
      <c r="D40" s="6" t="s">
        <v>42</v>
      </c>
      <c r="E40" s="6" t="s">
        <v>43</v>
      </c>
    </row>
    <row r="41" spans="1:5" x14ac:dyDescent="0.3">
      <c r="A41" s="21" t="s">
        <v>163</v>
      </c>
      <c r="B41" s="22" t="s">
        <v>46</v>
      </c>
      <c r="C41" s="23"/>
      <c r="D41" s="8"/>
      <c r="E41" s="8"/>
    </row>
    <row r="42" spans="1:5" s="35" customFormat="1" ht="48.95" customHeight="1" x14ac:dyDescent="0.25">
      <c r="A42" s="24" t="s">
        <v>135</v>
      </c>
      <c r="B42" s="131" t="s">
        <v>149</v>
      </c>
      <c r="C42" s="132"/>
      <c r="D42" s="87"/>
      <c r="E42" s="104">
        <f>ROUND(D42+(D42*19/100),2)</f>
        <v>0</v>
      </c>
    </row>
    <row r="43" spans="1:5" s="35" customFormat="1" ht="48.95" customHeight="1" x14ac:dyDescent="0.25">
      <c r="A43" s="24" t="s">
        <v>136</v>
      </c>
      <c r="B43" s="131" t="s">
        <v>150</v>
      </c>
      <c r="C43" s="132"/>
      <c r="D43" s="87"/>
      <c r="E43" s="104">
        <f>ROUND(D43+(D43*19/100),2)</f>
        <v>0</v>
      </c>
    </row>
    <row r="44" spans="1:5" s="35" customFormat="1" ht="48.95" customHeight="1" x14ac:dyDescent="0.25">
      <c r="A44" s="24" t="s">
        <v>137</v>
      </c>
      <c r="B44" s="124" t="s">
        <v>151</v>
      </c>
      <c r="C44" s="116"/>
      <c r="D44" s="87"/>
      <c r="E44" s="104">
        <f>ROUND(D44+(D44*19/100),2)</f>
        <v>0</v>
      </c>
    </row>
    <row r="45" spans="1:5" s="35" customFormat="1" ht="48.95" customHeight="1" x14ac:dyDescent="0.25">
      <c r="A45" s="24" t="s">
        <v>164</v>
      </c>
      <c r="B45" s="124" t="s">
        <v>152</v>
      </c>
      <c r="C45" s="116"/>
      <c r="D45" s="87"/>
      <c r="E45" s="104">
        <f t="shared" ref="E45" si="2">ROUND(D45+(D45*19/100),2)</f>
        <v>0</v>
      </c>
    </row>
    <row r="46" spans="1:5" ht="48.95" customHeight="1" x14ac:dyDescent="0.3">
      <c r="A46" s="24" t="s">
        <v>165</v>
      </c>
      <c r="B46" s="125" t="s">
        <v>153</v>
      </c>
      <c r="C46" s="126"/>
      <c r="D46" s="25"/>
      <c r="E46" s="81">
        <f t="shared" ref="E46" si="3">ROUND(D46+(D46*19/100),2)</f>
        <v>0</v>
      </c>
    </row>
    <row r="47" spans="1:5" x14ac:dyDescent="0.3">
      <c r="A47" s="21" t="s">
        <v>163</v>
      </c>
      <c r="B47" s="117" t="s">
        <v>45</v>
      </c>
      <c r="C47" s="117"/>
      <c r="D47" s="105">
        <f>SUM(D42:D46)</f>
        <v>0</v>
      </c>
      <c r="E47" s="106">
        <f>SUM(E44:E46)</f>
        <v>0</v>
      </c>
    </row>
    <row r="49" spans="1:5" x14ac:dyDescent="0.3">
      <c r="B49" s="32" t="s">
        <v>72</v>
      </c>
    </row>
    <row r="50" spans="1:5" x14ac:dyDescent="0.3">
      <c r="A50" s="11"/>
      <c r="B50" s="12"/>
      <c r="C50" s="26"/>
      <c r="D50" s="6" t="s">
        <v>47</v>
      </c>
      <c r="E50" s="6" t="s">
        <v>48</v>
      </c>
    </row>
    <row r="51" spans="1:5" x14ac:dyDescent="0.3">
      <c r="A51" s="24" t="s">
        <v>134</v>
      </c>
      <c r="B51" s="12" t="s">
        <v>52</v>
      </c>
      <c r="C51" s="26"/>
      <c r="D51" s="5">
        <f>D36</f>
        <v>59851.02</v>
      </c>
      <c r="E51" s="5">
        <f>E36</f>
        <v>71222.710000000006</v>
      </c>
    </row>
    <row r="52" spans="1:5" x14ac:dyDescent="0.3">
      <c r="A52" s="24" t="s">
        <v>163</v>
      </c>
      <c r="B52" s="12" t="s">
        <v>147</v>
      </c>
      <c r="C52" s="26"/>
      <c r="D52" s="81">
        <f>D47</f>
        <v>0</v>
      </c>
      <c r="E52" s="81">
        <f>E47</f>
        <v>0</v>
      </c>
    </row>
    <row r="53" spans="1:5" x14ac:dyDescent="0.3">
      <c r="A53" s="27"/>
      <c r="B53" s="28" t="s">
        <v>51</v>
      </c>
      <c r="C53" s="29"/>
      <c r="D53" s="30">
        <f>SUM(D51:D52)</f>
        <v>59851.02</v>
      </c>
      <c r="E53" s="30">
        <f>SUM(E51:E52)</f>
        <v>71222.710000000006</v>
      </c>
    </row>
    <row r="55" spans="1:5" ht="16.5" customHeight="1" x14ac:dyDescent="0.3">
      <c r="A55" s="82"/>
      <c r="B55" s="4" t="s">
        <v>93</v>
      </c>
      <c r="C55" s="82"/>
      <c r="D55" s="82"/>
      <c r="E55" s="82"/>
    </row>
    <row r="57" spans="1:5" x14ac:dyDescent="0.3">
      <c r="D57" s="79"/>
      <c r="E57" s="79"/>
    </row>
    <row r="58" spans="1:5" x14ac:dyDescent="0.3">
      <c r="D58" s="79"/>
      <c r="E58" s="79"/>
    </row>
    <row r="59" spans="1:5" x14ac:dyDescent="0.3">
      <c r="D59" s="79"/>
      <c r="E59" s="79"/>
    </row>
    <row r="60" spans="1:5" x14ac:dyDescent="0.3">
      <c r="D60" s="103"/>
      <c r="E60" s="79"/>
    </row>
    <row r="61" spans="1:5" x14ac:dyDescent="0.3">
      <c r="A61" s="33"/>
      <c r="D61" s="34"/>
      <c r="E61" s="79"/>
    </row>
  </sheetData>
  <sheetProtection algorithmName="SHA-512" hashValue="bXkVVPQUvCVLuC1XuZ0GR2V/Um6iNmPcJ6w8USgx+NVZLhlD76F0hHHmk9XR+tiD0c43wFKBTAA1HxdnST9HTQ==" saltValue="75CvJ3ZQyV8IDngESVN4og==" spinCount="100000" sheet="1" objects="1" scenarios="1"/>
  <mergeCells count="9">
    <mergeCell ref="B44:C44"/>
    <mergeCell ref="B46:C46"/>
    <mergeCell ref="B47:C47"/>
    <mergeCell ref="A1:D1"/>
    <mergeCell ref="A6:E6"/>
    <mergeCell ref="A8:E8"/>
    <mergeCell ref="B42:C42"/>
    <mergeCell ref="B43:C43"/>
    <mergeCell ref="B45:C45"/>
  </mergeCells>
  <phoneticPr fontId="10" type="noConversion"/>
  <printOptions horizontalCentered="1"/>
  <pageMargins left="0.98425196850393704" right="0.98425196850393704" top="0.78740157480314965" bottom="0.78740157480314965" header="0.31496062992125984" footer="0.31496062992125984"/>
  <pageSetup paperSize="9" scale="97" orientation="portrait" r:id="rId1"/>
  <headerFooter>
    <oddHeader>&amp;CVgV-Verfahren "Erweiterung mit Finaler Energetischer Sanierung Kita Sonnenschein"
Tragwerksplanung</oddHeader>
    <oddFooter>&amp;RSeite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C66F-7CE6-4474-822A-C1974B8A8922}">
  <dimension ref="A1:E40"/>
  <sheetViews>
    <sheetView tabSelected="1" topLeftCell="A19" workbookViewId="0">
      <selection activeCell="D30" sqref="D30"/>
    </sheetView>
  </sheetViews>
  <sheetFormatPr baseColWidth="10" defaultRowHeight="16.5" x14ac:dyDescent="0.3"/>
  <cols>
    <col min="1" max="1" width="11.42578125" style="4"/>
    <col min="2" max="2" width="25.7109375" style="4" customWidth="1"/>
    <col min="3" max="5" width="16.7109375" style="4" customWidth="1"/>
    <col min="6" max="16384" width="11.42578125" style="4"/>
  </cols>
  <sheetData>
    <row r="1" spans="1:5" ht="32.1" customHeight="1" x14ac:dyDescent="0.3">
      <c r="A1" s="127" t="s">
        <v>138</v>
      </c>
      <c r="B1" s="127"/>
      <c r="C1" s="127"/>
      <c r="D1" s="127"/>
      <c r="E1" s="2" t="s">
        <v>0</v>
      </c>
    </row>
    <row r="2" spans="1:5" x14ac:dyDescent="0.3">
      <c r="A2" s="3" t="s">
        <v>1</v>
      </c>
    </row>
    <row r="3" spans="1:5" x14ac:dyDescent="0.3">
      <c r="A3" s="31" t="s">
        <v>169</v>
      </c>
      <c r="D3" s="79"/>
      <c r="E3" s="79"/>
    </row>
    <row r="4" spans="1:5" ht="32.1" customHeight="1" x14ac:dyDescent="0.3">
      <c r="C4" s="90" t="s">
        <v>54</v>
      </c>
      <c r="D4" s="90" t="s">
        <v>55</v>
      </c>
      <c r="E4" s="90" t="s">
        <v>56</v>
      </c>
    </row>
    <row r="5" spans="1:5" ht="32.1" customHeight="1" x14ac:dyDescent="0.3">
      <c r="A5" s="133" t="s">
        <v>125</v>
      </c>
      <c r="B5" s="133"/>
      <c r="C5" s="1"/>
      <c r="D5" s="91">
        <f>ROUND(Gebäude!D56*Gesamt!C5/100,2)</f>
        <v>0</v>
      </c>
      <c r="E5" s="91">
        <f>ROUND(SUM(D5*1.19),2)</f>
        <v>0</v>
      </c>
    </row>
    <row r="6" spans="1:5" ht="32.1" customHeight="1" x14ac:dyDescent="0.3">
      <c r="A6" s="133" t="s">
        <v>126</v>
      </c>
      <c r="B6" s="133"/>
      <c r="C6" s="1"/>
      <c r="D6" s="91">
        <f>ROUND(SUM(C6*Freianlagen!D51/100),2)</f>
        <v>0</v>
      </c>
      <c r="E6" s="91">
        <f>ROUND(SUM(D6*1.19),2)</f>
        <v>0</v>
      </c>
    </row>
    <row r="7" spans="1:5" ht="32.1" customHeight="1" x14ac:dyDescent="0.3">
      <c r="A7" s="133" t="s">
        <v>73</v>
      </c>
      <c r="B7" s="133"/>
      <c r="C7" s="1"/>
      <c r="D7" s="91">
        <f>ROUND(SUM(C7*Freianlagen!D53/100),2)</f>
        <v>0</v>
      </c>
      <c r="E7" s="91">
        <f>ROUND(SUM(D7*1.19),2)</f>
        <v>0</v>
      </c>
    </row>
    <row r="8" spans="1:5" ht="32.1" customHeight="1" x14ac:dyDescent="0.3">
      <c r="A8" s="134" t="s">
        <v>127</v>
      </c>
      <c r="B8" s="135"/>
      <c r="C8" s="92"/>
      <c r="D8" s="93">
        <f>SUM(D5:D6)</f>
        <v>0</v>
      </c>
      <c r="E8" s="72">
        <f>ROUND(D8*1.19,2)</f>
        <v>0</v>
      </c>
    </row>
    <row r="9" spans="1:5" x14ac:dyDescent="0.3">
      <c r="B9" s="94"/>
      <c r="C9" s="95"/>
      <c r="D9" s="96"/>
      <c r="E9" s="96"/>
    </row>
    <row r="10" spans="1:5" x14ac:dyDescent="0.3">
      <c r="A10" s="14" t="s">
        <v>170</v>
      </c>
      <c r="B10" s="14"/>
      <c r="C10" s="95"/>
      <c r="D10" s="96"/>
      <c r="E10" s="96"/>
    </row>
    <row r="11" spans="1:5" x14ac:dyDescent="0.3">
      <c r="A11" s="73"/>
      <c r="B11" s="14"/>
      <c r="C11" s="46"/>
      <c r="D11" s="46"/>
      <c r="E11" s="46"/>
    </row>
    <row r="12" spans="1:5" x14ac:dyDescent="0.3">
      <c r="A12" s="74"/>
      <c r="B12" s="142"/>
      <c r="C12" s="143"/>
      <c r="D12" s="15" t="s">
        <v>47</v>
      </c>
      <c r="E12" s="15" t="s">
        <v>48</v>
      </c>
    </row>
    <row r="13" spans="1:5" x14ac:dyDescent="0.3">
      <c r="A13" s="97" t="s">
        <v>49</v>
      </c>
      <c r="B13" s="136" t="s">
        <v>132</v>
      </c>
      <c r="C13" s="137"/>
      <c r="D13" s="98">
        <f>Gebäude!D54</f>
        <v>217278.27999999997</v>
      </c>
      <c r="E13" s="98">
        <f>ROUND(D13*1.19,2)</f>
        <v>258561.15</v>
      </c>
    </row>
    <row r="14" spans="1:5" x14ac:dyDescent="0.3">
      <c r="A14" s="97" t="s">
        <v>53</v>
      </c>
      <c r="B14" s="141" t="s">
        <v>147</v>
      </c>
      <c r="C14" s="141"/>
      <c r="D14" s="98">
        <f>Gebäude!D55</f>
        <v>0</v>
      </c>
      <c r="E14" s="98">
        <f t="shared" ref="E14:E20" si="0">ROUND(D14*1.19,2)</f>
        <v>0</v>
      </c>
    </row>
    <row r="15" spans="1:5" x14ac:dyDescent="0.3">
      <c r="A15" s="97" t="s">
        <v>62</v>
      </c>
      <c r="B15" s="136" t="s">
        <v>131</v>
      </c>
      <c r="C15" s="137"/>
      <c r="D15" s="98">
        <f>Freianlagen!D51</f>
        <v>57056.89</v>
      </c>
      <c r="E15" s="98">
        <f t="shared" si="0"/>
        <v>67897.7</v>
      </c>
    </row>
    <row r="16" spans="1:5" x14ac:dyDescent="0.3">
      <c r="A16" s="97" t="s">
        <v>64</v>
      </c>
      <c r="B16" s="141" t="s">
        <v>147</v>
      </c>
      <c r="C16" s="141"/>
      <c r="D16" s="98">
        <f>Freianlagen!D52</f>
        <v>0</v>
      </c>
      <c r="E16" s="98">
        <f t="shared" si="0"/>
        <v>0</v>
      </c>
    </row>
    <row r="17" spans="1:5" x14ac:dyDescent="0.3">
      <c r="A17" s="97" t="s">
        <v>134</v>
      </c>
      <c r="B17" s="136" t="s">
        <v>133</v>
      </c>
      <c r="C17" s="137"/>
      <c r="D17" s="98">
        <f>Tragwerk!D51</f>
        <v>59851.02</v>
      </c>
      <c r="E17" s="98">
        <f t="shared" si="0"/>
        <v>71222.710000000006</v>
      </c>
    </row>
    <row r="18" spans="1:5" x14ac:dyDescent="0.3">
      <c r="A18" s="97" t="s">
        <v>163</v>
      </c>
      <c r="B18" s="141" t="s">
        <v>148</v>
      </c>
      <c r="C18" s="141"/>
      <c r="D18" s="98">
        <f>Tragwerk!D52</f>
        <v>0</v>
      </c>
      <c r="E18" s="98">
        <f t="shared" ref="E18" si="1">ROUND(D18*1.19,2)</f>
        <v>0</v>
      </c>
    </row>
    <row r="19" spans="1:5" x14ac:dyDescent="0.3">
      <c r="A19" s="97" t="s">
        <v>166</v>
      </c>
      <c r="B19" s="139" t="s">
        <v>128</v>
      </c>
      <c r="C19" s="140"/>
      <c r="D19" s="98">
        <f>SUM(D5)</f>
        <v>0</v>
      </c>
      <c r="E19" s="98">
        <f t="shared" si="0"/>
        <v>0</v>
      </c>
    </row>
    <row r="20" spans="1:5" x14ac:dyDescent="0.3">
      <c r="A20" s="97" t="s">
        <v>167</v>
      </c>
      <c r="B20" s="136" t="s">
        <v>126</v>
      </c>
      <c r="C20" s="137"/>
      <c r="D20" s="98">
        <f>SUM(D6)</f>
        <v>0</v>
      </c>
      <c r="E20" s="98">
        <f t="shared" si="0"/>
        <v>0</v>
      </c>
    </row>
    <row r="21" spans="1:5" x14ac:dyDescent="0.3">
      <c r="A21" s="97" t="s">
        <v>168</v>
      </c>
      <c r="B21" s="136" t="s">
        <v>130</v>
      </c>
      <c r="C21" s="137"/>
      <c r="D21" s="98">
        <f>SUM(D7)</f>
        <v>0</v>
      </c>
      <c r="E21" s="98">
        <f t="shared" ref="E21" si="2">ROUND(D21*1.19,2)</f>
        <v>0</v>
      </c>
    </row>
    <row r="22" spans="1:5" x14ac:dyDescent="0.3">
      <c r="A22" s="100"/>
      <c r="B22" s="139"/>
      <c r="C22" s="140"/>
      <c r="D22" s="98"/>
      <c r="E22" s="98"/>
    </row>
    <row r="23" spans="1:5" x14ac:dyDescent="0.3">
      <c r="A23" s="46"/>
      <c r="B23" s="75" t="s">
        <v>51</v>
      </c>
      <c r="C23" s="76"/>
      <c r="D23" s="77">
        <f>SUM(D13:D22)</f>
        <v>334186.19</v>
      </c>
      <c r="E23" s="77">
        <f>SUM(E13:E20)</f>
        <v>397681.56</v>
      </c>
    </row>
    <row r="24" spans="1:5" x14ac:dyDescent="0.3">
      <c r="B24" s="94"/>
      <c r="C24" s="95"/>
      <c r="D24" s="96"/>
      <c r="E24" s="96"/>
    </row>
    <row r="25" spans="1:5" x14ac:dyDescent="0.3">
      <c r="A25" s="31" t="s">
        <v>57</v>
      </c>
      <c r="D25" s="79"/>
      <c r="E25" s="79"/>
    </row>
    <row r="26" spans="1:5" ht="33" x14ac:dyDescent="0.3">
      <c r="D26" s="80" t="s">
        <v>58</v>
      </c>
      <c r="E26" s="80" t="s">
        <v>59</v>
      </c>
    </row>
    <row r="27" spans="1:5" ht="32.1" customHeight="1" x14ac:dyDescent="0.3">
      <c r="A27" s="78" t="s">
        <v>49</v>
      </c>
      <c r="B27" s="83" t="s">
        <v>60</v>
      </c>
      <c r="C27" s="84"/>
      <c r="D27" s="85"/>
      <c r="E27" s="86">
        <f>ROUND(D27*1.19,2)</f>
        <v>0</v>
      </c>
    </row>
    <row r="28" spans="1:5" ht="32.1" customHeight="1" x14ac:dyDescent="0.3">
      <c r="A28" s="78" t="s">
        <v>53</v>
      </c>
      <c r="B28" s="139" t="s">
        <v>61</v>
      </c>
      <c r="C28" s="140"/>
      <c r="D28" s="85"/>
      <c r="E28" s="86">
        <f>ROUND(D28*1.19,2)</f>
        <v>0</v>
      </c>
    </row>
    <row r="29" spans="1:5" ht="32.1" customHeight="1" x14ac:dyDescent="0.3">
      <c r="A29" s="78" t="s">
        <v>62</v>
      </c>
      <c r="B29" s="139" t="s">
        <v>63</v>
      </c>
      <c r="C29" s="140"/>
      <c r="D29" s="85"/>
      <c r="E29" s="86">
        <f>ROUND(D29*1.19,2)</f>
        <v>0</v>
      </c>
    </row>
    <row r="30" spans="1:5" ht="32.1" customHeight="1" x14ac:dyDescent="0.3">
      <c r="A30" s="78" t="s">
        <v>64</v>
      </c>
      <c r="B30" s="139" t="s">
        <v>65</v>
      </c>
      <c r="C30" s="140"/>
      <c r="D30" s="86">
        <f>ROUND(SUM(D29+D28+D27)/3,2)</f>
        <v>0</v>
      </c>
      <c r="E30" s="86">
        <f>ROUND(D30*1.19,2)</f>
        <v>0</v>
      </c>
    </row>
    <row r="31" spans="1:5" x14ac:dyDescent="0.3">
      <c r="A31" s="101"/>
      <c r="B31" s="41"/>
      <c r="C31" s="41"/>
      <c r="D31" s="41"/>
      <c r="E31" s="102"/>
    </row>
    <row r="32" spans="1:5" x14ac:dyDescent="0.3">
      <c r="A32" s="32" t="s">
        <v>66</v>
      </c>
      <c r="D32" s="79"/>
      <c r="E32" s="79"/>
    </row>
    <row r="33" spans="1:5" x14ac:dyDescent="0.3">
      <c r="D33" s="79"/>
      <c r="E33" s="79"/>
    </row>
    <row r="34" spans="1:5" ht="86.25" customHeight="1" x14ac:dyDescent="0.3">
      <c r="A34" s="138" t="s">
        <v>171</v>
      </c>
      <c r="B34" s="138"/>
      <c r="C34" s="138"/>
      <c r="D34" s="138"/>
      <c r="E34" s="138"/>
    </row>
    <row r="35" spans="1:5" x14ac:dyDescent="0.3">
      <c r="D35" s="79"/>
      <c r="E35" s="79"/>
    </row>
    <row r="36" spans="1:5" x14ac:dyDescent="0.3">
      <c r="A36" s="4" t="s">
        <v>67</v>
      </c>
      <c r="D36" s="79"/>
      <c r="E36" s="79"/>
    </row>
    <row r="37" spans="1:5" x14ac:dyDescent="0.3">
      <c r="D37" s="79"/>
      <c r="E37" s="79"/>
    </row>
    <row r="38" spans="1:5" x14ac:dyDescent="0.3">
      <c r="D38" s="79"/>
      <c r="E38" s="79"/>
    </row>
    <row r="39" spans="1:5" x14ac:dyDescent="0.3">
      <c r="A39" s="4" t="s">
        <v>68</v>
      </c>
      <c r="D39" s="103" t="s">
        <v>69</v>
      </c>
      <c r="E39" s="79"/>
    </row>
    <row r="40" spans="1:5" x14ac:dyDescent="0.3">
      <c r="A40" s="33" t="s">
        <v>70</v>
      </c>
      <c r="D40" s="34" t="s">
        <v>71</v>
      </c>
      <c r="E40" s="79"/>
    </row>
  </sheetData>
  <sheetProtection algorithmName="SHA-512" hashValue="t++An7KYwK76c07nsm5+rjNn/AYwGcJ53bhiFKrWuecC7NT43Iat1x6ve7AwmAwMPlg3v2NwTWbJoZ7cNKSJUw==" saltValue="FQeNan9XlyRPNtfZpg+Eew==" spinCount="100000" sheet="1" objects="1" scenarios="1"/>
  <mergeCells count="20">
    <mergeCell ref="A34:E34"/>
    <mergeCell ref="B29:C29"/>
    <mergeCell ref="B30:C30"/>
    <mergeCell ref="A7:B7"/>
    <mergeCell ref="B21:C21"/>
    <mergeCell ref="B17:C17"/>
    <mergeCell ref="B18:C18"/>
    <mergeCell ref="B12:C12"/>
    <mergeCell ref="B15:C15"/>
    <mergeCell ref="B19:C19"/>
    <mergeCell ref="B20:C20"/>
    <mergeCell ref="B22:C22"/>
    <mergeCell ref="B28:C28"/>
    <mergeCell ref="B14:C14"/>
    <mergeCell ref="B16:C16"/>
    <mergeCell ref="A1:D1"/>
    <mergeCell ref="A5:B5"/>
    <mergeCell ref="A6:B6"/>
    <mergeCell ref="A8:B8"/>
    <mergeCell ref="B13:C13"/>
  </mergeCells>
  <phoneticPr fontId="1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Gebäude</vt:lpstr>
      <vt:lpstr>Freianlagen</vt:lpstr>
      <vt:lpstr>Tragwerk</vt:lpstr>
      <vt:lpstr>Gesamt</vt:lpstr>
      <vt:lpstr>Tragwerk!Druckbereich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Brendel, Silvio</dc:creator>
  <cp:lastModifiedBy>Lara Klinger</cp:lastModifiedBy>
  <cp:lastPrinted>2023-04-11T12:20:32Z</cp:lastPrinted>
  <dcterms:created xsi:type="dcterms:W3CDTF">2023-03-30T15:22:12Z</dcterms:created>
  <dcterms:modified xsi:type="dcterms:W3CDTF">2024-07-24T07:41:15Z</dcterms:modified>
</cp:coreProperties>
</file>