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K-Vergaben_Einkauf_Gebäude\2025 Elektro-StLB_26-29\02 Vergabeunterlagen\02b Entwürfe-LB-Vertrag\"/>
    </mc:Choice>
  </mc:AlternateContent>
  <xr:revisionPtr revIDLastSave="0" documentId="8_{239BDF06-7D2D-4B8F-B9EB-8666A06A7850}" xr6:coauthVersionLast="47" xr6:coauthVersionMax="47" xr10:uidLastSave="{00000000-0000-0000-0000-000000000000}"/>
  <workbookProtection workbookAlgorithmName="SHA-512" workbookHashValue="e7kl7Ce92Ern4ivRjDH33B7XLSZSS8DWNjhcf6BZqHaxrmPfm05kfM7Kd/9VvJyylQi1rrIhZhzbwdkxMAsPww==" workbookSaltValue="Iy+fNKTjAh/0+UMZw6R4sw==" workbookSpinCount="100000" lockStructure="1"/>
  <bookViews>
    <workbookView xWindow="28680" yWindow="-225" windowWidth="29040" windowHeight="15720" tabRatio="469" xr2:uid="{00000000-000D-0000-FFFF-FFFF00000000}"/>
  </bookViews>
  <sheets>
    <sheet name="Ermittlung Angebotspreis" sheetId="1" r:id="rId1"/>
    <sheet name="Vergleichsrechnung" sheetId="2" state="hidden" r:id="rId2"/>
    <sheet name="Umsatz Beispielrechnung" sheetId="3" state="hidden" r:id="rId3"/>
    <sheet name="Tabelle1" sheetId="4" state="hidden" r:id="rId4"/>
  </sheets>
  <definedNames>
    <definedName name="_xlnm.Print_Area" localSheetId="1">Vergleichsrechnung!$A$1:$D$33</definedName>
    <definedName name="_xlnm.Print_Titles" localSheetId="2">'Umsatz Beispielrechnung'!$1:$1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  <c r="C22" i="2"/>
  <c r="C13" i="2"/>
  <c r="B15" i="3"/>
  <c r="C19" i="3"/>
  <c r="D19" i="3"/>
  <c r="C20" i="3"/>
  <c r="D20" i="3"/>
  <c r="C21" i="3"/>
  <c r="D21" i="3"/>
  <c r="C12" i="2"/>
  <c r="C14" i="2"/>
  <c r="C5" i="2"/>
  <c r="B14" i="3"/>
  <c r="B3" i="2"/>
  <c r="C7" i="2"/>
  <c r="C8" i="2"/>
  <c r="B16" i="3"/>
  <c r="B21" i="2"/>
  <c r="B25" i="2"/>
  <c r="C25" i="2"/>
  <c r="B24" i="2"/>
  <c r="C24" i="2"/>
  <c r="C32" i="2"/>
  <c r="C22" i="3"/>
  <c r="B27" i="4"/>
  <c r="B3" i="3"/>
  <c r="B6" i="3"/>
  <c r="C27" i="4"/>
  <c r="C3" i="3"/>
  <c r="D27" i="4"/>
  <c r="D3" i="3"/>
  <c r="B44" i="4"/>
  <c r="B4" i="3"/>
  <c r="C44" i="4"/>
  <c r="C53" i="4"/>
  <c r="C54" i="4"/>
  <c r="D44" i="4"/>
  <c r="D4" i="3"/>
  <c r="D6" i="3"/>
  <c r="B49" i="4"/>
  <c r="B5" i="3"/>
  <c r="E5" i="3"/>
  <c r="C49" i="4"/>
  <c r="C5" i="3"/>
  <c r="D49" i="4"/>
  <c r="D5" i="3"/>
  <c r="C51" i="4"/>
  <c r="B53" i="4"/>
  <c r="B54" i="4"/>
  <c r="B51" i="4"/>
  <c r="B22" i="3"/>
  <c r="C2" i="2"/>
  <c r="C6" i="2"/>
  <c r="C9" i="2"/>
  <c r="D22" i="3"/>
  <c r="E21" i="3"/>
  <c r="F21" i="3"/>
  <c r="G21" i="3"/>
  <c r="D53" i="4"/>
  <c r="D54" i="4"/>
  <c r="C4" i="3"/>
  <c r="C6" i="3"/>
  <c r="B19" i="2"/>
  <c r="B23" i="2"/>
  <c r="C23" i="2"/>
  <c r="B26" i="2"/>
  <c r="C26" i="2"/>
  <c r="B22" i="2"/>
  <c r="E3" i="3"/>
  <c r="C10" i="2"/>
  <c r="E20" i="3"/>
  <c r="F20" i="3"/>
  <c r="G20" i="3"/>
  <c r="E19" i="3"/>
  <c r="E4" i="3"/>
  <c r="E6" i="3"/>
  <c r="F5" i="3"/>
  <c r="C27" i="2"/>
  <c r="F3" i="3"/>
  <c r="F4" i="3"/>
  <c r="E22" i="3"/>
  <c r="F19" i="3"/>
  <c r="G19" i="3"/>
  <c r="F22" i="3"/>
  <c r="F6" i="3"/>
  <c r="G23" i="3"/>
  <c r="H19" i="3"/>
  <c r="B16" i="2"/>
  <c r="B12" i="2"/>
  <c r="B15" i="2"/>
  <c r="H21" i="3"/>
  <c r="H20" i="3"/>
  <c r="B13" i="2"/>
  <c r="B17" i="2"/>
  <c r="B14" i="2"/>
  <c r="B18" i="2"/>
  <c r="C16" i="2"/>
  <c r="C18" i="2"/>
  <c r="C17" i="2"/>
  <c r="H23" i="3"/>
  <c r="C19" i="2"/>
  <c r="C29" i="2"/>
  <c r="C30" i="2"/>
  <c r="C31" i="2"/>
  <c r="C33" i="2"/>
  <c r="B13" i="1"/>
</calcChain>
</file>

<file path=xl/sharedStrings.xml><?xml version="1.0" encoding="utf-8"?>
<sst xmlns="http://schemas.openxmlformats.org/spreadsheetml/2006/main" count="98" uniqueCount="82">
  <si>
    <t>Name</t>
  </si>
  <si>
    <t>Stundenlöhne</t>
  </si>
  <si>
    <t>Helfer</t>
  </si>
  <si>
    <t>gesamt</t>
  </si>
  <si>
    <t>Geselle</t>
  </si>
  <si>
    <t>Leistung</t>
  </si>
  <si>
    <t xml:space="preserve"> </t>
  </si>
  <si>
    <t>Mwst.</t>
  </si>
  <si>
    <t>Zwischensumme</t>
  </si>
  <si>
    <t>Leistungen lt StLb</t>
  </si>
  <si>
    <t xml:space="preserve">Auftrag </t>
  </si>
  <si>
    <t>Hilfskraft</t>
  </si>
  <si>
    <t>Menge</t>
  </si>
  <si>
    <t>Auftragswert gesamt</t>
  </si>
  <si>
    <t>Auftragswert StLB</t>
  </si>
  <si>
    <t>abzgl. Skonto</t>
  </si>
  <si>
    <t>Personalkostenanteil €</t>
  </si>
  <si>
    <t>Personal in Stunden</t>
  </si>
  <si>
    <t>Geselle in Stunden</t>
  </si>
  <si>
    <t>Hilfskraft in Stunden</t>
  </si>
  <si>
    <t>netto</t>
  </si>
  <si>
    <t>Skonto %</t>
  </si>
  <si>
    <t>Abgebot bisher</t>
  </si>
  <si>
    <t>Summe</t>
  </si>
  <si>
    <t>Rechnungssumme</t>
  </si>
  <si>
    <t>alt</t>
  </si>
  <si>
    <t>Gesamt</t>
  </si>
  <si>
    <t>Summe nach Auf- oder Abgebot</t>
  </si>
  <si>
    <t>Auswertung</t>
  </si>
  <si>
    <t>"=StLbxAuf- o. Abgebot</t>
  </si>
  <si>
    <t>Sonstige Materialkosten</t>
  </si>
  <si>
    <t>Auftragswert Arbeitslohn</t>
  </si>
  <si>
    <t>Obermonteur in Stunden</t>
  </si>
  <si>
    <t>Menge h</t>
  </si>
  <si>
    <t>Löhne ges.</t>
  </si>
  <si>
    <t xml:space="preserve">Personalkosten Stundensätze </t>
  </si>
  <si>
    <t>Obermonteur</t>
  </si>
  <si>
    <t>Stundenlohnarbeiten</t>
  </si>
  <si>
    <t>Material</t>
  </si>
  <si>
    <t>Kupfer</t>
  </si>
  <si>
    <t>Gesamt o. Kupfer</t>
  </si>
  <si>
    <t>Summe gesamt</t>
  </si>
  <si>
    <t>Materialkosten geschätzt</t>
  </si>
  <si>
    <t>Vertragsstunden</t>
  </si>
  <si>
    <t>Anteil Lohnkosten%</t>
  </si>
  <si>
    <t>Anteil Lohnkosten €</t>
  </si>
  <si>
    <t>Anteil h</t>
  </si>
  <si>
    <t>Eingaben bitte nur über das Blatt Übersicht!!!</t>
  </si>
  <si>
    <t>Anteil errechnet</t>
  </si>
  <si>
    <t>Ausschreibungswerte</t>
  </si>
  <si>
    <t>Verhältnis der Auftragsbereiche</t>
  </si>
  <si>
    <t>Sonstige</t>
  </si>
  <si>
    <t>Aufteilung Materialkosten geschätzt</t>
  </si>
  <si>
    <t>Elektromaterial 100</t>
  </si>
  <si>
    <t>Beleuchtung 101</t>
  </si>
  <si>
    <t>Schaltermaterial 102</t>
  </si>
  <si>
    <t>Stromvertreiler 103</t>
  </si>
  <si>
    <t>Sonstige 104</t>
  </si>
  <si>
    <t>*bitte Vorzeichen (+/-) beachten</t>
  </si>
  <si>
    <t>StLb 682 Elektroarbeiten</t>
  </si>
  <si>
    <t>StLb 630 Mauerarbeiten</t>
  </si>
  <si>
    <t>Abgebot Elektro</t>
  </si>
  <si>
    <t>Aufgebot Elektro</t>
  </si>
  <si>
    <t>Abgebot Mauerarbeiten</t>
  </si>
  <si>
    <t>Aufgebot Mauerarbeiten</t>
  </si>
  <si>
    <t>Summe StLb gesamt:</t>
  </si>
  <si>
    <t>lt Standardleistungsbücher</t>
  </si>
  <si>
    <t>der Warengruppen lt Anlage</t>
  </si>
  <si>
    <t>Preis (auf Auszug)</t>
  </si>
  <si>
    <r>
      <t xml:space="preserve">Bitte achten Sie darauf, dass </t>
    </r>
    <r>
      <rPr>
        <b/>
        <u/>
        <sz val="10"/>
        <rFont val="Arial"/>
        <family val="2"/>
      </rPr>
      <t>alle</t>
    </r>
    <r>
      <rPr>
        <b/>
        <sz val="10"/>
        <rFont val="Arial"/>
        <family val="2"/>
      </rPr>
      <t xml:space="preserve"> gelb markierten Felder ausgefüllt werden müssen (nicht zutreffende Felder bitte mit einer "0" füllen)!</t>
    </r>
  </si>
  <si>
    <t>Meister</t>
  </si>
  <si>
    <t>Rahmenvertrag Elektroarbeiten nach StLb-BauZ</t>
  </si>
  <si>
    <t>Stundenlöhne in € (netto)</t>
  </si>
  <si>
    <t>Skonto in %</t>
  </si>
  <si>
    <t>Preis</t>
  </si>
  <si>
    <t>Abgebot in %</t>
  </si>
  <si>
    <t>Aufgebot in %</t>
  </si>
  <si>
    <t>Materialkosten Auf- oder Abschlag* auf UVP in%</t>
  </si>
  <si>
    <t>Anlage 22 zum Angebotsschreiben zur Ausschreibung Nr. 102175</t>
  </si>
  <si>
    <t>2026 - 2029</t>
  </si>
  <si>
    <t>errechneter Angebotspreis incl. Skonto:</t>
  </si>
  <si>
    <t>geht in die Wertung 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</si>
</sst>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0.0%"/>
    <numFmt numFmtId="166" formatCode="_-* #,##0.00\ [$€]_-;\-* #,##0.00\ [$€]_-;_-* &quot;-&quot;??\ [$€]_-;_-@_-"/>
    <numFmt numFmtId="167" formatCode="#,##0.00\ &quot;€&quot;"/>
    <numFmt numFmtId="168" formatCode="_-* #,##0.00\ [$€-40A]_-;\-* #,##0.00\ [$€-40A]_-;_-* &quot;-&quot;??\ [$€-40A]_-;_-@_-"/>
    <numFmt numFmtId="169" formatCode="0.0"/>
    <numFmt numFmtId="170" formatCode="_-* #,##0.00\ [$€-407]_-;\-* #,##0.00\ [$€-407]_-;_-* &quot;-&quot;??\ [$€-407]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7" fontId="0" fillId="0" borderId="0" xfId="3" applyNumberFormat="1" applyFont="1"/>
    <xf numFmtId="0" fontId="0" fillId="0" borderId="0" xfId="0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7" fontId="4" fillId="0" borderId="0" xfId="3" applyNumberFormat="1" applyFon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7" fontId="0" fillId="0" borderId="1" xfId="3" applyNumberFormat="1" applyFont="1" applyBorder="1"/>
    <xf numFmtId="44" fontId="0" fillId="0" borderId="1" xfId="3" applyNumberFormat="1" applyFont="1" applyBorder="1"/>
    <xf numFmtId="167" fontId="4" fillId="0" borderId="1" xfId="3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Border="1"/>
    <xf numFmtId="167" fontId="2" fillId="0" borderId="1" xfId="3" applyNumberFormat="1" applyFont="1" applyBorder="1"/>
    <xf numFmtId="167" fontId="2" fillId="0" borderId="0" xfId="3" applyNumberFormat="1" applyFont="1"/>
    <xf numFmtId="9" fontId="0" fillId="0" borderId="1" xfId="2" applyFont="1" applyBorder="1" applyAlignment="1">
      <alignment horizontal="center"/>
    </xf>
    <xf numFmtId="165" fontId="0" fillId="0" borderId="0" xfId="2" applyNumberFormat="1" applyFont="1" applyFill="1" applyBorder="1"/>
    <xf numFmtId="16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4" fontId="0" fillId="0" borderId="0" xfId="3" applyNumberFormat="1" applyFont="1"/>
    <xf numFmtId="0" fontId="4" fillId="0" borderId="0" xfId="0" applyFont="1" applyFill="1" applyBorder="1"/>
    <xf numFmtId="0" fontId="0" fillId="0" borderId="0" xfId="0" applyFill="1" applyBorder="1"/>
    <xf numFmtId="0" fontId="2" fillId="0" borderId="1" xfId="3" applyNumberFormat="1" applyFont="1" applyBorder="1" applyAlignment="1">
      <alignment horizontal="center"/>
    </xf>
    <xf numFmtId="44" fontId="0" fillId="0" borderId="1" xfId="3" applyNumberFormat="1" applyFont="1" applyBorder="1" applyAlignment="1">
      <alignment horizontal="center"/>
    </xf>
    <xf numFmtId="9" fontId="4" fillId="0" borderId="1" xfId="2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66" fontId="4" fillId="0" borderId="1" xfId="1" applyFont="1" applyFill="1" applyBorder="1" applyAlignment="1">
      <alignment horizontal="center"/>
    </xf>
    <xf numFmtId="166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4" fontId="4" fillId="0" borderId="1" xfId="3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6" fontId="2" fillId="0" borderId="7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44" fontId="4" fillId="0" borderId="7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9" fontId="4" fillId="0" borderId="9" xfId="2" applyFont="1" applyFill="1" applyBorder="1" applyAlignment="1">
      <alignment horizontal="center"/>
    </xf>
    <xf numFmtId="166" fontId="4" fillId="0" borderId="9" xfId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44" fontId="0" fillId="0" borderId="1" xfId="0" applyNumberFormat="1" applyBorder="1"/>
    <xf numFmtId="44" fontId="0" fillId="0" borderId="0" xfId="3" applyNumberFormat="1" applyFont="1" applyAlignment="1">
      <alignment horizontal="center"/>
    </xf>
    <xf numFmtId="44" fontId="2" fillId="0" borderId="0" xfId="3" applyNumberFormat="1" applyFont="1" applyAlignment="1">
      <alignment horizontal="center"/>
    </xf>
    <xf numFmtId="44" fontId="2" fillId="0" borderId="1" xfId="3" applyNumberFormat="1" applyFont="1" applyBorder="1"/>
    <xf numFmtId="0" fontId="2" fillId="0" borderId="1" xfId="1" applyNumberFormat="1" applyFont="1" applyFill="1" applyBorder="1" applyAlignment="1">
      <alignment horizontal="center"/>
    </xf>
    <xf numFmtId="44" fontId="2" fillId="0" borderId="1" xfId="0" applyNumberFormat="1" applyFont="1" applyBorder="1"/>
    <xf numFmtId="0" fontId="3" fillId="0" borderId="0" xfId="0" applyFont="1"/>
    <xf numFmtId="0" fontId="3" fillId="0" borderId="4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1" xfId="0" applyBorder="1"/>
    <xf numFmtId="1" fontId="4" fillId="0" borderId="3" xfId="0" applyNumberFormat="1" applyFont="1" applyFill="1" applyBorder="1" applyAlignment="1">
      <alignment horizontal="center"/>
    </xf>
    <xf numFmtId="1" fontId="0" fillId="0" borderId="0" xfId="0" applyNumberFormat="1"/>
    <xf numFmtId="9" fontId="0" fillId="0" borderId="0" xfId="0" applyNumberFormat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1" fontId="0" fillId="0" borderId="1" xfId="0" applyNumberFormat="1" applyBorder="1"/>
    <xf numFmtId="9" fontId="0" fillId="0" borderId="1" xfId="2" applyFont="1" applyBorder="1"/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9" fontId="2" fillId="0" borderId="0" xfId="2" applyFont="1" applyAlignment="1">
      <alignment horizontal="center"/>
    </xf>
    <xf numFmtId="167" fontId="3" fillId="0" borderId="1" xfId="3" applyNumberFormat="1" applyFont="1" applyBorder="1"/>
    <xf numFmtId="0" fontId="3" fillId="0" borderId="1" xfId="1" applyNumberFormat="1" applyFont="1" applyFill="1" applyBorder="1" applyAlignment="1">
      <alignment horizontal="center"/>
    </xf>
    <xf numFmtId="9" fontId="0" fillId="0" borderId="0" xfId="2" applyFont="1"/>
    <xf numFmtId="167" fontId="3" fillId="0" borderId="0" xfId="0" applyNumberFormat="1" applyFont="1"/>
    <xf numFmtId="170" fontId="4" fillId="0" borderId="1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44" fontId="2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4" fontId="2" fillId="0" borderId="1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7" fillId="0" borderId="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9" fontId="7" fillId="2" borderId="17" xfId="2" applyFont="1" applyFill="1" applyBorder="1" applyAlignment="1" applyProtection="1">
      <alignment horizontal="center" vertical="center"/>
      <protection locked="0"/>
    </xf>
    <xf numFmtId="9" fontId="7" fillId="2" borderId="6" xfId="2" applyFont="1" applyFill="1" applyBorder="1" applyAlignment="1" applyProtection="1">
      <alignment horizontal="center" vertical="center"/>
      <protection locked="0"/>
    </xf>
    <xf numFmtId="9" fontId="7" fillId="2" borderId="5" xfId="2" applyFont="1" applyFill="1" applyBorder="1" applyAlignment="1" applyProtection="1">
      <alignment horizontal="center" vertical="center"/>
      <protection locked="0"/>
    </xf>
    <xf numFmtId="9" fontId="7" fillId="2" borderId="16" xfId="2" applyFont="1" applyFill="1" applyBorder="1" applyAlignment="1" applyProtection="1">
      <alignment horizontal="center" vertical="center"/>
      <protection locked="0"/>
    </xf>
    <xf numFmtId="166" fontId="7" fillId="2" borderId="6" xfId="1" applyFont="1" applyFill="1" applyBorder="1" applyAlignment="1" applyProtection="1">
      <alignment horizontal="center" vertical="center"/>
      <protection locked="0"/>
    </xf>
    <xf numFmtId="166" fontId="7" fillId="2" borderId="7" xfId="1" applyFont="1" applyFill="1" applyBorder="1" applyAlignment="1" applyProtection="1">
      <alignment horizontal="center" vertical="center"/>
      <protection locked="0"/>
    </xf>
    <xf numFmtId="165" fontId="7" fillId="2" borderId="6" xfId="0" applyNumberFormat="1" applyFont="1" applyFill="1" applyBorder="1" applyAlignment="1" applyProtection="1">
      <alignment horizontal="center" vertical="center"/>
      <protection locked="0"/>
    </xf>
    <xf numFmtId="165" fontId="7" fillId="2" borderId="7" xfId="0" applyNumberFormat="1" applyFont="1" applyFill="1" applyBorder="1" applyAlignment="1" applyProtection="1">
      <alignment horizontal="center" vertical="center"/>
      <protection locked="0"/>
    </xf>
    <xf numFmtId="9" fontId="7" fillId="2" borderId="7" xfId="2" applyFont="1" applyFill="1" applyBorder="1" applyAlignment="1" applyProtection="1">
      <alignment horizontal="center" vertical="center"/>
      <protection locked="0"/>
    </xf>
    <xf numFmtId="166" fontId="7" fillId="2" borderId="27" xfId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0" fontId="6" fillId="0" borderId="14" xfId="0" applyNumberFormat="1" applyFont="1" applyBorder="1" applyAlignment="1" applyProtection="1">
      <alignment horizontal="center"/>
      <protection hidden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</cellXfs>
  <cellStyles count="4">
    <cellStyle name="Euro" xfId="1" xr:uid="{00000000-0005-0000-0000-000000000000}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35.42578125" customWidth="1"/>
    <col min="2" max="2" width="13.140625" bestFit="1" customWidth="1"/>
    <col min="3" max="3" width="13.7109375" bestFit="1" customWidth="1"/>
    <col min="4" max="4" width="13.140625" bestFit="1" customWidth="1"/>
    <col min="5" max="5" width="13.7109375" bestFit="1" customWidth="1"/>
    <col min="6" max="6" width="7.28515625" customWidth="1"/>
    <col min="7" max="10" width="13.140625" customWidth="1"/>
  </cols>
  <sheetData>
    <row r="1" spans="1:15" s="114" customFormat="1" ht="15" x14ac:dyDescent="0.25">
      <c r="A1" s="113" t="s">
        <v>78</v>
      </c>
      <c r="E1" s="119" t="s">
        <v>71</v>
      </c>
      <c r="F1" s="119"/>
      <c r="G1" s="119"/>
      <c r="H1" s="119"/>
      <c r="I1" s="119"/>
      <c r="J1" s="113" t="s">
        <v>79</v>
      </c>
    </row>
    <row r="2" spans="1:15" x14ac:dyDescent="0.2">
      <c r="A2" s="67"/>
      <c r="I2" s="1"/>
    </row>
    <row r="3" spans="1:15" ht="13.5" thickBot="1" x14ac:dyDescent="0.25"/>
    <row r="4" spans="1:15" ht="30" customHeight="1" x14ac:dyDescent="0.2">
      <c r="A4" s="128" t="s">
        <v>0</v>
      </c>
      <c r="B4" s="132" t="s">
        <v>74</v>
      </c>
      <c r="C4" s="134"/>
      <c r="D4" s="138" t="s">
        <v>68</v>
      </c>
      <c r="E4" s="139"/>
      <c r="F4" s="125" t="s">
        <v>73</v>
      </c>
      <c r="G4" s="122" t="s">
        <v>72</v>
      </c>
      <c r="H4" s="123"/>
      <c r="I4" s="123"/>
      <c r="J4" s="124"/>
      <c r="K4" s="132" t="s">
        <v>77</v>
      </c>
      <c r="L4" s="133"/>
      <c r="M4" s="133"/>
      <c r="N4" s="133"/>
      <c r="O4" s="134"/>
    </row>
    <row r="5" spans="1:15" ht="12.75" customHeight="1" x14ac:dyDescent="0.2">
      <c r="A5" s="129"/>
      <c r="B5" s="98" t="s">
        <v>75</v>
      </c>
      <c r="C5" s="99" t="s">
        <v>76</v>
      </c>
      <c r="D5" s="115" t="s">
        <v>75</v>
      </c>
      <c r="E5" s="116" t="s">
        <v>76</v>
      </c>
      <c r="F5" s="126"/>
      <c r="G5" s="140" t="s">
        <v>70</v>
      </c>
      <c r="H5" s="142" t="s">
        <v>36</v>
      </c>
      <c r="I5" s="142" t="s">
        <v>4</v>
      </c>
      <c r="J5" s="144" t="s">
        <v>2</v>
      </c>
      <c r="K5" s="135" t="s">
        <v>67</v>
      </c>
      <c r="L5" s="136"/>
      <c r="M5" s="136"/>
      <c r="N5" s="136"/>
      <c r="O5" s="137"/>
    </row>
    <row r="6" spans="1:15" ht="14.25" x14ac:dyDescent="0.2">
      <c r="A6" s="130"/>
      <c r="B6" s="120" t="s">
        <v>59</v>
      </c>
      <c r="C6" s="121"/>
      <c r="D6" s="120" t="s">
        <v>60</v>
      </c>
      <c r="E6" s="121"/>
      <c r="F6" s="127"/>
      <c r="G6" s="141"/>
      <c r="H6" s="143"/>
      <c r="I6" s="143"/>
      <c r="J6" s="145"/>
      <c r="K6" s="98">
        <v>100</v>
      </c>
      <c r="L6" s="100">
        <v>101</v>
      </c>
      <c r="M6" s="100">
        <v>102</v>
      </c>
      <c r="N6" s="101">
        <v>103</v>
      </c>
      <c r="O6" s="99" t="s">
        <v>51</v>
      </c>
    </row>
    <row r="7" spans="1:15" ht="83.25" customHeight="1" thickBot="1" x14ac:dyDescent="0.25">
      <c r="A7" s="102"/>
      <c r="B7" s="103"/>
      <c r="C7" s="103"/>
      <c r="D7" s="104"/>
      <c r="E7" s="105"/>
      <c r="F7" s="106"/>
      <c r="G7" s="107"/>
      <c r="H7" s="112"/>
      <c r="I7" s="108"/>
      <c r="J7" s="108"/>
      <c r="K7" s="109"/>
      <c r="L7" s="110"/>
      <c r="M7" s="111"/>
      <c r="N7" s="111"/>
      <c r="O7" s="105"/>
    </row>
    <row r="9" spans="1:15" x14ac:dyDescent="0.2">
      <c r="A9" s="1" t="s">
        <v>69</v>
      </c>
      <c r="B9" s="67"/>
      <c r="C9" s="67"/>
    </row>
    <row r="13" spans="1:15" ht="65.25" customHeight="1" thickBot="1" x14ac:dyDescent="0.3">
      <c r="A13" s="117" t="s">
        <v>80</v>
      </c>
      <c r="B13" s="131" t="str">
        <f>IF(I7&lt;8.5," ",Vergleichsrechnung!C33)</f>
        <v xml:space="preserve"> </v>
      </c>
      <c r="C13" s="131"/>
    </row>
    <row r="14" spans="1:15" ht="13.5" thickTop="1" x14ac:dyDescent="0.2">
      <c r="A14" t="s">
        <v>81</v>
      </c>
    </row>
    <row r="17" spans="1:6" x14ac:dyDescent="0.2">
      <c r="F17" s="118"/>
    </row>
    <row r="18" spans="1:6" x14ac:dyDescent="0.2">
      <c r="A18" s="1" t="s">
        <v>58</v>
      </c>
    </row>
  </sheetData>
  <sheetProtection algorithmName="SHA-512" hashValue="MsBjvxhAbpnH/ZzyIOvXyVzSs3eZOiXKYXvy30I0R+v2edGKBC655qbsI+d4rfQ0fuLueknIzFuuw+2Th+zTiA==" saltValue="c+iwNzapRGZoWo38olkSMw==" spinCount="100000" sheet="1" objects="1" scenarios="1"/>
  <protectedRanges>
    <protectedRange password="DA25" sqref="A7:O7" name="Bereich1"/>
  </protectedRanges>
  <mergeCells count="15">
    <mergeCell ref="B13:C13"/>
    <mergeCell ref="K4:O4"/>
    <mergeCell ref="K5:O5"/>
    <mergeCell ref="D4:E4"/>
    <mergeCell ref="B4:C4"/>
    <mergeCell ref="B6:C6"/>
    <mergeCell ref="G5:G6"/>
    <mergeCell ref="H5:H6"/>
    <mergeCell ref="I5:I6"/>
    <mergeCell ref="J5:J6"/>
    <mergeCell ref="E1:I1"/>
    <mergeCell ref="D6:E6"/>
    <mergeCell ref="G4:J4"/>
    <mergeCell ref="F4:F6"/>
    <mergeCell ref="A4:A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horizontalDpi="4294967293" r:id="rId1"/>
  <headerFooter alignWithMargins="0">
    <oddHeader xml:space="preserve">&amp;RAnlage 22
Preisblatt
</oddHead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zoomScaleNormal="100" workbookViewId="0">
      <selection activeCell="B19" sqref="B19"/>
    </sheetView>
  </sheetViews>
  <sheetFormatPr baseColWidth="10" defaultRowHeight="12.75" x14ac:dyDescent="0.2"/>
  <cols>
    <col min="1" max="1" width="31.42578125" customWidth="1"/>
    <col min="2" max="2" width="18.28515625" style="3" customWidth="1"/>
    <col min="3" max="3" width="20.140625" style="3" customWidth="1"/>
    <col min="4" max="4" width="23" customWidth="1"/>
  </cols>
  <sheetData>
    <row r="1" spans="1:4" s="1" customFormat="1" x14ac:dyDescent="0.2">
      <c r="A1" s="26" t="s">
        <v>5</v>
      </c>
      <c r="B1" s="27" t="s">
        <v>12</v>
      </c>
      <c r="C1" s="27" t="s">
        <v>28</v>
      </c>
    </row>
    <row r="2" spans="1:4" s="1" customFormat="1" x14ac:dyDescent="0.2">
      <c r="A2" s="13" t="s">
        <v>6</v>
      </c>
      <c r="B2" s="13"/>
      <c r="C2" s="13">
        <f>'Ermittlung Angebotspreis'!A7</f>
        <v>0</v>
      </c>
    </row>
    <row r="3" spans="1:4" x14ac:dyDescent="0.2">
      <c r="A3" s="97" t="s">
        <v>66</v>
      </c>
      <c r="B3" s="55">
        <f>'Umsatz Beispielrechnung'!B14/59*100</f>
        <v>677966.10169491521</v>
      </c>
      <c r="C3" s="37"/>
    </row>
    <row r="4" spans="1:4" x14ac:dyDescent="0.2">
      <c r="A4" s="91" t="s">
        <v>61</v>
      </c>
      <c r="B4" s="37"/>
      <c r="C4" s="41">
        <f>'Ermittlung Angebotspreis'!B7</f>
        <v>0</v>
      </c>
    </row>
    <row r="5" spans="1:4" x14ac:dyDescent="0.2">
      <c r="A5" s="91" t="s">
        <v>62</v>
      </c>
      <c r="B5" s="37"/>
      <c r="C5" s="42">
        <f>'Ermittlung Angebotspreis'!$C7</f>
        <v>0</v>
      </c>
    </row>
    <row r="6" spans="1:4" x14ac:dyDescent="0.2">
      <c r="A6" s="92" t="s">
        <v>27</v>
      </c>
      <c r="B6" s="92"/>
      <c r="C6" s="93">
        <f>IF(C4&gt;C5,((1-C4)*($B$3*0.99)),(1+C5)*($B$3*0.99))</f>
        <v>671186.44067796611</v>
      </c>
      <c r="D6" s="1" t="s">
        <v>29</v>
      </c>
    </row>
    <row r="7" spans="1:4" x14ac:dyDescent="0.2">
      <c r="A7" s="91" t="s">
        <v>63</v>
      </c>
      <c r="B7" s="37"/>
      <c r="C7" s="42">
        <f>'Ermittlung Angebotspreis'!$D7</f>
        <v>0</v>
      </c>
    </row>
    <row r="8" spans="1:4" x14ac:dyDescent="0.2">
      <c r="A8" s="91" t="s">
        <v>64</v>
      </c>
      <c r="B8" s="37"/>
      <c r="C8" s="42">
        <f>'Ermittlung Angebotspreis'!$E7</f>
        <v>0</v>
      </c>
    </row>
    <row r="9" spans="1:4" s="1" customFormat="1" x14ac:dyDescent="0.2">
      <c r="A9" s="92" t="s">
        <v>27</v>
      </c>
      <c r="B9" s="20"/>
      <c r="C9" s="93">
        <f>IF(C7&gt;C8,((1-C7)*($B$3*0.01)),(1+C8)*($B$3*0.01))</f>
        <v>6779.6610169491523</v>
      </c>
    </row>
    <row r="10" spans="1:4" ht="13.5" thickBot="1" x14ac:dyDescent="0.25">
      <c r="A10" s="88" t="s">
        <v>65</v>
      </c>
      <c r="B10" s="89"/>
      <c r="C10" s="90">
        <f>C9+C6</f>
        <v>677966.10169491521</v>
      </c>
    </row>
    <row r="11" spans="1:4" ht="13.5" thickTop="1" x14ac:dyDescent="0.2">
      <c r="A11" s="94"/>
      <c r="B11" s="95"/>
      <c r="C11" s="96"/>
    </row>
    <row r="12" spans="1:4" x14ac:dyDescent="0.2">
      <c r="A12" s="57" t="s">
        <v>36</v>
      </c>
      <c r="B12" s="58">
        <f>'Umsatz Beispielrechnung'!H19</f>
        <v>0.28216704288939048</v>
      </c>
      <c r="C12" s="59">
        <f>'Ermittlung Angebotspreis'!G7</f>
        <v>0</v>
      </c>
    </row>
    <row r="13" spans="1:4" x14ac:dyDescent="0.2">
      <c r="A13" s="28" t="s">
        <v>4</v>
      </c>
      <c r="B13" s="58">
        <f>'Umsatz Beispielrechnung'!H20</f>
        <v>0.31376975169300225</v>
      </c>
      <c r="C13" s="43">
        <f>'Ermittlung Angebotspreis'!I7</f>
        <v>0</v>
      </c>
    </row>
    <row r="14" spans="1:4" ht="13.5" thickBot="1" x14ac:dyDescent="0.25">
      <c r="A14" s="28" t="s">
        <v>11</v>
      </c>
      <c r="B14" s="58">
        <f>'Umsatz Beispielrechnung'!H21</f>
        <v>0.40406320541760721</v>
      </c>
      <c r="C14" s="43">
        <f>'Ermittlung Angebotspreis'!J7</f>
        <v>0</v>
      </c>
    </row>
    <row r="15" spans="1:4" x14ac:dyDescent="0.2">
      <c r="A15" s="40" t="s">
        <v>17</v>
      </c>
      <c r="B15" s="71">
        <f>'Umsatz Beispielrechnung'!G23</f>
        <v>13587.104689203927</v>
      </c>
      <c r="C15" s="51"/>
    </row>
    <row r="16" spans="1:4" x14ac:dyDescent="0.2">
      <c r="A16" s="28" t="s">
        <v>32</v>
      </c>
      <c r="B16" s="36">
        <f>'Umsatz Beispielrechnung'!H19</f>
        <v>0.28216704288939048</v>
      </c>
      <c r="C16" s="46">
        <f>C12*$B$15*$B$16</f>
        <v>0</v>
      </c>
    </row>
    <row r="17" spans="1:9" x14ac:dyDescent="0.2">
      <c r="A17" s="28" t="s">
        <v>18</v>
      </c>
      <c r="B17" s="36">
        <f>'Umsatz Beispielrechnung'!H20</f>
        <v>0.31376975169300225</v>
      </c>
      <c r="C17" s="46">
        <f>C13*$B$15*$B$17</f>
        <v>0</v>
      </c>
    </row>
    <row r="18" spans="1:9" x14ac:dyDescent="0.2">
      <c r="A18" s="28" t="s">
        <v>19</v>
      </c>
      <c r="B18" s="36">
        <f>'Umsatz Beispielrechnung'!H21</f>
        <v>0.40406320541760721</v>
      </c>
      <c r="C18" s="46">
        <f>C14*$B$15*$B$18</f>
        <v>0</v>
      </c>
    </row>
    <row r="19" spans="1:9" s="1" customFormat="1" ht="13.5" thickBot="1" x14ac:dyDescent="0.25">
      <c r="A19" s="60" t="s">
        <v>16</v>
      </c>
      <c r="B19" s="49">
        <f>'Umsatz Beispielrechnung'!B15</f>
        <v>450000</v>
      </c>
      <c r="C19" s="49">
        <f>SUM(C16:C18)</f>
        <v>0</v>
      </c>
    </row>
    <row r="20" spans="1:9" x14ac:dyDescent="0.2">
      <c r="A20" s="53"/>
      <c r="B20" s="54"/>
      <c r="C20" s="54"/>
    </row>
    <row r="21" spans="1:9" ht="13.5" thickBot="1" x14ac:dyDescent="0.25">
      <c r="A21" s="60" t="s">
        <v>42</v>
      </c>
      <c r="B21" s="56">
        <f>'Umsatz Beispielrechnung'!B16</f>
        <v>150000</v>
      </c>
      <c r="C21" s="45"/>
    </row>
    <row r="22" spans="1:9" x14ac:dyDescent="0.2">
      <c r="A22" s="5" t="s">
        <v>53</v>
      </c>
      <c r="B22" s="55">
        <f>$B$21*'Umsatz Beispielrechnung'!B27</f>
        <v>75000</v>
      </c>
      <c r="C22" s="87">
        <f>IF('Ermittlung Angebotspreis'!K$7&gt;0,(('Ermittlung Angebotspreis'!K$7+1)*Vergleichsrechnung!$B22),($B22+('Ermittlung Angebotspreis'!K$7*$B22)))</f>
        <v>75000</v>
      </c>
    </row>
    <row r="23" spans="1:9" x14ac:dyDescent="0.2">
      <c r="A23" s="5" t="s">
        <v>54</v>
      </c>
      <c r="B23" s="55">
        <f>$B$21*'Umsatz Beispielrechnung'!B28</f>
        <v>36000</v>
      </c>
      <c r="C23" s="87">
        <f>IF('Ermittlung Angebotspreis'!L$7&gt;0,(('Ermittlung Angebotspreis'!L$7+1)*Vergleichsrechnung!$B23),($B23+('Ermittlung Angebotspreis'!L$7*$B23)))</f>
        <v>36000</v>
      </c>
    </row>
    <row r="24" spans="1:9" x14ac:dyDescent="0.2">
      <c r="A24" s="5" t="s">
        <v>55</v>
      </c>
      <c r="B24" s="55">
        <f>$B$21*'Umsatz Beispielrechnung'!B29</f>
        <v>28500</v>
      </c>
      <c r="C24" s="87">
        <f>IF('Ermittlung Angebotspreis'!M$7&gt;0,(('Ermittlung Angebotspreis'!M$7+1)*Vergleichsrechnung!$B24),($B24+('Ermittlung Angebotspreis'!M$7*$B24)))</f>
        <v>28500</v>
      </c>
    </row>
    <row r="25" spans="1:9" x14ac:dyDescent="0.2">
      <c r="A25" s="5" t="s">
        <v>56</v>
      </c>
      <c r="B25" s="55">
        <f>$B$21*'Umsatz Beispielrechnung'!B30</f>
        <v>7500</v>
      </c>
      <c r="C25" s="87">
        <f>IF('Ermittlung Angebotspreis'!N$7&gt;0,(('Ermittlung Angebotspreis'!N$7+1)*Vergleichsrechnung!$B25),($B25+('Ermittlung Angebotspreis'!N$7*$B25)))</f>
        <v>7500</v>
      </c>
    </row>
    <row r="26" spans="1:9" x14ac:dyDescent="0.2">
      <c r="A26" s="86" t="s">
        <v>57</v>
      </c>
      <c r="B26" s="55">
        <f>$B$21*'Umsatz Beispielrechnung'!B31</f>
        <v>3000</v>
      </c>
      <c r="C26" s="87">
        <f>IF('Ermittlung Angebotspreis'!O$7&gt;0,(('Ermittlung Angebotspreis'!O$7+1)*Vergleichsrechnung!$B26),($B26+('Ermittlung Angebotspreis'!O$7*$B26)))</f>
        <v>3000</v>
      </c>
    </row>
    <row r="27" spans="1:9" ht="13.5" thickBot="1" x14ac:dyDescent="0.25">
      <c r="A27" s="48" t="s">
        <v>27</v>
      </c>
      <c r="B27" s="50"/>
      <c r="C27" s="38">
        <f>SUM(C22:C26)</f>
        <v>150000</v>
      </c>
    </row>
    <row r="28" spans="1:9" x14ac:dyDescent="0.2">
      <c r="A28" s="53"/>
      <c r="B28" s="54"/>
      <c r="C28" s="54"/>
    </row>
    <row r="29" spans="1:9" x14ac:dyDescent="0.2">
      <c r="A29" s="68" t="s">
        <v>41</v>
      </c>
      <c r="B29" s="37" t="s">
        <v>20</v>
      </c>
      <c r="C29" s="52">
        <f>C27+C19+C10</f>
        <v>827966.10169491521</v>
      </c>
      <c r="D29" s="29"/>
      <c r="E29" s="4"/>
      <c r="F29" s="4"/>
      <c r="G29" s="4"/>
      <c r="H29" s="4"/>
      <c r="I29" s="4"/>
    </row>
    <row r="30" spans="1:9" x14ac:dyDescent="0.2">
      <c r="A30" s="28" t="s">
        <v>7</v>
      </c>
      <c r="B30" s="36">
        <v>0.19</v>
      </c>
      <c r="C30" s="52">
        <f>C29*$B$30</f>
        <v>157313.55932203389</v>
      </c>
      <c r="E30" s="4"/>
      <c r="F30" s="4"/>
      <c r="G30" s="4"/>
      <c r="H30" s="4"/>
      <c r="I30" s="4"/>
    </row>
    <row r="31" spans="1:9" x14ac:dyDescent="0.2">
      <c r="A31" s="28" t="s">
        <v>8</v>
      </c>
      <c r="B31" s="37"/>
      <c r="C31" s="52">
        <f>SUM(C29:C30)</f>
        <v>985279.6610169491</v>
      </c>
    </row>
    <row r="32" spans="1:9" x14ac:dyDescent="0.2">
      <c r="A32" s="28" t="s">
        <v>21</v>
      </c>
      <c r="B32" s="37"/>
      <c r="C32" s="47">
        <f>'Ermittlung Angebotspreis'!F7</f>
        <v>0</v>
      </c>
    </row>
    <row r="33" spans="1:3" ht="13.5" thickBot="1" x14ac:dyDescent="0.25">
      <c r="A33" s="39" t="s">
        <v>15</v>
      </c>
      <c r="B33" s="45"/>
      <c r="C33" s="44">
        <f>C31*(1-C32)</f>
        <v>985279.6610169491</v>
      </c>
    </row>
    <row r="34" spans="1:3" x14ac:dyDescent="0.2">
      <c r="A34" s="30"/>
    </row>
    <row r="35" spans="1:3" x14ac:dyDescent="0.2">
      <c r="A35" s="6"/>
      <c r="B35" s="6"/>
    </row>
    <row r="36" spans="1:3" ht="15.75" x14ac:dyDescent="0.25">
      <c r="A36" s="75" t="s">
        <v>47</v>
      </c>
      <c r="C36" s="69"/>
    </row>
    <row r="38" spans="1:3" x14ac:dyDescent="0.2">
      <c r="C38" s="69"/>
    </row>
    <row r="44" spans="1:3" x14ac:dyDescent="0.2">
      <c r="B44" s="6"/>
      <c r="C44" s="7"/>
    </row>
    <row r="45" spans="1:3" x14ac:dyDescent="0.2">
      <c r="A45" s="8"/>
      <c r="B45" s="8"/>
      <c r="C45" s="7"/>
    </row>
    <row r="46" spans="1:3" x14ac:dyDescent="0.2">
      <c r="A46" s="9"/>
      <c r="B46" s="9"/>
      <c r="C46" s="10"/>
    </row>
  </sheetData>
  <phoneticPr fontId="0" type="noConversion"/>
  <printOptions horizontalCentered="1" verticalCentered="1" headings="1" gridLines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zoomScaleNormal="100" workbookViewId="0">
      <selection activeCell="E39" sqref="E39"/>
    </sheetView>
  </sheetViews>
  <sheetFormatPr baseColWidth="10" defaultRowHeight="12.75" x14ac:dyDescent="0.2"/>
  <cols>
    <col min="1" max="1" width="31" customWidth="1"/>
    <col min="2" max="2" width="18.140625" customWidth="1"/>
    <col min="3" max="3" width="12.7109375" customWidth="1"/>
    <col min="4" max="4" width="13.28515625" customWidth="1"/>
    <col min="5" max="5" width="17.28515625" customWidth="1"/>
    <col min="6" max="6" width="17.5703125" customWidth="1"/>
    <col min="7" max="7" width="14.5703125" customWidth="1"/>
    <col min="8" max="8" width="7.28515625" customWidth="1"/>
    <col min="9" max="10" width="13.28515625" bestFit="1" customWidth="1"/>
  </cols>
  <sheetData>
    <row r="1" spans="1:7" x14ac:dyDescent="0.2">
      <c r="A1" s="5"/>
    </row>
    <row r="2" spans="1:7" x14ac:dyDescent="0.2">
      <c r="A2" s="20" t="s">
        <v>10</v>
      </c>
      <c r="B2" s="34">
        <v>4500031758</v>
      </c>
      <c r="C2" s="34">
        <v>4500031912</v>
      </c>
      <c r="D2" s="34">
        <v>4500032823</v>
      </c>
      <c r="E2" s="13" t="s">
        <v>23</v>
      </c>
      <c r="F2" s="80" t="s">
        <v>48</v>
      </c>
      <c r="G2" s="67" t="s">
        <v>49</v>
      </c>
    </row>
    <row r="3" spans="1:7" x14ac:dyDescent="0.2">
      <c r="A3" s="15" t="s">
        <v>9</v>
      </c>
      <c r="B3" s="35">
        <f>Tabelle1!B27</f>
        <v>2517.85</v>
      </c>
      <c r="C3" s="35">
        <f>Tabelle1!C27</f>
        <v>1793.1</v>
      </c>
      <c r="D3" s="35">
        <f>Tabelle1!D27</f>
        <v>1168.53</v>
      </c>
      <c r="E3" s="14">
        <f>SUM(B3:D3)</f>
        <v>5479.48</v>
      </c>
      <c r="F3" s="81">
        <f>E3/$E$6</f>
        <v>0.36480496394878931</v>
      </c>
      <c r="G3" s="82">
        <v>0.4</v>
      </c>
    </row>
    <row r="4" spans="1:7" x14ac:dyDescent="0.2">
      <c r="A4" s="17" t="s">
        <v>30</v>
      </c>
      <c r="B4" s="35">
        <f>Tabelle1!B44</f>
        <v>1947.42</v>
      </c>
      <c r="C4" s="35">
        <f>Tabelle1!C44</f>
        <v>101.4</v>
      </c>
      <c r="D4" s="35">
        <f>Tabelle1!D44</f>
        <v>150</v>
      </c>
      <c r="E4" s="14">
        <f>SUM(B4:D4)</f>
        <v>2198.8200000000002</v>
      </c>
      <c r="F4" s="81">
        <f>E4/$E$6</f>
        <v>0.14638988568803554</v>
      </c>
      <c r="G4" s="82">
        <v>0.15</v>
      </c>
    </row>
    <row r="5" spans="1:7" x14ac:dyDescent="0.2">
      <c r="A5" s="17" t="s">
        <v>1</v>
      </c>
      <c r="B5" s="35">
        <f>Tabelle1!B49</f>
        <v>4030</v>
      </c>
      <c r="C5" s="35">
        <f>Tabelle1!C49</f>
        <v>2856</v>
      </c>
      <c r="D5" s="35">
        <f>Tabelle1!D49</f>
        <v>456</v>
      </c>
      <c r="E5" s="14">
        <f>SUM(B5:D5)</f>
        <v>7342</v>
      </c>
      <c r="F5" s="81">
        <f>E5/$E$6</f>
        <v>0.48880515036317518</v>
      </c>
      <c r="G5" s="82">
        <v>0.45</v>
      </c>
    </row>
    <row r="6" spans="1:7" x14ac:dyDescent="0.2">
      <c r="A6" s="17" t="s">
        <v>24</v>
      </c>
      <c r="B6" s="35">
        <f>SUM(B3:B5)</f>
        <v>8495.27</v>
      </c>
      <c r="C6" s="35">
        <f>SUM(C3:C5)</f>
        <v>4750.5</v>
      </c>
      <c r="D6" s="35">
        <f>SUM(D3:D5)</f>
        <v>1774.53</v>
      </c>
      <c r="E6" s="35">
        <f>SUM(E3:E5)</f>
        <v>15020.3</v>
      </c>
      <c r="F6" s="23">
        <f>SUM(F3:F5)</f>
        <v>1</v>
      </c>
    </row>
    <row r="7" spans="1:7" x14ac:dyDescent="0.2">
      <c r="A7" s="17"/>
      <c r="B7" s="35"/>
      <c r="C7" s="35"/>
      <c r="D7" s="35"/>
      <c r="E7" s="35"/>
      <c r="F7" s="2"/>
    </row>
    <row r="8" spans="1:7" x14ac:dyDescent="0.2">
      <c r="A8" s="17"/>
      <c r="B8" s="35"/>
      <c r="C8" s="35"/>
      <c r="D8" s="35"/>
      <c r="E8" s="35"/>
      <c r="F8" s="2"/>
    </row>
    <row r="9" spans="1:7" x14ac:dyDescent="0.2">
      <c r="A9" s="17"/>
      <c r="B9" s="35"/>
      <c r="C9" s="35"/>
      <c r="D9" s="35"/>
      <c r="E9" s="35"/>
      <c r="F9" s="2"/>
    </row>
    <row r="10" spans="1:7" x14ac:dyDescent="0.2">
      <c r="A10" s="17"/>
      <c r="B10" s="35"/>
      <c r="C10" s="35"/>
      <c r="D10" s="35"/>
      <c r="E10" s="35"/>
      <c r="F10" s="2"/>
    </row>
    <row r="11" spans="1:7" x14ac:dyDescent="0.2">
      <c r="A11" s="5"/>
    </row>
    <row r="12" spans="1:7" x14ac:dyDescent="0.2">
      <c r="A12" s="21" t="s">
        <v>50</v>
      </c>
      <c r="B12" s="25"/>
      <c r="C12" s="29"/>
      <c r="D12" s="29"/>
    </row>
    <row r="13" spans="1:7" x14ac:dyDescent="0.2">
      <c r="A13" s="15" t="s">
        <v>13</v>
      </c>
      <c r="B13" s="16">
        <v>1000000</v>
      </c>
    </row>
    <row r="14" spans="1:7" x14ac:dyDescent="0.2">
      <c r="A14" s="15" t="s">
        <v>14</v>
      </c>
      <c r="B14" s="16">
        <f>B13*G3</f>
        <v>400000</v>
      </c>
    </row>
    <row r="15" spans="1:7" x14ac:dyDescent="0.2">
      <c r="A15" s="15" t="s">
        <v>31</v>
      </c>
      <c r="B15" s="16">
        <f>B13*G5</f>
        <v>450000</v>
      </c>
      <c r="C15" s="24"/>
      <c r="D15" s="12"/>
    </row>
    <row r="16" spans="1:7" x14ac:dyDescent="0.2">
      <c r="A16" s="83" t="s">
        <v>30</v>
      </c>
      <c r="B16" s="16">
        <f>B13*G4</f>
        <v>150000</v>
      </c>
      <c r="C16" s="24"/>
    </row>
    <row r="17" spans="1:10" x14ac:dyDescent="0.2">
      <c r="A17" s="5"/>
    </row>
    <row r="18" spans="1:10" x14ac:dyDescent="0.2">
      <c r="A18" s="22" t="s">
        <v>35</v>
      </c>
      <c r="B18" s="29" t="s">
        <v>25</v>
      </c>
      <c r="C18" s="32" t="s">
        <v>33</v>
      </c>
      <c r="D18" t="s">
        <v>34</v>
      </c>
      <c r="E18" s="67" t="s">
        <v>44</v>
      </c>
      <c r="F18" s="67" t="s">
        <v>45</v>
      </c>
      <c r="G18" s="67" t="s">
        <v>43</v>
      </c>
      <c r="H18" s="74" t="s">
        <v>46</v>
      </c>
    </row>
    <row r="19" spans="1:10" x14ac:dyDescent="0.2">
      <c r="A19" s="18" t="s">
        <v>32</v>
      </c>
      <c r="B19" s="16">
        <v>39</v>
      </c>
      <c r="C19" s="84">
        <f>28.5+6+28</f>
        <v>62.5</v>
      </c>
      <c r="D19" s="61">
        <f>B19*C19</f>
        <v>2437.5</v>
      </c>
      <c r="E19" s="23">
        <f>D19/$D$22</f>
        <v>0.33226553980370777</v>
      </c>
      <c r="F19" s="61">
        <f>$B$15*E19</f>
        <v>149519.49291166849</v>
      </c>
      <c r="G19" s="76">
        <f>F19/B19</f>
        <v>3833.8331515812433</v>
      </c>
      <c r="H19" s="77">
        <f>G19/$G$23</f>
        <v>0.28216704288939048</v>
      </c>
      <c r="I19" s="12"/>
      <c r="J19" s="12"/>
    </row>
    <row r="20" spans="1:10" x14ac:dyDescent="0.2">
      <c r="A20" s="18" t="s">
        <v>18</v>
      </c>
      <c r="B20" s="16">
        <v>37</v>
      </c>
      <c r="C20" s="84">
        <f>28+6+35.5</f>
        <v>69.5</v>
      </c>
      <c r="D20" s="61">
        <f>B20*C20</f>
        <v>2571.5</v>
      </c>
      <c r="E20" s="23">
        <f>D20/$D$22</f>
        <v>0.35053162486368594</v>
      </c>
      <c r="F20" s="61">
        <f>$B$15*E20</f>
        <v>157739.23118865868</v>
      </c>
      <c r="G20" s="76">
        <f>F20/B20</f>
        <v>4263.2224645583428</v>
      </c>
      <c r="H20" s="77">
        <f>G20/$G$23</f>
        <v>0.31376975169300225</v>
      </c>
    </row>
    <row r="21" spans="1:10" x14ac:dyDescent="0.2">
      <c r="A21" s="18" t="s">
        <v>19</v>
      </c>
      <c r="B21" s="16">
        <v>26</v>
      </c>
      <c r="C21" s="84">
        <f>28+61.5</f>
        <v>89.5</v>
      </c>
      <c r="D21" s="61">
        <f>B21*C21</f>
        <v>2327</v>
      </c>
      <c r="E21" s="23">
        <f>D21/$D$22</f>
        <v>0.31720283533260635</v>
      </c>
      <c r="F21" s="61">
        <f>$B$15*E21</f>
        <v>142741.27589967285</v>
      </c>
      <c r="G21" s="76">
        <f>F21/B21</f>
        <v>5490.0490730643405</v>
      </c>
      <c r="H21" s="77">
        <f>G21/$G$23</f>
        <v>0.40406320541760721</v>
      </c>
      <c r="J21" s="12"/>
    </row>
    <row r="22" spans="1:10" x14ac:dyDescent="0.2">
      <c r="A22" s="19" t="s">
        <v>3</v>
      </c>
      <c r="B22" s="64">
        <f>SUM(B19:B21)</f>
        <v>102</v>
      </c>
      <c r="C22" s="65">
        <f>SUM(C19:C21)</f>
        <v>221.5</v>
      </c>
      <c r="D22" s="66">
        <f>SUM(D19:D21)</f>
        <v>7336</v>
      </c>
      <c r="E22" s="79">
        <f>SUM(E19:E21)</f>
        <v>1</v>
      </c>
      <c r="F22" s="61">
        <f>SUM(F19:F21)</f>
        <v>450000</v>
      </c>
      <c r="G22" s="76"/>
      <c r="H22" s="70"/>
    </row>
    <row r="23" spans="1:10" x14ac:dyDescent="0.2">
      <c r="A23" s="5"/>
      <c r="C23" s="33"/>
      <c r="E23" s="78"/>
      <c r="F23" s="12"/>
      <c r="G23" s="72">
        <f>SUM(G19:G22)</f>
        <v>13587.104689203927</v>
      </c>
      <c r="H23" s="73">
        <f>SUM(H19:H22)</f>
        <v>1</v>
      </c>
    </row>
    <row r="24" spans="1:10" x14ac:dyDescent="0.2">
      <c r="A24" s="11" t="s">
        <v>22</v>
      </c>
      <c r="B24" s="24">
        <v>0.41</v>
      </c>
    </row>
    <row r="25" spans="1:10" x14ac:dyDescent="0.2">
      <c r="A25" s="11"/>
      <c r="B25" s="12"/>
      <c r="C25" s="29"/>
    </row>
    <row r="26" spans="1:10" x14ac:dyDescent="0.2">
      <c r="A26" s="5" t="s">
        <v>52</v>
      </c>
    </row>
    <row r="27" spans="1:10" x14ac:dyDescent="0.2">
      <c r="A27" s="5" t="s">
        <v>53</v>
      </c>
      <c r="B27" s="85">
        <v>0.5</v>
      </c>
    </row>
    <row r="28" spans="1:10" x14ac:dyDescent="0.2">
      <c r="A28" s="5" t="s">
        <v>54</v>
      </c>
      <c r="B28" s="85">
        <v>0.24</v>
      </c>
    </row>
    <row r="29" spans="1:10" x14ac:dyDescent="0.2">
      <c r="A29" s="5" t="s">
        <v>55</v>
      </c>
      <c r="B29" s="85">
        <v>0.19</v>
      </c>
    </row>
    <row r="30" spans="1:10" x14ac:dyDescent="0.2">
      <c r="A30" s="5" t="s">
        <v>56</v>
      </c>
      <c r="B30" s="85">
        <v>0.05</v>
      </c>
    </row>
    <row r="31" spans="1:10" x14ac:dyDescent="0.2">
      <c r="A31" s="86" t="s">
        <v>57</v>
      </c>
      <c r="B31" s="85">
        <v>0.02</v>
      </c>
    </row>
  </sheetData>
  <phoneticPr fontId="0" type="noConversion"/>
  <printOptions horizontalCentered="1" verticalCentered="1" gridLines="1"/>
  <pageMargins left="0.70866141732283472" right="0.70866141732283472" top="0.78740157480314965" bottom="0.78740157480314965" header="0.31496062992125984" footer="0.31496062992125984"/>
  <pageSetup paperSize="9" orientation="landscape" cellComments="atEnd" r:id="rId1"/>
  <headerFooter>
    <oddHeader>&amp;HSeite &amp;Z von</oddHeader>
    <oddFooter>&amp;L&amp;C&amp;B/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55"/>
  <sheetViews>
    <sheetView topLeftCell="E1" workbookViewId="0">
      <selection activeCell="F7" sqref="F7"/>
    </sheetView>
  </sheetViews>
  <sheetFormatPr baseColWidth="10" defaultRowHeight="12.75" x14ac:dyDescent="0.2"/>
  <cols>
    <col min="1" max="1" width="16.140625" hidden="1" customWidth="1"/>
    <col min="2" max="2" width="12.7109375" hidden="1" customWidth="1"/>
    <col min="3" max="3" width="12" hidden="1" customWidth="1"/>
    <col min="4" max="4" width="12.7109375" hidden="1" customWidth="1"/>
  </cols>
  <sheetData>
    <row r="3" spans="1:7" x14ac:dyDescent="0.2">
      <c r="B3" s="34">
        <v>4500030861</v>
      </c>
      <c r="C3" s="34">
        <v>4500032920</v>
      </c>
      <c r="D3" s="34">
        <v>4500032823</v>
      </c>
    </row>
    <row r="4" spans="1:7" x14ac:dyDescent="0.2">
      <c r="A4" t="s">
        <v>9</v>
      </c>
      <c r="B4">
        <v>5.3</v>
      </c>
      <c r="C4" s="62">
        <v>514.5</v>
      </c>
      <c r="D4" s="62">
        <v>292.05</v>
      </c>
      <c r="E4" s="62"/>
      <c r="F4" s="31"/>
      <c r="G4" s="31"/>
    </row>
    <row r="5" spans="1:7" x14ac:dyDescent="0.2">
      <c r="B5">
        <v>467.28</v>
      </c>
      <c r="C5" s="62">
        <v>214.2</v>
      </c>
      <c r="D5" s="62">
        <v>77.88</v>
      </c>
      <c r="E5" s="62"/>
      <c r="F5" s="31"/>
      <c r="G5" s="31"/>
    </row>
    <row r="6" spans="1:7" x14ac:dyDescent="0.2">
      <c r="B6">
        <v>103.84</v>
      </c>
      <c r="C6" s="62">
        <v>10.35</v>
      </c>
      <c r="D6" s="62">
        <v>467.28</v>
      </c>
      <c r="E6" s="62"/>
      <c r="F6" s="31"/>
      <c r="G6" s="31"/>
    </row>
    <row r="7" spans="1:7" x14ac:dyDescent="0.2">
      <c r="B7">
        <v>811.8</v>
      </c>
      <c r="C7" s="62">
        <v>47.85</v>
      </c>
      <c r="D7" s="62">
        <v>331.32</v>
      </c>
      <c r="E7" s="62"/>
      <c r="F7" s="31"/>
      <c r="G7" s="31"/>
    </row>
    <row r="8" spans="1:7" x14ac:dyDescent="0.2">
      <c r="B8">
        <v>389.4</v>
      </c>
      <c r="C8" s="62">
        <v>17.25</v>
      </c>
      <c r="D8" s="62"/>
      <c r="E8" s="62"/>
      <c r="F8" s="31"/>
      <c r="G8" s="31"/>
    </row>
    <row r="9" spans="1:7" x14ac:dyDescent="0.2">
      <c r="B9">
        <v>331.32</v>
      </c>
      <c r="C9" s="62">
        <v>18.3</v>
      </c>
      <c r="D9" s="62"/>
      <c r="E9" s="62"/>
      <c r="F9" s="31"/>
      <c r="G9" s="31"/>
    </row>
    <row r="10" spans="1:7" x14ac:dyDescent="0.2">
      <c r="B10">
        <v>212.4</v>
      </c>
      <c r="C10" s="62">
        <v>180.54</v>
      </c>
      <c r="D10" s="62"/>
      <c r="E10" s="62"/>
      <c r="F10" s="31"/>
      <c r="G10" s="31"/>
    </row>
    <row r="11" spans="1:7" x14ac:dyDescent="0.2">
      <c r="B11">
        <v>34.5</v>
      </c>
      <c r="C11" s="62">
        <v>22.14</v>
      </c>
      <c r="D11" s="62"/>
      <c r="E11" s="62"/>
      <c r="F11" s="31"/>
      <c r="G11" s="31"/>
    </row>
    <row r="12" spans="1:7" x14ac:dyDescent="0.2">
      <c r="B12">
        <v>3.66</v>
      </c>
      <c r="C12" s="62">
        <v>674.8</v>
      </c>
      <c r="D12" s="62"/>
      <c r="E12" s="62"/>
      <c r="F12" s="31"/>
      <c r="G12" s="31"/>
    </row>
    <row r="13" spans="1:7" x14ac:dyDescent="0.2">
      <c r="B13">
        <v>97.5</v>
      </c>
      <c r="C13" s="62">
        <v>4.3499999999999996</v>
      </c>
      <c r="D13" s="62"/>
      <c r="E13" s="62"/>
      <c r="F13" s="31"/>
      <c r="G13" s="31"/>
    </row>
    <row r="14" spans="1:7" x14ac:dyDescent="0.2">
      <c r="B14">
        <v>17.7</v>
      </c>
      <c r="C14" s="62">
        <v>7.71</v>
      </c>
      <c r="D14" s="62"/>
      <c r="E14" s="62"/>
      <c r="F14" s="31"/>
      <c r="G14" s="31"/>
    </row>
    <row r="15" spans="1:7" x14ac:dyDescent="0.2">
      <c r="B15">
        <v>32.5</v>
      </c>
      <c r="C15" s="62">
        <v>11.07</v>
      </c>
      <c r="D15" s="62"/>
      <c r="E15" s="62"/>
      <c r="F15" s="31"/>
      <c r="G15" s="31"/>
    </row>
    <row r="16" spans="1:7" x14ac:dyDescent="0.2">
      <c r="B16">
        <v>10.65</v>
      </c>
      <c r="C16" s="62">
        <v>70.040000000000006</v>
      </c>
      <c r="D16" s="62"/>
      <c r="E16" s="62"/>
      <c r="F16" s="31"/>
      <c r="G16" s="31"/>
    </row>
    <row r="17" spans="1:7" x14ac:dyDescent="0.2">
      <c r="C17" s="62"/>
      <c r="D17" s="62"/>
      <c r="E17" s="62"/>
      <c r="F17" s="31"/>
      <c r="G17" s="31"/>
    </row>
    <row r="18" spans="1:7" x14ac:dyDescent="0.2">
      <c r="C18" s="62"/>
      <c r="D18" s="62"/>
      <c r="E18" s="62"/>
      <c r="F18" s="31"/>
      <c r="G18" s="31"/>
    </row>
    <row r="19" spans="1:7" x14ac:dyDescent="0.2">
      <c r="C19" s="62"/>
      <c r="D19" s="62"/>
      <c r="E19" s="62"/>
      <c r="F19" s="31"/>
      <c r="G19" s="31"/>
    </row>
    <row r="20" spans="1:7" x14ac:dyDescent="0.2">
      <c r="C20" s="62"/>
      <c r="D20" s="62"/>
      <c r="E20" s="62"/>
      <c r="F20" s="31"/>
      <c r="G20" s="31"/>
    </row>
    <row r="21" spans="1:7" x14ac:dyDescent="0.2">
      <c r="C21" s="62"/>
      <c r="D21" s="62"/>
      <c r="E21" s="62"/>
      <c r="F21" s="31"/>
      <c r="G21" s="31"/>
    </row>
    <row r="22" spans="1:7" x14ac:dyDescent="0.2">
      <c r="C22" s="62"/>
      <c r="D22" s="62"/>
      <c r="E22" s="62"/>
      <c r="F22" s="31"/>
      <c r="G22" s="31"/>
    </row>
    <row r="23" spans="1:7" x14ac:dyDescent="0.2">
      <c r="C23" s="62"/>
      <c r="D23" s="62"/>
      <c r="E23" s="62"/>
      <c r="F23" s="31"/>
      <c r="G23" s="31"/>
    </row>
    <row r="24" spans="1:7" x14ac:dyDescent="0.2">
      <c r="B24" s="62"/>
      <c r="C24" s="62"/>
      <c r="D24" s="62"/>
      <c r="E24" s="62"/>
      <c r="F24" s="31"/>
      <c r="G24" s="31"/>
    </row>
    <row r="25" spans="1:7" x14ac:dyDescent="0.2">
      <c r="B25" s="62"/>
      <c r="C25" s="62"/>
      <c r="D25" s="62"/>
      <c r="E25" s="62"/>
      <c r="F25" s="31"/>
      <c r="G25" s="31"/>
    </row>
    <row r="26" spans="1:7" x14ac:dyDescent="0.2">
      <c r="B26" s="62"/>
      <c r="C26" s="62"/>
      <c r="D26" s="62"/>
      <c r="E26" s="62"/>
      <c r="F26" s="31"/>
      <c r="G26" s="31"/>
    </row>
    <row r="27" spans="1:7" x14ac:dyDescent="0.2">
      <c r="B27" s="63">
        <f>SUM(B4:B26)</f>
        <v>2517.85</v>
      </c>
      <c r="C27" s="63">
        <f>SUM(C4:C26)</f>
        <v>1793.1</v>
      </c>
      <c r="D27" s="63">
        <f>SUM(D4:D26)</f>
        <v>1168.53</v>
      </c>
      <c r="E27" s="62"/>
      <c r="F27" s="31"/>
      <c r="G27" s="31"/>
    </row>
    <row r="28" spans="1:7" x14ac:dyDescent="0.2">
      <c r="B28" s="62"/>
      <c r="C28" s="62"/>
      <c r="D28" s="62"/>
      <c r="E28" s="62"/>
      <c r="F28" s="31"/>
      <c r="G28" s="31"/>
    </row>
    <row r="29" spans="1:7" x14ac:dyDescent="0.2">
      <c r="A29" s="67" t="s">
        <v>38</v>
      </c>
      <c r="B29" s="62"/>
      <c r="C29" s="62"/>
      <c r="D29" s="62"/>
      <c r="E29" s="62"/>
      <c r="F29" s="31"/>
      <c r="G29" s="31"/>
    </row>
    <row r="30" spans="1:7" x14ac:dyDescent="0.2">
      <c r="B30">
        <v>312.25</v>
      </c>
      <c r="C30" s="62">
        <v>15</v>
      </c>
      <c r="D30" s="62">
        <v>150</v>
      </c>
      <c r="E30" s="62"/>
      <c r="F30" s="31"/>
      <c r="G30" s="31"/>
    </row>
    <row r="31" spans="1:7" x14ac:dyDescent="0.2">
      <c r="B31">
        <v>129.80000000000001</v>
      </c>
      <c r="C31" s="62">
        <v>62.4</v>
      </c>
      <c r="D31" s="62"/>
      <c r="E31" s="62"/>
      <c r="F31" s="31"/>
      <c r="G31" s="31"/>
    </row>
    <row r="32" spans="1:7" x14ac:dyDescent="0.2">
      <c r="B32">
        <v>21.12</v>
      </c>
      <c r="C32" s="62">
        <v>24</v>
      </c>
      <c r="D32" s="62"/>
      <c r="E32" s="62"/>
      <c r="F32" s="31"/>
      <c r="G32" s="31"/>
    </row>
    <row r="33" spans="1:7" x14ac:dyDescent="0.2">
      <c r="B33">
        <v>14.75</v>
      </c>
      <c r="C33" s="62"/>
      <c r="D33" s="62"/>
      <c r="E33" s="62"/>
      <c r="F33" s="31"/>
      <c r="G33" s="31"/>
    </row>
    <row r="34" spans="1:7" x14ac:dyDescent="0.2">
      <c r="B34">
        <v>1469.5</v>
      </c>
      <c r="C34" s="62"/>
      <c r="D34" s="62"/>
      <c r="E34" s="62"/>
      <c r="F34" s="31"/>
      <c r="G34" s="31"/>
    </row>
    <row r="35" spans="1:7" x14ac:dyDescent="0.2">
      <c r="C35" s="62"/>
      <c r="D35" s="62"/>
      <c r="E35" s="62"/>
      <c r="F35" s="31"/>
      <c r="G35" s="31"/>
    </row>
    <row r="36" spans="1:7" x14ac:dyDescent="0.2">
      <c r="C36" s="62"/>
      <c r="D36" s="62"/>
      <c r="E36" s="62"/>
      <c r="F36" s="31"/>
      <c r="G36" s="31"/>
    </row>
    <row r="37" spans="1:7" x14ac:dyDescent="0.2">
      <c r="C37" s="62"/>
      <c r="D37" s="62"/>
      <c r="E37" s="62"/>
      <c r="F37" s="31"/>
      <c r="G37" s="31"/>
    </row>
    <row r="38" spans="1:7" x14ac:dyDescent="0.2">
      <c r="C38" s="62"/>
      <c r="D38" s="62"/>
      <c r="E38" s="62"/>
      <c r="F38" s="31"/>
      <c r="G38" s="31"/>
    </row>
    <row r="39" spans="1:7" x14ac:dyDescent="0.2">
      <c r="C39" s="62"/>
      <c r="D39" s="62"/>
      <c r="E39" s="62"/>
      <c r="F39" s="31"/>
      <c r="G39" s="31"/>
    </row>
    <row r="40" spans="1:7" x14ac:dyDescent="0.2">
      <c r="C40" s="62"/>
      <c r="D40" s="62"/>
      <c r="E40" s="62"/>
      <c r="F40" s="31"/>
      <c r="G40" s="31"/>
    </row>
    <row r="41" spans="1:7" x14ac:dyDescent="0.2">
      <c r="C41" s="62"/>
      <c r="D41" s="62"/>
      <c r="E41" s="62"/>
      <c r="F41" s="31"/>
      <c r="G41" s="31"/>
    </row>
    <row r="42" spans="1:7" x14ac:dyDescent="0.2">
      <c r="B42" s="62"/>
      <c r="C42" s="62"/>
      <c r="D42" s="62"/>
      <c r="E42" s="62"/>
      <c r="F42" s="31"/>
      <c r="G42" s="31"/>
    </row>
    <row r="43" spans="1:7" x14ac:dyDescent="0.2">
      <c r="B43" s="62"/>
      <c r="C43" s="62"/>
      <c r="D43" s="62"/>
      <c r="E43" s="62"/>
      <c r="F43" s="31"/>
      <c r="G43" s="31"/>
    </row>
    <row r="44" spans="1:7" x14ac:dyDescent="0.2">
      <c r="B44" s="63">
        <f>SUM(B30:B43)</f>
        <v>1947.42</v>
      </c>
      <c r="C44" s="63">
        <f>SUM(C29:C37)</f>
        <v>101.4</v>
      </c>
      <c r="D44" s="63">
        <f>SUM(D29:D36)</f>
        <v>150</v>
      </c>
      <c r="E44" s="62"/>
      <c r="F44" s="31"/>
      <c r="G44" s="31"/>
    </row>
    <row r="45" spans="1:7" x14ac:dyDescent="0.2">
      <c r="B45" s="62"/>
      <c r="C45" s="62"/>
      <c r="D45" s="62"/>
      <c r="E45" s="62"/>
      <c r="F45" s="31"/>
      <c r="G45" s="31"/>
    </row>
    <row r="46" spans="1:7" x14ac:dyDescent="0.2">
      <c r="B46" s="62"/>
      <c r="C46" s="62"/>
      <c r="D46" s="62"/>
      <c r="E46" s="62"/>
      <c r="F46" s="31"/>
      <c r="G46" s="31"/>
    </row>
    <row r="47" spans="1:7" x14ac:dyDescent="0.2">
      <c r="B47" s="62"/>
      <c r="C47" s="62"/>
      <c r="D47" s="62"/>
      <c r="E47" s="62"/>
      <c r="F47" s="31"/>
      <c r="G47" s="31"/>
    </row>
    <row r="48" spans="1:7" x14ac:dyDescent="0.2">
      <c r="A48" s="67" t="s">
        <v>37</v>
      </c>
      <c r="B48" s="62"/>
      <c r="C48" s="62"/>
      <c r="D48" s="62"/>
      <c r="E48" s="62"/>
      <c r="F48" s="31"/>
      <c r="G48" s="31"/>
    </row>
    <row r="49" spans="1:7" x14ac:dyDescent="0.2">
      <c r="A49" s="67"/>
      <c r="B49">
        <f>1267.5+1202.5+1560</f>
        <v>4030</v>
      </c>
      <c r="C49" s="62">
        <f>1092+1036+728</f>
        <v>2856</v>
      </c>
      <c r="D49" s="62">
        <f>234+222</f>
        <v>456</v>
      </c>
      <c r="E49" s="62"/>
      <c r="F49" s="31"/>
      <c r="G49" s="31"/>
    </row>
    <row r="50" spans="1:7" x14ac:dyDescent="0.2">
      <c r="A50" s="67"/>
      <c r="B50" s="62"/>
      <c r="C50" s="62"/>
      <c r="D50" s="62"/>
      <c r="E50" s="62"/>
      <c r="F50" s="31"/>
      <c r="G50" s="31"/>
    </row>
    <row r="51" spans="1:7" x14ac:dyDescent="0.2">
      <c r="A51" s="67" t="s">
        <v>39</v>
      </c>
      <c r="B51">
        <f>58.27+2.61</f>
        <v>60.88</v>
      </c>
      <c r="C51" s="62">
        <f>324+64.97</f>
        <v>388.97</v>
      </c>
      <c r="D51" s="62"/>
      <c r="E51" s="62"/>
      <c r="F51" s="31"/>
      <c r="G51" s="31"/>
    </row>
    <row r="52" spans="1:7" x14ac:dyDescent="0.2">
      <c r="A52" s="67"/>
      <c r="B52" s="62"/>
      <c r="C52" s="62"/>
      <c r="D52" s="62"/>
      <c r="E52" s="62"/>
      <c r="F52" s="31"/>
      <c r="G52" s="31"/>
    </row>
    <row r="53" spans="1:7" x14ac:dyDescent="0.2">
      <c r="A53" s="1" t="s">
        <v>26</v>
      </c>
      <c r="B53" s="63">
        <f>E49+B44+B27+E51</f>
        <v>4465.2700000000004</v>
      </c>
      <c r="C53" s="63">
        <f>C49+C44+C27+C51</f>
        <v>5139.47</v>
      </c>
      <c r="D53" s="63">
        <f>D49+D44+D27+D51</f>
        <v>1774.53</v>
      </c>
      <c r="E53" s="62"/>
      <c r="F53" s="31"/>
      <c r="G53" s="31"/>
    </row>
    <row r="54" spans="1:7" x14ac:dyDescent="0.2">
      <c r="A54" s="67" t="s">
        <v>40</v>
      </c>
      <c r="B54" s="62">
        <f>B53-E51</f>
        <v>4465.2700000000004</v>
      </c>
      <c r="C54" s="62">
        <f>C53-C51</f>
        <v>4750.5</v>
      </c>
      <c r="D54" s="62">
        <f>D53-D51</f>
        <v>1774.53</v>
      </c>
      <c r="E54" s="62"/>
      <c r="F54" s="31"/>
      <c r="G54" s="31"/>
    </row>
    <row r="55" spans="1:7" x14ac:dyDescent="0.2">
      <c r="B55" s="62"/>
      <c r="C55" s="62"/>
      <c r="D55" s="62"/>
      <c r="E55" s="62"/>
      <c r="F55" s="31"/>
      <c r="G55" s="31"/>
    </row>
  </sheetData>
  <sheetProtection sheet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Ermittlung Angebotspreis</vt:lpstr>
      <vt:lpstr>Vergleichsrechnung</vt:lpstr>
      <vt:lpstr>Umsatz Beispielrechnung</vt:lpstr>
      <vt:lpstr>Tabelle1</vt:lpstr>
      <vt:lpstr>Vergleichsrechnung!Druckbereich</vt:lpstr>
      <vt:lpstr>'Umsatz Beispielrechnung'!Drucktitel</vt:lpstr>
    </vt:vector>
  </TitlesOfParts>
  <Company>FH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berscheid</dc:creator>
  <cp:lastModifiedBy>Ingeborg Roggendorf (iroggend)</cp:lastModifiedBy>
  <cp:lastPrinted>2020-09-07T10:24:12Z</cp:lastPrinted>
  <dcterms:created xsi:type="dcterms:W3CDTF">2004-03-03T12:55:54Z</dcterms:created>
  <dcterms:modified xsi:type="dcterms:W3CDTF">2025-12-10T14:34:49Z</dcterms:modified>
</cp:coreProperties>
</file>