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66925"/>
  <mc:AlternateContent xmlns:mc="http://schemas.openxmlformats.org/markup-compatibility/2006">
    <mc:Choice Requires="x15">
      <x15ac:absPath xmlns:x15ac="http://schemas.microsoft.com/office/spreadsheetml/2010/11/ac" url="https://dmscas.gkd-re.de:443/vis/4C3C1630-30B8-3F79-5020-D67D209D652E/webdav/1320721/"/>
    </mc:Choice>
  </mc:AlternateContent>
  <xr:revisionPtr revIDLastSave="0" documentId="13_ncr:1_{B99CC4A1-837D-4441-B41B-D2215256C12B}" xr6:coauthVersionLast="47" xr6:coauthVersionMax="47" xr10:uidLastSave="{00000000-0000-0000-0000-000000000000}"/>
  <workbookProtection workbookAlgorithmName="SHA-512" workbookHashValue="EyGcwTwwTracqYM+2SBiZM6riCAGqz6Pc/sB+qh6vttXEbgTr+S5WSX5ggCQ8pvL3Uppm7pxM4gpPQB39mmLUw==" workbookSaltValue="pTzPDVNR+cyAx7ENDW8BNw==" workbookSpinCount="100000" lockStructure="1"/>
  <bookViews>
    <workbookView xWindow="-120" yWindow="-120" windowWidth="29040" windowHeight="15720" xr2:uid="{072F4219-A1E4-40A4-B0B9-35CF236996F8}"/>
  </bookViews>
  <sheets>
    <sheet name="a) Angebots- und Preisblatt" sheetId="17" r:id="rId1"/>
    <sheet name="b) Referenzangaben" sheetId="18" r:id="rId2"/>
    <sheet name="Auswertungsblatt" sheetId="21" state="hidden" r:id="rId3"/>
    <sheet name="Konfigurationsblatt" sheetId="19"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53" i="17" l="1"/>
  <c r="J202" i="17"/>
  <c r="J201" i="17"/>
  <c r="J198" i="17"/>
  <c r="J197" i="17"/>
  <c r="J194" i="17"/>
  <c r="J193" i="17"/>
  <c r="J127" i="21" l="1"/>
  <c r="J126" i="21"/>
  <c r="G163" i="21"/>
  <c r="C98" i="21"/>
  <c r="C97" i="21"/>
  <c r="C96" i="21"/>
  <c r="C94" i="21"/>
  <c r="C95" i="21"/>
  <c r="J100" i="21"/>
  <c r="M98" i="21"/>
  <c r="M97" i="21"/>
  <c r="M96" i="21"/>
  <c r="M95" i="21"/>
  <c r="M94" i="21"/>
  <c r="C88" i="21"/>
  <c r="C89" i="21"/>
  <c r="C93" i="21"/>
  <c r="C126" i="21"/>
  <c r="D79" i="21"/>
  <c r="F91" i="21"/>
  <c r="G91" i="21" s="1"/>
  <c r="D93" i="21"/>
  <c r="AK7" i="18" l="1"/>
  <c r="AJ7" i="18"/>
  <c r="AI7" i="18"/>
  <c r="AH7" i="18"/>
  <c r="AG7" i="18"/>
  <c r="AK70" i="18"/>
  <c r="AJ70" i="18"/>
  <c r="AI70" i="18"/>
  <c r="AH70" i="18"/>
  <c r="AG70" i="18"/>
  <c r="AK67" i="18"/>
  <c r="AJ67" i="18"/>
  <c r="AI67" i="18"/>
  <c r="AH67" i="18"/>
  <c r="AG67" i="18"/>
  <c r="AK64" i="18"/>
  <c r="AJ64" i="18"/>
  <c r="AI64" i="18"/>
  <c r="AH64" i="18"/>
  <c r="AG64" i="18"/>
  <c r="AK61" i="18"/>
  <c r="AJ61" i="18"/>
  <c r="AI61" i="18"/>
  <c r="AH61" i="18"/>
  <c r="AG61" i="18"/>
  <c r="AK58" i="18"/>
  <c r="AJ58" i="18"/>
  <c r="AI58" i="18"/>
  <c r="AH58" i="18"/>
  <c r="AG58" i="18"/>
  <c r="AK55" i="18"/>
  <c r="AJ55" i="18"/>
  <c r="AI55" i="18"/>
  <c r="AH55" i="18"/>
  <c r="AG55" i="18"/>
  <c r="AK52" i="18"/>
  <c r="AJ52" i="18"/>
  <c r="AI52" i="18"/>
  <c r="AH52" i="18"/>
  <c r="AG52" i="18"/>
  <c r="AK49" i="18"/>
  <c r="AJ49" i="18"/>
  <c r="AI49" i="18"/>
  <c r="AH49" i="18"/>
  <c r="AG49" i="18"/>
  <c r="AK46" i="18"/>
  <c r="AJ46" i="18"/>
  <c r="AI46" i="18"/>
  <c r="AH46" i="18"/>
  <c r="AG46" i="18"/>
  <c r="AK43" i="18"/>
  <c r="AJ43" i="18"/>
  <c r="AI43" i="18"/>
  <c r="AH43" i="18"/>
  <c r="AG43" i="18"/>
  <c r="AK40" i="18"/>
  <c r="AJ40" i="18"/>
  <c r="AI40" i="18"/>
  <c r="AH40" i="18"/>
  <c r="AG40" i="18"/>
  <c r="AK37" i="18"/>
  <c r="AJ37" i="18"/>
  <c r="AI37" i="18"/>
  <c r="AH37" i="18"/>
  <c r="AG37" i="18"/>
  <c r="AK34" i="18"/>
  <c r="AJ34" i="18"/>
  <c r="AI34" i="18"/>
  <c r="AH34" i="18"/>
  <c r="AG34" i="18"/>
  <c r="AK31" i="18"/>
  <c r="AJ31" i="18"/>
  <c r="AI31" i="18"/>
  <c r="AH31" i="18"/>
  <c r="AG31" i="18"/>
  <c r="AK28" i="18"/>
  <c r="AJ28" i="18"/>
  <c r="AI28" i="18"/>
  <c r="AH28" i="18"/>
  <c r="AG28" i="18"/>
  <c r="AK25" i="18"/>
  <c r="AJ25" i="18"/>
  <c r="AI25" i="18"/>
  <c r="AH25" i="18"/>
  <c r="AG25" i="18"/>
  <c r="AK22" i="18"/>
  <c r="AJ22" i="18"/>
  <c r="AI22" i="18"/>
  <c r="AH22" i="18"/>
  <c r="AG22" i="18"/>
  <c r="AK19" i="18"/>
  <c r="AJ19" i="18"/>
  <c r="AI19" i="18"/>
  <c r="AH19" i="18"/>
  <c r="AG19" i="18"/>
  <c r="AK16" i="18"/>
  <c r="AJ16" i="18"/>
  <c r="AI16" i="18"/>
  <c r="AH16" i="18"/>
  <c r="AG16" i="18"/>
  <c r="AG13" i="18"/>
  <c r="AK13" i="18"/>
  <c r="AJ13" i="18"/>
  <c r="AI13" i="18"/>
  <c r="AH13" i="18"/>
  <c r="C145" i="17"/>
  <c r="K239" i="17" l="1"/>
  <c r="K214" i="17"/>
  <c r="K235" i="17"/>
  <c r="K233" i="17"/>
  <c r="K231" i="17"/>
  <c r="K229" i="17"/>
  <c r="K226" i="17"/>
  <c r="K224" i="17"/>
  <c r="K222" i="17"/>
  <c r="C151" i="21"/>
  <c r="C125" i="21"/>
  <c r="D124" i="21"/>
  <c r="D123" i="21"/>
  <c r="D122" i="21"/>
  <c r="D121" i="21"/>
  <c r="D120" i="21"/>
  <c r="D119" i="21"/>
  <c r="D118" i="21"/>
  <c r="D117" i="21"/>
  <c r="D116" i="21"/>
  <c r="D115" i="21"/>
  <c r="D114" i="21"/>
  <c r="D113" i="21"/>
  <c r="D112" i="21"/>
  <c r="D111" i="21"/>
  <c r="D110" i="21"/>
  <c r="D109" i="21"/>
  <c r="D108" i="21"/>
  <c r="D107" i="21"/>
  <c r="D106" i="21"/>
  <c r="D105" i="21"/>
  <c r="G128" i="21"/>
  <c r="C127" i="21" s="1"/>
  <c r="C128" i="21"/>
  <c r="B2" i="17"/>
  <c r="B59" i="21" l="1"/>
  <c r="G175" i="21"/>
  <c r="F58" i="21"/>
  <c r="G58" i="21" s="1"/>
  <c r="C27" i="21"/>
  <c r="F45" i="21" l="1"/>
  <c r="G45" i="21" s="1"/>
  <c r="C60" i="17"/>
  <c r="G60" i="17"/>
  <c r="AB3" i="18"/>
  <c r="AB2" i="18" s="1"/>
  <c r="AA3" i="18"/>
  <c r="Z3" i="18"/>
  <c r="Z2" i="18" s="1"/>
  <c r="Y3" i="18"/>
  <c r="Y2" i="18" s="1"/>
  <c r="X3" i="18"/>
  <c r="X2" i="18" s="1"/>
  <c r="W3" i="18"/>
  <c r="W2" i="18" s="1"/>
  <c r="V3" i="18"/>
  <c r="V2" i="18" s="1"/>
  <c r="F26" i="21"/>
  <c r="G26" i="21" s="1"/>
  <c r="K243" i="17"/>
  <c r="G58" i="17"/>
  <c r="G59" i="17"/>
  <c r="H142" i="21"/>
  <c r="K142" i="21"/>
  <c r="K145" i="21" s="1"/>
  <c r="E6" i="18"/>
  <c r="K18" i="19"/>
  <c r="J18" i="19"/>
  <c r="D23" i="21"/>
  <c r="D155" i="17"/>
  <c r="B161" i="17" s="1"/>
  <c r="J16" i="19"/>
  <c r="J15" i="19"/>
  <c r="B254" i="17"/>
  <c r="B253" i="17"/>
  <c r="K247" i="17"/>
  <c r="K257" i="17" s="1"/>
  <c r="K220" i="17"/>
  <c r="K218" i="17"/>
  <c r="K216" i="17"/>
  <c r="K212" i="17"/>
  <c r="K210" i="17"/>
  <c r="K237" i="17" s="1"/>
  <c r="K240" i="17" s="1"/>
  <c r="J189" i="17"/>
  <c r="J190" i="17" s="1"/>
  <c r="I185" i="17"/>
  <c r="J179" i="17" s="1"/>
  <c r="H185" i="17"/>
  <c r="D50" i="19"/>
  <c r="AA2" i="18" l="1"/>
  <c r="B106" i="17" s="1"/>
  <c r="K241" i="17"/>
  <c r="B46" i="21"/>
  <c r="C59" i="17"/>
  <c r="C58" i="17"/>
  <c r="H145" i="21"/>
  <c r="I155" i="17"/>
  <c r="J155" i="17"/>
  <c r="J173" i="17"/>
  <c r="J177" i="17"/>
  <c r="J183" i="17"/>
  <c r="J181" i="17"/>
  <c r="J175" i="17"/>
  <c r="K244" i="17" l="1"/>
  <c r="K245" i="17" s="1"/>
  <c r="C155" i="21" l="1"/>
  <c r="K248" i="17"/>
  <c r="K249" i="17" s="1"/>
  <c r="K254" i="17"/>
  <c r="K255" i="17" l="1"/>
  <c r="D15" i="21"/>
  <c r="K258" i="17" l="1"/>
  <c r="K260" i="17" s="1"/>
  <c r="B2" i="21"/>
  <c r="E4" i="21"/>
  <c r="F31" i="21"/>
  <c r="H31" i="21"/>
  <c r="F32" i="21"/>
  <c r="H32" i="21"/>
  <c r="F33" i="21"/>
  <c r="H33" i="21"/>
  <c r="F34" i="21"/>
  <c r="H34" i="21"/>
  <c r="F35" i="21"/>
  <c r="H35" i="21"/>
  <c r="H36" i="21"/>
  <c r="F49" i="21"/>
  <c r="F63" i="21" s="1"/>
  <c r="H49" i="21"/>
  <c r="F50" i="21"/>
  <c r="F64" i="21" s="1"/>
  <c r="H50" i="21"/>
  <c r="F51" i="21"/>
  <c r="F65" i="21" s="1"/>
  <c r="H51" i="21"/>
  <c r="H63" i="21"/>
  <c r="H64" i="21"/>
  <c r="H65" i="21"/>
  <c r="I74" i="21"/>
  <c r="M151" i="21"/>
  <c r="M152" i="21"/>
  <c r="M153" i="21"/>
  <c r="M154" i="21"/>
  <c r="M155" i="21"/>
  <c r="M156" i="21"/>
  <c r="C163" i="21"/>
  <c r="M163" i="21"/>
  <c r="C164" i="21"/>
  <c r="M164" i="21"/>
  <c r="C165" i="21"/>
  <c r="M165" i="21"/>
  <c r="C166" i="21"/>
  <c r="M166" i="21"/>
  <c r="C167" i="21"/>
  <c r="M167" i="21"/>
  <c r="C168" i="21"/>
  <c r="M168" i="21"/>
  <c r="C169" i="21"/>
  <c r="C175" i="21"/>
  <c r="F77" i="21" s="1"/>
  <c r="G77" i="21" s="1"/>
  <c r="C176" i="21"/>
  <c r="C177" i="21"/>
  <c r="C178" i="21"/>
  <c r="C179" i="21"/>
  <c r="C180" i="21"/>
  <c r="C181" i="21"/>
  <c r="G189" i="21"/>
  <c r="G190" i="21"/>
  <c r="G191" i="21"/>
  <c r="G192" i="21"/>
  <c r="K162" i="21" l="1"/>
  <c r="G194" i="21"/>
  <c r="H53" i="21"/>
  <c r="K174" i="21"/>
  <c r="F192" i="21" s="1"/>
  <c r="H192" i="21" s="1"/>
  <c r="H38" i="21"/>
  <c r="C40" i="21" s="1"/>
  <c r="H67" i="21"/>
  <c r="C69" i="21" s="1"/>
  <c r="F189" i="21"/>
  <c r="H189" i="21" s="1"/>
  <c r="H194" i="21" s="1"/>
  <c r="C55" i="21" l="1"/>
  <c r="F191" i="21"/>
  <c r="H191" i="21" s="1"/>
  <c r="G151" i="21"/>
  <c r="K150" i="21" s="1"/>
  <c r="F190" i="21" l="1"/>
  <c r="D82" i="17"/>
  <c r="E2" i="18"/>
  <c r="H190" i="21" l="1"/>
  <c r="F194" i="21"/>
  <c r="L28" i="17"/>
  <c r="L27" i="17"/>
  <c r="F41" i="19"/>
  <c r="M69" i="19"/>
  <c r="M70" i="19"/>
  <c r="M71" i="19"/>
  <c r="M72" i="19"/>
  <c r="M73" i="19"/>
  <c r="M74" i="19"/>
  <c r="M80" i="19"/>
  <c r="M81" i="19"/>
  <c r="M82" i="19"/>
  <c r="M83" i="19"/>
  <c r="M84" i="19"/>
  <c r="H85" i="19"/>
  <c r="M85" i="19"/>
  <c r="E3" i="18"/>
  <c r="I3" i="18"/>
  <c r="J3" i="18"/>
  <c r="K3" i="18"/>
  <c r="K4" i="18" s="1"/>
  <c r="M3" i="18"/>
  <c r="P3" i="18"/>
  <c r="R3" i="18"/>
  <c r="Q3" i="18" s="1"/>
  <c r="S3" i="18"/>
  <c r="T3" i="18"/>
  <c r="AD3" i="18"/>
  <c r="AD14" i="18" s="1"/>
  <c r="AE3" i="18"/>
  <c r="AD15" i="18" s="1"/>
  <c r="B3" i="17"/>
  <c r="L26" i="17"/>
  <c r="B28" i="17" s="1"/>
  <c r="L38" i="17"/>
  <c r="B41" i="17" s="1"/>
  <c r="L39" i="17"/>
  <c r="B39" i="17" s="1"/>
  <c r="C44" i="17"/>
  <c r="C45" i="17"/>
  <c r="C46" i="17"/>
  <c r="C47" i="17"/>
  <c r="C48" i="17"/>
  <c r="E51" i="17"/>
  <c r="H57" i="17"/>
  <c r="B55" i="17" s="1"/>
  <c r="E62" i="17"/>
  <c r="H68" i="17"/>
  <c r="B65" i="17" s="1"/>
  <c r="C69" i="17"/>
  <c r="H69" i="17"/>
  <c r="C70" i="17"/>
  <c r="C71" i="17"/>
  <c r="E73" i="17"/>
  <c r="G81" i="17"/>
  <c r="B77" i="17" s="1"/>
  <c r="I81" i="17"/>
  <c r="B78" i="17" s="1"/>
  <c r="J119" i="17"/>
  <c r="C120" i="17"/>
  <c r="J120" i="17"/>
  <c r="K120" i="17" s="1"/>
  <c r="B112" i="17" s="1"/>
  <c r="C121" i="17"/>
  <c r="J121" i="17"/>
  <c r="C122" i="17"/>
  <c r="J122" i="17"/>
  <c r="C123" i="17"/>
  <c r="J123" i="17"/>
  <c r="C124" i="17"/>
  <c r="J124" i="17"/>
  <c r="C125" i="17"/>
  <c r="J125" i="17"/>
  <c r="C126" i="17"/>
  <c r="J126" i="17"/>
  <c r="C127" i="17"/>
  <c r="J127" i="17"/>
  <c r="C128" i="17"/>
  <c r="C129" i="17"/>
  <c r="C130" i="17"/>
  <c r="C131" i="17"/>
  <c r="C132" i="17"/>
  <c r="C133" i="17"/>
  <c r="C134" i="17"/>
  <c r="C135" i="17"/>
  <c r="C136" i="17"/>
  <c r="C137" i="17"/>
  <c r="C138" i="17"/>
  <c r="C139" i="17"/>
  <c r="XFD28" i="17" l="1"/>
  <c r="B31" i="17" s="1"/>
  <c r="V9" i="18"/>
  <c r="M9" i="18"/>
  <c r="AD68" i="18"/>
  <c r="AD38" i="18"/>
  <c r="AD26" i="18"/>
  <c r="AD56" i="18"/>
  <c r="AD44" i="18"/>
  <c r="B110" i="17"/>
  <c r="AD62" i="18"/>
  <c r="AD20" i="18"/>
  <c r="AD32" i="18"/>
  <c r="S9" i="18"/>
  <c r="AD50" i="18"/>
  <c r="AD9" i="18"/>
  <c r="B116" i="17"/>
  <c r="K121" i="17"/>
  <c r="B113" i="17" s="1"/>
  <c r="P11" i="18"/>
  <c r="M54" i="18"/>
  <c r="M69" i="18"/>
  <c r="M51" i="18"/>
  <c r="M33" i="18"/>
  <c r="M15" i="18"/>
  <c r="M63" i="18"/>
  <c r="M27" i="18"/>
  <c r="M60" i="18"/>
  <c r="M24" i="18"/>
  <c r="M18" i="18"/>
  <c r="M66" i="18"/>
  <c r="M48" i="18"/>
  <c r="M30" i="18"/>
  <c r="M12" i="18"/>
  <c r="M45" i="18"/>
  <c r="M42" i="18"/>
  <c r="M57" i="18"/>
  <c r="M39" i="18"/>
  <c r="M21" i="18"/>
  <c r="M36" i="18"/>
  <c r="B66" i="17"/>
  <c r="B115" i="17"/>
  <c r="B109" i="17"/>
  <c r="P59" i="18"/>
  <c r="P47" i="18"/>
  <c r="P35" i="18"/>
  <c r="P23" i="18"/>
  <c r="P68" i="18"/>
  <c r="P56" i="18"/>
  <c r="P44" i="18"/>
  <c r="P32" i="18"/>
  <c r="P20" i="18"/>
  <c r="P65" i="18"/>
  <c r="P53" i="18"/>
  <c r="P62" i="18"/>
  <c r="P50" i="18"/>
  <c r="P38" i="18"/>
  <c r="P26" i="18"/>
  <c r="P9" i="18"/>
  <c r="P41" i="18"/>
  <c r="P29" i="18"/>
  <c r="P17" i="18"/>
  <c r="I4" i="18"/>
  <c r="K119" i="17" s="1"/>
  <c r="B103" i="17" s="1"/>
  <c r="P14" i="18"/>
  <c r="AD66" i="18"/>
  <c r="AD48" i="18"/>
  <c r="AD30" i="18"/>
  <c r="AD12" i="18"/>
  <c r="AD54" i="18"/>
  <c r="AD36" i="18"/>
  <c r="AD18" i="18"/>
  <c r="AD60" i="18"/>
  <c r="AD42" i="18"/>
  <c r="AD24" i="18"/>
  <c r="XFD27" i="17"/>
  <c r="B30" i="17" s="1"/>
  <c r="AD65" i="18"/>
  <c r="AD59" i="18"/>
  <c r="AD53" i="18"/>
  <c r="AD47" i="18"/>
  <c r="AD41" i="18"/>
  <c r="AD35" i="18"/>
  <c r="AD29" i="18"/>
  <c r="AD23" i="18"/>
  <c r="AD17" i="18"/>
  <c r="AD11" i="18"/>
  <c r="AD69" i="18"/>
  <c r="AD63" i="18"/>
  <c r="AD57" i="18"/>
  <c r="AD51" i="18"/>
  <c r="AD45" i="18"/>
  <c r="AD39" i="18"/>
  <c r="AD33" i="18"/>
  <c r="AD27" i="18"/>
  <c r="AD21" i="18"/>
  <c r="J4" i="18"/>
  <c r="J9" i="18" s="1"/>
  <c r="D9" i="18" l="1"/>
</calcChain>
</file>

<file path=xl/sharedStrings.xml><?xml version="1.0" encoding="utf-8"?>
<sst xmlns="http://schemas.openxmlformats.org/spreadsheetml/2006/main" count="1309" uniqueCount="389">
  <si>
    <t>A.  Nennung des Projektteams</t>
  </si>
  <si>
    <t>Vor- und Zuname</t>
  </si>
  <si>
    <t xml:space="preserve">1. </t>
  </si>
  <si>
    <t xml:space="preserve">2. </t>
  </si>
  <si>
    <t xml:space="preserve">3. </t>
  </si>
  <si>
    <t xml:space="preserve">4. </t>
  </si>
  <si>
    <t xml:space="preserve">5. </t>
  </si>
  <si>
    <t>C.  Zeitlicher Rahmen der Umsetzung</t>
  </si>
  <si>
    <t>Anzahl</t>
  </si>
  <si>
    <t>Gesamt</t>
  </si>
  <si>
    <t>Mehrwertsteuer (in Prozent)</t>
  </si>
  <si>
    <t>Stunden</t>
  </si>
  <si>
    <t>pro Stunde</t>
  </si>
  <si>
    <t>III.   Zusammenfassung</t>
  </si>
  <si>
    <t>Projektleitung</t>
  </si>
  <si>
    <t xml:space="preserve">B.  Fachliche Eignung, Referenzen </t>
  </si>
  <si>
    <t>stellv. Projektleitung</t>
  </si>
  <si>
    <r>
      <t xml:space="preserve">Funktion
</t>
    </r>
    <r>
      <rPr>
        <sz val="12"/>
        <color theme="1"/>
        <rFont val="Calibri"/>
        <family val="2"/>
      </rPr>
      <t>im Projektteam</t>
    </r>
  </si>
  <si>
    <r>
      <t xml:space="preserve">Telefonnummer und E-Mailadresse
</t>
    </r>
    <r>
      <rPr>
        <sz val="12"/>
        <color theme="1"/>
        <rFont val="Calibri"/>
        <family val="2"/>
      </rPr>
      <t>die zur Kontaktaufnahme verwendet werden sollen</t>
    </r>
  </si>
  <si>
    <t>I.   Honorarangebot</t>
  </si>
  <si>
    <t>LPH 1</t>
  </si>
  <si>
    <t>LPH 2</t>
  </si>
  <si>
    <t>LPH 3</t>
  </si>
  <si>
    <t>LPH 4</t>
  </si>
  <si>
    <t>LPH 5</t>
  </si>
  <si>
    <t>LPH 6</t>
  </si>
  <si>
    <t>LPH 7</t>
  </si>
  <si>
    <t>Leistungen
in € netto</t>
  </si>
  <si>
    <t>LPH 8</t>
  </si>
  <si>
    <t xml:space="preserve">6. </t>
  </si>
  <si>
    <t xml:space="preserve">7. </t>
  </si>
  <si>
    <t xml:space="preserve">8. </t>
  </si>
  <si>
    <t xml:space="preserve">9. </t>
  </si>
  <si>
    <t xml:space="preserve">10. </t>
  </si>
  <si>
    <t xml:space="preserve">∑  (alle LPHs) =  100 %  </t>
  </si>
  <si>
    <t>Hauptstandort</t>
  </si>
  <si>
    <t>ggfs. Zweitstandort</t>
  </si>
  <si>
    <t xml:space="preserve"> Entwurfsplanung   (15%)  </t>
  </si>
  <si>
    <t>aktuell</t>
  </si>
  <si>
    <t xml:space="preserve">Anzahl der Berufsträger
</t>
  </si>
  <si>
    <t>Geschäftsjahr</t>
  </si>
  <si>
    <t>bitte eintragen</t>
  </si>
  <si>
    <t xml:space="preserve"> Nebenkosten (in Prozent):   </t>
  </si>
  <si>
    <t xml:space="preserve">Zuschlag für Umbauten und 
Modernisierung (in Prozent): </t>
  </si>
  <si>
    <t>Nachlass (in Prozent)</t>
  </si>
  <si>
    <t xml:space="preserve">Es werden </t>
  </si>
  <si>
    <t>Werktagen gewährt.</t>
  </si>
  <si>
    <t>(Skonto wird in der Angebotswertung nicht berücksichtigt)</t>
  </si>
  <si>
    <t xml:space="preserve">netto Angebotssumme (Optionen) inkl. Nebenkosten   </t>
  </si>
  <si>
    <t xml:space="preserve">brutto Angebotssumme (Optionen)   </t>
  </si>
  <si>
    <t xml:space="preserve">wertungsrelevante Angebotssumme (brutto)   </t>
  </si>
  <si>
    <t>Leistungsbeschreibung Anlage 1 - Angebots- und Preisblatt</t>
  </si>
  <si>
    <t>Mindestumsatz</t>
  </si>
  <si>
    <t>Reaktionszeit</t>
  </si>
  <si>
    <r>
      <t>Angebotspreis</t>
    </r>
    <r>
      <rPr>
        <sz val="12"/>
        <color theme="1"/>
        <rFont val="Calibri"/>
        <family val="2"/>
      </rPr>
      <t xml:space="preserve"> (netto)</t>
    </r>
  </si>
  <si>
    <t>III</t>
  </si>
  <si>
    <t>ja/nein</t>
  </si>
  <si>
    <t>01.</t>
  </si>
  <si>
    <t>Vergabenummer</t>
  </si>
  <si>
    <t>Verfahrensname</t>
  </si>
  <si>
    <t>Reaktionszeit:</t>
  </si>
  <si>
    <t>Leistungsort</t>
  </si>
  <si>
    <t>Minuten = Ausschluss</t>
  </si>
  <si>
    <t>Minuten = 0 Punkte</t>
  </si>
  <si>
    <t>Minuten = 1 Punkt</t>
  </si>
  <si>
    <t>Minuten = 2 Punkte</t>
  </si>
  <si>
    <t>Minuten = 3 Punkte</t>
  </si>
  <si>
    <t>Minuten = 4 Punkte</t>
  </si>
  <si>
    <t>Minuten = 5 Punkte</t>
  </si>
  <si>
    <t>Leistungsbild</t>
  </si>
  <si>
    <t>Gesamtumsatz der Bietergemeinschaft</t>
  </si>
  <si>
    <t>Anlagenname</t>
  </si>
  <si>
    <t>Erfahrungen und Qualifikation des Ingenieurbüros</t>
  </si>
  <si>
    <t>Berufserfahrung von zumindest</t>
  </si>
  <si>
    <t>Anzahl Berufsträger:</t>
  </si>
  <si>
    <t>Personen = Ausschluss</t>
  </si>
  <si>
    <t>ab</t>
  </si>
  <si>
    <t>Durchschnitt</t>
  </si>
  <si>
    <t>Personen = 0 Punkte</t>
  </si>
  <si>
    <t>Personen = 3 Punkte</t>
  </si>
  <si>
    <t>Personen = 4 Punkte</t>
  </si>
  <si>
    <t>Personen = 5 Punkte</t>
  </si>
  <si>
    <t>Wertung</t>
  </si>
  <si>
    <t>Geforderter Umsatz:</t>
  </si>
  <si>
    <t xml:space="preserve">   Bezeichnung der Referenz</t>
  </si>
  <si>
    <t xml:space="preserve">   Auftraggeber</t>
  </si>
  <si>
    <t xml:space="preserve">   Ansprechpartner des Auftraggebers</t>
  </si>
  <si>
    <t xml:space="preserve">   Telefonnumer des o. G. 
   Ansprechpartners</t>
  </si>
  <si>
    <t xml:space="preserve">   Projektverantwortliche Person</t>
  </si>
  <si>
    <t xml:space="preserve">   Projektzeitraum
   JJJJ-JJJJ</t>
  </si>
  <si>
    <t xml:space="preserve">   I.
     #</t>
  </si>
  <si>
    <t xml:space="preserve">   Büro- bzw. persönliche Referenz
   (Drop-Down-Auswahlfeld)</t>
  </si>
  <si>
    <t xml:space="preserve">   vereinbarte Honorarzone
   (Drop-Down-Auswahlfeld)</t>
  </si>
  <si>
    <t xml:space="preserve">   davon auf die o. g. Baukostengruppen
   entfallend (gerundet)</t>
  </si>
  <si>
    <t>02.</t>
  </si>
  <si>
    <t>03.</t>
  </si>
  <si>
    <t>04.</t>
  </si>
  <si>
    <t>05.</t>
  </si>
  <si>
    <t>06.</t>
  </si>
  <si>
    <t>07.</t>
  </si>
  <si>
    <t>08.</t>
  </si>
  <si>
    <t>09.</t>
  </si>
  <si>
    <t>10.</t>
  </si>
  <si>
    <t>11.</t>
  </si>
  <si>
    <t>12.</t>
  </si>
  <si>
    <t>13.</t>
  </si>
  <si>
    <t>14.</t>
  </si>
  <si>
    <t>15.</t>
  </si>
  <si>
    <t>16.</t>
  </si>
  <si>
    <t>17.</t>
  </si>
  <si>
    <t>18.</t>
  </si>
  <si>
    <t>19.</t>
  </si>
  <si>
    <t>20.</t>
  </si>
  <si>
    <t>B I.   Projektteam / Anzahl der Berufsträger:</t>
  </si>
  <si>
    <t xml:space="preserve">abgeschlossenes Geschäftsjahr </t>
  </si>
  <si>
    <t>(Drop-Down-Auswahlfeld)</t>
  </si>
  <si>
    <t>Bezeichnung der Referenz</t>
  </si>
  <si>
    <t xml:space="preserve">01. </t>
  </si>
  <si>
    <t xml:space="preserve">02. </t>
  </si>
  <si>
    <t xml:space="preserve">03. </t>
  </si>
  <si>
    <t xml:space="preserve">11. </t>
  </si>
  <si>
    <t xml:space="preserve">12. </t>
  </si>
  <si>
    <t xml:space="preserve">13. </t>
  </si>
  <si>
    <t xml:space="preserve">14. </t>
  </si>
  <si>
    <t xml:space="preserve">15. </t>
  </si>
  <si>
    <t xml:space="preserve">16. </t>
  </si>
  <si>
    <t xml:space="preserve">17. </t>
  </si>
  <si>
    <t xml:space="preserve">18. </t>
  </si>
  <si>
    <t xml:space="preserve">19. </t>
  </si>
  <si>
    <t xml:space="preserve">20. </t>
  </si>
  <si>
    <t xml:space="preserve">04. </t>
  </si>
  <si>
    <t xml:space="preserve">05. </t>
  </si>
  <si>
    <t xml:space="preserve">06. </t>
  </si>
  <si>
    <t xml:space="preserve">07. </t>
  </si>
  <si>
    <t xml:space="preserve">08. </t>
  </si>
  <si>
    <t xml:space="preserve">09. </t>
  </si>
  <si>
    <t>B IV.   Berufshaftpflicht:</t>
  </si>
  <si>
    <t>B III.   Mindestumsatz:</t>
  </si>
  <si>
    <t>B II.   Anzahl der Berufsträger:</t>
  </si>
  <si>
    <t>B V.   Adresse Bürostandort</t>
  </si>
  <si>
    <t>B VI.   Referenzen</t>
  </si>
  <si>
    <t>D.  Angebot zum Leistungsverzeichnis</t>
  </si>
  <si>
    <t xml:space="preserve">    % Skonto bei Zahlungen binnen</t>
  </si>
  <si>
    <t>Das Angebot basiert auf:</t>
  </si>
  <si>
    <t>Honorarzone</t>
  </si>
  <si>
    <t xml:space="preserve">Prozentuale Honorarabweichung (%): </t>
  </si>
  <si>
    <r>
      <t xml:space="preserve">(Prozentuale </t>
    </r>
    <r>
      <rPr>
        <u/>
        <sz val="12"/>
        <rFont val="Calibri"/>
        <family val="2"/>
      </rPr>
      <t>Ab</t>
    </r>
    <r>
      <rPr>
        <sz val="12"/>
        <rFont val="Calibri"/>
        <family val="2"/>
      </rPr>
      <t>schläge bitte mit einem negativen Wert angeben,</t>
    </r>
  </si>
  <si>
    <t xml:space="preserve"> z. B. -1,00%)</t>
  </si>
  <si>
    <t>Leistungsphasen (LPH)</t>
  </si>
  <si>
    <t>Konfigurationsblatt</t>
  </si>
  <si>
    <t>Drop-Down</t>
  </si>
  <si>
    <t xml:space="preserve">   Jahren</t>
  </si>
  <si>
    <t>stellvertretende Projektleitung</t>
  </si>
  <si>
    <t>wird von Vergabestelle gefüllt</t>
  </si>
  <si>
    <t>Freitextangabe</t>
  </si>
  <si>
    <t>Ausfüllhinweis</t>
  </si>
  <si>
    <t>arabische Zahl</t>
  </si>
  <si>
    <t xml:space="preserve"> im Durchschnitt innerhalb der letzten 3 abgeschlossenen Geschäftsjahre</t>
  </si>
  <si>
    <t>Millionen Euro für Personenschäden und</t>
  </si>
  <si>
    <t>Deckungssumme in Höhe von mindestens</t>
  </si>
  <si>
    <t xml:space="preserve"> Millionen Euro für Sach- und Vermögensschäden mit je 2-facher Maximierung pro Kalenderjahr</t>
  </si>
  <si>
    <t>Berufshaftpflicht:</t>
  </si>
  <si>
    <t>Referenzen:</t>
  </si>
  <si>
    <t>Datum (TT.MM.JJJJ)</t>
  </si>
  <si>
    <t>Referenzkomplexität zumindest nach Honorarzone</t>
  </si>
  <si>
    <t xml:space="preserve">Mindestbaukosten in Höhe von </t>
  </si>
  <si>
    <t xml:space="preserve"> nach den Kostengruppen:</t>
  </si>
  <si>
    <t>Format: KG XXX bis KG XXX</t>
  </si>
  <si>
    <t>KG 300 bis KG 400</t>
  </si>
  <si>
    <t>Vergleichbarkeitskriterien</t>
  </si>
  <si>
    <t xml:space="preserve">ab  </t>
  </si>
  <si>
    <t xml:space="preserve">bis  </t>
  </si>
  <si>
    <t>arabische Zahl (eine Dezimalstelle)</t>
  </si>
  <si>
    <t>Hinweise: Eine Eintragung ist in den grau hinterlegten Feldern möglich. Sofern der Platz nicht ausreicht, bitte mit separatem Blatt ergänzen. Das Dokument 
ist mit einer einfachen farblichen Plausibilitätsprüfung sowie Eingabebeschränkungen ausgestattet, die als Bedienhilfe verstanden werden sollen.</t>
  </si>
  <si>
    <t>Das Unternehmen, bzw. alle Mitglieder der Bewerbergemeinschaft, die aktiv an der Planung und vor allem an der Bauleitung beteiligt sind, werden von</t>
  </si>
  <si>
    <t>Mindestanzahl der vergleichbaren Referenzprojekte, für die eine Projektverantwortung bestand</t>
  </si>
  <si>
    <t>Referenzen = Ausschluss</t>
  </si>
  <si>
    <t xml:space="preserve">Bildern und Beschreibungen dem Angebot beigefügt belegt werden. Hierbei soll die Darstellung je Referenzprojekt mindestens 1 DIN-A4-Blatt umfassen. </t>
  </si>
  <si>
    <t>Gesamtumsatz der Bieter-gemeinschaft mit vergleichbaren Leistungen</t>
  </si>
  <si>
    <t>Hinweis: Wählen Sie für die Kopfzeile möglichst kurze (einzeilige) Titel, lange Titel werden auf dem Vergabemarktplatz nur abgeschnitten angezeigt</t>
  </si>
  <si>
    <r>
      <t xml:space="preserve">     Die nachfolgenden </t>
    </r>
    <r>
      <rPr>
        <b/>
        <sz val="12"/>
        <rFont val="Calibri"/>
        <family val="2"/>
      </rPr>
      <t>netto-</t>
    </r>
    <r>
      <rPr>
        <sz val="12"/>
        <rFont val="Calibri"/>
        <family val="2"/>
      </rPr>
      <t xml:space="preserve">Preise beinhalten alle die zur Vorbereitung und Durchführung der angebotenen Leistung erforderlichen Arbeitsschritte. </t>
    </r>
  </si>
  <si>
    <t>Datum</t>
  </si>
  <si>
    <t xml:space="preserve">Bindefrist:  </t>
  </si>
  <si>
    <t>Angebotswertung:</t>
  </si>
  <si>
    <t>%</t>
  </si>
  <si>
    <t>Kriteriengewichtung</t>
  </si>
  <si>
    <t>Honorarangebot</t>
  </si>
  <si>
    <t>Anzahl Berufsträger</t>
  </si>
  <si>
    <t xml:space="preserve">Kontrollsumme      </t>
  </si>
  <si>
    <t>Preisblatt Teil a Abschnitte C und D werden nicht über das Konfigurationsblatt konfiguriert. Diese Teile müssen je Verfahren angepasst werden.</t>
  </si>
  <si>
    <t>Bitte löschen und fügen Sie keine Spalten ein. Bitte löschen Sie keine Zeilen vor Nummer 141. Änderungen können ein Nichtfunktionieren zur Folge haben.</t>
  </si>
  <si>
    <t>&lt;</t>
  </si>
  <si>
    <r>
      <t xml:space="preserve">Berufserfahrung 
</t>
    </r>
    <r>
      <rPr>
        <sz val="12"/>
        <color theme="1"/>
        <rFont val="Calibri"/>
        <family val="2"/>
      </rPr>
      <t>im geforderten Berufsbild in Jahren</t>
    </r>
  </si>
  <si>
    <r>
      <t xml:space="preserve">Kammernummer </t>
    </r>
    <r>
      <rPr>
        <sz val="12"/>
        <color theme="1"/>
        <rFont val="Calibri"/>
        <family val="2"/>
      </rPr>
      <t>+ Datum der Eintragung (sofern vorhanden)</t>
    </r>
  </si>
  <si>
    <t>gefordertes Berufsbild</t>
  </si>
  <si>
    <t xml:space="preserve">Anforderung an </t>
  </si>
  <si>
    <t>(Copy-Paste Feld)</t>
  </si>
  <si>
    <t>Berufsträger  (B II.)  z.B.:</t>
  </si>
  <si>
    <t>Honorarsatz</t>
  </si>
  <si>
    <t xml:space="preserve">   Gesamtbaukosten (sofern bekannt, 
   gerundet)</t>
  </si>
  <si>
    <t>Punkte</t>
  </si>
  <si>
    <t>bis</t>
  </si>
  <si>
    <t xml:space="preserve">ab </t>
  </si>
  <si>
    <t>Angebot laut Preisblatt:</t>
  </si>
  <si>
    <t>Prozentuale Abweichung</t>
  </si>
  <si>
    <t>Günstigstes Angebot</t>
  </si>
  <si>
    <t>Angaben im Preisblatt</t>
  </si>
  <si>
    <t>ja / nein</t>
  </si>
  <si>
    <t xml:space="preserve">     Hinweis: wie bei jeder Referenz muss durch den damaligen 
     Auftraggeber die Weitergabe der entsprechenden Angaben 
     (datenschutzrechtlich) gestattet werden.</t>
  </si>
  <si>
    <t xml:space="preserve">   II.  
     Bezeichnung der Referenz</t>
  </si>
  <si>
    <t xml:space="preserve">   III.  
     Ansprechpartner</t>
  </si>
  <si>
    <t xml:space="preserve">   IV.
     Referenztyp</t>
  </si>
  <si>
    <t xml:space="preserve">   V.
     Zeitrahmen</t>
  </si>
  <si>
    <t xml:space="preserve">   VI.
     Leistungsbild und Honorarzone</t>
  </si>
  <si>
    <t xml:space="preserve">   VII.
     Kostenrahmen</t>
  </si>
  <si>
    <t xml:space="preserve">   VIII.
     Leistungsphasen</t>
  </si>
  <si>
    <t xml:space="preserve">   IX.
     Vergleichbarkeit</t>
  </si>
  <si>
    <t>Auswertungsblatt</t>
  </si>
  <si>
    <t>I. Eignungskriterien</t>
  </si>
  <si>
    <t xml:space="preserve"> -</t>
  </si>
  <si>
    <t>Eine Projektleitung wurde angegeben und</t>
  </si>
  <si>
    <t>a)</t>
  </si>
  <si>
    <t>b)</t>
  </si>
  <si>
    <t>c)</t>
  </si>
  <si>
    <t>Anzahl der Berufsträger</t>
  </si>
  <si>
    <t>Eintragungen im Preisblatt:</t>
  </si>
  <si>
    <t>I.2 - Mindesstumsatz</t>
  </si>
  <si>
    <t>Eine Projektverantwortung wurde (u.a.) mit der gültigen Referenz(nummer)</t>
  </si>
  <si>
    <t>b) Mindestumsatz im geforderten Leistungsbild</t>
  </si>
  <si>
    <t>erwirtschftet worden sein.</t>
  </si>
  <si>
    <t>Umsatz vergleichbare Leistungen</t>
  </si>
  <si>
    <t>I.3 - Berufshaftpflicht</t>
  </si>
  <si>
    <t>Ein entsprechender Nachweis wird spätestents im Auftragsfalle unaufgefordert vorgelegt:</t>
  </si>
  <si>
    <t>Folgende Referenzen konnten nicht berücksichtigt werden:</t>
  </si>
  <si>
    <t>Nummer</t>
  </si>
  <si>
    <t>Weil</t>
  </si>
  <si>
    <t xml:space="preserve">  nachgewiesen.</t>
  </si>
  <si>
    <t>II.1 - Honorarangebot</t>
  </si>
  <si>
    <t>II.2 - Berufsträger</t>
  </si>
  <si>
    <t>II.3 - Referenzen</t>
  </si>
  <si>
    <t>Auswertung Bereich Eignung:</t>
  </si>
  <si>
    <t>II.4 - Reaktionszeit</t>
  </si>
  <si>
    <t>Name des Bieters:</t>
  </si>
  <si>
    <t>Minuten</t>
  </si>
  <si>
    <t>niedrigste</t>
  </si>
  <si>
    <t>Kriterium</t>
  </si>
  <si>
    <t xml:space="preserve">Referenzen	</t>
  </si>
  <si>
    <t xml:space="preserve">Reaktionszeit </t>
  </si>
  <si>
    <t>Summe</t>
  </si>
  <si>
    <t>erreichte Punkte</t>
  </si>
  <si>
    <t>gewichtete Punkte</t>
  </si>
  <si>
    <t>Gewichtung (%)</t>
  </si>
  <si>
    <t>Ja / Nein</t>
  </si>
  <si>
    <t>III. Zuschlagskriterien</t>
  </si>
  <si>
    <t>IV. Zuschlagsauswertung</t>
  </si>
  <si>
    <t>V. Bemerkungen zur Auswertung</t>
  </si>
  <si>
    <t>II. Zeitlicher Rahmen der Umsetzung</t>
  </si>
  <si>
    <t>Die getätigten Angaben zum zeitlichen Rahmen sind vollständig und plausibel (Angebots und Preisblatt - Arbeitsblatt a - Abschnitt C):</t>
  </si>
  <si>
    <t>ein Nachweis zur Berechtigung zur Führung der gefordeten Berufsbezeichnung liegt dem Angebot bei:</t>
  </si>
  <si>
    <t>angeboten</t>
  </si>
  <si>
    <t>Prozent</t>
  </si>
  <si>
    <t xml:space="preserve"> Grundlagenermittlung    (3%)  </t>
  </si>
  <si>
    <t xml:space="preserve"> Vorplanung     (10%)  </t>
  </si>
  <si>
    <t xml:space="preserve"> Genehmigungsplanung   (30%)  </t>
  </si>
  <si>
    <t xml:space="preserve"> Ausführungsplanung    (40%)  </t>
  </si>
  <si>
    <t xml:space="preserve"> Vorbereitung der Vergabe    (2%)  </t>
  </si>
  <si>
    <t>II.   Besondere Leistungen / Optionen</t>
  </si>
  <si>
    <t>Besondere Leistungen / Optionen</t>
  </si>
  <si>
    <t>pauschal</t>
  </si>
  <si>
    <t>I</t>
  </si>
  <si>
    <t>II</t>
  </si>
  <si>
    <t/>
  </si>
  <si>
    <t xml:space="preserve">      (Auswahl über Drop-Down-Menü)</t>
  </si>
  <si>
    <t>Honorarzone I</t>
  </si>
  <si>
    <t>Honorarzone II</t>
  </si>
  <si>
    <t>Honorarzone III</t>
  </si>
  <si>
    <t>Eine stellvertretende Projektleitung wurde angegeben und</t>
  </si>
  <si>
    <t>Von den zu wertenden Referenzen lagen die geforderten Exposés bei</t>
  </si>
  <si>
    <t>I.1 - Erfahrungen und Qualifikation des Büros</t>
  </si>
  <si>
    <t>a) Gesamtmindestumsatz</t>
  </si>
  <si>
    <t>(wird wie das Auswertungsblatt ausgeblendet und ist für den Bieter nicht sichtbar)</t>
  </si>
  <si>
    <t>sein. Berücksichtigt wird die Anzahl der Berufsträger aller Mitglieder der Bewerbergemeinschaft (-Nachweise müssen nur auf Anforderung eingereicht</t>
  </si>
  <si>
    <t xml:space="preserve"> zugelassenen Haftpflichtversicherer oder Kreditinstitut bestehen. (Alle Bewerber/innen und Mitglieder von Bewerbergemeinschaften haben den</t>
  </si>
  <si>
    <t xml:space="preserve"> Nachweis jeweils separat zu erbringen.)</t>
  </si>
  <si>
    <t>Die Referenzen sollen die nachfolgenden 
Leistungsphasen abdecken:</t>
  </si>
  <si>
    <t>Wertung zusammengefasst.) Jede Teilleistung muss die anderen Referenzvoraussetzungen (wie Zeitrahmen oder Baukosten) erfüllen.</t>
  </si>
  <si>
    <r>
      <t xml:space="preserve">(Exposes können nachgereicht werden). </t>
    </r>
    <r>
      <rPr>
        <u/>
        <sz val="12"/>
        <color theme="1"/>
        <rFont val="Calibri"/>
        <family val="2"/>
      </rPr>
      <t>Berücksichtigungsfähig sind durch den Bieter bearbeitete und vollständig abgeschlossene Leistungsphasen</t>
    </r>
    <r>
      <rPr>
        <sz val="12"/>
        <color theme="1"/>
        <rFont val="Calibri"/>
        <family val="2"/>
      </rPr>
      <t xml:space="preserve"> (LPH)</t>
    </r>
  </si>
  <si>
    <t>2x Drop-Down</t>
  </si>
  <si>
    <t>Bitte nun noch einmal überprüfen, ob zur Leistungsbeschreibung Unstimmigkeiten bestehen.</t>
  </si>
  <si>
    <t>Weitergabe der entsprechenden Angaben (datenschutzrechtlich) gestattet werden. Auftraggeber und Ansprechpartner sind zu benennen.</t>
  </si>
  <si>
    <r>
      <rPr>
        <b/>
        <sz val="12"/>
        <color theme="1"/>
        <rFont val="Calibri"/>
        <family val="2"/>
      </rPr>
      <t xml:space="preserve">Wertung berücksichtigt, </t>
    </r>
    <r>
      <rPr>
        <b/>
        <u/>
        <sz val="12"/>
        <color theme="1"/>
        <rFont val="Calibri"/>
        <family val="2"/>
      </rPr>
      <t>Referenznennungen können nicht nachgereicht werden.</t>
    </r>
    <r>
      <rPr>
        <b/>
        <sz val="12"/>
        <color theme="1"/>
        <rFont val="Calibri"/>
        <family val="2"/>
      </rPr>
      <t>)</t>
    </r>
    <r>
      <rPr>
        <sz val="12"/>
        <color theme="1"/>
        <rFont val="Calibri"/>
        <family val="2"/>
      </rPr>
      <t xml:space="preserve"> Wie bei jeder Referenz muss durch den damaligen Auftraggeber die</t>
    </r>
  </si>
  <si>
    <t xml:space="preserve">  Alle Inhalte werden aus dem Tabellenblatt "b) Referenzangaben" übernommen.   (Nur vollständig ausgefüllte Referenzangaben werden bei der</t>
  </si>
  <si>
    <t xml:space="preserve">     Es gilt die wertungsrelevante Angebotssumme. Die hier vorgenommenen Aufschlüsselung dient der Angebotsprüfung.</t>
  </si>
  <si>
    <t xml:space="preserve">    mit Nachweisen (Stundenzetteln) wie folgt abgerechnet (-die vorgegebene Stundenzahl dient der Vergleichbarkeit von Angeboten):</t>
  </si>
  <si>
    <t xml:space="preserve">    Zusätzliche Leistungen nach § 51 HOAI, die nicht im Angebotspreis erfasst sind, werden wie in der Leistungsbeschreibung beschrieben,</t>
  </si>
  <si>
    <t xml:space="preserve"> den unten genannten Bürostandort(en) aus tätig:</t>
  </si>
  <si>
    <t xml:space="preserve">     Die hier vorgenommene Abfrage dient der Angebotsplausibilitätsprüfung.</t>
  </si>
  <si>
    <t>Die Einzelpreise der LPHs werden dann über die eingegebenen Prozente automatisch dargestellt. Sofern an den Einzelpreisen der LPHs</t>
  </si>
  <si>
    <t>Veränderungen gewünscht sind, kann dies über die Veränderung der Prozentzahlen erfolgen. Solche Änderungen sollten in einem separaten</t>
  </si>
  <si>
    <t>Schreiben begründet werden.</t>
  </si>
  <si>
    <t>netto Angebotssumme  // Optionen</t>
  </si>
  <si>
    <t xml:space="preserve">(Gesamt II:) netto Angebotssumme (Optionen) inkl. Nebenkosten und Nachlass   </t>
  </si>
  <si>
    <t xml:space="preserve">(Gesamt I:) netto Angebotssumme  // Honorarsumme inkl. Nebenkosten und Nachlass   </t>
  </si>
  <si>
    <t xml:space="preserve">wertungsrelevante Angebotssumme (netto)   </t>
  </si>
  <si>
    <t xml:space="preserve">netto Angebotssumme  // Honorarsumme (Gesamt I.) inkl. Nebenkosten   </t>
  </si>
  <si>
    <t>(Gesamt I:) brutto Angebotssumme  // Honorarsumme</t>
  </si>
  <si>
    <t>§ 75 Abs. 4 der Vergabeverordnung (VgV) für den Vertretungsfall zu benennen. Eine Darstellung der Berufserfahrung in Form eines fachlichen Kurz-</t>
  </si>
  <si>
    <t>zeichnung nachgewiesen werden. Ist in dem Heimatstaat des Bewerbers die Berufsbezeichnung gesetzlich nicht geregelt, so erfüllt  die fachlichen</t>
  </si>
  <si>
    <t>Anforderungen, wer über ein Diplom, Prüfungszeugnis oder sonstigen Befähigungsnachweis verfügt, dessen Anerkennung nach Richtlinie 2005/36/EG</t>
  </si>
  <si>
    <t>des Europäischen Parlaments – Berufsanerkennungsrichtlinie – gewährleistet ist und den Vorgaben des EU-Rates vom 07. September 2005 über die</t>
  </si>
  <si>
    <t xml:space="preserve">Anerkennung von Berufsqualifikationen (ABl. EU Nr. L 255 S.22) entspricht. </t>
  </si>
  <si>
    <t>eine Darstellung der Berufserfahrung in Form eines fachlichen Kurzlebenslaufes liegt bei:</t>
  </si>
  <si>
    <t>Aus Honorarzone, Honorarsatz und prozentualer Abweichung sollte sich auf Grundlage des in der Leistungsbeschreibung angegebenen</t>
  </si>
  <si>
    <t xml:space="preserve">veranschlagten Kostenrahmens der nachfolgend angebotene Honorarpreis ergeben. Die Honorarpreisangabe erfolgt über die Eingabe </t>
  </si>
  <si>
    <t>der Gesamtsumme bei "Zwischensumme (netto)".</t>
  </si>
  <si>
    <t>Stück</t>
  </si>
  <si>
    <t>Europaplatz 1, 44575 Castrop-Rauxel</t>
  </si>
  <si>
    <t>Tragwerksplanung (vgl. § 51 HOAI)</t>
  </si>
  <si>
    <t>Tragwerksplaner/in</t>
  </si>
  <si>
    <t>Tragwerksplaner oder Ingenieure, Bachelor / Master of Science / Engineering</t>
  </si>
  <si>
    <t>ja</t>
  </si>
  <si>
    <t>Schalentragwerk</t>
  </si>
  <si>
    <t>Denkmalschutz</t>
  </si>
  <si>
    <t>Referenzen (Inhalte)</t>
  </si>
  <si>
    <t>=</t>
  </si>
  <si>
    <t xml:space="preserve">Seiltragwerk als Hängekonstruktion (1 Punkt), Sonderbau (kein Brückenbauwerk) (1 Punkt), Leichtbaukonstruktion (1 Punkt), </t>
  </si>
  <si>
    <t>Erfahrung und Bewertung im Bereich Prüfung von Baukonstruktionen (1 Punkt), Schalentragwerk und Denkmalschutz in einer Referenz (1 Punkt)</t>
  </si>
  <si>
    <t>+</t>
  </si>
  <si>
    <t>1 Punkt erfüllt = 1 Punkt</t>
  </si>
  <si>
    <t>2 Punkte erfüllt  = 2 Punkte</t>
  </si>
  <si>
    <t>3 Punkte erfüllt  = 3 Punkte</t>
  </si>
  <si>
    <t>4 Punkte erfüllt  = 4 Punkte</t>
  </si>
  <si>
    <t>5 Punkte erfüllt  = 5 Punkte</t>
  </si>
  <si>
    <t>Referenzen  (Mindestanforderung) = 0 Punkte</t>
  </si>
  <si>
    <t>gültige Referenzen /</t>
  </si>
  <si>
    <t>Referenzpunkte</t>
  </si>
  <si>
    <t xml:space="preserve">   X.
     Punktebewertung</t>
  </si>
  <si>
    <t>Seiltragwerk  (Hängekonstruktion)</t>
  </si>
  <si>
    <t>Sonderbau (kein Brückenbauwerk)</t>
  </si>
  <si>
    <t>Leichtbaukonstruktion</t>
  </si>
  <si>
    <t xml:space="preserve">Schalentragwerk und Denkmalschutz </t>
  </si>
  <si>
    <t xml:space="preserve">Prüfung von Baukonstruktionen </t>
  </si>
  <si>
    <r>
      <t xml:space="preserve">     Für jedes der folgenden Merkmale, die eine Referenz erfüllt, erhält der Bieter einen Punkt:
        + Seiltragwerk als Hängekonstruktion (1P)   
        + Sonderbau (kein Brückenbauwerk) (1P)      
        + Leichtbaukonstruktion (1P)   
        + Erfahrung und Bewertung im Bereich Prüfung von Baukonstruktionen (1P)      
        + Schalentragwerk und Denkmalschutz wurden in einer Referenz erbracht (1P)   
     Insgesamt kann der Bieter bis zu </t>
    </r>
    <r>
      <rPr>
        <b/>
        <sz val="12"/>
        <rFont val="Calibri"/>
        <family val="2"/>
      </rPr>
      <t>5</t>
    </r>
    <r>
      <rPr>
        <sz val="12"/>
        <rFont val="Calibri"/>
        <family val="2"/>
      </rPr>
      <t xml:space="preserve"> Bewertungspunkte erreichen. Die Merkmale müssen nicht in einer Referenz erbracht    
     werden, sondern können in Summe über alle eingereichten Referenzen nachgewiesen werden.</t>
    </r>
  </si>
  <si>
    <t>01</t>
  </si>
  <si>
    <t>02</t>
  </si>
  <si>
    <t>03</t>
  </si>
  <si>
    <t>04</t>
  </si>
  <si>
    <t>05</t>
  </si>
  <si>
    <t>Kurzbericht mit Ergebnisdarstellung der ZfPBau</t>
  </si>
  <si>
    <t>Nachweise zum konstruktiven Brandschutz</t>
  </si>
  <si>
    <t>pro Stück</t>
  </si>
  <si>
    <t xml:space="preserve">Zeichnungen zur bauaufsichtlichen Prüfung </t>
  </si>
  <si>
    <t>Durchführung der Arbeiten vor Ort - Zerstörungsfreie Bauteilprüfung (ZfPBau)
als Tagessatz inkl. Gerätebereitstellung, An- und Abfahrt</t>
  </si>
  <si>
    <t>06a</t>
  </si>
  <si>
    <t>06b</t>
  </si>
  <si>
    <t>Ausführungskontrolle
Termin in Castrop-Rauxel bis zu 2 Stunden vort Ort und inkl. An- und Abfahrt</t>
  </si>
  <si>
    <t>Ausführungskontrolle
Termin in Castrop-Rauxel bis zu 4 Stunden vort Ort und inkl. An- und Abfahrt</t>
  </si>
  <si>
    <t>Teilnahme an Projektbesprechungen (über Grundleistung hinausgehend)
Termin in Castrop-Rauxel bis zu 2 Stunden vort Ort und inkl. An- und Abfahrt</t>
  </si>
  <si>
    <t>Teilnahme an Projektbesprechungen (über Grundleistung hinausgehend)
Termin in Castrop-Rauxel bis zu 4 Stunden vort Ort und inkl. An- und Abfahrt</t>
  </si>
  <si>
    <t>08</t>
  </si>
  <si>
    <t>09</t>
  </si>
  <si>
    <t>Projektleiter je Einsatzstunde 
auf Nachweis für gesonderte Leistungen</t>
  </si>
  <si>
    <t>Projektingenieur je Einsatzstunde
auf Nachweis für gesonderte Leistungen</t>
  </si>
  <si>
    <t>Techniker je Einsatzstunde
auf Nachweis für gesonderte Leistungen</t>
  </si>
  <si>
    <t>Fahrtkilometer je Einsatzstunde
auf Nachweis für gesonderte Leistungen</t>
  </si>
  <si>
    <t>km</t>
  </si>
  <si>
    <t>je km</t>
  </si>
  <si>
    <t>Vergleichsberechnungen</t>
  </si>
  <si>
    <t>07a</t>
  </si>
  <si>
    <t>10</t>
  </si>
  <si>
    <t>11</t>
  </si>
  <si>
    <t>07b</t>
  </si>
  <si>
    <t>nein</t>
  </si>
  <si>
    <t>60-2025-34</t>
  </si>
  <si>
    <t>aus Sicht der AGin erforderlich</t>
  </si>
  <si>
    <t>Das in der Leistungsbeschreibung genannte Fertigstellungsdatum wird als realistisch eingestuft:</t>
  </si>
  <si>
    <t>Anschließend an die Genehmigungsplanung direkte weitere Bearbeitung der darauffolgenden Leistungsphasen (LPH 5-8):</t>
  </si>
  <si>
    <t>Geplante Einreichung der Bauantragsunterlagen beim Bauordnungsamt der Stadt Castrop-Rauxel:</t>
  </si>
  <si>
    <t>I.4 - Referenzen</t>
  </si>
  <si>
    <t>Nummern:</t>
  </si>
  <si>
    <t>Wertungspunkte</t>
  </si>
  <si>
    <r>
      <rPr>
        <u/>
        <sz val="12"/>
        <color theme="1"/>
        <rFont val="Calibri"/>
        <family val="2"/>
      </rPr>
      <t>davon</t>
    </r>
    <r>
      <rPr>
        <sz val="12"/>
        <color theme="1"/>
        <rFont val="Calibri"/>
        <family val="2"/>
      </rPr>
      <t xml:space="preserve"> wurden folgende Referenzen nur teilweise gwertet und zu einer Referenz zusammengefasst:</t>
    </r>
  </si>
  <si>
    <t>1+3</t>
  </si>
  <si>
    <t>Anzahl Referenzpunkte:</t>
  </si>
  <si>
    <t xml:space="preserve">Summe Wertungspunkte:   </t>
  </si>
  <si>
    <t>I. Tragwerksplanung - Sanierung Ratssaal</t>
  </si>
  <si>
    <t xml:space="preserve">(I.) Zwischensumme (netto)   </t>
  </si>
  <si>
    <t xml:space="preserve">(I.) Sanierung Ratssaal - Summe (netto)   </t>
  </si>
  <si>
    <t>Tragwerksplanung: Sanierung des denkmalgeschützten Ratssaals in C-R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</si>
</sst>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quot;"/>
    <numFmt numFmtId="165" formatCode="mm/yyyy"/>
    <numFmt numFmtId="166" formatCode="yyyy"/>
    <numFmt numFmtId="167" formatCode="#,##0.0"/>
    <numFmt numFmtId="168" formatCode="#,##0.000"/>
  </numFmts>
  <fonts count="46" x14ac:knownFonts="1">
    <font>
      <sz val="12"/>
      <color theme="1"/>
      <name val="Calibri"/>
      <family val="2"/>
    </font>
    <font>
      <b/>
      <sz val="12"/>
      <color theme="1"/>
      <name val="Calibri"/>
      <family val="2"/>
    </font>
    <font>
      <b/>
      <sz val="12"/>
      <name val="Calibri"/>
      <family val="2"/>
    </font>
    <font>
      <sz val="12"/>
      <name val="Calibri"/>
      <family val="2"/>
    </font>
    <font>
      <sz val="10"/>
      <color rgb="FF000000"/>
      <name val="Times New Roman"/>
      <family val="1"/>
    </font>
    <font>
      <sz val="10"/>
      <color theme="1"/>
      <name val="Calibri"/>
      <family val="2"/>
    </font>
    <font>
      <b/>
      <sz val="14"/>
      <color rgb="FF244061"/>
      <name val="Calibri"/>
      <family val="2"/>
    </font>
    <font>
      <u/>
      <sz val="12"/>
      <color theme="1"/>
      <name val="Calibri"/>
      <family val="2"/>
    </font>
    <font>
      <sz val="14"/>
      <color rgb="FFFF0000"/>
      <name val="Calibri"/>
      <family val="2"/>
    </font>
    <font>
      <sz val="12"/>
      <name val="Calibri"/>
      <family val="2"/>
      <scheme val="minor"/>
    </font>
    <font>
      <sz val="12"/>
      <color rgb="FF7030A0"/>
      <name val="Calibri"/>
      <family val="2"/>
    </font>
    <font>
      <u/>
      <sz val="12"/>
      <name val="Calibri"/>
      <family val="2"/>
    </font>
    <font>
      <sz val="14"/>
      <color rgb="FF244061"/>
      <name val="Calibri"/>
      <family val="2"/>
    </font>
    <font>
      <sz val="11"/>
      <name val="Calibri"/>
      <family val="2"/>
    </font>
    <font>
      <sz val="12"/>
      <color rgb="FFFF0000"/>
      <name val="Calibri"/>
      <family val="2"/>
    </font>
    <font>
      <b/>
      <sz val="14"/>
      <color rgb="FF002060"/>
      <name val="Calibri"/>
      <family val="2"/>
    </font>
    <font>
      <sz val="12"/>
      <color rgb="FF0070C0"/>
      <name val="Calibri"/>
      <family val="2"/>
    </font>
    <font>
      <sz val="12"/>
      <color rgb="FF00B0F0"/>
      <name val="Calibri"/>
      <family val="2"/>
    </font>
    <font>
      <b/>
      <sz val="14"/>
      <color theme="1"/>
      <name val="Calibri"/>
      <family val="2"/>
    </font>
    <font>
      <sz val="14"/>
      <color theme="1"/>
      <name val="Calibri"/>
      <family val="2"/>
    </font>
    <font>
      <b/>
      <sz val="12"/>
      <color theme="0"/>
      <name val="Calibri"/>
      <family val="2"/>
    </font>
    <font>
      <b/>
      <sz val="12"/>
      <color rgb="FF002060"/>
      <name val="Calibri"/>
      <family val="2"/>
    </font>
    <font>
      <b/>
      <sz val="12"/>
      <color rgb="FF244061"/>
      <name val="Calibri"/>
      <family val="2"/>
    </font>
    <font>
      <sz val="12"/>
      <color theme="0"/>
      <name val="Calibri"/>
      <family val="2"/>
    </font>
    <font>
      <sz val="12"/>
      <color rgb="FFFF0000"/>
      <name val="Calibri"/>
      <family val="2"/>
      <scheme val="minor"/>
    </font>
    <font>
      <b/>
      <u/>
      <sz val="18"/>
      <color rgb="FF244061"/>
      <name val="Calibri"/>
      <family val="2"/>
    </font>
    <font>
      <b/>
      <sz val="18"/>
      <color rgb="FF244061"/>
      <name val="Calibri"/>
      <family val="2"/>
    </font>
    <font>
      <b/>
      <u/>
      <sz val="12"/>
      <color rgb="FF7030A0"/>
      <name val="Calibri"/>
      <family val="2"/>
    </font>
    <font>
      <sz val="12"/>
      <color theme="1"/>
      <name val="Calibri"/>
      <family val="2"/>
      <scheme val="minor"/>
    </font>
    <font>
      <b/>
      <sz val="12"/>
      <color rgb="FF7030A0"/>
      <name val="Calibri"/>
      <family val="2"/>
      <scheme val="minor"/>
    </font>
    <font>
      <b/>
      <sz val="12"/>
      <color theme="1"/>
      <name val="Calibri"/>
      <family val="2"/>
      <scheme val="minor"/>
    </font>
    <font>
      <u/>
      <sz val="12"/>
      <color theme="1"/>
      <name val="Calibri"/>
      <family val="2"/>
      <scheme val="minor"/>
    </font>
    <font>
      <b/>
      <sz val="12"/>
      <name val="Calibri"/>
      <family val="2"/>
      <scheme val="minor"/>
    </font>
    <font>
      <b/>
      <sz val="13"/>
      <color rgb="FF002060"/>
      <name val="Calibri"/>
      <family val="2"/>
    </font>
    <font>
      <b/>
      <sz val="14"/>
      <color rgb="FF7030A0"/>
      <name val="Calibri"/>
      <family val="2"/>
      <scheme val="minor"/>
    </font>
    <font>
      <b/>
      <sz val="12"/>
      <color rgb="FF1D4972"/>
      <name val="Calibri"/>
      <family val="2"/>
    </font>
    <font>
      <b/>
      <u/>
      <sz val="14"/>
      <color rgb="FF1D4972"/>
      <name val="Calibri"/>
      <family val="2"/>
    </font>
    <font>
      <b/>
      <u/>
      <sz val="14"/>
      <color rgb="FF002060"/>
      <name val="Calibri"/>
      <family val="2"/>
    </font>
    <font>
      <u/>
      <sz val="14"/>
      <color rgb="FF002060"/>
      <name val="Calibri"/>
      <family val="2"/>
    </font>
    <font>
      <sz val="12"/>
      <color theme="0"/>
      <name val="Calibri"/>
      <family val="2"/>
      <scheme val="minor"/>
    </font>
    <font>
      <i/>
      <sz val="12"/>
      <name val="Calibri"/>
      <family val="2"/>
    </font>
    <font>
      <b/>
      <sz val="13"/>
      <color theme="0"/>
      <name val="Calibri"/>
      <family val="2"/>
    </font>
    <font>
      <sz val="12"/>
      <color rgb="FF244061"/>
      <name val="Calibri"/>
      <family val="2"/>
    </font>
    <font>
      <b/>
      <u/>
      <sz val="12"/>
      <color theme="1"/>
      <name val="Calibri"/>
      <family val="2"/>
    </font>
    <font>
      <sz val="11"/>
      <color theme="0"/>
      <name val="Calibri"/>
      <family val="2"/>
      <scheme val="minor"/>
    </font>
    <font>
      <b/>
      <sz val="12"/>
      <color theme="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rgb="FF1D4972"/>
        <bgColor indexed="64"/>
      </patternFill>
    </fill>
    <fill>
      <patternFill patternType="solid">
        <fgColor rgb="FFFDC73D"/>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ck">
        <color rgb="FF1D4972"/>
      </left>
      <right style="thick">
        <color rgb="FF1D4972"/>
      </right>
      <top style="thick">
        <color rgb="FF1D4972"/>
      </top>
      <bottom style="thick">
        <color rgb="FF1D4972"/>
      </bottom>
      <diagonal/>
    </border>
    <border>
      <left style="thick">
        <color rgb="FF1D4972"/>
      </left>
      <right/>
      <top style="thick">
        <color rgb="FF1D4972"/>
      </top>
      <bottom style="thick">
        <color rgb="FF1D4972"/>
      </bottom>
      <diagonal/>
    </border>
    <border>
      <left/>
      <right/>
      <top style="thick">
        <color rgb="FF1D4972"/>
      </top>
      <bottom style="thick">
        <color rgb="FF1D4972"/>
      </bottom>
      <diagonal/>
    </border>
    <border>
      <left/>
      <right style="thick">
        <color rgb="FF1D4972"/>
      </right>
      <top style="thick">
        <color rgb="FF1D4972"/>
      </top>
      <bottom style="thick">
        <color rgb="FF1D497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rgb="FF1D4972"/>
      </left>
      <right/>
      <top style="thin">
        <color rgb="FF1D4972"/>
      </top>
      <bottom style="thin">
        <color rgb="FF1D4972"/>
      </bottom>
      <diagonal/>
    </border>
    <border>
      <left/>
      <right/>
      <top style="thin">
        <color rgb="FF1D4972"/>
      </top>
      <bottom style="thin">
        <color rgb="FF1D4972"/>
      </bottom>
      <diagonal/>
    </border>
    <border>
      <left/>
      <right style="thick">
        <color rgb="FF1D4972"/>
      </right>
      <top style="thin">
        <color rgb="FF1D4972"/>
      </top>
      <bottom style="thin">
        <color rgb="FF1D4972"/>
      </bottom>
      <diagonal/>
    </border>
    <border>
      <left style="thick">
        <color rgb="FF1D4972"/>
      </left>
      <right/>
      <top style="thick">
        <color rgb="FF1D4972"/>
      </top>
      <bottom/>
      <diagonal/>
    </border>
    <border>
      <left/>
      <right/>
      <top style="thick">
        <color rgb="FF1D4972"/>
      </top>
      <bottom/>
      <diagonal/>
    </border>
    <border>
      <left/>
      <right style="thick">
        <color rgb="FF1D4972"/>
      </right>
      <top style="thick">
        <color rgb="FF1D4972"/>
      </top>
      <bottom/>
      <diagonal/>
    </border>
  </borders>
  <cellStyleXfs count="2">
    <xf numFmtId="0" fontId="0" fillId="0" borderId="0"/>
    <xf numFmtId="0" fontId="4" fillId="0" borderId="0"/>
  </cellStyleXfs>
  <cellXfs count="404">
    <xf numFmtId="0" fontId="0" fillId="0" borderId="0" xfId="0"/>
    <xf numFmtId="0" fontId="0" fillId="2" borderId="0" xfId="0" applyFill="1"/>
    <xf numFmtId="49" fontId="5" fillId="2" borderId="0" xfId="0" applyNumberFormat="1" applyFont="1" applyFill="1"/>
    <xf numFmtId="49" fontId="6" fillId="2" borderId="0" xfId="0" applyNumberFormat="1" applyFont="1" applyFill="1"/>
    <xf numFmtId="49" fontId="3" fillId="2" borderId="0" xfId="0" applyNumberFormat="1" applyFont="1" applyFill="1"/>
    <xf numFmtId="49" fontId="0" fillId="2" borderId="0" xfId="0" applyNumberFormat="1" applyFill="1"/>
    <xf numFmtId="0" fontId="2" fillId="2" borderId="0" xfId="0" applyFont="1" applyFill="1"/>
    <xf numFmtId="0" fontId="0" fillId="2" borderId="0" xfId="0" applyFill="1" applyAlignment="1">
      <alignment vertical="top"/>
    </xf>
    <xf numFmtId="0" fontId="6" fillId="2" borderId="6" xfId="0" applyFont="1" applyFill="1" applyBorder="1" applyAlignment="1">
      <alignment horizontal="right"/>
    </xf>
    <xf numFmtId="0" fontId="3" fillId="2" borderId="6" xfId="0" applyFont="1" applyFill="1" applyBorder="1" applyAlignment="1">
      <alignment horizontal="right" vertical="center"/>
    </xf>
    <xf numFmtId="0" fontId="6" fillId="2" borderId="0" xfId="0" applyFont="1" applyFill="1"/>
    <xf numFmtId="0" fontId="9" fillId="2" borderId="0" xfId="0" applyFont="1" applyFill="1"/>
    <xf numFmtId="0" fontId="3" fillId="2" borderId="0" xfId="0" applyFont="1" applyFill="1"/>
    <xf numFmtId="0" fontId="2" fillId="2" borderId="0" xfId="0" applyFont="1" applyFill="1" applyAlignment="1">
      <alignment horizontal="left" vertical="top" indent="1"/>
    </xf>
    <xf numFmtId="0" fontId="1" fillId="2" borderId="3" xfId="0" applyFont="1" applyFill="1" applyBorder="1" applyAlignment="1">
      <alignment vertical="top" wrapText="1"/>
    </xf>
    <xf numFmtId="0" fontId="1" fillId="2" borderId="1" xfId="0" applyFont="1" applyFill="1" applyBorder="1" applyAlignment="1">
      <alignment vertical="top" wrapText="1"/>
    </xf>
    <xf numFmtId="0" fontId="3" fillId="4" borderId="1" xfId="0" applyFont="1" applyFill="1" applyBorder="1" applyAlignment="1" applyProtection="1">
      <alignment vertical="center"/>
      <protection locked="0"/>
    </xf>
    <xf numFmtId="0" fontId="11" fillId="2" borderId="0" xfId="0" applyFont="1" applyFill="1"/>
    <xf numFmtId="0" fontId="0" fillId="2" borderId="6" xfId="0" applyFill="1" applyBorder="1" applyAlignment="1">
      <alignment horizontal="right" vertical="center"/>
    </xf>
    <xf numFmtId="0" fontId="0" fillId="2" borderId="0" xfId="0" applyFill="1" applyAlignment="1">
      <alignment horizontal="right"/>
    </xf>
    <xf numFmtId="0" fontId="1" fillId="2" borderId="0" xfId="0" applyFont="1" applyFill="1" applyAlignment="1">
      <alignment horizontal="right" vertical="center"/>
    </xf>
    <xf numFmtId="164" fontId="1" fillId="2" borderId="0" xfId="0" applyNumberFormat="1" applyFont="1" applyFill="1" applyAlignment="1">
      <alignment horizontal="center" vertical="center"/>
    </xf>
    <xf numFmtId="0" fontId="19" fillId="3" borderId="0" xfId="0" applyFont="1" applyFill="1" applyAlignment="1" applyProtection="1">
      <alignment horizontal="center" vertical="center"/>
      <protection locked="0"/>
    </xf>
    <xf numFmtId="0" fontId="10" fillId="2" borderId="0" xfId="0" applyFont="1" applyFill="1"/>
    <xf numFmtId="0" fontId="6" fillId="2" borderId="6" xfId="0" applyFont="1" applyFill="1" applyBorder="1"/>
    <xf numFmtId="0" fontId="1" fillId="2" borderId="1" xfId="0" applyFont="1" applyFill="1" applyBorder="1" applyAlignment="1">
      <alignment horizontal="center" vertical="top"/>
    </xf>
    <xf numFmtId="0" fontId="3" fillId="2" borderId="9" xfId="0" applyFont="1" applyFill="1" applyBorder="1" applyAlignment="1">
      <alignment horizontal="center" vertical="center"/>
    </xf>
    <xf numFmtId="0" fontId="13" fillId="2" borderId="8" xfId="0" applyFont="1" applyFill="1" applyBorder="1" applyAlignment="1">
      <alignment horizontal="center" vertical="center"/>
    </xf>
    <xf numFmtId="164" fontId="1" fillId="2" borderId="1" xfId="0" applyNumberFormat="1" applyFont="1" applyFill="1" applyBorder="1" applyAlignment="1">
      <alignment horizontal="center" vertical="center"/>
    </xf>
    <xf numFmtId="0" fontId="0" fillId="2" borderId="0" xfId="0" applyFill="1" applyAlignment="1">
      <alignment vertical="center"/>
    </xf>
    <xf numFmtId="0" fontId="3" fillId="2" borderId="0" xfId="0" applyFont="1" applyFill="1" applyAlignment="1">
      <alignment vertical="center"/>
    </xf>
    <xf numFmtId="0" fontId="14" fillId="4" borderId="1" xfId="0" applyFont="1" applyFill="1" applyBorder="1" applyAlignment="1" applyProtection="1">
      <alignment horizontal="center" vertical="center" wrapText="1"/>
      <protection locked="0"/>
    </xf>
    <xf numFmtId="49" fontId="3" fillId="4" borderId="1" xfId="0" applyNumberFormat="1" applyFont="1" applyFill="1" applyBorder="1" applyAlignment="1" applyProtection="1">
      <alignment horizontal="left" vertical="center" wrapText="1"/>
      <protection locked="0"/>
    </xf>
    <xf numFmtId="164" fontId="14" fillId="4" borderId="1" xfId="0" applyNumberFormat="1" applyFont="1" applyFill="1" applyBorder="1" applyAlignment="1" applyProtection="1">
      <alignment horizontal="center" vertical="center" wrapText="1"/>
      <protection locked="0"/>
    </xf>
    <xf numFmtId="49" fontId="14" fillId="4" borderId="1" xfId="0" applyNumberFormat="1" applyFont="1" applyFill="1" applyBorder="1" applyAlignment="1" applyProtection="1">
      <alignment horizontal="left" vertical="center" wrapText="1"/>
      <protection locked="0"/>
    </xf>
    <xf numFmtId="165" fontId="14" fillId="4" borderId="4" xfId="0" applyNumberFormat="1" applyFont="1" applyFill="1" applyBorder="1" applyAlignment="1" applyProtection="1">
      <alignment horizontal="center" vertical="center" wrapText="1"/>
      <protection locked="0"/>
    </xf>
    <xf numFmtId="0" fontId="6" fillId="2" borderId="6" xfId="0" applyFont="1" applyFill="1" applyBorder="1" applyAlignment="1">
      <alignment horizontal="center"/>
    </xf>
    <xf numFmtId="0" fontId="3" fillId="2" borderId="6" xfId="0" applyFont="1" applyFill="1" applyBorder="1" applyAlignment="1">
      <alignment horizontal="center" vertical="center"/>
    </xf>
    <xf numFmtId="0" fontId="9" fillId="2" borderId="0" xfId="0" applyFont="1" applyFill="1" applyAlignment="1">
      <alignment vertical="center"/>
    </xf>
    <xf numFmtId="0" fontId="9" fillId="2" borderId="0" xfId="0" applyFont="1" applyFill="1" applyAlignment="1">
      <alignment horizontal="right" vertical="center"/>
    </xf>
    <xf numFmtId="10" fontId="3" fillId="4" borderId="1" xfId="0" applyNumberFormat="1" applyFont="1" applyFill="1" applyBorder="1" applyAlignment="1" applyProtection="1">
      <alignment horizontal="center" vertical="center"/>
      <protection locked="0"/>
    </xf>
    <xf numFmtId="49" fontId="3" fillId="2" borderId="0" xfId="0" applyNumberFormat="1" applyFont="1" applyFill="1" applyAlignment="1">
      <alignment vertical="center"/>
    </xf>
    <xf numFmtId="0" fontId="3" fillId="4" borderId="0" xfId="0" applyFont="1" applyFill="1" applyAlignment="1" applyProtection="1">
      <alignment horizontal="center" vertical="center"/>
      <protection locked="0"/>
    </xf>
    <xf numFmtId="0" fontId="11" fillId="2" borderId="0" xfId="0" applyFont="1" applyFill="1" applyAlignment="1">
      <alignment vertical="center"/>
    </xf>
    <xf numFmtId="0" fontId="2" fillId="2" borderId="0" xfId="0" applyFont="1" applyFill="1" applyAlignment="1">
      <alignment vertical="center"/>
    </xf>
    <xf numFmtId="0" fontId="0" fillId="0" borderId="0" xfId="0" applyAlignment="1">
      <alignment vertical="center"/>
    </xf>
    <xf numFmtId="0" fontId="28" fillId="2" borderId="16" xfId="0" applyFont="1" applyFill="1" applyBorder="1" applyAlignment="1" applyProtection="1">
      <alignment horizontal="center" vertical="center"/>
      <protection locked="0"/>
    </xf>
    <xf numFmtId="164" fontId="28" fillId="2" borderId="16" xfId="0" applyNumberFormat="1" applyFont="1" applyFill="1" applyBorder="1" applyAlignment="1" applyProtection="1">
      <alignment horizontal="center" vertical="center"/>
      <protection locked="0"/>
    </xf>
    <xf numFmtId="167" fontId="28" fillId="2" borderId="16" xfId="0" applyNumberFormat="1" applyFont="1" applyFill="1" applyBorder="1" applyAlignment="1" applyProtection="1">
      <alignment horizontal="center" vertical="center"/>
      <protection locked="0"/>
    </xf>
    <xf numFmtId="14" fontId="28" fillId="2" borderId="16" xfId="0" applyNumberFormat="1" applyFont="1" applyFill="1" applyBorder="1" applyAlignment="1" applyProtection="1">
      <alignment horizontal="center" vertical="center"/>
      <protection locked="0"/>
    </xf>
    <xf numFmtId="0" fontId="1" fillId="2" borderId="15" xfId="0" applyFont="1" applyFill="1" applyBorder="1" applyAlignment="1">
      <alignment vertical="top" wrapText="1"/>
    </xf>
    <xf numFmtId="0" fontId="23" fillId="2" borderId="0" xfId="0" applyFont="1" applyFill="1"/>
    <xf numFmtId="0" fontId="24" fillId="4" borderId="1" xfId="0" applyFont="1" applyFill="1" applyBorder="1" applyAlignment="1" applyProtection="1">
      <alignment horizontal="right" vertical="center"/>
      <protection locked="0"/>
    </xf>
    <xf numFmtId="164" fontId="0" fillId="2" borderId="1" xfId="0" applyNumberFormat="1" applyFill="1" applyBorder="1" applyAlignment="1">
      <alignment horizontal="center" vertical="center"/>
    </xf>
    <xf numFmtId="0" fontId="0" fillId="2" borderId="0" xfId="0" applyFill="1" applyAlignment="1">
      <alignment horizontal="left" vertical="center"/>
    </xf>
    <xf numFmtId="0" fontId="3" fillId="2" borderId="0" xfId="0" applyFont="1" applyFill="1" applyAlignment="1">
      <alignment horizontal="left" vertical="center"/>
    </xf>
    <xf numFmtId="0" fontId="14" fillId="2" borderId="4" xfId="0" applyFont="1" applyFill="1" applyBorder="1" applyAlignment="1">
      <alignment horizontal="left" vertical="center" wrapText="1"/>
    </xf>
    <xf numFmtId="0" fontId="3" fillId="2" borderId="8" xfId="0" applyFont="1" applyFill="1" applyBorder="1" applyAlignment="1">
      <alignment horizontal="left" vertical="center"/>
    </xf>
    <xf numFmtId="0" fontId="14" fillId="2" borderId="3" xfId="0" applyFont="1" applyFill="1" applyBorder="1" applyAlignment="1">
      <alignment horizontal="left" vertical="center" wrapText="1"/>
    </xf>
    <xf numFmtId="0" fontId="14" fillId="2" borderId="1" xfId="0" applyFont="1" applyFill="1" applyBorder="1" applyAlignment="1">
      <alignment horizontal="left" vertical="center" wrapText="1"/>
    </xf>
    <xf numFmtId="14" fontId="3" fillId="2" borderId="8" xfId="0" applyNumberFormat="1" applyFont="1" applyFill="1" applyBorder="1" applyAlignment="1">
      <alignment horizontal="left" vertical="center"/>
    </xf>
    <xf numFmtId="0" fontId="3" fillId="2" borderId="7" xfId="0" applyFont="1" applyFill="1" applyBorder="1" applyAlignment="1">
      <alignment horizontal="left" vertical="center"/>
    </xf>
    <xf numFmtId="0" fontId="14" fillId="2" borderId="1" xfId="0" applyFont="1" applyFill="1" applyBorder="1" applyAlignment="1">
      <alignment horizontal="center" vertical="center" wrapText="1"/>
    </xf>
    <xf numFmtId="164" fontId="3" fillId="4" borderId="1" xfId="0" applyNumberFormat="1" applyFont="1" applyFill="1" applyBorder="1" applyAlignment="1" applyProtection="1">
      <alignment horizontal="center" vertical="center" wrapText="1"/>
      <protection locked="0"/>
    </xf>
    <xf numFmtId="0" fontId="3" fillId="2" borderId="3" xfId="0" applyFont="1" applyFill="1" applyBorder="1" applyAlignment="1">
      <alignment horizontal="left" vertical="center" wrapText="1"/>
    </xf>
    <xf numFmtId="0" fontId="3" fillId="2" borderId="7" xfId="0" applyFont="1" applyFill="1" applyBorder="1" applyAlignment="1">
      <alignment horizontal="center" vertical="center"/>
    </xf>
    <xf numFmtId="0" fontId="14" fillId="2" borderId="5" xfId="0" applyFont="1" applyFill="1" applyBorder="1" applyAlignment="1">
      <alignment horizontal="center" vertical="center" wrapText="1"/>
    </xf>
    <xf numFmtId="0" fontId="3" fillId="2" borderId="4" xfId="0" applyFont="1" applyFill="1" applyBorder="1" applyAlignment="1">
      <alignment horizontal="left" vertical="center"/>
    </xf>
    <xf numFmtId="0" fontId="14" fillId="2" borderId="4" xfId="0" applyFont="1" applyFill="1" applyBorder="1" applyAlignment="1">
      <alignment horizontal="center" vertical="center" wrapText="1"/>
    </xf>
    <xf numFmtId="0" fontId="3" fillId="2" borderId="4" xfId="0" applyFont="1" applyFill="1" applyBorder="1" applyAlignment="1">
      <alignment horizontal="left" vertical="center" wrapText="1"/>
    </xf>
    <xf numFmtId="49" fontId="3" fillId="2" borderId="4" xfId="0" applyNumberFormat="1" applyFont="1" applyFill="1" applyBorder="1" applyAlignment="1">
      <alignment horizontal="center" vertical="center" wrapText="1"/>
    </xf>
    <xf numFmtId="0" fontId="3" fillId="2" borderId="3" xfId="0" applyFont="1" applyFill="1" applyBorder="1" applyAlignment="1">
      <alignment horizontal="left" vertical="center"/>
    </xf>
    <xf numFmtId="165" fontId="3" fillId="2" borderId="4" xfId="0" applyNumberFormat="1" applyFont="1" applyFill="1" applyBorder="1" applyAlignment="1">
      <alignment horizontal="left" vertical="center" wrapText="1"/>
    </xf>
    <xf numFmtId="0" fontId="3" fillId="2" borderId="0" xfId="0" applyFont="1" applyFill="1" applyAlignment="1">
      <alignment horizontal="left" vertical="top"/>
    </xf>
    <xf numFmtId="0" fontId="2" fillId="2" borderId="7" xfId="0" applyFont="1" applyFill="1" applyBorder="1" applyAlignment="1">
      <alignment horizontal="left" vertical="top"/>
    </xf>
    <xf numFmtId="0" fontId="2" fillId="2" borderId="7" xfId="0" applyFont="1" applyFill="1" applyBorder="1" applyAlignment="1">
      <alignment horizontal="left" vertical="top" wrapText="1"/>
    </xf>
    <xf numFmtId="0" fontId="2" fillId="2" borderId="0" xfId="0" applyFont="1" applyFill="1" applyAlignment="1">
      <alignment horizontal="left" vertical="center"/>
    </xf>
    <xf numFmtId="0" fontId="0" fillId="2" borderId="0" xfId="0" applyFill="1" applyAlignment="1">
      <alignment horizontal="left" vertical="center" wrapText="1"/>
    </xf>
    <xf numFmtId="49" fontId="22" fillId="2" borderId="0" xfId="0" applyNumberFormat="1" applyFont="1" applyFill="1" applyAlignment="1">
      <alignment horizontal="left" vertical="center"/>
    </xf>
    <xf numFmtId="49" fontId="3" fillId="2" borderId="0" xfId="0" applyNumberFormat="1" applyFont="1" applyFill="1" applyAlignment="1">
      <alignment vertical="top" wrapText="1"/>
    </xf>
    <xf numFmtId="0" fontId="23" fillId="2" borderId="0" xfId="0" applyFont="1" applyFill="1" applyAlignment="1">
      <alignment horizontal="right" vertical="center"/>
    </xf>
    <xf numFmtId="0" fontId="23" fillId="2" borderId="0" xfId="0" applyFont="1" applyFill="1" applyAlignment="1">
      <alignment horizontal="left" vertical="center" wrapText="1"/>
    </xf>
    <xf numFmtId="49" fontId="20" fillId="2" borderId="0" xfId="0" applyNumberFormat="1" applyFont="1" applyFill="1" applyAlignment="1">
      <alignment horizontal="left" vertical="center"/>
    </xf>
    <xf numFmtId="0" fontId="23" fillId="2" borderId="0" xfId="0" applyFont="1" applyFill="1" applyAlignment="1">
      <alignment horizontal="left" vertical="center"/>
    </xf>
    <xf numFmtId="0" fontId="23" fillId="2" borderId="0" xfId="0" applyFont="1" applyFill="1" applyAlignment="1">
      <alignment horizontal="center" vertical="center"/>
    </xf>
    <xf numFmtId="4" fontId="23" fillId="2" borderId="0" xfId="0" applyNumberFormat="1" applyFont="1" applyFill="1" applyAlignment="1">
      <alignment horizontal="left" vertical="center"/>
    </xf>
    <xf numFmtId="14" fontId="20" fillId="2" borderId="0" xfId="0" applyNumberFormat="1" applyFont="1" applyFill="1" applyAlignment="1">
      <alignment horizontal="left" vertical="top"/>
    </xf>
    <xf numFmtId="0" fontId="20" fillId="2" borderId="0" xfId="0" applyFont="1" applyFill="1" applyAlignment="1">
      <alignment horizontal="left" vertical="center"/>
    </xf>
    <xf numFmtId="0" fontId="21" fillId="2" borderId="0" xfId="0" applyFont="1" applyFill="1" applyAlignment="1">
      <alignment horizontal="left" vertical="center"/>
    </xf>
    <xf numFmtId="49" fontId="21" fillId="2" borderId="0" xfId="0" applyNumberFormat="1" applyFont="1" applyFill="1" applyAlignment="1">
      <alignment horizontal="left" vertical="center" wrapText="1"/>
    </xf>
    <xf numFmtId="0" fontId="15" fillId="2" borderId="0" xfId="0" applyFont="1" applyFill="1" applyAlignment="1">
      <alignment horizontal="left"/>
    </xf>
    <xf numFmtId="49" fontId="0" fillId="2" borderId="0" xfId="0" applyNumberFormat="1" applyFill="1" applyAlignment="1">
      <alignment horizontal="left" vertical="center"/>
    </xf>
    <xf numFmtId="0" fontId="0" fillId="2" borderId="0" xfId="0" applyFill="1" applyAlignment="1">
      <alignment horizontal="center"/>
    </xf>
    <xf numFmtId="0" fontId="0" fillId="2" borderId="0" xfId="0" applyFill="1" applyAlignment="1">
      <alignment horizontal="right" vertical="center"/>
    </xf>
    <xf numFmtId="0" fontId="18" fillId="2" borderId="0" xfId="0" applyFont="1" applyFill="1"/>
    <xf numFmtId="9" fontId="0" fillId="2" borderId="1" xfId="0" applyNumberFormat="1" applyFill="1" applyBorder="1" applyAlignment="1">
      <alignment horizontal="center" vertical="center"/>
    </xf>
    <xf numFmtId="0" fontId="7" fillId="2" borderId="0" xfId="0" applyFont="1" applyFill="1" applyAlignment="1">
      <alignment vertical="top"/>
    </xf>
    <xf numFmtId="49" fontId="7" fillId="2" borderId="0" xfId="0" applyNumberFormat="1" applyFont="1" applyFill="1" applyAlignment="1">
      <alignment vertical="top"/>
    </xf>
    <xf numFmtId="0" fontId="16" fillId="2" borderId="0" xfId="0" applyFont="1" applyFill="1"/>
    <xf numFmtId="164" fontId="2" fillId="2" borderId="0" xfId="0" applyNumberFormat="1" applyFont="1" applyFill="1" applyAlignment="1">
      <alignment horizontal="center" vertical="center"/>
    </xf>
    <xf numFmtId="0" fontId="11" fillId="2" borderId="0" xfId="0" applyFont="1" applyFill="1" applyAlignment="1">
      <alignment vertical="top"/>
    </xf>
    <xf numFmtId="49" fontId="11" fillId="2" borderId="0" xfId="0" applyNumberFormat="1" applyFont="1" applyFill="1" applyAlignment="1">
      <alignment vertical="top"/>
    </xf>
    <xf numFmtId="0" fontId="17" fillId="2" borderId="0" xfId="0" applyFont="1" applyFill="1"/>
    <xf numFmtId="0" fontId="2" fillId="2" borderId="0" xfId="0" applyFont="1" applyFill="1" applyAlignment="1">
      <alignment horizontal="right" vertical="center"/>
    </xf>
    <xf numFmtId="164" fontId="3" fillId="2" borderId="5" xfId="0" applyNumberFormat="1" applyFont="1" applyFill="1" applyBorder="1" applyAlignment="1">
      <alignment vertical="center"/>
    </xf>
    <xf numFmtId="164" fontId="3" fillId="2" borderId="3" xfId="0" applyNumberFormat="1" applyFont="1" applyFill="1" applyBorder="1" applyAlignment="1">
      <alignment vertical="center"/>
    </xf>
    <xf numFmtId="0" fontId="2" fillId="2" borderId="7" xfId="0" applyFont="1" applyFill="1" applyBorder="1" applyAlignment="1">
      <alignment horizontal="center" vertical="center"/>
    </xf>
    <xf numFmtId="164" fontId="3" fillId="2" borderId="11" xfId="0" applyNumberFormat="1" applyFont="1" applyFill="1" applyBorder="1" applyAlignment="1">
      <alignment vertical="center"/>
    </xf>
    <xf numFmtId="164" fontId="3" fillId="2" borderId="12" xfId="0" applyNumberFormat="1" applyFont="1" applyFill="1" applyBorder="1" applyAlignment="1">
      <alignment vertical="center"/>
    </xf>
    <xf numFmtId="0" fontId="3" fillId="2" borderId="11" xfId="0" applyFont="1" applyFill="1" applyBorder="1" applyAlignment="1">
      <alignment vertical="center"/>
    </xf>
    <xf numFmtId="0" fontId="3" fillId="2" borderId="12" xfId="0" applyFont="1" applyFill="1" applyBorder="1" applyAlignment="1">
      <alignment vertical="center"/>
    </xf>
    <xf numFmtId="49" fontId="11" fillId="2" borderId="0" xfId="0" applyNumberFormat="1" applyFont="1" applyFill="1"/>
    <xf numFmtId="49" fontId="7" fillId="2" borderId="0" xfId="0" applyNumberFormat="1" applyFont="1" applyFill="1"/>
    <xf numFmtId="0" fontId="2" fillId="2" borderId="0" xfId="0" applyFont="1" applyFill="1" applyAlignment="1">
      <alignment vertical="top"/>
    </xf>
    <xf numFmtId="0" fontId="2" fillId="2" borderId="0" xfId="0" applyFont="1" applyFill="1" applyAlignment="1">
      <alignment horizontal="center" vertical="center"/>
    </xf>
    <xf numFmtId="14" fontId="3" fillId="2" borderId="0" xfId="0" applyNumberFormat="1" applyFont="1" applyFill="1" applyAlignment="1">
      <alignment horizontal="center" vertical="center"/>
    </xf>
    <xf numFmtId="0" fontId="3" fillId="2" borderId="0" xfId="0" applyFont="1" applyFill="1" applyAlignment="1">
      <alignment vertical="top"/>
    </xf>
    <xf numFmtId="0" fontId="3" fillId="2" borderId="0" xfId="0" applyFont="1" applyFill="1" applyAlignment="1">
      <alignment vertical="top" wrapText="1"/>
    </xf>
    <xf numFmtId="0" fontId="3" fillId="2" borderId="13" xfId="0" applyFont="1" applyFill="1" applyBorder="1" applyAlignment="1">
      <alignment vertical="top" wrapText="1"/>
    </xf>
    <xf numFmtId="0" fontId="1" fillId="2" borderId="0" xfId="0" applyFont="1" applyFill="1" applyAlignment="1">
      <alignment vertical="top"/>
    </xf>
    <xf numFmtId="0" fontId="1" fillId="2" borderId="0" xfId="0" applyFont="1" applyFill="1" applyAlignment="1">
      <alignment vertical="top" wrapText="1"/>
    </xf>
    <xf numFmtId="0" fontId="20" fillId="2" borderId="0" xfId="0" applyFont="1" applyFill="1" applyAlignment="1">
      <alignment vertical="top" wrapText="1"/>
    </xf>
    <xf numFmtId="0" fontId="3" fillId="2" borderId="0" xfId="0" applyFont="1" applyFill="1" applyAlignment="1">
      <alignment horizontal="center" vertical="center"/>
    </xf>
    <xf numFmtId="0" fontId="8" fillId="2" borderId="0" xfId="0" applyFont="1" applyFill="1" applyAlignment="1">
      <alignment vertical="center"/>
    </xf>
    <xf numFmtId="0" fontId="14" fillId="0" borderId="0" xfId="0" applyFont="1" applyAlignment="1">
      <alignment horizontal="left" vertical="top"/>
    </xf>
    <xf numFmtId="164" fontId="0" fillId="2" borderId="0" xfId="0" applyNumberFormat="1" applyFill="1"/>
    <xf numFmtId="0" fontId="12" fillId="2" borderId="0" xfId="0" applyFont="1" applyFill="1"/>
    <xf numFmtId="0" fontId="23" fillId="2" borderId="0" xfId="0" applyFont="1" applyFill="1" applyAlignment="1">
      <alignment vertical="center"/>
    </xf>
    <xf numFmtId="0" fontId="23" fillId="2" borderId="0" xfId="0" applyFont="1" applyFill="1" applyAlignment="1">
      <alignment vertical="top"/>
    </xf>
    <xf numFmtId="0" fontId="14" fillId="2" borderId="0" xfId="0" applyFont="1" applyFill="1" applyAlignment="1">
      <alignment horizontal="left" vertical="top"/>
    </xf>
    <xf numFmtId="0" fontId="28" fillId="2" borderId="0" xfId="0" applyFont="1" applyFill="1"/>
    <xf numFmtId="0" fontId="28" fillId="2" borderId="0" xfId="0" applyFont="1" applyFill="1" applyAlignment="1">
      <alignment vertical="center"/>
    </xf>
    <xf numFmtId="0" fontId="29" fillId="2" borderId="0" xfId="0" applyFont="1" applyFill="1" applyAlignment="1">
      <alignment horizontal="left" vertical="center"/>
    </xf>
    <xf numFmtId="0" fontId="28" fillId="2" borderId="0" xfId="0" applyFont="1" applyFill="1" applyAlignment="1" applyProtection="1">
      <alignment horizontal="center" vertical="center"/>
      <protection locked="0"/>
    </xf>
    <xf numFmtId="0" fontId="34" fillId="2" borderId="0" xfId="0" applyFont="1" applyFill="1" applyAlignment="1">
      <alignment vertical="center"/>
    </xf>
    <xf numFmtId="0" fontId="28" fillId="2" borderId="0" xfId="0" applyFont="1" applyFill="1" applyAlignment="1">
      <alignment horizontal="center" vertical="center"/>
    </xf>
    <xf numFmtId="0" fontId="28" fillId="2" borderId="0" xfId="0" applyFont="1" applyFill="1" applyAlignment="1">
      <alignment horizontal="right" vertical="center"/>
    </xf>
    <xf numFmtId="0" fontId="30" fillId="2" borderId="0" xfId="0" applyFont="1" applyFill="1" applyAlignment="1">
      <alignment vertical="center"/>
    </xf>
    <xf numFmtId="0" fontId="29" fillId="2" borderId="0" xfId="0" applyFont="1" applyFill="1" applyAlignment="1">
      <alignment vertical="center"/>
    </xf>
    <xf numFmtId="0" fontId="32" fillId="2" borderId="0" xfId="0" applyFont="1" applyFill="1" applyAlignment="1">
      <alignment vertical="center"/>
    </xf>
    <xf numFmtId="0" fontId="31" fillId="2" borderId="0" xfId="0" applyFont="1" applyFill="1" applyAlignment="1">
      <alignment vertical="center"/>
    </xf>
    <xf numFmtId="0" fontId="28" fillId="2" borderId="0" xfId="0" applyFont="1" applyFill="1" applyAlignment="1">
      <alignment horizontal="left" vertical="center"/>
    </xf>
    <xf numFmtId="49" fontId="0" fillId="2" borderId="0" xfId="0" applyNumberFormat="1" applyFill="1" applyAlignment="1">
      <alignment vertical="center"/>
    </xf>
    <xf numFmtId="0" fontId="27" fillId="2" borderId="0" xfId="0" applyFont="1" applyFill="1" applyAlignment="1">
      <alignment horizontal="left" vertical="center"/>
    </xf>
    <xf numFmtId="0" fontId="2" fillId="2" borderId="8" xfId="0" applyFont="1" applyFill="1" applyBorder="1" applyAlignment="1">
      <alignment horizontal="left" vertical="top" wrapText="1"/>
    </xf>
    <xf numFmtId="0" fontId="2" fillId="2" borderId="8" xfId="0" applyFont="1" applyFill="1" applyBorder="1" applyAlignment="1">
      <alignment horizontal="left" vertical="top"/>
    </xf>
    <xf numFmtId="49" fontId="14" fillId="4" borderId="1" xfId="0" applyNumberFormat="1" applyFont="1" applyFill="1" applyBorder="1" applyAlignment="1" applyProtection="1">
      <alignment horizontal="center" vertical="center" wrapText="1"/>
      <protection locked="0"/>
    </xf>
    <xf numFmtId="165" fontId="14" fillId="2" borderId="4" xfId="0" applyNumberFormat="1" applyFont="1" applyFill="1" applyBorder="1" applyAlignment="1">
      <alignment horizontal="center" vertical="center" wrapText="1"/>
    </xf>
    <xf numFmtId="0" fontId="2" fillId="2" borderId="3" xfId="0" applyFont="1" applyFill="1" applyBorder="1" applyAlignment="1">
      <alignment vertical="center"/>
    </xf>
    <xf numFmtId="0" fontId="2" fillId="2" borderId="4" xfId="0" applyFont="1" applyFill="1" applyBorder="1" applyAlignment="1">
      <alignment vertical="center"/>
    </xf>
    <xf numFmtId="49" fontId="2" fillId="2" borderId="3" xfId="0" applyNumberFormat="1" applyFont="1" applyFill="1" applyBorder="1" applyAlignment="1">
      <alignment vertical="center"/>
    </xf>
    <xf numFmtId="49" fontId="2" fillId="2" borderId="4" xfId="0" applyNumberFormat="1" applyFont="1" applyFill="1" applyBorder="1" applyAlignment="1">
      <alignment vertical="center"/>
    </xf>
    <xf numFmtId="0" fontId="2" fillId="2" borderId="1" xfId="0" applyFont="1" applyFill="1" applyBorder="1" applyAlignment="1">
      <alignment horizontal="center" vertical="center" wrapText="1"/>
    </xf>
    <xf numFmtId="0" fontId="2" fillId="2" borderId="13" xfId="0" applyFont="1" applyFill="1" applyBorder="1" applyAlignment="1">
      <alignment vertical="top" wrapText="1"/>
    </xf>
    <xf numFmtId="0" fontId="2" fillId="2" borderId="14" xfId="0" applyFont="1" applyFill="1" applyBorder="1" applyAlignment="1">
      <alignment vertical="top" wrapText="1"/>
    </xf>
    <xf numFmtId="0" fontId="3" fillId="4" borderId="7" xfId="0" applyFont="1" applyFill="1" applyBorder="1" applyAlignment="1" applyProtection="1">
      <alignment horizontal="center" vertical="center"/>
      <protection locked="0"/>
    </xf>
    <xf numFmtId="0" fontId="39" fillId="2" borderId="0" xfId="0" applyFont="1" applyFill="1" applyAlignment="1">
      <alignment vertical="center"/>
    </xf>
    <xf numFmtId="0" fontId="10" fillId="2" borderId="0" xfId="0" applyFont="1" applyFill="1" applyAlignment="1">
      <alignment vertical="top"/>
    </xf>
    <xf numFmtId="49" fontId="40" fillId="2" borderId="0" xfId="0" applyNumberFormat="1" applyFont="1" applyFill="1" applyAlignment="1">
      <alignment vertical="center"/>
    </xf>
    <xf numFmtId="0" fontId="38" fillId="2" borderId="0" xfId="0" applyFont="1" applyFill="1" applyAlignment="1">
      <alignment horizontal="left" vertical="center"/>
    </xf>
    <xf numFmtId="0" fontId="15" fillId="2" borderId="0" xfId="0" applyFont="1" applyFill="1" applyAlignment="1">
      <alignment horizontal="left" vertical="center" wrapText="1"/>
    </xf>
    <xf numFmtId="0" fontId="15" fillId="2" borderId="0" xfId="0" applyFont="1" applyFill="1" applyAlignment="1">
      <alignment horizontal="left" vertical="center"/>
    </xf>
    <xf numFmtId="0" fontId="37" fillId="2" borderId="0" xfId="0" applyFont="1" applyFill="1" applyAlignment="1">
      <alignment horizontal="left" vertical="center"/>
    </xf>
    <xf numFmtId="0" fontId="36" fillId="2" borderId="0" xfId="0" applyFont="1" applyFill="1"/>
    <xf numFmtId="0" fontId="19" fillId="2" borderId="0" xfId="0" applyFont="1" applyFill="1"/>
    <xf numFmtId="0" fontId="35" fillId="2" borderId="0" xfId="0" applyFont="1" applyFill="1"/>
    <xf numFmtId="0" fontId="1" fillId="2" borderId="0" xfId="0" applyFont="1" applyFill="1"/>
    <xf numFmtId="164" fontId="3" fillId="2" borderId="0" xfId="0" applyNumberFormat="1" applyFont="1" applyFill="1"/>
    <xf numFmtId="0" fontId="0" fillId="2" borderId="0" xfId="0" applyFill="1" applyAlignment="1">
      <alignment horizontal="center" vertical="center"/>
    </xf>
    <xf numFmtId="0" fontId="0" fillId="2" borderId="0" xfId="0" applyFill="1" applyAlignment="1">
      <alignment horizontal="left"/>
    </xf>
    <xf numFmtId="0" fontId="23" fillId="5" borderId="0" xfId="0" applyFont="1" applyFill="1" applyAlignment="1">
      <alignment vertical="top"/>
    </xf>
    <xf numFmtId="0" fontId="0" fillId="5" borderId="0" xfId="0" applyFill="1" applyAlignment="1">
      <alignment vertical="top"/>
    </xf>
    <xf numFmtId="0" fontId="0" fillId="2" borderId="0" xfId="0" applyFill="1" applyAlignment="1">
      <alignment horizontal="left" vertical="top" wrapText="1"/>
    </xf>
    <xf numFmtId="0" fontId="35" fillId="2" borderId="0" xfId="0" applyFont="1" applyFill="1" applyAlignment="1">
      <alignment horizontal="center"/>
    </xf>
    <xf numFmtId="0" fontId="0" fillId="2" borderId="0" xfId="0" applyFill="1" applyAlignment="1">
      <alignment horizontal="left" wrapText="1"/>
    </xf>
    <xf numFmtId="0" fontId="41" fillId="5" borderId="0" xfId="0" applyFont="1" applyFill="1" applyAlignment="1">
      <alignment vertical="center"/>
    </xf>
    <xf numFmtId="0" fontId="41" fillId="5" borderId="0" xfId="0" applyFont="1" applyFill="1" applyAlignment="1">
      <alignment horizontal="center" vertical="center"/>
    </xf>
    <xf numFmtId="0" fontId="0" fillId="2" borderId="16" xfId="0" applyFill="1" applyBorder="1" applyAlignment="1" applyProtection="1">
      <alignment horizontal="center" vertical="center"/>
      <protection locked="0"/>
    </xf>
    <xf numFmtId="164" fontId="0" fillId="2" borderId="16" xfId="0" applyNumberFormat="1" applyFill="1" applyBorder="1" applyAlignment="1" applyProtection="1">
      <alignment horizontal="center" vertical="center"/>
      <protection locked="0"/>
    </xf>
    <xf numFmtId="168" fontId="0" fillId="2" borderId="0" xfId="0" applyNumberFormat="1" applyFill="1"/>
    <xf numFmtId="0" fontId="3" fillId="4" borderId="3" xfId="0" applyFont="1" applyFill="1" applyBorder="1" applyAlignment="1" applyProtection="1">
      <alignment horizontal="center" vertical="center"/>
      <protection locked="0"/>
    </xf>
    <xf numFmtId="0" fontId="19" fillId="2" borderId="0" xfId="0" applyFont="1" applyFill="1" applyAlignment="1">
      <alignment horizontal="left"/>
    </xf>
    <xf numFmtId="0" fontId="23" fillId="2" borderId="0" xfId="0" applyFont="1" applyFill="1" applyAlignment="1">
      <alignment vertical="top" wrapText="1"/>
    </xf>
    <xf numFmtId="0" fontId="22" fillId="2" borderId="0" xfId="0" applyFont="1" applyFill="1"/>
    <xf numFmtId="0" fontId="12" fillId="2" borderId="0" xfId="0" applyFont="1" applyFill="1" applyAlignment="1">
      <alignment vertical="center"/>
    </xf>
    <xf numFmtId="0" fontId="1" fillId="2" borderId="15" xfId="0" applyFont="1" applyFill="1" applyBorder="1" applyAlignment="1">
      <alignment vertical="center" wrapText="1"/>
    </xf>
    <xf numFmtId="0" fontId="1" fillId="2" borderId="0" xfId="0" applyFont="1" applyFill="1" applyAlignment="1">
      <alignment vertical="center" wrapText="1"/>
    </xf>
    <xf numFmtId="0" fontId="0" fillId="2" borderId="0" xfId="0" applyFill="1" applyAlignment="1">
      <alignment vertical="center" wrapText="1"/>
    </xf>
    <xf numFmtId="0" fontId="42" fillId="2" borderId="0" xfId="0" applyFont="1" applyFill="1" applyAlignment="1">
      <alignment vertical="center"/>
    </xf>
    <xf numFmtId="0" fontId="10" fillId="2" borderId="0" xfId="0" applyFont="1" applyFill="1" applyAlignment="1">
      <alignment vertical="center"/>
    </xf>
    <xf numFmtId="0" fontId="0" fillId="6" borderId="0" xfId="0" applyFill="1" applyAlignment="1">
      <alignment vertical="center"/>
    </xf>
    <xf numFmtId="49" fontId="2" fillId="6" borderId="0" xfId="0" applyNumberFormat="1" applyFont="1" applyFill="1" applyAlignment="1">
      <alignment vertical="center"/>
    </xf>
    <xf numFmtId="0" fontId="3" fillId="6" borderId="0" xfId="0" applyFont="1" applyFill="1" applyAlignment="1">
      <alignment vertical="center"/>
    </xf>
    <xf numFmtId="14" fontId="9" fillId="2" borderId="16" xfId="0" applyNumberFormat="1" applyFont="1" applyFill="1" applyBorder="1" applyAlignment="1" applyProtection="1">
      <alignment horizontal="center" vertical="center"/>
      <protection locked="0"/>
    </xf>
    <xf numFmtId="167" fontId="9" fillId="2" borderId="16" xfId="0" applyNumberFormat="1" applyFont="1" applyFill="1" applyBorder="1" applyAlignment="1" applyProtection="1">
      <alignment horizontal="center" vertical="center"/>
      <protection locked="0"/>
    </xf>
    <xf numFmtId="167" fontId="9" fillId="2" borderId="0" xfId="0" applyNumberFormat="1" applyFont="1" applyFill="1" applyAlignment="1">
      <alignment horizontal="center" vertical="center"/>
    </xf>
    <xf numFmtId="164" fontId="9" fillId="2" borderId="16" xfId="0" applyNumberFormat="1" applyFont="1" applyFill="1" applyBorder="1" applyAlignment="1" applyProtection="1">
      <alignment horizontal="center" vertical="center"/>
      <protection locked="0"/>
    </xf>
    <xf numFmtId="164" fontId="9" fillId="2" borderId="0" xfId="0" applyNumberFormat="1" applyFont="1" applyFill="1" applyAlignment="1" applyProtection="1">
      <alignment horizontal="center" vertical="center"/>
      <protection locked="0"/>
    </xf>
    <xf numFmtId="0" fontId="9" fillId="2" borderId="0" xfId="0" applyFont="1" applyFill="1" applyAlignment="1" applyProtection="1">
      <alignment vertical="center"/>
      <protection locked="0"/>
    </xf>
    <xf numFmtId="0" fontId="21" fillId="2" borderId="0" xfId="0" applyFont="1" applyFill="1" applyAlignment="1">
      <alignment horizontal="left" vertical="center" wrapText="1"/>
    </xf>
    <xf numFmtId="49" fontId="20" fillId="2" borderId="0" xfId="0" applyNumberFormat="1" applyFont="1" applyFill="1" applyAlignment="1">
      <alignment horizontal="left" vertical="center" wrapText="1"/>
    </xf>
    <xf numFmtId="0" fontId="1" fillId="6" borderId="0" xfId="0" applyFont="1" applyFill="1" applyAlignment="1">
      <alignment vertical="center"/>
    </xf>
    <xf numFmtId="49" fontId="2" fillId="2" borderId="0" xfId="0" applyNumberFormat="1" applyFont="1" applyFill="1" applyAlignment="1">
      <alignment vertical="center"/>
    </xf>
    <xf numFmtId="49" fontId="2" fillId="2" borderId="0" xfId="0" applyNumberFormat="1" applyFont="1" applyFill="1"/>
    <xf numFmtId="0" fontId="23" fillId="2" borderId="0" xfId="0" applyFont="1" applyFill="1" applyAlignment="1">
      <alignment horizontal="left"/>
    </xf>
    <xf numFmtId="0" fontId="44" fillId="2" borderId="0" xfId="0" applyFont="1" applyFill="1"/>
    <xf numFmtId="2" fontId="23" fillId="5" borderId="0" xfId="0" applyNumberFormat="1" applyFont="1" applyFill="1" applyAlignment="1">
      <alignment horizontal="left" vertical="center"/>
    </xf>
    <xf numFmtId="2" fontId="41" fillId="5" borderId="0" xfId="0" applyNumberFormat="1" applyFont="1" applyFill="1" applyAlignment="1">
      <alignment horizontal="left" vertical="center"/>
    </xf>
    <xf numFmtId="2" fontId="0" fillId="2" borderId="0" xfId="0" applyNumberFormat="1" applyFill="1" applyAlignment="1">
      <alignment horizontal="right"/>
    </xf>
    <xf numFmtId="2" fontId="41" fillId="5" borderId="0" xfId="0" applyNumberFormat="1" applyFont="1" applyFill="1" applyAlignment="1">
      <alignment horizontal="right" vertical="center"/>
    </xf>
    <xf numFmtId="2" fontId="0" fillId="2" borderId="0" xfId="0" applyNumberFormat="1" applyFill="1" applyAlignment="1">
      <alignment horizontal="left"/>
    </xf>
    <xf numFmtId="0" fontId="28" fillId="7" borderId="16" xfId="0" applyFont="1" applyFill="1" applyBorder="1" applyAlignment="1" applyProtection="1">
      <alignment horizontal="center" vertical="center"/>
      <protection locked="0"/>
    </xf>
    <xf numFmtId="0" fontId="0" fillId="0" borderId="5" xfId="0" applyBorder="1" applyAlignment="1">
      <alignment horizontal="center" vertical="center"/>
    </xf>
    <xf numFmtId="0" fontId="23" fillId="2" borderId="5" xfId="0" applyFont="1" applyFill="1" applyBorder="1" applyAlignment="1">
      <alignment horizontal="center" vertical="center" wrapText="1"/>
    </xf>
    <xf numFmtId="0" fontId="3" fillId="2" borderId="1" xfId="0" applyFont="1" applyFill="1" applyBorder="1" applyAlignment="1">
      <alignment horizontal="left" vertical="center" wrapText="1" indent="1"/>
    </xf>
    <xf numFmtId="0" fontId="23" fillId="2" borderId="13" xfId="0" applyFont="1" applyFill="1" applyBorder="1" applyAlignment="1">
      <alignment horizontal="center" vertical="center" wrapText="1"/>
    </xf>
    <xf numFmtId="0" fontId="20" fillId="2" borderId="0" xfId="0" applyFont="1" applyFill="1" applyAlignment="1">
      <alignment horizontal="left" vertical="top" wrapText="1"/>
    </xf>
    <xf numFmtId="0" fontId="23" fillId="2" borderId="0" xfId="0" applyFont="1" applyFill="1" applyAlignment="1">
      <alignment horizontal="left" vertical="top" wrapText="1"/>
    </xf>
    <xf numFmtId="0" fontId="23" fillId="2" borderId="0" xfId="0" applyFont="1" applyFill="1" applyAlignment="1">
      <alignment horizontal="center" vertical="center" wrapText="1"/>
    </xf>
    <xf numFmtId="0" fontId="23" fillId="2" borderId="0" xfId="0" applyFont="1" applyFill="1" applyAlignment="1" applyProtection="1">
      <alignment horizontal="center" vertical="center" wrapText="1"/>
      <protection locked="0"/>
    </xf>
    <xf numFmtId="0" fontId="23" fillId="2" borderId="15" xfId="0" applyFont="1" applyFill="1" applyBorder="1" applyAlignment="1">
      <alignment horizontal="left" vertical="top" wrapText="1"/>
    </xf>
    <xf numFmtId="0" fontId="23" fillId="2" borderId="15" xfId="0" applyFont="1" applyFill="1" applyBorder="1" applyAlignment="1">
      <alignment horizontal="center" vertical="center" wrapText="1"/>
    </xf>
    <xf numFmtId="0" fontId="23" fillId="2" borderId="15" xfId="0" applyFont="1" applyFill="1" applyBorder="1" applyAlignment="1" applyProtection="1">
      <alignment horizontal="center" vertical="center" wrapText="1"/>
      <protection locked="0"/>
    </xf>
    <xf numFmtId="0" fontId="0" fillId="2" borderId="0" xfId="0" applyFill="1" applyAlignment="1">
      <alignment horizontal="left"/>
    </xf>
    <xf numFmtId="0" fontId="45" fillId="2" borderId="0" xfId="0" applyFont="1" applyFill="1" applyBorder="1" applyAlignment="1">
      <alignment horizontal="right" vertical="center"/>
    </xf>
    <xf numFmtId="0" fontId="39" fillId="2" borderId="0" xfId="0" applyFont="1" applyFill="1" applyBorder="1" applyAlignment="1">
      <alignment vertical="center"/>
    </xf>
    <xf numFmtId="0" fontId="39" fillId="2" borderId="0" xfId="0" applyFont="1" applyFill="1" applyBorder="1" applyAlignment="1">
      <alignment horizontal="right" vertical="center"/>
    </xf>
    <xf numFmtId="0" fontId="39" fillId="2" borderId="0" xfId="0" applyFont="1" applyFill="1" applyBorder="1" applyAlignment="1" applyProtection="1">
      <alignment horizontal="center" vertical="center"/>
      <protection locked="0"/>
    </xf>
    <xf numFmtId="0" fontId="45" fillId="2" borderId="0" xfId="0" applyFont="1" applyFill="1" applyBorder="1" applyAlignment="1">
      <alignment horizontal="left" vertical="center"/>
    </xf>
    <xf numFmtId="0" fontId="0" fillId="2" borderId="0" xfId="0" applyFill="1" applyBorder="1"/>
    <xf numFmtId="0" fontId="3" fillId="2" borderId="0" xfId="0" applyFont="1" applyFill="1" applyBorder="1" applyAlignment="1">
      <alignment horizontal="left" vertical="center" wrapText="1" indent="1"/>
    </xf>
    <xf numFmtId="0" fontId="32" fillId="2" borderId="0" xfId="0" applyFont="1" applyFill="1" applyAlignment="1">
      <alignment horizontal="left" vertical="center"/>
    </xf>
    <xf numFmtId="164" fontId="0" fillId="2" borderId="1" xfId="0" applyNumberFormat="1" applyFill="1" applyBorder="1" applyAlignment="1">
      <alignment horizontal="center" vertical="center"/>
    </xf>
    <xf numFmtId="0" fontId="0" fillId="0" borderId="1" xfId="0" applyBorder="1" applyAlignment="1">
      <alignment horizontal="center" vertical="center"/>
    </xf>
    <xf numFmtId="0" fontId="0" fillId="2" borderId="12" xfId="0" applyFill="1" applyBorder="1" applyAlignment="1">
      <alignment horizontal="left" vertical="center"/>
    </xf>
    <xf numFmtId="0" fontId="0" fillId="2" borderId="11" xfId="0" applyFill="1" applyBorder="1" applyAlignment="1">
      <alignment horizontal="left" vertical="center"/>
    </xf>
    <xf numFmtId="0" fontId="1" fillId="2" borderId="3" xfId="0" applyFont="1" applyFill="1" applyBorder="1" applyAlignment="1">
      <alignment horizontal="right" vertical="center"/>
    </xf>
    <xf numFmtId="0" fontId="1" fillId="2" borderId="4" xfId="0" applyFont="1" applyFill="1" applyBorder="1" applyAlignment="1">
      <alignment horizontal="right" vertical="center"/>
    </xf>
    <xf numFmtId="0" fontId="1" fillId="2" borderId="5" xfId="0" applyFont="1" applyFill="1" applyBorder="1" applyAlignment="1">
      <alignment horizontal="right" vertical="center"/>
    </xf>
    <xf numFmtId="0" fontId="0" fillId="2" borderId="2" xfId="0" applyFill="1" applyBorder="1" applyAlignment="1">
      <alignment horizontal="left" vertical="center" wrapText="1"/>
    </xf>
    <xf numFmtId="0" fontId="0" fillId="2" borderId="13" xfId="0" applyFill="1" applyBorder="1" applyAlignment="1">
      <alignment horizontal="left" vertical="center" wrapText="1"/>
    </xf>
    <xf numFmtId="0" fontId="0" fillId="2" borderId="14" xfId="0" applyFill="1" applyBorder="1" applyAlignment="1">
      <alignment horizontal="left" vertical="center" wrapText="1"/>
    </xf>
    <xf numFmtId="0" fontId="0" fillId="2" borderId="12" xfId="0" applyFill="1" applyBorder="1" applyAlignment="1">
      <alignment horizontal="left" vertical="center" wrapText="1"/>
    </xf>
    <xf numFmtId="0" fontId="0" fillId="2" borderId="10" xfId="0" applyFill="1" applyBorder="1" applyAlignment="1">
      <alignment horizontal="left" vertical="center" wrapText="1"/>
    </xf>
    <xf numFmtId="0" fontId="0" fillId="2" borderId="11" xfId="0" applyFill="1" applyBorder="1" applyAlignment="1">
      <alignment horizontal="left" vertical="center" wrapText="1"/>
    </xf>
    <xf numFmtId="0" fontId="2" fillId="2" borderId="3" xfId="0" applyFont="1" applyFill="1" applyBorder="1" applyAlignment="1">
      <alignment horizontal="right" vertical="center"/>
    </xf>
    <xf numFmtId="0" fontId="2" fillId="2" borderId="4" xfId="0" applyFont="1" applyFill="1" applyBorder="1" applyAlignment="1">
      <alignment horizontal="right" vertical="center"/>
    </xf>
    <xf numFmtId="0" fontId="2" fillId="2" borderId="5" xfId="0" applyFont="1" applyFill="1" applyBorder="1" applyAlignment="1">
      <alignment horizontal="right" vertical="center"/>
    </xf>
    <xf numFmtId="0" fontId="0" fillId="2" borderId="3" xfId="0" applyFill="1" applyBorder="1" applyAlignment="1">
      <alignment horizontal="left" vertical="center"/>
    </xf>
    <xf numFmtId="0" fontId="0" fillId="2" borderId="4" xfId="0" applyFill="1" applyBorder="1" applyAlignment="1">
      <alignment horizontal="left" vertical="center"/>
    </xf>
    <xf numFmtId="0" fontId="0" fillId="2" borderId="5" xfId="0" applyFill="1" applyBorder="1" applyAlignment="1">
      <alignment horizontal="left" vertical="center"/>
    </xf>
    <xf numFmtId="49" fontId="3" fillId="2" borderId="7" xfId="0" applyNumberFormat="1" applyFont="1" applyFill="1" applyBorder="1" applyAlignment="1">
      <alignment horizontal="center" vertical="center"/>
    </xf>
    <xf numFmtId="49" fontId="3" fillId="2" borderId="8" xfId="0" applyNumberFormat="1" applyFont="1" applyFill="1" applyBorder="1" applyAlignment="1">
      <alignment horizontal="center" vertical="center"/>
    </xf>
    <xf numFmtId="164" fontId="0" fillId="4" borderId="15" xfId="0" applyNumberFormat="1" applyFill="1" applyBorder="1" applyAlignment="1" applyProtection="1">
      <alignment horizontal="center" vertical="center"/>
      <protection locked="0"/>
    </xf>
    <xf numFmtId="164" fontId="0" fillId="4" borderId="6" xfId="0" applyNumberFormat="1" applyFill="1" applyBorder="1" applyAlignment="1" applyProtection="1">
      <alignment horizontal="center" vertical="center"/>
      <protection locked="0"/>
    </xf>
    <xf numFmtId="0" fontId="0" fillId="2" borderId="0" xfId="0" applyFill="1" applyAlignment="1">
      <alignment horizontal="right" vertical="center"/>
    </xf>
    <xf numFmtId="0" fontId="1" fillId="2" borderId="1" xfId="0" applyFont="1" applyFill="1" applyBorder="1" applyAlignment="1">
      <alignment horizontal="left" vertical="center"/>
    </xf>
    <xf numFmtId="164" fontId="0" fillId="4" borderId="2" xfId="0" applyNumberFormat="1" applyFill="1" applyBorder="1" applyAlignment="1" applyProtection="1">
      <alignment horizontal="center" vertical="center"/>
      <protection locked="0"/>
    </xf>
    <xf numFmtId="164" fontId="0" fillId="4" borderId="14" xfId="0" applyNumberFormat="1" applyFill="1" applyBorder="1" applyAlignment="1" applyProtection="1">
      <alignment horizontal="center" vertical="center"/>
      <protection locked="0"/>
    </xf>
    <xf numFmtId="49" fontId="3" fillId="2" borderId="2" xfId="0" applyNumberFormat="1" applyFont="1" applyFill="1" applyBorder="1" applyAlignment="1">
      <alignment horizontal="center" vertical="center"/>
    </xf>
    <xf numFmtId="49" fontId="3" fillId="2" borderId="13" xfId="0" applyNumberFormat="1" applyFont="1" applyFill="1" applyBorder="1" applyAlignment="1">
      <alignment horizontal="center" vertical="center"/>
    </xf>
    <xf numFmtId="164" fontId="2" fillId="2" borderId="3" xfId="0" applyNumberFormat="1" applyFont="1" applyFill="1" applyBorder="1" applyAlignment="1">
      <alignment horizontal="center" vertical="center"/>
    </xf>
    <xf numFmtId="164" fontId="2" fillId="2" borderId="5" xfId="0" applyNumberFormat="1" applyFont="1" applyFill="1" applyBorder="1" applyAlignment="1">
      <alignment horizontal="center" vertical="center"/>
    </xf>
    <xf numFmtId="0" fontId="1" fillId="2" borderId="3" xfId="0" applyFont="1" applyFill="1" applyBorder="1" applyAlignment="1">
      <alignment horizontal="left" vertical="top" wrapText="1"/>
    </xf>
    <xf numFmtId="0" fontId="1" fillId="2" borderId="4" xfId="0" applyFont="1" applyFill="1" applyBorder="1" applyAlignment="1">
      <alignment horizontal="left" vertical="top" wrapText="1"/>
    </xf>
    <xf numFmtId="0" fontId="1" fillId="2" borderId="5" xfId="0" applyFont="1" applyFill="1" applyBorder="1" applyAlignment="1">
      <alignment horizontal="left" vertical="top" wrapText="1"/>
    </xf>
    <xf numFmtId="0" fontId="1" fillId="2" borderId="3" xfId="0" applyFont="1" applyFill="1" applyBorder="1" applyAlignment="1">
      <alignment horizontal="center" vertical="top" wrapText="1"/>
    </xf>
    <xf numFmtId="0" fontId="1" fillId="2" borderId="5" xfId="0" applyFont="1" applyFill="1" applyBorder="1" applyAlignment="1">
      <alignment horizontal="center" vertical="top" wrapText="1"/>
    </xf>
    <xf numFmtId="0" fontId="3" fillId="2" borderId="2"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14"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11" xfId="0" applyFont="1" applyFill="1" applyBorder="1" applyAlignment="1">
      <alignment horizontal="left" vertical="center" wrapText="1"/>
    </xf>
    <xf numFmtId="10" fontId="3" fillId="4" borderId="3" xfId="0" applyNumberFormat="1" applyFont="1" applyFill="1" applyBorder="1" applyAlignment="1" applyProtection="1">
      <alignment horizontal="center" vertical="center"/>
      <protection locked="0"/>
    </xf>
    <xf numFmtId="10" fontId="3" fillId="4" borderId="5" xfId="0" applyNumberFormat="1" applyFont="1" applyFill="1" applyBorder="1" applyAlignment="1" applyProtection="1">
      <alignment horizontal="center" vertical="center"/>
      <protection locked="0"/>
    </xf>
    <xf numFmtId="164" fontId="3" fillId="2" borderId="3" xfId="0" applyNumberFormat="1" applyFont="1" applyFill="1" applyBorder="1" applyAlignment="1">
      <alignment horizontal="center" vertical="center"/>
    </xf>
    <xf numFmtId="164" fontId="3" fillId="2" borderId="5" xfId="0" applyNumberFormat="1" applyFont="1" applyFill="1" applyBorder="1" applyAlignment="1">
      <alignment horizontal="center" vertical="center"/>
    </xf>
    <xf numFmtId="9" fontId="3" fillId="4" borderId="3" xfId="0" applyNumberFormat="1" applyFont="1" applyFill="1" applyBorder="1" applyAlignment="1" applyProtection="1">
      <alignment horizontal="center" vertical="center"/>
      <protection locked="0"/>
    </xf>
    <xf numFmtId="9" fontId="3" fillId="4" borderId="5" xfId="0" applyNumberFormat="1" applyFont="1" applyFill="1" applyBorder="1" applyAlignment="1" applyProtection="1">
      <alignment horizontal="center" vertical="center"/>
      <protection locked="0"/>
    </xf>
    <xf numFmtId="0" fontId="3" fillId="2" borderId="2" xfId="0" applyFont="1" applyFill="1" applyBorder="1" applyAlignment="1">
      <alignment horizontal="left" vertical="center"/>
    </xf>
    <xf numFmtId="0" fontId="3" fillId="2" borderId="13" xfId="0" applyFont="1" applyFill="1" applyBorder="1" applyAlignment="1">
      <alignment horizontal="left" vertical="center"/>
    </xf>
    <xf numFmtId="0" fontId="3" fillId="2" borderId="14" xfId="0" applyFont="1" applyFill="1" applyBorder="1" applyAlignment="1">
      <alignment horizontal="left" vertical="center"/>
    </xf>
    <xf numFmtId="0" fontId="3" fillId="2" borderId="12" xfId="0" applyFont="1" applyFill="1" applyBorder="1" applyAlignment="1">
      <alignment horizontal="left" vertical="center"/>
    </xf>
    <xf numFmtId="0" fontId="3" fillId="2" borderId="10" xfId="0" applyFont="1" applyFill="1" applyBorder="1" applyAlignment="1">
      <alignment horizontal="left" vertical="center"/>
    </xf>
    <xf numFmtId="0" fontId="3" fillId="2" borderId="11" xfId="0" applyFont="1" applyFill="1" applyBorder="1" applyAlignment="1">
      <alignment horizontal="left" vertical="center"/>
    </xf>
    <xf numFmtId="0" fontId="2" fillId="6" borderId="3" xfId="0" applyFont="1" applyFill="1" applyBorder="1" applyAlignment="1">
      <alignment horizontal="right" vertical="center"/>
    </xf>
    <xf numFmtId="0" fontId="2" fillId="6" borderId="4" xfId="0" applyFont="1" applyFill="1" applyBorder="1" applyAlignment="1">
      <alignment horizontal="right" vertical="center"/>
    </xf>
    <xf numFmtId="0" fontId="2" fillId="6" borderId="5" xfId="0" applyFont="1" applyFill="1" applyBorder="1" applyAlignment="1">
      <alignment horizontal="right" vertical="center"/>
    </xf>
    <xf numFmtId="164" fontId="2" fillId="4" borderId="3" xfId="0" applyNumberFormat="1" applyFont="1" applyFill="1" applyBorder="1" applyAlignment="1" applyProtection="1">
      <alignment horizontal="center" vertical="center"/>
      <protection locked="0"/>
    </xf>
    <xf numFmtId="164" fontId="2" fillId="4" borderId="5" xfId="0" applyNumberFormat="1" applyFont="1" applyFill="1" applyBorder="1" applyAlignment="1" applyProtection="1">
      <alignment horizontal="center" vertical="center"/>
      <protection locked="0"/>
    </xf>
    <xf numFmtId="49" fontId="2" fillId="2" borderId="7" xfId="0" applyNumberFormat="1" applyFont="1" applyFill="1" applyBorder="1" applyAlignment="1">
      <alignment horizontal="center" vertical="center"/>
    </xf>
    <xf numFmtId="49" fontId="2" fillId="2" borderId="8" xfId="0" applyNumberFormat="1" applyFont="1" applyFill="1" applyBorder="1" applyAlignment="1">
      <alignment horizontal="center" vertical="center"/>
    </xf>
    <xf numFmtId="164" fontId="3" fillId="2" borderId="2" xfId="0" applyNumberFormat="1" applyFont="1" applyFill="1" applyBorder="1" applyAlignment="1">
      <alignment horizontal="center" vertical="center"/>
    </xf>
    <xf numFmtId="164" fontId="3" fillId="2" borderId="14" xfId="0" applyNumberFormat="1"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wrapText="1"/>
    </xf>
    <xf numFmtId="10" fontId="3" fillId="4" borderId="0" xfId="0" applyNumberFormat="1" applyFont="1" applyFill="1" applyAlignment="1" applyProtection="1">
      <alignment horizontal="center" vertical="center"/>
      <protection locked="0"/>
    </xf>
    <xf numFmtId="0" fontId="3" fillId="2" borderId="3" xfId="0" applyFont="1" applyFill="1" applyBorder="1" applyAlignment="1">
      <alignment horizontal="center" vertical="center"/>
    </xf>
    <xf numFmtId="0" fontId="3" fillId="2" borderId="5" xfId="0" applyFont="1" applyFill="1" applyBorder="1" applyAlignment="1">
      <alignment horizontal="center" vertical="center"/>
    </xf>
    <xf numFmtId="0" fontId="3" fillId="4" borderId="3" xfId="0" applyFont="1" applyFill="1" applyBorder="1" applyAlignment="1" applyProtection="1">
      <alignment horizontal="center" vertical="center"/>
      <protection locked="0"/>
    </xf>
    <xf numFmtId="0" fontId="3" fillId="4" borderId="5" xfId="0" applyFont="1" applyFill="1" applyBorder="1" applyAlignment="1" applyProtection="1">
      <alignment horizontal="center" vertical="center"/>
      <protection locked="0"/>
    </xf>
    <xf numFmtId="164" fontId="3" fillId="4" borderId="3" xfId="0" applyNumberFormat="1" applyFont="1" applyFill="1" applyBorder="1" applyAlignment="1" applyProtection="1">
      <alignment horizontal="center" vertical="center"/>
      <protection locked="0"/>
    </xf>
    <xf numFmtId="164" fontId="3" fillId="4" borderId="5" xfId="0" applyNumberFormat="1" applyFont="1" applyFill="1" applyBorder="1" applyAlignment="1" applyProtection="1">
      <alignment horizontal="center" vertical="center"/>
      <protection locked="0"/>
    </xf>
    <xf numFmtId="164" fontId="14" fillId="2" borderId="3" xfId="0" applyNumberFormat="1" applyFont="1" applyFill="1" applyBorder="1" applyAlignment="1">
      <alignment horizontal="center" vertical="center"/>
    </xf>
    <xf numFmtId="164" fontId="14" fillId="2" borderId="5" xfId="0" applyNumberFormat="1" applyFont="1" applyFill="1" applyBorder="1" applyAlignment="1">
      <alignment horizontal="center" vertical="center"/>
    </xf>
    <xf numFmtId="0" fontId="3" fillId="2" borderId="1" xfId="0" applyFont="1" applyFill="1" applyBorder="1" applyAlignment="1">
      <alignment horizontal="left" vertical="center" wrapText="1"/>
    </xf>
    <xf numFmtId="0" fontId="0" fillId="2" borderId="0" xfId="0" applyFill="1" applyAlignment="1">
      <alignment horizontal="left" vertical="center" wrapText="1"/>
    </xf>
    <xf numFmtId="0" fontId="3" fillId="4" borderId="1" xfId="0" applyFont="1" applyFill="1" applyBorder="1" applyAlignment="1" applyProtection="1">
      <alignment horizontal="left" vertical="center"/>
      <protection locked="0"/>
    </xf>
    <xf numFmtId="0" fontId="20" fillId="2" borderId="0" xfId="0" applyFont="1" applyFill="1" applyAlignment="1">
      <alignment horizontal="center" vertical="top"/>
    </xf>
    <xf numFmtId="14" fontId="20" fillId="2" borderId="0" xfId="0" applyNumberFormat="1" applyFont="1" applyFill="1" applyAlignment="1">
      <alignment horizontal="center" vertical="top"/>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1" fillId="2" borderId="3" xfId="0" applyFont="1" applyFill="1" applyBorder="1" applyAlignment="1">
      <alignment horizontal="center" vertical="top"/>
    </xf>
    <xf numFmtId="0" fontId="1" fillId="2" borderId="5" xfId="0" applyFont="1" applyFill="1" applyBorder="1" applyAlignment="1">
      <alignment horizontal="center" vertical="top"/>
    </xf>
    <xf numFmtId="166" fontId="3" fillId="2" borderId="3" xfId="0" applyNumberFormat="1" applyFont="1" applyFill="1" applyBorder="1" applyAlignment="1">
      <alignment horizontal="center" vertical="center"/>
    </xf>
    <xf numFmtId="166" fontId="3" fillId="2" borderId="5" xfId="0" applyNumberFormat="1" applyFont="1" applyFill="1" applyBorder="1" applyAlignment="1">
      <alignment horizontal="center" vertical="center"/>
    </xf>
    <xf numFmtId="0" fontId="0" fillId="4" borderId="3" xfId="0" applyFill="1" applyBorder="1" applyAlignment="1" applyProtection="1">
      <alignment horizontal="center" vertical="top" wrapText="1"/>
      <protection locked="0"/>
    </xf>
    <xf numFmtId="0" fontId="0" fillId="4" borderId="5" xfId="0" applyFill="1" applyBorder="1" applyAlignment="1" applyProtection="1">
      <alignment horizontal="center" vertical="top" wrapText="1"/>
      <protection locked="0"/>
    </xf>
    <xf numFmtId="0" fontId="14" fillId="4" borderId="3" xfId="0" applyFont="1" applyFill="1" applyBorder="1" applyAlignment="1" applyProtection="1">
      <alignment horizontal="center" vertical="center"/>
      <protection locked="0"/>
    </xf>
    <xf numFmtId="0" fontId="14" fillId="4" borderId="5" xfId="0" applyFont="1" applyFill="1" applyBorder="1" applyAlignment="1" applyProtection="1">
      <alignment horizontal="center" vertical="center"/>
      <protection locked="0"/>
    </xf>
    <xf numFmtId="0" fontId="14" fillId="2" borderId="3" xfId="0" applyFont="1" applyFill="1" applyBorder="1" applyAlignment="1">
      <alignment horizontal="center" vertical="center"/>
    </xf>
    <xf numFmtId="0" fontId="14" fillId="2" borderId="5" xfId="0" applyFont="1" applyFill="1" applyBorder="1" applyAlignment="1">
      <alignment horizontal="center" vertical="center"/>
    </xf>
    <xf numFmtId="0" fontId="3" fillId="4" borderId="3" xfId="0" applyFont="1" applyFill="1" applyBorder="1" applyAlignment="1" applyProtection="1">
      <alignment horizontal="left" vertical="center"/>
      <protection locked="0"/>
    </xf>
    <xf numFmtId="0" fontId="3" fillId="4" borderId="5" xfId="0" applyFont="1" applyFill="1" applyBorder="1" applyAlignment="1" applyProtection="1">
      <alignment horizontal="left" vertical="center"/>
      <protection locked="0"/>
    </xf>
    <xf numFmtId="0" fontId="3" fillId="4" borderId="4" xfId="0" applyFont="1" applyFill="1" applyBorder="1" applyAlignment="1" applyProtection="1">
      <alignment horizontal="left" vertical="center"/>
      <protection locked="0"/>
    </xf>
    <xf numFmtId="0" fontId="1" fillId="2" borderId="4" xfId="0" applyFont="1" applyFill="1" applyBorder="1" applyAlignment="1">
      <alignment horizontal="left" vertical="top"/>
    </xf>
    <xf numFmtId="0" fontId="1" fillId="2" borderId="5" xfId="0" applyFont="1" applyFill="1" applyBorder="1" applyAlignment="1">
      <alignment horizontal="left" vertical="top"/>
    </xf>
    <xf numFmtId="0" fontId="33" fillId="2" borderId="0" xfId="0" applyFont="1" applyFill="1" applyAlignment="1">
      <alignment horizontal="left" vertical="center" wrapText="1"/>
    </xf>
    <xf numFmtId="49" fontId="3" fillId="2" borderId="0" xfId="0" applyNumberFormat="1" applyFont="1" applyFill="1" applyAlignment="1">
      <alignment horizontal="left" wrapText="1"/>
    </xf>
    <xf numFmtId="49" fontId="3" fillId="2" borderId="0" xfId="0" applyNumberFormat="1" applyFont="1" applyFill="1" applyAlignment="1">
      <alignment horizontal="left"/>
    </xf>
    <xf numFmtId="0" fontId="15" fillId="2" borderId="0" xfId="0" applyFont="1" applyFill="1" applyAlignment="1">
      <alignment horizontal="left" wrapText="1"/>
    </xf>
    <xf numFmtId="0" fontId="8" fillId="3" borderId="0" xfId="0" applyFont="1" applyFill="1" applyAlignment="1" applyProtection="1">
      <alignment horizontal="center" vertical="center"/>
      <protection locked="0"/>
    </xf>
    <xf numFmtId="0" fontId="20" fillId="2" borderId="0" xfId="0" applyFont="1" applyFill="1" applyAlignment="1">
      <alignment horizontal="center" vertical="top" wrapText="1"/>
    </xf>
    <xf numFmtId="0" fontId="1" fillId="2" borderId="3" xfId="0" applyFont="1" applyFill="1" applyBorder="1" applyAlignment="1">
      <alignment horizontal="left" vertical="center"/>
    </xf>
    <xf numFmtId="0" fontId="1" fillId="2" borderId="4" xfId="0" applyFont="1" applyFill="1" applyBorder="1" applyAlignment="1">
      <alignment horizontal="left" vertical="center"/>
    </xf>
    <xf numFmtId="0" fontId="1" fillId="2" borderId="5" xfId="0"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0" borderId="13" xfId="0" applyFont="1" applyBorder="1" applyAlignment="1">
      <alignment horizontal="center" vertical="center"/>
    </xf>
    <xf numFmtId="0" fontId="0" fillId="2" borderId="3" xfId="0" applyFill="1" applyBorder="1" applyAlignment="1">
      <alignment horizontal="left" vertical="center" wrapText="1"/>
    </xf>
    <xf numFmtId="0" fontId="0" fillId="2" borderId="4" xfId="0" applyFill="1" applyBorder="1" applyAlignment="1">
      <alignment horizontal="left" vertical="center" wrapText="1"/>
    </xf>
    <xf numFmtId="0" fontId="0" fillId="2" borderId="5" xfId="0" applyFill="1" applyBorder="1" applyAlignment="1">
      <alignment horizontal="left" vertical="center" wrapText="1"/>
    </xf>
    <xf numFmtId="14" fontId="3" fillId="4" borderId="3" xfId="0" applyNumberFormat="1" applyFont="1" applyFill="1" applyBorder="1" applyAlignment="1" applyProtection="1">
      <alignment horizontal="center" vertical="center"/>
      <protection locked="0"/>
    </xf>
    <xf numFmtId="14" fontId="3" fillId="4" borderId="5" xfId="0" applyNumberFormat="1" applyFont="1" applyFill="1" applyBorder="1" applyAlignment="1" applyProtection="1">
      <alignment horizontal="center" vertical="center"/>
      <protection locked="0"/>
    </xf>
    <xf numFmtId="0" fontId="3" fillId="2" borderId="8" xfId="0" applyFont="1" applyFill="1" applyBorder="1" applyAlignment="1">
      <alignment horizontal="left" vertical="top" wrapText="1"/>
    </xf>
    <xf numFmtId="0" fontId="2" fillId="2" borderId="7"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2" borderId="14" xfId="0" applyFont="1" applyFill="1" applyBorder="1" applyAlignment="1">
      <alignment horizontal="left" vertical="top" wrapText="1"/>
    </xf>
    <xf numFmtId="0" fontId="2" fillId="2" borderId="13" xfId="0" applyFont="1" applyFill="1" applyBorder="1" applyAlignment="1">
      <alignment horizontal="left" vertical="top" wrapText="1"/>
    </xf>
    <xf numFmtId="0" fontId="3" fillId="2" borderId="12" xfId="0" applyFont="1" applyFill="1" applyBorder="1" applyAlignment="1">
      <alignment horizontal="left" vertical="top" wrapText="1"/>
    </xf>
    <xf numFmtId="0" fontId="3" fillId="2" borderId="11"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49" fontId="3" fillId="2" borderId="0" xfId="0" applyNumberFormat="1" applyFont="1" applyFill="1" applyAlignment="1">
      <alignment horizontal="left" vertical="top" wrapText="1"/>
    </xf>
    <xf numFmtId="0" fontId="0" fillId="2" borderId="23" xfId="0" applyFill="1" applyBorder="1" applyAlignment="1" applyProtection="1">
      <alignment horizontal="left" vertical="center" wrapText="1"/>
      <protection locked="0"/>
    </xf>
    <xf numFmtId="0" fontId="0" fillId="2" borderId="24" xfId="0" applyFill="1" applyBorder="1" applyAlignment="1" applyProtection="1">
      <alignment horizontal="left" vertical="center" wrapText="1"/>
      <protection locked="0"/>
    </xf>
    <xf numFmtId="0" fontId="0" fillId="2" borderId="25" xfId="0" applyFill="1" applyBorder="1" applyAlignment="1" applyProtection="1">
      <alignment horizontal="left" vertical="center" wrapText="1"/>
      <protection locked="0"/>
    </xf>
    <xf numFmtId="0" fontId="2" fillId="0" borderId="3" xfId="0" applyFont="1" applyBorder="1" applyAlignment="1">
      <alignment horizontal="center" vertical="top"/>
    </xf>
    <xf numFmtId="0" fontId="2" fillId="0" borderId="5" xfId="0" applyFont="1" applyBorder="1" applyAlignment="1">
      <alignment horizontal="center" vertical="top"/>
    </xf>
    <xf numFmtId="0" fontId="2" fillId="0" borderId="3" xfId="0" applyFont="1" applyBorder="1" applyAlignment="1">
      <alignment horizontal="center" vertical="top" wrapText="1"/>
    </xf>
    <xf numFmtId="0" fontId="2" fillId="0" borderId="5" xfId="0" applyFont="1" applyBorder="1" applyAlignment="1">
      <alignment horizontal="center" vertical="top" wrapText="1"/>
    </xf>
    <xf numFmtId="0" fontId="3" fillId="2" borderId="3" xfId="0" applyFont="1" applyFill="1" applyBorder="1" applyAlignment="1">
      <alignment horizontal="center" vertical="top" wrapText="1"/>
    </xf>
    <xf numFmtId="0" fontId="3" fillId="2" borderId="5" xfId="0" applyFont="1" applyFill="1" applyBorder="1" applyAlignment="1">
      <alignment horizontal="center" vertical="top" wrapText="1"/>
    </xf>
    <xf numFmtId="0" fontId="15" fillId="2" borderId="0" xfId="0" applyFont="1" applyFill="1" applyAlignment="1">
      <alignment horizontal="left" vertical="center" wrapText="1"/>
    </xf>
    <xf numFmtId="0" fontId="2" fillId="2" borderId="3" xfId="0" applyFont="1" applyFill="1" applyBorder="1" applyAlignment="1">
      <alignment horizontal="center" vertical="top"/>
    </xf>
    <xf numFmtId="0" fontId="2" fillId="2" borderId="5" xfId="0" applyFont="1" applyFill="1" applyBorder="1" applyAlignment="1">
      <alignment horizontal="center" vertical="top"/>
    </xf>
    <xf numFmtId="0" fontId="2" fillId="2" borderId="3" xfId="0" applyFont="1" applyFill="1" applyBorder="1" applyAlignment="1">
      <alignment horizontal="center" vertical="top" wrapText="1"/>
    </xf>
    <xf numFmtId="0" fontId="2" fillId="2" borderId="5" xfId="0" applyFont="1" applyFill="1" applyBorder="1" applyAlignment="1">
      <alignment horizontal="center" vertical="top" wrapText="1"/>
    </xf>
    <xf numFmtId="0" fontId="0" fillId="2" borderId="17" xfId="0" applyFill="1" applyBorder="1" applyAlignment="1" applyProtection="1">
      <alignment horizontal="left" vertical="top" wrapText="1"/>
      <protection locked="0"/>
    </xf>
    <xf numFmtId="0" fontId="0" fillId="2" borderId="18" xfId="0" applyFill="1" applyBorder="1" applyAlignment="1" applyProtection="1">
      <alignment horizontal="left" vertical="top" wrapText="1"/>
      <protection locked="0"/>
    </xf>
    <xf numFmtId="0" fontId="0" fillId="2" borderId="19" xfId="0" applyFill="1" applyBorder="1" applyAlignment="1" applyProtection="1">
      <alignment horizontal="left" vertical="top" wrapText="1"/>
      <protection locked="0"/>
    </xf>
    <xf numFmtId="0" fontId="0" fillId="2" borderId="17" xfId="0" applyFill="1" applyBorder="1" applyAlignment="1" applyProtection="1">
      <alignment horizontal="center" vertical="center"/>
      <protection locked="0"/>
    </xf>
    <xf numFmtId="0" fontId="0" fillId="2" borderId="19" xfId="0" applyFill="1" applyBorder="1" applyAlignment="1" applyProtection="1">
      <alignment horizontal="center" vertical="center"/>
      <protection locked="0"/>
    </xf>
    <xf numFmtId="0" fontId="0" fillId="2" borderId="0" xfId="0" applyFill="1" applyAlignment="1">
      <alignment horizontal="left"/>
    </xf>
    <xf numFmtId="0" fontId="0" fillId="2" borderId="26" xfId="0" applyFill="1" applyBorder="1" applyAlignment="1" applyProtection="1">
      <alignment horizontal="left" vertical="center" wrapText="1"/>
      <protection locked="0"/>
    </xf>
    <xf numFmtId="0" fontId="0" fillId="2" borderId="27" xfId="0" applyFill="1" applyBorder="1" applyAlignment="1" applyProtection="1">
      <alignment horizontal="left" vertical="center" wrapText="1"/>
      <protection locked="0"/>
    </xf>
    <xf numFmtId="0" fontId="0" fillId="2" borderId="28" xfId="0" applyFill="1" applyBorder="1" applyAlignment="1" applyProtection="1">
      <alignment horizontal="left" vertical="center" wrapText="1"/>
      <protection locked="0"/>
    </xf>
    <xf numFmtId="0" fontId="0" fillId="2" borderId="0" xfId="0" applyFill="1" applyAlignment="1">
      <alignment horizontal="left" vertical="top" wrapText="1"/>
    </xf>
    <xf numFmtId="0" fontId="9" fillId="2" borderId="0" xfId="0" applyFont="1" applyFill="1" applyAlignment="1" applyProtection="1">
      <alignment horizontal="left" vertical="center"/>
      <protection locked="0"/>
    </xf>
    <xf numFmtId="0" fontId="9" fillId="2" borderId="17" xfId="0" applyFont="1" applyFill="1" applyBorder="1" applyAlignment="1" applyProtection="1">
      <alignment horizontal="left" vertical="center"/>
      <protection locked="0"/>
    </xf>
    <xf numFmtId="0" fontId="9" fillId="2" borderId="19" xfId="0" applyFont="1" applyFill="1" applyBorder="1" applyAlignment="1" applyProtection="1">
      <alignment horizontal="left" vertical="center"/>
      <protection locked="0"/>
    </xf>
    <xf numFmtId="164" fontId="9" fillId="2" borderId="17" xfId="0" applyNumberFormat="1" applyFont="1" applyFill="1" applyBorder="1" applyAlignment="1" applyProtection="1">
      <alignment horizontal="left" vertical="center"/>
      <protection locked="0"/>
    </xf>
    <xf numFmtId="164" fontId="9" fillId="2" borderId="19" xfId="0" applyNumberFormat="1" applyFont="1" applyFill="1" applyBorder="1" applyAlignment="1" applyProtection="1">
      <alignment horizontal="left" vertical="center"/>
      <protection locked="0"/>
    </xf>
    <xf numFmtId="0" fontId="31" fillId="2" borderId="0" xfId="0" applyFont="1" applyFill="1" applyAlignment="1">
      <alignment horizontal="center" vertical="center"/>
    </xf>
    <xf numFmtId="49" fontId="25" fillId="2" borderId="0" xfId="0" applyNumberFormat="1" applyFont="1" applyFill="1" applyAlignment="1">
      <alignment horizontal="left" wrapText="1"/>
    </xf>
    <xf numFmtId="49" fontId="26" fillId="2" borderId="0" xfId="0" applyNumberFormat="1" applyFont="1" applyFill="1" applyAlignment="1">
      <alignment horizontal="left" wrapText="1"/>
    </xf>
    <xf numFmtId="0" fontId="28" fillId="2" borderId="17" xfId="0" applyFont="1" applyFill="1" applyBorder="1" applyAlignment="1" applyProtection="1">
      <alignment horizontal="left" vertical="center"/>
      <protection locked="0"/>
    </xf>
    <xf numFmtId="0" fontId="28" fillId="2" borderId="18" xfId="0" applyFont="1" applyFill="1" applyBorder="1" applyAlignment="1" applyProtection="1">
      <alignment horizontal="left" vertical="center"/>
      <protection locked="0"/>
    </xf>
    <xf numFmtId="0" fontId="28" fillId="2" borderId="19" xfId="0" applyFont="1" applyFill="1" applyBorder="1" applyAlignment="1" applyProtection="1">
      <alignment horizontal="left" vertical="center"/>
      <protection locked="0"/>
    </xf>
    <xf numFmtId="49" fontId="6" fillId="2" borderId="0" xfId="0" applyNumberFormat="1" applyFont="1" applyFill="1" applyAlignment="1">
      <alignment horizontal="left" vertical="center" wrapText="1"/>
    </xf>
    <xf numFmtId="0" fontId="28" fillId="2" borderId="17" xfId="0" applyFont="1" applyFill="1" applyBorder="1" applyAlignment="1" applyProtection="1">
      <alignment horizontal="left" vertical="center" wrapText="1"/>
      <protection locked="0"/>
    </xf>
    <xf numFmtId="0" fontId="28" fillId="2" borderId="18" xfId="0" applyFont="1" applyFill="1" applyBorder="1" applyAlignment="1" applyProtection="1">
      <alignment horizontal="left" vertical="center" wrapText="1"/>
      <protection locked="0"/>
    </xf>
    <xf numFmtId="0" fontId="28" fillId="2" borderId="19" xfId="0" applyFont="1" applyFill="1" applyBorder="1" applyAlignment="1" applyProtection="1">
      <alignment horizontal="left" vertical="center" wrapText="1"/>
      <protection locked="0"/>
    </xf>
    <xf numFmtId="0" fontId="28" fillId="2" borderId="0" xfId="0" applyFont="1" applyFill="1" applyAlignment="1">
      <alignment horizontal="left" vertical="center" wrapText="1"/>
    </xf>
    <xf numFmtId="0" fontId="28" fillId="2" borderId="20" xfId="0" applyFont="1" applyFill="1" applyBorder="1" applyAlignment="1" applyProtection="1">
      <alignment horizontal="left" vertical="center"/>
      <protection locked="0"/>
    </xf>
    <xf numFmtId="0" fontId="28" fillId="2" borderId="21" xfId="0" applyFont="1" applyFill="1" applyBorder="1" applyAlignment="1" applyProtection="1">
      <alignment horizontal="left" vertical="center"/>
      <protection locked="0"/>
    </xf>
    <xf numFmtId="0" fontId="28" fillId="2" borderId="22" xfId="0" applyFont="1" applyFill="1" applyBorder="1" applyAlignment="1" applyProtection="1">
      <alignment horizontal="left" vertical="center"/>
      <protection locked="0"/>
    </xf>
    <xf numFmtId="0" fontId="9" fillId="2" borderId="0" xfId="0" applyFont="1" applyFill="1" applyAlignment="1">
      <alignment horizontal="left" wrapText="1"/>
    </xf>
    <xf numFmtId="0" fontId="9" fillId="2" borderId="0" xfId="0" applyFont="1" applyFill="1" applyAlignment="1">
      <alignment horizontal="left"/>
    </xf>
  </cellXfs>
  <cellStyles count="2">
    <cellStyle name="Standard" xfId="0" builtinId="0"/>
    <cellStyle name="Standard 2" xfId="1" xr:uid="{9221CCAA-E0E1-4767-8C6C-4448050E6D99}"/>
  </cellStyles>
  <dxfs count="998">
    <dxf>
      <font>
        <color auto="1"/>
      </font>
      <fill>
        <patternFill>
          <bgColor theme="1"/>
        </patternFill>
      </fill>
      <border>
        <left/>
        <right/>
        <top/>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ont>
        <color rgb="FFFF0000"/>
      </font>
      <numFmt numFmtId="0" formatCode="Genera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border>
        <left style="thin">
          <color auto="1"/>
        </left>
        <right style="thin">
          <color auto="1"/>
        </right>
        <top style="thin">
          <color auto="1"/>
        </top>
        <bottom style="thin">
          <color auto="1"/>
        </bottom>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1"/>
      </font>
      <fill>
        <patternFill>
          <bgColor theme="1"/>
        </patternFill>
      </fill>
      <border>
        <left style="thin">
          <color theme="1"/>
        </left>
        <right style="thin">
          <color theme="1"/>
        </right>
        <top style="thin">
          <color theme="1"/>
        </top>
        <bottom style="thin">
          <color theme="1"/>
        </bottom>
        <vertical/>
        <horizontal/>
      </border>
    </dxf>
    <dxf>
      <font>
        <color theme="1"/>
      </font>
      <fill>
        <patternFill>
          <bgColor theme="1"/>
        </patternFill>
      </fill>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1"/>
      </font>
      <fill>
        <patternFill>
          <bgColor theme="1"/>
        </patternFill>
      </fill>
      <border>
        <left style="thin">
          <color theme="1"/>
        </left>
        <right style="thin">
          <color theme="1"/>
        </right>
        <top style="thin">
          <color theme="1"/>
        </top>
        <bottom style="thin">
          <color theme="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1"/>
      </font>
      <fill>
        <patternFill>
          <fgColor theme="1"/>
          <bgColor theme="1"/>
        </patternFill>
      </fill>
      <border>
        <left style="thin">
          <color auto="1"/>
        </left>
        <right style="thin">
          <color auto="1"/>
        </right>
        <top style="thin">
          <color auto="1"/>
        </top>
        <bottom style="thin">
          <color auto="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1"/>
      </font>
      <fill>
        <patternFill>
          <bgColor theme="1"/>
        </patternFill>
      </fill>
      <border>
        <left style="thin">
          <color auto="1"/>
        </left>
        <right style="thin">
          <color auto="1"/>
        </right>
        <top style="thin">
          <color auto="1"/>
        </top>
        <bottom style="thin">
          <color auto="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1"/>
      </font>
      <fill>
        <patternFill>
          <bgColor theme="1"/>
        </patternFill>
      </fill>
      <border>
        <left style="thin">
          <color auto="1"/>
        </left>
        <right style="thin">
          <color auto="1"/>
        </right>
        <top style="thin">
          <color auto="1"/>
        </top>
        <bottom style="thin">
          <color auto="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theme="1"/>
      </font>
      <fill>
        <patternFill>
          <bgColor theme="1"/>
        </patternFill>
      </fill>
      <border>
        <left style="thin">
          <color auto="1"/>
        </left>
        <right style="thin">
          <color auto="1"/>
        </right>
        <top style="thin">
          <color auto="1"/>
        </top>
        <bottom style="thin">
          <color auto="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rgb="FF00B050"/>
      </font>
      <border>
        <left style="thin">
          <color rgb="FF00B050"/>
        </left>
        <right style="thin">
          <color rgb="FF00B050"/>
        </right>
        <top style="thin">
          <color rgb="FF00B050"/>
        </top>
        <bottom style="thin">
          <color rgb="FF00B050"/>
        </bottom>
        <vertical/>
        <horizontal/>
      </border>
    </dxf>
    <dxf>
      <font>
        <color rgb="FFFF0000"/>
      </font>
    </dxf>
    <dxf>
      <font>
        <color auto="1"/>
      </font>
      <fill>
        <patternFill>
          <bgColor theme="1"/>
        </patternFill>
      </fill>
      <border>
        <left style="thin">
          <color auto="1"/>
        </left>
        <right style="thin">
          <color auto="1"/>
        </right>
        <top style="thin">
          <color auto="1"/>
        </top>
        <bottom style="thin">
          <color auto="1"/>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border>
        <left style="thin">
          <color rgb="FF00B050"/>
        </left>
        <right style="thin">
          <color rgb="FF00B050"/>
        </right>
        <top style="thin">
          <color rgb="FF00B050"/>
        </top>
        <bottom style="thin">
          <color rgb="FF00B050"/>
        </bottom>
        <vertical/>
        <horizontal/>
      </border>
    </dxf>
    <dxf>
      <font>
        <color rgb="FF00B050"/>
      </font>
    </dxf>
    <dxf>
      <font>
        <color rgb="FF00B050"/>
      </font>
    </dxf>
    <dxf>
      <font>
        <color rgb="FF00B050"/>
      </font>
      <border>
        <vertical/>
        <horizontal/>
      </border>
    </dxf>
    <dxf>
      <font>
        <color rgb="FF00B050"/>
      </font>
    </dxf>
    <dxf>
      <font>
        <color rgb="FF00B050"/>
      </font>
    </dxf>
    <dxf>
      <font>
        <color rgb="FF00B050"/>
      </font>
      <border>
        <left style="thin">
          <color rgb="FF00B050"/>
        </left>
        <right style="thin">
          <color rgb="FF00B050"/>
        </right>
        <top style="thin">
          <color rgb="FF00B050"/>
        </top>
        <bottom style="thin">
          <color rgb="FF00B050"/>
        </bottom>
      </border>
    </dxf>
  </dxfs>
  <tableStyles count="0" defaultTableStyle="TableStyleMedium2" defaultPivotStyle="PivotStyleLight16"/>
  <colors>
    <mruColors>
      <color rgb="FFFDC73D"/>
      <color rgb="FF1D4972"/>
      <color rgb="FF7030A0"/>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9</xdr:col>
      <xdr:colOff>526676</xdr:colOff>
      <xdr:row>1</xdr:row>
      <xdr:rowOff>67236</xdr:rowOff>
    </xdr:from>
    <xdr:ext cx="1377695" cy="574517"/>
    <xdr:pic>
      <xdr:nvPicPr>
        <xdr:cNvPr id="2" name="image1.jpeg">
          <a:extLst>
            <a:ext uri="{FF2B5EF4-FFF2-40B4-BE49-F238E27FC236}">
              <a16:creationId xmlns:a16="http://schemas.microsoft.com/office/drawing/2014/main" id="{A8193E86-959E-4EA6-BFC9-4777F078AE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18176" y="267261"/>
          <a:ext cx="1377695" cy="57451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132976</xdr:colOff>
      <xdr:row>1</xdr:row>
      <xdr:rowOff>200586</xdr:rowOff>
    </xdr:from>
    <xdr:ext cx="1803094" cy="751914"/>
    <xdr:pic>
      <xdr:nvPicPr>
        <xdr:cNvPr id="2" name="image1.jpeg">
          <a:extLst>
            <a:ext uri="{FF2B5EF4-FFF2-40B4-BE49-F238E27FC236}">
              <a16:creationId xmlns:a16="http://schemas.microsoft.com/office/drawing/2014/main" id="{38EA9FB0-B508-4DED-8DAE-815929D5DB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851" y="400611"/>
          <a:ext cx="1803094" cy="751914"/>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9</xdr:col>
      <xdr:colOff>526676</xdr:colOff>
      <xdr:row>1</xdr:row>
      <xdr:rowOff>67236</xdr:rowOff>
    </xdr:from>
    <xdr:ext cx="1377695" cy="574517"/>
    <xdr:pic>
      <xdr:nvPicPr>
        <xdr:cNvPr id="2" name="image1.jpeg">
          <a:extLst>
            <a:ext uri="{FF2B5EF4-FFF2-40B4-BE49-F238E27FC236}">
              <a16:creationId xmlns:a16="http://schemas.microsoft.com/office/drawing/2014/main" id="{A13F9433-B770-460E-A0B3-7A5E79D2FD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99076" y="267261"/>
          <a:ext cx="1377695" cy="57451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11</xdr:col>
      <xdr:colOff>406927</xdr:colOff>
      <xdr:row>1</xdr:row>
      <xdr:rowOff>115149</xdr:rowOff>
    </xdr:from>
    <xdr:ext cx="1755809" cy="732196"/>
    <xdr:pic>
      <xdr:nvPicPr>
        <xdr:cNvPr id="2" name="image1.jpeg">
          <a:extLst>
            <a:ext uri="{FF2B5EF4-FFF2-40B4-BE49-F238E27FC236}">
              <a16:creationId xmlns:a16="http://schemas.microsoft.com/office/drawing/2014/main" id="{BA6E028D-8DA1-402C-AD5C-FAD1456AF1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6802" y="315174"/>
          <a:ext cx="1755809" cy="732196"/>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CE559-4C0D-43AD-8D35-59F2C5F523CE}">
  <sheetPr>
    <tabColor rgb="FF1D4972"/>
    <pageSetUpPr fitToPage="1"/>
  </sheetPr>
  <dimension ref="A1:XFD467"/>
  <sheetViews>
    <sheetView tabSelected="1" zoomScaleNormal="100" zoomScaleSheetLayoutView="85" workbookViewId="0">
      <pane ySplit="5" topLeftCell="A6" activePane="bottomLeft" state="frozen"/>
      <selection pane="bottomLeft" activeCell="D9" sqref="D9:J9"/>
    </sheetView>
  </sheetViews>
  <sheetFormatPr baseColWidth="10" defaultColWidth="0" defaultRowHeight="15.75" zeroHeight="1" x14ac:dyDescent="0.25"/>
  <cols>
    <col min="1" max="1" width="1.875" style="1" customWidth="1"/>
    <col min="2" max="2" width="6.5" style="1" customWidth="1"/>
    <col min="3" max="3" width="10.625" style="1" customWidth="1"/>
    <col min="4" max="4" width="22.25" style="1" customWidth="1"/>
    <col min="5" max="5" width="15.5" style="1" customWidth="1"/>
    <col min="6" max="6" width="15.625" style="1" customWidth="1"/>
    <col min="7" max="7" width="14.5" style="1" customWidth="1"/>
    <col min="8" max="9" width="11.125" style="1" customWidth="1"/>
    <col min="10" max="10" width="6.125" style="1" customWidth="1"/>
    <col min="11" max="11" width="13.75" style="1" customWidth="1"/>
    <col min="12" max="12" width="5.875" style="1" customWidth="1"/>
    <col min="13" max="16383" width="11" style="1" hidden="1"/>
    <col min="16384" max="16384" width="3" style="1" customWidth="1"/>
  </cols>
  <sheetData>
    <row r="1" spans="2:12" ht="9" customHeight="1" x14ac:dyDescent="0.25">
      <c r="B1" s="2"/>
    </row>
    <row r="2" spans="2:12" ht="39" customHeight="1" x14ac:dyDescent="0.3">
      <c r="B2" s="333" t="str">
        <f>""&amp;Konfigurationsblatt!E6&amp;" – "&amp;Konfigurationsblatt!E8&amp;""</f>
        <v>60-2025-34 – Tragwerksplanung: Sanierung des denkmalgeschützten Ratssaals in C-R</v>
      </c>
      <c r="C2" s="333"/>
      <c r="D2" s="333"/>
      <c r="E2" s="333"/>
      <c r="F2" s="333"/>
      <c r="G2" s="333"/>
      <c r="H2" s="333"/>
      <c r="I2" s="333"/>
    </row>
    <row r="3" spans="2:12" ht="24.75" customHeight="1" x14ac:dyDescent="0.25">
      <c r="B3" s="330" t="str">
        <f>""&amp;Konfigurationsblatt!E10&amp;""</f>
        <v>Leistungsbeschreibung Anlage 1 - Angebots- und Preisblatt</v>
      </c>
      <c r="C3" s="330"/>
      <c r="D3" s="330"/>
      <c r="E3" s="330"/>
      <c r="F3" s="330"/>
      <c r="G3" s="330"/>
      <c r="H3" s="330"/>
      <c r="I3" s="330"/>
    </row>
    <row r="4" spans="2:12" ht="31.5" customHeight="1" x14ac:dyDescent="0.25">
      <c r="B4" s="331" t="s">
        <v>173</v>
      </c>
      <c r="C4" s="332"/>
      <c r="D4" s="332"/>
      <c r="E4" s="332"/>
      <c r="F4" s="332"/>
      <c r="G4" s="332"/>
      <c r="H4" s="332"/>
      <c r="I4" s="332"/>
      <c r="J4" s="332"/>
      <c r="K4" s="332"/>
      <c r="L4" s="332"/>
    </row>
    <row r="5" spans="2:12" ht="9" customHeight="1" x14ac:dyDescent="0.3">
      <c r="B5" s="3"/>
      <c r="H5" s="19"/>
    </row>
    <row r="6" spans="2:12" x14ac:dyDescent="0.25">
      <c r="B6" s="5"/>
    </row>
    <row r="7" spans="2:12" ht="20.100000000000001" customHeight="1" x14ac:dyDescent="0.25">
      <c r="B7" s="6" t="s">
        <v>0</v>
      </c>
    </row>
    <row r="8" spans="2:12" ht="20.100000000000001" customHeight="1" x14ac:dyDescent="0.25">
      <c r="B8" s="6"/>
    </row>
    <row r="9" spans="2:12" ht="22.5" customHeight="1" x14ac:dyDescent="0.25">
      <c r="B9" s="5"/>
      <c r="D9" s="334" t="s">
        <v>41</v>
      </c>
      <c r="E9" s="334"/>
      <c r="F9" s="334"/>
      <c r="G9" s="334"/>
      <c r="H9" s="334"/>
      <c r="I9" s="334"/>
      <c r="J9" s="334"/>
    </row>
    <row r="10" spans="2:12" x14ac:dyDescent="0.25">
      <c r="B10" s="112"/>
    </row>
    <row r="11" spans="2:12" x14ac:dyDescent="0.25">
      <c r="B11" s="112"/>
    </row>
    <row r="12" spans="2:12" x14ac:dyDescent="0.25">
      <c r="B12" s="112"/>
    </row>
    <row r="13" spans="2:12" ht="20.100000000000001" customHeight="1" x14ac:dyDescent="0.25">
      <c r="B13" s="6" t="s">
        <v>15</v>
      </c>
    </row>
    <row r="14" spans="2:12" x14ac:dyDescent="0.25">
      <c r="B14" s="112"/>
    </row>
    <row r="15" spans="2:12" s="7" customFormat="1" ht="24.75" customHeight="1" x14ac:dyDescent="0.25">
      <c r="B15" s="97" t="s">
        <v>113</v>
      </c>
      <c r="E15" s="124"/>
      <c r="F15" s="123"/>
      <c r="G15" s="123"/>
      <c r="H15" s="123"/>
      <c r="I15" s="123"/>
      <c r="J15" s="123"/>
      <c r="K15" s="123"/>
    </row>
    <row r="16" spans="2:12" s="7" customFormat="1" ht="20.100000000000001" customHeight="1" x14ac:dyDescent="0.25">
      <c r="B16" s="97"/>
      <c r="E16" s="129"/>
      <c r="F16" s="123"/>
      <c r="G16" s="123"/>
      <c r="H16" s="123"/>
      <c r="I16" s="123"/>
      <c r="J16" s="123"/>
      <c r="K16" s="123"/>
    </row>
    <row r="17" spans="2:12 16384:16384" ht="69.75" customHeight="1" x14ac:dyDescent="0.3">
      <c r="B17" s="36"/>
      <c r="C17" s="328" t="s">
        <v>1</v>
      </c>
      <c r="D17" s="329"/>
      <c r="E17" s="14" t="s">
        <v>192</v>
      </c>
      <c r="F17" s="15" t="s">
        <v>193</v>
      </c>
      <c r="G17" s="263" t="s">
        <v>18</v>
      </c>
      <c r="H17" s="264"/>
      <c r="I17" s="265"/>
      <c r="J17" s="263" t="s">
        <v>17</v>
      </c>
      <c r="K17" s="265"/>
    </row>
    <row r="18" spans="2:12 16384:16384" ht="20.100000000000001" customHeight="1" x14ac:dyDescent="0.25">
      <c r="B18" s="37" t="s">
        <v>2</v>
      </c>
      <c r="C18" s="327"/>
      <c r="D18" s="326"/>
      <c r="E18" s="180"/>
      <c r="F18" s="16"/>
      <c r="G18" s="325"/>
      <c r="H18" s="327"/>
      <c r="I18" s="326"/>
      <c r="J18" s="325" t="s">
        <v>14</v>
      </c>
      <c r="K18" s="326"/>
    </row>
    <row r="19" spans="2:12 16384:16384" ht="20.100000000000001" customHeight="1" x14ac:dyDescent="0.25">
      <c r="B19" s="37" t="s">
        <v>3</v>
      </c>
      <c r="C19" s="327"/>
      <c r="D19" s="326"/>
      <c r="E19" s="180"/>
      <c r="F19" s="16"/>
      <c r="G19" s="325"/>
      <c r="H19" s="327"/>
      <c r="I19" s="326"/>
      <c r="J19" s="325" t="s">
        <v>16</v>
      </c>
      <c r="K19" s="326"/>
    </row>
    <row r="20" spans="2:12 16384:16384" ht="20.100000000000001" customHeight="1" x14ac:dyDescent="0.25">
      <c r="B20" s="37" t="s">
        <v>4</v>
      </c>
      <c r="C20" s="325"/>
      <c r="D20" s="326"/>
      <c r="E20" s="180"/>
      <c r="F20" s="16"/>
      <c r="G20" s="325"/>
      <c r="H20" s="327"/>
      <c r="I20" s="326"/>
      <c r="J20" s="325"/>
      <c r="K20" s="326"/>
    </row>
    <row r="21" spans="2:12 16384:16384" ht="20.100000000000001" customHeight="1" x14ac:dyDescent="0.25">
      <c r="B21" s="37" t="s">
        <v>5</v>
      </c>
      <c r="C21" s="325"/>
      <c r="D21" s="326"/>
      <c r="E21" s="180"/>
      <c r="F21" s="16"/>
      <c r="G21" s="325"/>
      <c r="H21" s="327"/>
      <c r="I21" s="326"/>
      <c r="J21" s="325"/>
      <c r="K21" s="326"/>
    </row>
    <row r="22" spans="2:12 16384:16384" ht="20.100000000000001" customHeight="1" x14ac:dyDescent="0.25">
      <c r="B22" s="37" t="s">
        <v>6</v>
      </c>
      <c r="C22" s="325"/>
      <c r="D22" s="326"/>
      <c r="E22" s="180"/>
      <c r="F22" s="16"/>
      <c r="G22" s="325"/>
      <c r="H22" s="327"/>
      <c r="I22" s="326"/>
      <c r="J22" s="325"/>
      <c r="K22" s="326"/>
    </row>
    <row r="23" spans="2:12 16384:16384" ht="20.100000000000001" customHeight="1" x14ac:dyDescent="0.25">
      <c r="B23" s="37" t="s">
        <v>29</v>
      </c>
      <c r="C23" s="325"/>
      <c r="D23" s="326"/>
      <c r="E23" s="180"/>
      <c r="F23" s="16"/>
      <c r="G23" s="325"/>
      <c r="H23" s="327"/>
      <c r="I23" s="326"/>
      <c r="J23" s="325"/>
      <c r="K23" s="326"/>
    </row>
    <row r="24" spans="2:12 16384:16384" ht="20.100000000000001" customHeight="1" x14ac:dyDescent="0.25">
      <c r="B24" s="37" t="s">
        <v>30</v>
      </c>
      <c r="C24" s="325"/>
      <c r="D24" s="326"/>
      <c r="E24" s="180"/>
      <c r="F24" s="16"/>
      <c r="G24" s="325"/>
      <c r="H24" s="327"/>
      <c r="I24" s="326"/>
      <c r="J24" s="325"/>
      <c r="K24" s="326"/>
    </row>
    <row r="25" spans="2:12 16384:16384" ht="20.100000000000001" customHeight="1" x14ac:dyDescent="0.25">
      <c r="B25" s="37" t="s">
        <v>31</v>
      </c>
      <c r="C25" s="325"/>
      <c r="D25" s="326"/>
      <c r="E25" s="180"/>
      <c r="F25" s="16"/>
      <c r="G25" s="325"/>
      <c r="H25" s="327"/>
      <c r="I25" s="326"/>
      <c r="J25" s="325"/>
      <c r="K25" s="326"/>
    </row>
    <row r="26" spans="2:12 16384:16384" ht="20.100000000000001" customHeight="1" x14ac:dyDescent="0.25">
      <c r="B26" s="37" t="s">
        <v>32</v>
      </c>
      <c r="C26" s="325"/>
      <c r="D26" s="326"/>
      <c r="E26" s="180"/>
      <c r="F26" s="16"/>
      <c r="G26" s="325"/>
      <c r="H26" s="327"/>
      <c r="I26" s="326"/>
      <c r="J26" s="325"/>
      <c r="K26" s="326"/>
      <c r="L26" s="51" t="str">
        <f>Konfigurationsblatt!E18</f>
        <v>Tragwerksplaner/in</v>
      </c>
    </row>
    <row r="27" spans="2:12 16384:16384" ht="20.100000000000001" customHeight="1" x14ac:dyDescent="0.3">
      <c r="B27" s="10"/>
      <c r="L27" s="51">
        <f>Konfigurationsblatt!F29</f>
        <v>8</v>
      </c>
      <c r="XFD27" s="51" t="str">
        <f>IF(L27&gt;=2,"Jahren","Jahr")</f>
        <v>Jahren</v>
      </c>
    </row>
    <row r="28" spans="2:12 16384:16384" s="29" customFormat="1" ht="18.75" customHeight="1" x14ac:dyDescent="0.25">
      <c r="B28" s="30" t="str">
        <f>"Es ist ein/e verantwortliche/r Projektleiter/in für die Projektbegleitung und zumindest ein/e weitere/r "&amp;L26&amp;" oder vergleichbar im Sinne des"</f>
        <v>Es ist ein/e verantwortliche/r Projektleiter/in für die Projektbegleitung und zumindest ein/e weitere/r Tragwerksplaner/in oder vergleichbar im Sinne des</v>
      </c>
      <c r="L28" s="127">
        <f>Konfigurationsblatt!F34</f>
        <v>5</v>
      </c>
      <c r="XFD28" s="127" t="str">
        <f>IF(L28&gt;=2,"Jahren","Jahr")</f>
        <v>Jahren</v>
      </c>
    </row>
    <row r="29" spans="2:12 16384:16384" s="29" customFormat="1" ht="18.75" customHeight="1" x14ac:dyDescent="0.25">
      <c r="B29" s="38" t="s">
        <v>306</v>
      </c>
    </row>
    <row r="30" spans="2:12 16384:16384" s="29" customFormat="1" ht="18.75" customHeight="1" x14ac:dyDescent="0.25">
      <c r="B30" s="38" t="str">
        <f>"lebenslaufes der Projektleitung sowie der Stellvertretung ist mit dem Angebot vorzulegen. Es wird eine Berufserfahrung von zumindest "&amp;L27&amp;" "&amp;XFD27&amp;""</f>
        <v>lebenslaufes der Projektleitung sowie der Stellvertretung ist mit dem Angebot vorzulegen. Es wird eine Berufserfahrung von zumindest 8 Jahren</v>
      </c>
    </row>
    <row r="31" spans="2:12 16384:16384" s="29" customFormat="1" ht="18.75" customHeight="1" x14ac:dyDescent="0.25">
      <c r="B31" s="38" t="str">
        <f>"der Projektleitung sowie "&amp;L28&amp;" "&amp;XFD28&amp;" der Stellvertretung vorausgesetzt. Mit dem Angebot soll zudem die Berechtigung zur Führung der o. g. Berufsbe-"</f>
        <v>der Projektleitung sowie 5 Jahren der Stellvertretung vorausgesetzt. Mit dem Angebot soll zudem die Berechtigung zur Führung der o. g. Berufsbe-</v>
      </c>
    </row>
    <row r="32" spans="2:12 16384:16384" s="29" customFormat="1" ht="18.75" customHeight="1" x14ac:dyDescent="0.25">
      <c r="B32" s="38" t="s">
        <v>307</v>
      </c>
    </row>
    <row r="33" spans="2:12" s="29" customFormat="1" ht="18.75" customHeight="1" x14ac:dyDescent="0.25">
      <c r="B33" s="38" t="s">
        <v>308</v>
      </c>
    </row>
    <row r="34" spans="2:12" s="29" customFormat="1" ht="18.75" customHeight="1" x14ac:dyDescent="0.25">
      <c r="B34" s="30" t="s">
        <v>309</v>
      </c>
    </row>
    <row r="35" spans="2:12" s="12" customFormat="1" ht="20.100000000000001" customHeight="1" x14ac:dyDescent="0.25">
      <c r="B35" s="30" t="s">
        <v>310</v>
      </c>
    </row>
    <row r="36" spans="2:12" ht="20.100000000000001" customHeight="1" x14ac:dyDescent="0.25">
      <c r="B36" s="188"/>
    </row>
    <row r="37" spans="2:12" ht="20.100000000000001" customHeight="1" x14ac:dyDescent="0.3">
      <c r="B37" s="10"/>
    </row>
    <row r="38" spans="2:12" s="7" customFormat="1" ht="24.75" customHeight="1" x14ac:dyDescent="0.25">
      <c r="B38" s="97" t="s">
        <v>138</v>
      </c>
      <c r="E38" s="124"/>
      <c r="F38" s="123"/>
      <c r="G38" s="123"/>
      <c r="H38" s="123"/>
      <c r="I38" s="123"/>
      <c r="J38" s="123"/>
      <c r="K38" s="123"/>
      <c r="L38" s="128" t="str">
        <f>Konfigurationsblatt!E20</f>
        <v>Tragwerksplaner oder Ingenieure, Bachelor / Master of Science / Engineering</v>
      </c>
    </row>
    <row r="39" spans="2:12" s="187" customFormat="1" ht="18.75" customHeight="1" x14ac:dyDescent="0.25">
      <c r="B39" s="29" t="str">
        <f>"Es müssen in den letzten fünf Geschäftsjahren und aktuell Durschnitt mindestens "&amp;L39&amp;" Berufsträger als Festangestellte oder Inhaber beschäftigt worden"</f>
        <v>Es müssen in den letzten fünf Geschäftsjahren und aktuell Durschnitt mindestens 3 Berufsträger als Festangestellte oder Inhaber beschäftigt worden</v>
      </c>
      <c r="C39" s="29"/>
      <c r="D39" s="29"/>
      <c r="E39" s="29"/>
      <c r="F39" s="29"/>
      <c r="G39" s="29"/>
      <c r="H39" s="29"/>
      <c r="I39" s="29"/>
      <c r="J39" s="29"/>
      <c r="K39" s="29"/>
      <c r="L39" s="127">
        <f>Konfigurationsblatt!C69</f>
        <v>3</v>
      </c>
    </row>
    <row r="40" spans="2:12" s="187" customFormat="1" ht="18.75" customHeight="1" x14ac:dyDescent="0.25">
      <c r="B40" s="29" t="s">
        <v>281</v>
      </c>
      <c r="C40" s="29"/>
      <c r="D40" s="29"/>
      <c r="E40" s="29"/>
      <c r="F40" s="29"/>
      <c r="G40" s="29"/>
      <c r="H40" s="29"/>
      <c r="I40" s="29"/>
      <c r="J40" s="29"/>
      <c r="K40" s="29"/>
      <c r="L40" s="29"/>
    </row>
    <row r="41" spans="2:12" s="187" customFormat="1" ht="34.5" customHeight="1" x14ac:dyDescent="0.25">
      <c r="B41" s="307" t="str">
        <f>"werden). Als Berufsträger gelten hier: "&amp;L38&amp;" oder vergleichbar im Sinne des § 75 Abs. 4 VgV."</f>
        <v>werden). Als Berufsträger gelten hier: Tragwerksplaner oder Ingenieure, Bachelor / Master of Science / Engineering oder vergleichbar im Sinne des § 75 Abs. 4 VgV.</v>
      </c>
      <c r="C41" s="307"/>
      <c r="D41" s="307"/>
      <c r="E41" s="307"/>
      <c r="F41" s="307"/>
      <c r="G41" s="307"/>
      <c r="H41" s="307"/>
      <c r="I41" s="307"/>
      <c r="J41" s="307"/>
      <c r="K41" s="307"/>
      <c r="L41" s="29"/>
    </row>
    <row r="42" spans="2:12" x14ac:dyDescent="0.25">
      <c r="B42" s="5"/>
    </row>
    <row r="43" spans="2:12" ht="18.75" customHeight="1" x14ac:dyDescent="0.3">
      <c r="B43" s="8"/>
      <c r="C43" s="315" t="s">
        <v>40</v>
      </c>
      <c r="D43" s="316"/>
      <c r="E43" s="266" t="s">
        <v>39</v>
      </c>
      <c r="F43" s="267"/>
      <c r="G43" s="120"/>
      <c r="H43" s="120"/>
      <c r="I43" s="120"/>
      <c r="J43" s="120"/>
      <c r="K43" s="120"/>
    </row>
    <row r="44" spans="2:12" ht="18.75" x14ac:dyDescent="0.3">
      <c r="B44" s="8"/>
      <c r="C44" s="317">
        <f ca="1">DATE(YEAR(TODAY())-5,MONTH(TODAY()),DAY(TODAY()))</f>
        <v>44177</v>
      </c>
      <c r="D44" s="318"/>
      <c r="E44" s="319"/>
      <c r="F44" s="320"/>
      <c r="G44" s="120"/>
      <c r="H44" s="120"/>
      <c r="I44" s="120"/>
      <c r="J44" s="120"/>
      <c r="K44" s="120"/>
    </row>
    <row r="45" spans="2:12" ht="20.100000000000001" customHeight="1" x14ac:dyDescent="0.25">
      <c r="B45" s="9"/>
      <c r="C45" s="317">
        <f ca="1">DATE(YEAR(TODAY())-4,MONTH(TODAY()),DAY(TODAY()))</f>
        <v>44542</v>
      </c>
      <c r="D45" s="318"/>
      <c r="E45" s="300"/>
      <c r="F45" s="301"/>
      <c r="G45" s="120"/>
      <c r="H45" s="120"/>
      <c r="I45" s="120"/>
      <c r="J45" s="120"/>
      <c r="K45" s="120"/>
    </row>
    <row r="46" spans="2:12" ht="20.100000000000001" customHeight="1" x14ac:dyDescent="0.25">
      <c r="B46" s="9"/>
      <c r="C46" s="317">
        <f ca="1">DATE(YEAR(TODAY())-3,MONTH(TODAY()),DAY(TODAY()))</f>
        <v>44907</v>
      </c>
      <c r="D46" s="318"/>
      <c r="E46" s="300"/>
      <c r="F46" s="301"/>
      <c r="G46" s="120"/>
      <c r="H46" s="120"/>
      <c r="I46" s="120"/>
      <c r="J46" s="120"/>
      <c r="K46" s="120"/>
    </row>
    <row r="47" spans="2:12" ht="20.100000000000001" customHeight="1" x14ac:dyDescent="0.25">
      <c r="B47" s="9"/>
      <c r="C47" s="317">
        <f ca="1">DATE(YEAR(TODAY())-2,MONTH(TODAY()),DAY(TODAY()))</f>
        <v>45272</v>
      </c>
      <c r="D47" s="318"/>
      <c r="E47" s="300"/>
      <c r="F47" s="301"/>
      <c r="G47" s="120"/>
      <c r="H47" s="120"/>
      <c r="I47" s="120"/>
      <c r="J47" s="120"/>
      <c r="K47" s="120"/>
    </row>
    <row r="48" spans="2:12" ht="20.100000000000001" customHeight="1" x14ac:dyDescent="0.25">
      <c r="B48" s="9"/>
      <c r="C48" s="317">
        <f ca="1">DATE(YEAR(TODAY())-1,MONTH(TODAY()),DAY(TODAY()))</f>
        <v>45638</v>
      </c>
      <c r="D48" s="318"/>
      <c r="E48" s="300"/>
      <c r="F48" s="301"/>
      <c r="G48" s="120"/>
      <c r="H48" s="120"/>
      <c r="I48" s="120"/>
      <c r="J48" s="120"/>
      <c r="K48" s="120"/>
    </row>
    <row r="49" spans="1:11" ht="20.100000000000001" customHeight="1" x14ac:dyDescent="0.25">
      <c r="B49" s="9"/>
      <c r="C49" s="298" t="s">
        <v>38</v>
      </c>
      <c r="D49" s="299"/>
      <c r="E49" s="321"/>
      <c r="F49" s="322"/>
      <c r="G49" s="120"/>
      <c r="H49" s="120"/>
      <c r="I49" s="120"/>
      <c r="J49" s="120"/>
      <c r="K49" s="120"/>
    </row>
    <row r="50" spans="1:11" ht="11.25" customHeight="1" x14ac:dyDescent="0.3">
      <c r="B50" s="10"/>
      <c r="G50" s="120"/>
      <c r="H50" s="120"/>
      <c r="I50" s="120"/>
    </row>
    <row r="51" spans="1:11" ht="20.100000000000001" customHeight="1" x14ac:dyDescent="0.3">
      <c r="B51" s="10"/>
      <c r="C51" s="298" t="s">
        <v>77</v>
      </c>
      <c r="D51" s="299"/>
      <c r="E51" s="323" t="str">
        <f>IF(E49&lt;&gt;"",ROUND((E44+E45+E46+E47+E48+E49)/6,2),"")</f>
        <v/>
      </c>
      <c r="F51" s="324"/>
      <c r="G51" s="120"/>
      <c r="H51" s="120"/>
      <c r="I51" s="120"/>
    </row>
    <row r="52" spans="1:11" ht="20.100000000000001" customHeight="1" x14ac:dyDescent="0.3">
      <c r="B52" s="10"/>
      <c r="C52" s="122"/>
      <c r="D52" s="122"/>
      <c r="E52" s="122"/>
      <c r="F52" s="122"/>
      <c r="G52" s="120"/>
      <c r="H52" s="120"/>
      <c r="I52" s="120"/>
    </row>
    <row r="53" spans="1:11" ht="20.100000000000001" customHeight="1" x14ac:dyDescent="0.3">
      <c r="B53" s="10"/>
      <c r="G53" s="120"/>
      <c r="H53" s="120"/>
      <c r="I53" s="120"/>
    </row>
    <row r="54" spans="1:11" s="7" customFormat="1" ht="24.75" customHeight="1" x14ac:dyDescent="0.25">
      <c r="B54" s="97" t="s">
        <v>137</v>
      </c>
      <c r="E54" s="124"/>
      <c r="F54" s="123"/>
      <c r="G54" s="120"/>
      <c r="H54" s="120"/>
      <c r="I54" s="120"/>
      <c r="J54" s="123"/>
      <c r="K54" s="123"/>
    </row>
    <row r="55" spans="1:11" ht="20.100000000000001" customHeight="1" x14ac:dyDescent="0.3">
      <c r="A55" s="12"/>
      <c r="B55" s="30" t="str">
        <f>"In den letzten drei abgeschlossenen Geschäftsjahren muss ein Mindestumsatz von im Durchschnitt "&amp;TEXT(H57,"#.##0,00")&amp;" Euro netto p. a. erwirtschaftet worden sein."</f>
        <v>In den letzten drei abgeschlossenen Geschäftsjahren muss ein Mindestumsatz von im Durchschnitt 300.000,00 Euro netto p. a. erwirtschaftet worden sein.</v>
      </c>
      <c r="C55" s="126"/>
      <c r="G55" s="50"/>
      <c r="H55" s="120"/>
    </row>
    <row r="56" spans="1:11" ht="10.5" customHeight="1" x14ac:dyDescent="0.25">
      <c r="A56" s="12"/>
      <c r="B56" s="29"/>
      <c r="G56" s="182"/>
      <c r="H56" s="120"/>
      <c r="I56" s="120"/>
      <c r="J56" s="120"/>
      <c r="K56" s="120"/>
    </row>
    <row r="57" spans="1:11" ht="39" customHeight="1" x14ac:dyDescent="0.25">
      <c r="A57" s="12"/>
      <c r="C57" s="311" t="s">
        <v>114</v>
      </c>
      <c r="D57" s="312"/>
      <c r="E57" s="313" t="s">
        <v>70</v>
      </c>
      <c r="F57" s="314"/>
      <c r="G57" s="182"/>
      <c r="H57" s="121">
        <f>Konfigurationsblatt!E40</f>
        <v>300000</v>
      </c>
      <c r="I57" s="120"/>
      <c r="J57" s="120"/>
      <c r="K57" s="120"/>
    </row>
    <row r="58" spans="1:11" ht="20.100000000000001" customHeight="1" x14ac:dyDescent="0.25">
      <c r="A58" s="12"/>
      <c r="C58" s="298">
        <f ca="1">C60-2</f>
        <v>2022</v>
      </c>
      <c r="D58" s="299"/>
      <c r="E58" s="302"/>
      <c r="F58" s="303"/>
      <c r="G58" s="182">
        <f ca="1">YEAR(TODAY())-3</f>
        <v>2022</v>
      </c>
      <c r="H58" s="120"/>
      <c r="I58" s="120"/>
      <c r="J58" s="120"/>
      <c r="K58" s="120"/>
    </row>
    <row r="59" spans="1:11" ht="20.100000000000001" customHeight="1" x14ac:dyDescent="0.25">
      <c r="A59" s="12"/>
      <c r="C59" s="298">
        <f ca="1">C60-1</f>
        <v>2023</v>
      </c>
      <c r="D59" s="299"/>
      <c r="E59" s="302"/>
      <c r="F59" s="303"/>
      <c r="G59" s="182">
        <f ca="1">YEAR(TODAY())-2</f>
        <v>2023</v>
      </c>
      <c r="H59" s="120"/>
      <c r="I59" s="120"/>
      <c r="J59" s="120"/>
      <c r="K59" s="120"/>
    </row>
    <row r="60" spans="1:11" ht="20.100000000000001" customHeight="1" x14ac:dyDescent="0.25">
      <c r="A60" s="12"/>
      <c r="C60" s="300">
        <f ca="1">YEAR(TODAY())-1</f>
        <v>2024</v>
      </c>
      <c r="D60" s="301"/>
      <c r="E60" s="302"/>
      <c r="F60" s="303"/>
      <c r="G60" s="182">
        <f ca="1">YEAR(TODAY())-1</f>
        <v>2024</v>
      </c>
      <c r="H60" s="120"/>
      <c r="I60" s="120"/>
    </row>
    <row r="61" spans="1:11" ht="11.25" customHeight="1" x14ac:dyDescent="0.3">
      <c r="B61" s="10"/>
      <c r="E61" s="125"/>
      <c r="F61" s="125"/>
      <c r="G61" s="120"/>
      <c r="H61" s="120"/>
      <c r="I61" s="120"/>
    </row>
    <row r="62" spans="1:11" ht="20.100000000000001" customHeight="1" x14ac:dyDescent="0.3">
      <c r="B62" s="10"/>
      <c r="C62" s="298" t="s">
        <v>77</v>
      </c>
      <c r="D62" s="299"/>
      <c r="E62" s="304" t="str">
        <f>IF(E60&lt;&gt;"",(ROUND((E58+E59+E60)/3,2)),"")</f>
        <v/>
      </c>
      <c r="F62" s="305"/>
      <c r="G62" s="120"/>
      <c r="H62" s="120"/>
      <c r="I62" s="120"/>
    </row>
    <row r="63" spans="1:11" ht="20.100000000000001" customHeight="1" x14ac:dyDescent="0.3">
      <c r="B63" s="10"/>
      <c r="C63" s="122"/>
      <c r="D63" s="122"/>
      <c r="E63" s="122"/>
      <c r="F63" s="122"/>
      <c r="G63" s="120"/>
      <c r="H63" s="120"/>
      <c r="I63" s="120"/>
    </row>
    <row r="64" spans="1:11" ht="10.5" customHeight="1" x14ac:dyDescent="0.25">
      <c r="A64" s="12"/>
      <c r="G64" s="120"/>
      <c r="H64" s="120"/>
      <c r="I64" s="120"/>
    </row>
    <row r="65" spans="1:11" s="29" customFormat="1" ht="20.100000000000001" customHeight="1" x14ac:dyDescent="0.25">
      <c r="A65" s="30"/>
      <c r="B65" s="30" t="str">
        <f>"In den letzten drei abgeschlossenen Geschäftsjahren muss ein Umsatz von mindestens im Durchschnitt "&amp;TEXT(H68,"#.##0,00")&amp;" Euro netto p. a. mit Leistungen des"</f>
        <v>In den letzten drei abgeschlossenen Geschäftsjahren muss ein Umsatz von mindestens im Durchschnitt 150.000,00 Euro netto p. a. mit Leistungen des</v>
      </c>
      <c r="C65" s="184"/>
      <c r="G65" s="185"/>
      <c r="H65" s="186"/>
    </row>
    <row r="66" spans="1:11" s="29" customFormat="1" ht="20.100000000000001" customHeight="1" x14ac:dyDescent="0.25">
      <c r="A66" s="30"/>
      <c r="B66" s="30" t="str">
        <f>"Leistungsbildes "&amp;H69&amp;" erwirtschaftet worden sein."</f>
        <v>Leistungsbildes Tragwerksplanung (vgl. § 51 HOAI) erwirtschaftet worden sein.</v>
      </c>
      <c r="C66" s="184"/>
      <c r="G66" s="186"/>
      <c r="H66" s="186"/>
    </row>
    <row r="67" spans="1:11" ht="10.5" customHeight="1" x14ac:dyDescent="0.25">
      <c r="A67" s="12"/>
      <c r="G67" s="120"/>
      <c r="H67" s="120"/>
      <c r="I67" s="120"/>
      <c r="J67" s="120"/>
      <c r="K67" s="120"/>
    </row>
    <row r="68" spans="1:11" ht="61.5" customHeight="1" x14ac:dyDescent="0.25">
      <c r="A68" s="12"/>
      <c r="C68" s="311" t="s">
        <v>114</v>
      </c>
      <c r="D68" s="312"/>
      <c r="E68" s="313" t="s">
        <v>178</v>
      </c>
      <c r="F68" s="314"/>
      <c r="G68" s="120"/>
      <c r="H68" s="121">
        <f>Konfigurationsblatt!E41</f>
        <v>150000</v>
      </c>
      <c r="I68" s="120"/>
      <c r="J68" s="120"/>
      <c r="K68" s="120"/>
    </row>
    <row r="69" spans="1:11" ht="20.100000000000001" customHeight="1" x14ac:dyDescent="0.25">
      <c r="A69" s="12"/>
      <c r="C69" s="298">
        <f ca="1">C58</f>
        <v>2022</v>
      </c>
      <c r="D69" s="299"/>
      <c r="E69" s="302"/>
      <c r="F69" s="303"/>
      <c r="G69" s="120"/>
      <c r="H69" s="121" t="str">
        <f>Konfigurationsblatt!E16</f>
        <v>Tragwerksplanung (vgl. § 51 HOAI)</v>
      </c>
      <c r="I69" s="120"/>
      <c r="J69" s="120"/>
      <c r="K69" s="120"/>
    </row>
    <row r="70" spans="1:11" ht="20.100000000000001" customHeight="1" x14ac:dyDescent="0.25">
      <c r="A70" s="12"/>
      <c r="C70" s="298">
        <f ca="1">C59</f>
        <v>2023</v>
      </c>
      <c r="D70" s="299"/>
      <c r="E70" s="302"/>
      <c r="F70" s="303"/>
      <c r="G70" s="120"/>
      <c r="H70" s="120"/>
      <c r="I70" s="120"/>
      <c r="J70" s="120"/>
      <c r="K70" s="120"/>
    </row>
    <row r="71" spans="1:11" ht="20.100000000000001" customHeight="1" x14ac:dyDescent="0.25">
      <c r="A71" s="12"/>
      <c r="C71" s="298">
        <f ca="1">C60</f>
        <v>2024</v>
      </c>
      <c r="D71" s="299"/>
      <c r="E71" s="302"/>
      <c r="F71" s="303"/>
      <c r="G71" s="120"/>
      <c r="H71" s="120"/>
      <c r="I71" s="120"/>
    </row>
    <row r="72" spans="1:11" ht="11.25" customHeight="1" x14ac:dyDescent="0.3">
      <c r="B72" s="10"/>
      <c r="E72" s="125"/>
      <c r="F72" s="125"/>
      <c r="G72" s="120"/>
      <c r="H72" s="120"/>
      <c r="I72" s="120"/>
    </row>
    <row r="73" spans="1:11" ht="20.100000000000001" customHeight="1" x14ac:dyDescent="0.3">
      <c r="B73" s="10"/>
      <c r="C73" s="298" t="s">
        <v>77</v>
      </c>
      <c r="D73" s="299"/>
      <c r="E73" s="304" t="str">
        <f>IF(E71&lt;&gt;"",(ROUND((E69+E70+E71)/3,2)),"")</f>
        <v/>
      </c>
      <c r="F73" s="305"/>
      <c r="G73" s="120"/>
      <c r="H73" s="120"/>
      <c r="I73" s="120"/>
    </row>
    <row r="74" spans="1:11" ht="20.100000000000001" customHeight="1" x14ac:dyDescent="0.3">
      <c r="A74" s="12"/>
      <c r="B74" s="116"/>
      <c r="C74" s="10"/>
    </row>
    <row r="75" spans="1:11" ht="20.100000000000001" customHeight="1" x14ac:dyDescent="0.3">
      <c r="A75" s="12"/>
      <c r="B75" s="116"/>
      <c r="C75" s="10"/>
    </row>
    <row r="76" spans="1:11" s="7" customFormat="1" ht="24.75" customHeight="1" x14ac:dyDescent="0.25">
      <c r="B76" s="97" t="s">
        <v>136</v>
      </c>
      <c r="E76" s="124"/>
      <c r="F76" s="123"/>
      <c r="G76" s="123"/>
      <c r="H76" s="123"/>
      <c r="I76" s="123"/>
      <c r="J76" s="123"/>
      <c r="K76" s="123"/>
    </row>
    <row r="77" spans="1:11" s="29" customFormat="1" ht="20.100000000000001" customHeight="1" x14ac:dyDescent="0.25">
      <c r="B77" s="38" t="str">
        <f>"Im Auftragsfall wird eine Berufshaftpflichtversicherung mit einer Deckungssumme in Höhe von mindestens "&amp;TEXT(G81,"#.##0,0")&amp;" Millionen Euro für Personenschäden"</f>
        <v>Im Auftragsfall wird eine Berufshaftpflichtversicherung mit einer Deckungssumme in Höhe von mindestens 1,0 Millionen Euro für Personenschäden</v>
      </c>
    </row>
    <row r="78" spans="1:11" s="29" customFormat="1" ht="20.100000000000001" customHeight="1" x14ac:dyDescent="0.25">
      <c r="B78" s="38" t="str">
        <f>"sowie in Höhe von "&amp;TEXT(I81,"#.##0,0")&amp;" Millionen Euro für Sach- und Vermögensschäden mit je 2-facher Maximierung pro Kalenderjahr bei einem in der EU"</f>
        <v>sowie in Höhe von 1,5 Millionen Euro für Sach- und Vermögensschäden mit je 2-facher Maximierung pro Kalenderjahr bei einem in der EU</v>
      </c>
    </row>
    <row r="79" spans="1:11" s="29" customFormat="1" ht="20.100000000000001" customHeight="1" x14ac:dyDescent="0.25">
      <c r="B79" s="38" t="s">
        <v>282</v>
      </c>
    </row>
    <row r="80" spans="1:11" s="29" customFormat="1" ht="20.100000000000001" customHeight="1" x14ac:dyDescent="0.25">
      <c r="B80" s="38" t="s">
        <v>283</v>
      </c>
    </row>
    <row r="81" spans="2:11" ht="20.100000000000001" customHeight="1" x14ac:dyDescent="0.25">
      <c r="B81" s="11"/>
      <c r="G81" s="51">
        <f>Konfigurationsblatt!G45</f>
        <v>1</v>
      </c>
      <c r="H81" s="51"/>
      <c r="I81" s="51">
        <f>Konfigurationsblatt!E46</f>
        <v>1.5</v>
      </c>
    </row>
    <row r="82" spans="2:11" ht="20.100000000000001" customHeight="1" x14ac:dyDescent="0.25">
      <c r="B82" s="39"/>
      <c r="C82" s="52" t="s">
        <v>252</v>
      </c>
      <c r="D82" s="29" t="str">
        <f>IF(C82="Ja",", ein entsprechender Nachweis wird spätestents im Auftragsfalle unaufgefordert vorgelegt.",", ein entsprechender Nachweis wird nicht vorgelegt.")</f>
        <v>, ein entsprechender Nachweis wird nicht vorgelegt.</v>
      </c>
    </row>
    <row r="83" spans="2:11" ht="20.100000000000001" customHeight="1" x14ac:dyDescent="0.25">
      <c r="B83" s="38"/>
      <c r="C83" s="29" t="s">
        <v>115</v>
      </c>
      <c r="D83" s="29"/>
    </row>
    <row r="84" spans="2:11" ht="20.100000000000001" customHeight="1" x14ac:dyDescent="0.25">
      <c r="B84" s="11"/>
    </row>
    <row r="85" spans="2:11" ht="20.100000000000001" customHeight="1" x14ac:dyDescent="0.25">
      <c r="B85" s="11"/>
    </row>
    <row r="86" spans="2:11" ht="20.100000000000001" customHeight="1" x14ac:dyDescent="0.25">
      <c r="B86" s="43" t="s">
        <v>139</v>
      </c>
    </row>
    <row r="87" spans="2:11" ht="9" customHeight="1" x14ac:dyDescent="0.25">
      <c r="B87" s="44"/>
    </row>
    <row r="88" spans="2:11" s="29" customFormat="1" ht="20.100000000000001" customHeight="1" x14ac:dyDescent="0.25">
      <c r="B88" s="30" t="s">
        <v>174</v>
      </c>
    </row>
    <row r="89" spans="2:11" s="29" customFormat="1" ht="20.100000000000001" customHeight="1" x14ac:dyDescent="0.25">
      <c r="B89" s="45" t="s">
        <v>295</v>
      </c>
    </row>
    <row r="90" spans="2:11" ht="20.100000000000001" customHeight="1" x14ac:dyDescent="0.25">
      <c r="B90" s="44"/>
    </row>
    <row r="91" spans="2:11" ht="20.100000000000001" customHeight="1" x14ac:dyDescent="0.25">
      <c r="B91" s="6"/>
      <c r="C91" s="233" t="s">
        <v>35</v>
      </c>
      <c r="D91" s="233"/>
      <c r="E91" s="233"/>
      <c r="F91" s="233"/>
      <c r="G91" s="233" t="s">
        <v>36</v>
      </c>
      <c r="H91" s="233"/>
      <c r="I91" s="233"/>
      <c r="J91" s="233"/>
      <c r="K91" s="233"/>
    </row>
    <row r="92" spans="2:11" ht="22.5" customHeight="1" x14ac:dyDescent="0.25">
      <c r="B92" s="13"/>
      <c r="C92" s="308"/>
      <c r="D92" s="308"/>
      <c r="E92" s="308"/>
      <c r="F92" s="308"/>
      <c r="G92" s="308"/>
      <c r="H92" s="308"/>
      <c r="I92" s="308"/>
      <c r="J92" s="308"/>
      <c r="K92" s="308"/>
    </row>
    <row r="93" spans="2:11" ht="23.25" customHeight="1" x14ac:dyDescent="0.25">
      <c r="B93" s="13"/>
      <c r="C93" s="308"/>
      <c r="D93" s="308"/>
      <c r="E93" s="308"/>
      <c r="F93" s="308"/>
      <c r="G93" s="308"/>
      <c r="H93" s="308"/>
      <c r="I93" s="308"/>
      <c r="J93" s="308"/>
      <c r="K93" s="308"/>
    </row>
    <row r="94" spans="2:11" ht="23.25" customHeight="1" x14ac:dyDescent="0.25">
      <c r="B94" s="13"/>
      <c r="C94" s="308"/>
      <c r="D94" s="308"/>
      <c r="E94" s="308"/>
      <c r="F94" s="308"/>
      <c r="G94" s="308"/>
      <c r="H94" s="308"/>
      <c r="I94" s="308"/>
      <c r="J94" s="308"/>
      <c r="K94" s="308"/>
    </row>
    <row r="95" spans="2:11" ht="16.5" customHeight="1" x14ac:dyDescent="0.25">
      <c r="B95" s="13"/>
      <c r="C95" s="342"/>
      <c r="D95" s="342"/>
      <c r="E95" s="342"/>
      <c r="F95" s="342"/>
      <c r="G95" s="342"/>
      <c r="H95" s="342"/>
      <c r="I95" s="342"/>
      <c r="J95" s="342"/>
      <c r="K95" s="342"/>
    </row>
    <row r="96" spans="2:11" ht="20.100000000000001" customHeight="1" x14ac:dyDescent="0.25">
      <c r="B96" s="11"/>
    </row>
    <row r="97" spans="2:12" ht="20.100000000000001" customHeight="1" x14ac:dyDescent="0.25">
      <c r="B97" s="17" t="s">
        <v>140</v>
      </c>
    </row>
    <row r="98" spans="2:12" ht="10.5" customHeight="1" x14ac:dyDescent="0.25"/>
    <row r="99" spans="2:12" s="29" customFormat="1" ht="20.100000000000001" customHeight="1" x14ac:dyDescent="0.25">
      <c r="B99" s="201" t="s">
        <v>291</v>
      </c>
      <c r="C99" s="190"/>
      <c r="D99" s="190"/>
      <c r="E99" s="190"/>
      <c r="F99" s="190"/>
    </row>
    <row r="100" spans="2:12" s="29" customFormat="1" ht="20.100000000000001" customHeight="1" x14ac:dyDescent="0.25">
      <c r="B100" s="29" t="s">
        <v>290</v>
      </c>
    </row>
    <row r="101" spans="2:12" s="29" customFormat="1" ht="19.5" customHeight="1" x14ac:dyDescent="0.25">
      <c r="B101" s="29" t="s">
        <v>289</v>
      </c>
    </row>
    <row r="102" spans="2:12" s="29" customFormat="1" ht="9" customHeight="1" x14ac:dyDescent="0.25"/>
    <row r="103" spans="2:12" s="29" customFormat="1" ht="20.100000000000001" customHeight="1" x14ac:dyDescent="0.25">
      <c r="B103" s="54" t="str">
        <f>"– Es müssen mindestens "&amp;J119&amp;" "&amp;K119&amp;" einer vergleichbaren Leistung nachgewiesen werden. Jeder Referenz muss ein Exposé mit aussagekräftigen"</f>
        <v>– Es müssen mindestens 2 Referenzprojekte einer vergleichbaren Leistung nachgewiesen werden. Jeder Referenz muss ein Exposé mit aussagekräftigen</v>
      </c>
    </row>
    <row r="104" spans="2:12" s="29" customFormat="1" ht="20.100000000000001" customHeight="1" x14ac:dyDescent="0.25">
      <c r="B104" s="29" t="s">
        <v>177</v>
      </c>
    </row>
    <row r="105" spans="2:12" s="29" customFormat="1" ht="20.100000000000001" customHeight="1" x14ac:dyDescent="0.25">
      <c r="B105" s="29" t="s">
        <v>286</v>
      </c>
    </row>
    <row r="106" spans="2:12" s="29" customFormat="1" ht="20.100000000000001" customHeight="1" x14ac:dyDescent="0.25">
      <c r="B106" s="29" t="str">
        <f>""&amp;'b) Referenzangaben'!V2&amp;""&amp;'b) Referenzangaben'!W2&amp;""&amp;'b) Referenzangaben'!X2&amp;""&amp;'b) Referenzangaben'!Y2&amp;""&amp;'b) Referenzangaben'!Z2&amp;""&amp;'b) Referenzangaben'!AA2&amp;""&amp;'b) Referenzangaben'!AB2&amp;". Die Splittung auf mehrere Referenzen ist möglich. (Beispiel: Referenz 1: LPH 2-4; Referenz 2: LPH 5-8 → wird zu einer Referenz in der"</f>
        <v xml:space="preserve"> 2, 3, 4, 5. Die Splittung auf mehrere Referenzen ist möglich. (Beispiel: Referenz 1: LPH 2-4; Referenz 2: LPH 5-8 → wird zu einer Referenz in der</v>
      </c>
    </row>
    <row r="107" spans="2:12" s="29" customFormat="1" ht="19.5" customHeight="1" x14ac:dyDescent="0.25">
      <c r="B107" s="29" t="s">
        <v>285</v>
      </c>
    </row>
    <row r="108" spans="2:12" s="29" customFormat="1" ht="9" customHeight="1" x14ac:dyDescent="0.25"/>
    <row r="109" spans="2:12" s="29" customFormat="1" ht="20.100000000000001" customHeight="1" x14ac:dyDescent="0.25">
      <c r="B109" s="29" t="str">
        <f>"– Vergleichbar bedeutet hier, dass die Referenz dem Leistungsbild "&amp;H69&amp;" und die Leistungskomplexität zumindest der"</f>
        <v>– Vergleichbar bedeutet hier, dass die Referenz dem Leistungsbild Tragwerksplanung (vgl. § 51 HOAI) und die Leistungskomplexität zumindest der</v>
      </c>
    </row>
    <row r="110" spans="2:12" s="29" customFormat="1" ht="29.25" customHeight="1" x14ac:dyDescent="0.25">
      <c r="B110" s="307" t="str">
        <f>"'Honorarzone "&amp;J123&amp;"' HOAI entspricht. Zusätzlich wird erwartet, dass zumindest eine Referenz das Kriterium '"&amp;J126&amp;"' und eine Referenz das Kriterium '"&amp;J127&amp;"' aufweist."""</f>
        <v>'Honorarzone III' HOAI entspricht. Zusätzlich wird erwartet, dass zumindest eine Referenz das Kriterium 'Schalentragwerk' und eine Referenz das Kriterium 'Denkmalschutz' aufweist."</v>
      </c>
      <c r="C110" s="307"/>
      <c r="D110" s="307"/>
      <c r="E110" s="307"/>
      <c r="F110" s="307"/>
      <c r="G110" s="307"/>
      <c r="H110" s="307"/>
      <c r="I110" s="307"/>
      <c r="J110" s="307"/>
      <c r="K110" s="307"/>
      <c r="L110" s="187"/>
    </row>
    <row r="111" spans="2:12" s="29" customFormat="1" ht="9" customHeight="1" x14ac:dyDescent="0.25"/>
    <row r="112" spans="2:12" s="29" customFormat="1" ht="20.100000000000001" customHeight="1" x14ac:dyDescent="0.25">
      <c r="B112" s="29" t="str">
        <f>"– Es wird erwartet, dass die für dieses Projekt vorgesehene Projektleitung für mindestens "&amp;J120&amp;" "&amp;K120&amp;" projektverantwortlich war. Zudem wird erwartet,"</f>
        <v>– Es wird erwartet, dass die für dieses Projekt vorgesehene Projektleitung für mindestens 1 Referenz projektverantwortlich war. Zudem wird erwartet,</v>
      </c>
    </row>
    <row r="113" spans="2:12" s="29" customFormat="1" ht="20.100000000000001" customHeight="1" x14ac:dyDescent="0.25">
      <c r="B113" s="29" t="str">
        <f>"dass die für dieses Projekt vorgesehene stellvertretende Projektleitung für mindestens "&amp;J121&amp;" "&amp;K121&amp;" projektverantwortlich war."</f>
        <v>dass die für dieses Projekt vorgesehene stellvertretende Projektleitung für mindestens 1 Referenz projektverantwortlich war.</v>
      </c>
    </row>
    <row r="114" spans="2:12" s="29" customFormat="1" ht="9" customHeight="1" x14ac:dyDescent="0.25"/>
    <row r="115" spans="2:12" s="29" customFormat="1" ht="20.100000000000001" customHeight="1" x14ac:dyDescent="0.25">
      <c r="B115" s="29" t="str">
        <f>IF(H69="Tragwerksplanung (vgl. § 51 HOAI)","– Es wird vorausgesetzt, dass die Fertigstellung von Leistungsphase 6 nicht vor dem "&amp;TEXT(J122,"TT.MM.JJJJ")&amp;" erfolgt ist. Zudem werden Netto-Baukosten innerhalb der","– Es wird vorausgesetzt, dass die Fertigstellung von Leistungsphase 7 nicht vor dem "&amp;TEXT(J122,"TT.MM.JJJJ")&amp;" erfolgt ist. Zudem werden Netto-Baukosten innerhalb der")</f>
        <v>– Es wird vorausgesetzt, dass die Fertigstellung von Leistungsphase 6 nicht vor dem 01.12.2015 erfolgt ist. Zudem werden Netto-Baukosten innerhalb der</v>
      </c>
    </row>
    <row r="116" spans="2:12" s="29" customFormat="1" ht="20.100000000000001" customHeight="1" x14ac:dyDescent="0.25">
      <c r="B116" s="29" t="str">
        <f>"Kostengruppen '"&amp;J125&amp;"' in Höhe von mindestens "&amp;TEXT(J124,"#.##0,00")&amp;" Euro erwartet."</f>
        <v>Kostengruppen 'KG 300 bis KG 400' in Höhe von mindestens 1.500.000,00 Euro erwartet.</v>
      </c>
    </row>
    <row r="117" spans="2:12" ht="20.100000000000001" customHeight="1" x14ac:dyDescent="0.25"/>
    <row r="118" spans="2:12" ht="13.5" customHeight="1" x14ac:dyDescent="0.25">
      <c r="B118" s="13"/>
      <c r="C118" s="122"/>
      <c r="D118" s="122"/>
      <c r="E118" s="122"/>
      <c r="F118" s="122"/>
      <c r="G118" s="122"/>
      <c r="H118" s="122"/>
      <c r="I118" s="122"/>
      <c r="J118" s="122"/>
      <c r="K118" s="122"/>
    </row>
    <row r="119" spans="2:12" ht="38.25" customHeight="1" x14ac:dyDescent="0.3">
      <c r="B119" s="8"/>
      <c r="C119" s="336" t="s">
        <v>116</v>
      </c>
      <c r="D119" s="337"/>
      <c r="E119" s="337"/>
      <c r="F119" s="337"/>
      <c r="G119" s="337"/>
      <c r="H119" s="338"/>
      <c r="I119" s="50"/>
      <c r="J119" s="121">
        <f>Konfigurationsblatt!C80</f>
        <v>2</v>
      </c>
      <c r="K119" s="121" t="str">
        <f>'b) Referenzangaben'!I4</f>
        <v>Referenzprojekte</v>
      </c>
    </row>
    <row r="120" spans="2:12" ht="30" customHeight="1" x14ac:dyDescent="0.25">
      <c r="B120" s="18" t="s">
        <v>117</v>
      </c>
      <c r="C120" s="339" t="str">
        <f>IF('b) Referenzangaben'!E11&lt;&gt;"",'b) Referenzangaben'!E11,"")</f>
        <v/>
      </c>
      <c r="D120" s="340"/>
      <c r="E120" s="340"/>
      <c r="F120" s="340"/>
      <c r="G120" s="340"/>
      <c r="H120" s="341"/>
      <c r="I120" s="50"/>
      <c r="J120" s="121">
        <f>Konfigurationsblatt!I30</f>
        <v>1</v>
      </c>
      <c r="K120" s="121" t="str">
        <f>IF(J120&gt;1,"Referenzen","Referenz")</f>
        <v>Referenz</v>
      </c>
    </row>
    <row r="121" spans="2:12" ht="30" customHeight="1" x14ac:dyDescent="0.25">
      <c r="B121" s="18" t="s">
        <v>118</v>
      </c>
      <c r="C121" s="306" t="str">
        <f>IF('b) Referenzangaben'!E14&lt;&gt;"",'b) Referenzangaben'!E14,"")</f>
        <v/>
      </c>
      <c r="D121" s="306"/>
      <c r="E121" s="306"/>
      <c r="F121" s="306"/>
      <c r="G121" s="306"/>
      <c r="H121" s="306"/>
      <c r="I121" s="50"/>
      <c r="J121" s="121">
        <f>Konfigurationsblatt!I35</f>
        <v>1</v>
      </c>
      <c r="K121" s="121" t="str">
        <f>IF(J121&gt;1,"Referenzen","Referenz")</f>
        <v>Referenz</v>
      </c>
    </row>
    <row r="122" spans="2:12" ht="30" customHeight="1" x14ac:dyDescent="0.25">
      <c r="B122" s="18" t="s">
        <v>119</v>
      </c>
      <c r="C122" s="306" t="str">
        <f>IF('b) Referenzangaben'!E17&lt;&gt;"",'b) Referenzangaben'!E17,"")</f>
        <v/>
      </c>
      <c r="D122" s="306"/>
      <c r="E122" s="306"/>
      <c r="F122" s="306"/>
      <c r="G122" s="306"/>
      <c r="H122" s="306"/>
      <c r="I122" s="50"/>
      <c r="J122" s="310">
        <f>Konfigurationsblatt!G50</f>
        <v>42339</v>
      </c>
      <c r="K122" s="310"/>
    </row>
    <row r="123" spans="2:12" ht="30" customHeight="1" x14ac:dyDescent="0.25">
      <c r="B123" s="18" t="s">
        <v>130</v>
      </c>
      <c r="C123" s="306" t="str">
        <f>IF('b) Referenzangaben'!E20&lt;&gt;"",'b) Referenzangaben'!E20,"")</f>
        <v/>
      </c>
      <c r="D123" s="306"/>
      <c r="E123" s="306"/>
      <c r="F123" s="306"/>
      <c r="G123" s="306"/>
      <c r="H123" s="306"/>
      <c r="I123" s="50"/>
      <c r="J123" s="121" t="str">
        <f>Konfigurationsblatt!G52</f>
        <v>III</v>
      </c>
      <c r="K123" s="120"/>
    </row>
    <row r="124" spans="2:12" ht="30" customHeight="1" x14ac:dyDescent="0.25">
      <c r="B124" s="18" t="s">
        <v>131</v>
      </c>
      <c r="C124" s="306" t="str">
        <f>IF('b) Referenzangaben'!E23&lt;&gt;"",'b) Referenzangaben'!E23,"")</f>
        <v/>
      </c>
      <c r="D124" s="306"/>
      <c r="E124" s="306"/>
      <c r="F124" s="306"/>
      <c r="G124" s="306"/>
      <c r="H124" s="306"/>
      <c r="I124" s="50"/>
      <c r="J124" s="335">
        <f>Konfigurationsblatt!F54</f>
        <v>1500000</v>
      </c>
      <c r="K124" s="335"/>
      <c r="L124" s="335"/>
    </row>
    <row r="125" spans="2:12" ht="30" customHeight="1" x14ac:dyDescent="0.25">
      <c r="B125" s="18" t="s">
        <v>132</v>
      </c>
      <c r="C125" s="306" t="str">
        <f>IF('b) Referenzangaben'!E26&lt;&gt;"",'b) Referenzangaben'!E26,"")</f>
        <v/>
      </c>
      <c r="D125" s="306"/>
      <c r="E125" s="306"/>
      <c r="F125" s="306"/>
      <c r="G125" s="306"/>
      <c r="H125" s="306"/>
      <c r="I125" s="119"/>
      <c r="J125" s="309" t="str">
        <f>Konfigurationsblatt!G56</f>
        <v>KG 300 bis KG 400</v>
      </c>
      <c r="K125" s="309"/>
      <c r="L125" s="309"/>
    </row>
    <row r="126" spans="2:12" ht="30" customHeight="1" x14ac:dyDescent="0.25">
      <c r="B126" s="18" t="s">
        <v>133</v>
      </c>
      <c r="C126" s="306" t="str">
        <f>IF('b) Referenzangaben'!E29&lt;&gt;"",'b) Referenzangaben'!E29,"")</f>
        <v/>
      </c>
      <c r="D126" s="306"/>
      <c r="E126" s="306"/>
      <c r="F126" s="306"/>
      <c r="G126" s="306"/>
      <c r="H126" s="306"/>
      <c r="I126" s="119"/>
      <c r="J126" s="309" t="str">
        <f>Konfigurationsblatt!F62</f>
        <v>Schalentragwerk</v>
      </c>
      <c r="K126" s="309"/>
      <c r="L126" s="309"/>
    </row>
    <row r="127" spans="2:12" ht="30" customHeight="1" x14ac:dyDescent="0.25">
      <c r="B127" s="18" t="s">
        <v>134</v>
      </c>
      <c r="C127" s="306" t="str">
        <f>IF('b) Referenzangaben'!E32&lt;&gt;"",'b) Referenzangaben'!E32,"")</f>
        <v/>
      </c>
      <c r="D127" s="306"/>
      <c r="E127" s="306"/>
      <c r="F127" s="306"/>
      <c r="G127" s="306"/>
      <c r="H127" s="306"/>
      <c r="I127" s="119"/>
      <c r="J127" s="309" t="str">
        <f>Konfigurationsblatt!F64</f>
        <v>Denkmalschutz</v>
      </c>
      <c r="K127" s="309"/>
      <c r="L127" s="309"/>
    </row>
    <row r="128" spans="2:12" ht="30" customHeight="1" x14ac:dyDescent="0.25">
      <c r="B128" s="18" t="s">
        <v>135</v>
      </c>
      <c r="C128" s="306" t="str">
        <f>IF('b) Referenzangaben'!E35&lt;&gt;"",'b) Referenzangaben'!E35,"")</f>
        <v/>
      </c>
      <c r="D128" s="306"/>
      <c r="E128" s="306"/>
      <c r="F128" s="306"/>
      <c r="G128" s="306"/>
      <c r="H128" s="306"/>
      <c r="I128" s="119"/>
      <c r="J128" s="119"/>
      <c r="K128" s="119"/>
    </row>
    <row r="129" spans="1:11" ht="30" customHeight="1" x14ac:dyDescent="0.25">
      <c r="B129" s="18" t="s">
        <v>33</v>
      </c>
      <c r="C129" s="306" t="str">
        <f>IF('b) Referenzangaben'!E38&lt;&gt;"",'b) Referenzangaben'!E38,"")</f>
        <v/>
      </c>
      <c r="D129" s="306"/>
      <c r="E129" s="306"/>
      <c r="F129" s="306"/>
      <c r="G129" s="306"/>
      <c r="H129" s="306"/>
      <c r="I129" s="119"/>
      <c r="J129" s="119"/>
      <c r="K129" s="119"/>
    </row>
    <row r="130" spans="1:11" ht="30" customHeight="1" x14ac:dyDescent="0.25">
      <c r="B130" s="18" t="s">
        <v>120</v>
      </c>
      <c r="C130" s="306" t="str">
        <f>IF('b) Referenzangaben'!E41&lt;&gt;"",'b) Referenzangaben'!E41,"")</f>
        <v/>
      </c>
      <c r="D130" s="306"/>
      <c r="E130" s="306"/>
      <c r="F130" s="306"/>
      <c r="G130" s="306"/>
      <c r="H130" s="306"/>
      <c r="I130" s="119"/>
      <c r="J130" s="119"/>
      <c r="K130" s="119"/>
    </row>
    <row r="131" spans="1:11" ht="30" customHeight="1" x14ac:dyDescent="0.25">
      <c r="B131" s="18" t="s">
        <v>121</v>
      </c>
      <c r="C131" s="306" t="str">
        <f>IF('b) Referenzangaben'!E44&lt;&gt;"",'b) Referenzangaben'!E44,"")</f>
        <v/>
      </c>
      <c r="D131" s="306"/>
      <c r="E131" s="306"/>
      <c r="F131" s="306"/>
      <c r="G131" s="306"/>
      <c r="H131" s="306"/>
      <c r="I131" s="119"/>
      <c r="J131" s="119"/>
      <c r="K131" s="119"/>
    </row>
    <row r="132" spans="1:11" ht="30" customHeight="1" x14ac:dyDescent="0.25">
      <c r="B132" s="18" t="s">
        <v>122</v>
      </c>
      <c r="C132" s="306" t="str">
        <f>IF('b) Referenzangaben'!E47&lt;&gt;"",'b) Referenzangaben'!E47,"")</f>
        <v/>
      </c>
      <c r="D132" s="306"/>
      <c r="E132" s="306"/>
      <c r="F132" s="306"/>
      <c r="G132" s="306"/>
      <c r="H132" s="306"/>
      <c r="I132" s="119"/>
      <c r="J132" s="119"/>
      <c r="K132" s="119"/>
    </row>
    <row r="133" spans="1:11" ht="30" customHeight="1" x14ac:dyDescent="0.25">
      <c r="B133" s="18" t="s">
        <v>123</v>
      </c>
      <c r="C133" s="306" t="str">
        <f>IF('b) Referenzangaben'!E50&lt;&gt;"",'b) Referenzangaben'!E50,"")</f>
        <v/>
      </c>
      <c r="D133" s="306"/>
      <c r="E133" s="306"/>
      <c r="F133" s="306"/>
      <c r="G133" s="306"/>
      <c r="H133" s="306"/>
      <c r="I133" s="119"/>
      <c r="J133" s="119"/>
      <c r="K133" s="119"/>
    </row>
    <row r="134" spans="1:11" ht="30" customHeight="1" x14ac:dyDescent="0.25">
      <c r="B134" s="18" t="s">
        <v>124</v>
      </c>
      <c r="C134" s="306" t="str">
        <f>IF('b) Referenzangaben'!E53&lt;&gt;"",'b) Referenzangaben'!E53,"")</f>
        <v/>
      </c>
      <c r="D134" s="306"/>
      <c r="E134" s="306"/>
      <c r="F134" s="306"/>
      <c r="G134" s="306"/>
      <c r="H134" s="306"/>
      <c r="I134" s="119"/>
      <c r="J134" s="119"/>
      <c r="K134" s="119"/>
    </row>
    <row r="135" spans="1:11" ht="30" customHeight="1" x14ac:dyDescent="0.25">
      <c r="B135" s="18" t="s">
        <v>125</v>
      </c>
      <c r="C135" s="306" t="str">
        <f>IF('b) Referenzangaben'!E56&lt;&gt;"",'b) Referenzangaben'!E56,"")</f>
        <v/>
      </c>
      <c r="D135" s="306"/>
      <c r="E135" s="306"/>
      <c r="F135" s="306"/>
      <c r="G135" s="306"/>
      <c r="H135" s="306"/>
      <c r="I135" s="119"/>
      <c r="J135" s="119"/>
      <c r="K135" s="119"/>
    </row>
    <row r="136" spans="1:11" ht="30" customHeight="1" x14ac:dyDescent="0.25">
      <c r="B136" s="18" t="s">
        <v>126</v>
      </c>
      <c r="C136" s="306" t="str">
        <f>IF('b) Referenzangaben'!E59&lt;&gt;"",'b) Referenzangaben'!E59,"")</f>
        <v/>
      </c>
      <c r="D136" s="306"/>
      <c r="E136" s="306"/>
      <c r="F136" s="306"/>
      <c r="G136" s="306"/>
      <c r="H136" s="306"/>
      <c r="I136" s="119"/>
      <c r="J136" s="119"/>
      <c r="K136" s="119"/>
    </row>
    <row r="137" spans="1:11" ht="30" customHeight="1" x14ac:dyDescent="0.25">
      <c r="B137" s="18" t="s">
        <v>127</v>
      </c>
      <c r="C137" s="306" t="str">
        <f>IF('b) Referenzangaben'!E62&lt;&gt;"",'b) Referenzangaben'!E62,"")</f>
        <v/>
      </c>
      <c r="D137" s="306"/>
      <c r="E137" s="306"/>
      <c r="F137" s="306"/>
      <c r="G137" s="306"/>
      <c r="H137" s="306"/>
      <c r="I137" s="119"/>
      <c r="J137" s="119"/>
      <c r="K137" s="119"/>
    </row>
    <row r="138" spans="1:11" ht="30" customHeight="1" x14ac:dyDescent="0.25">
      <c r="B138" s="18" t="s">
        <v>128</v>
      </c>
      <c r="C138" s="306" t="str">
        <f>IF('b) Referenzangaben'!E65&lt;&gt;"",'b) Referenzangaben'!E65,"")</f>
        <v/>
      </c>
      <c r="D138" s="306"/>
      <c r="E138" s="306"/>
      <c r="F138" s="306"/>
      <c r="G138" s="306"/>
      <c r="H138" s="306"/>
      <c r="I138" s="119"/>
      <c r="J138" s="119"/>
      <c r="K138" s="119"/>
    </row>
    <row r="139" spans="1:11" ht="30" customHeight="1" x14ac:dyDescent="0.25">
      <c r="B139" s="18" t="s">
        <v>129</v>
      </c>
      <c r="C139" s="306" t="str">
        <f>IF('b) Referenzangaben'!E68&lt;&gt;"",'b) Referenzangaben'!E68,"")</f>
        <v/>
      </c>
      <c r="D139" s="306"/>
      <c r="E139" s="306"/>
      <c r="F139" s="306"/>
      <c r="G139" s="306"/>
      <c r="H139" s="306"/>
      <c r="I139" s="119"/>
      <c r="J139" s="119"/>
      <c r="K139" s="119"/>
    </row>
    <row r="140" spans="1:11" ht="30" customHeight="1" x14ac:dyDescent="0.25">
      <c r="B140" s="93"/>
      <c r="C140" s="118"/>
      <c r="D140" s="118"/>
      <c r="E140" s="118"/>
      <c r="F140" s="118"/>
      <c r="G140" s="117"/>
      <c r="H140" s="117"/>
      <c r="I140" s="117"/>
      <c r="J140" s="117"/>
      <c r="K140" s="117"/>
    </row>
    <row r="141" spans="1:11" ht="30" customHeight="1" x14ac:dyDescent="0.3">
      <c r="B141" s="10"/>
    </row>
    <row r="142" spans="1:11" ht="20.100000000000001" customHeight="1" x14ac:dyDescent="0.25">
      <c r="A142" s="12"/>
      <c r="B142" s="113" t="s">
        <v>7</v>
      </c>
      <c r="C142" s="183"/>
    </row>
    <row r="143" spans="1:11" ht="20.100000000000001" customHeight="1" x14ac:dyDescent="0.25">
      <c r="A143" s="12"/>
      <c r="B143" s="116" t="s">
        <v>296</v>
      </c>
      <c r="C143" s="183"/>
    </row>
    <row r="144" spans="1:11" ht="15" customHeight="1" x14ac:dyDescent="0.25">
      <c r="A144" s="12"/>
    </row>
    <row r="145" spans="2:12" ht="35.1" customHeight="1" x14ac:dyDescent="0.25">
      <c r="B145" s="13"/>
      <c r="C145" s="343" t="str">
        <f>"Beginn der Erarbeitung der genehmigungsfähigen Bauantragsunterlagen, wenn die Auftragsvergabe zum "&amp;TEXT(Konfigurationsblatt!G6,"TT.MM.JJJJ")&amp;" (Bindefristdatum) erfolgt:"</f>
        <v>Beginn der Erarbeitung der genehmigungsfähigen Bauantragsunterlagen, wenn die Auftragsvergabe zum 03.03.2026 (Bindefristdatum) erfolgt:</v>
      </c>
      <c r="D145" s="344"/>
      <c r="E145" s="344"/>
      <c r="F145" s="344"/>
      <c r="G145" s="344"/>
      <c r="H145" s="345"/>
      <c r="I145" s="346" t="s">
        <v>181</v>
      </c>
      <c r="J145" s="347"/>
    </row>
    <row r="146" spans="2:12" ht="35.1" customHeight="1" x14ac:dyDescent="0.25">
      <c r="B146" s="13"/>
      <c r="C146" s="343" t="s">
        <v>377</v>
      </c>
      <c r="D146" s="344"/>
      <c r="E146" s="344"/>
      <c r="F146" s="344"/>
      <c r="G146" s="344"/>
      <c r="H146" s="345"/>
      <c r="I146" s="346" t="s">
        <v>181</v>
      </c>
      <c r="J146" s="347"/>
    </row>
    <row r="147" spans="2:12" ht="35.1" customHeight="1" x14ac:dyDescent="0.25">
      <c r="B147" s="13"/>
      <c r="C147" s="343" t="s">
        <v>376</v>
      </c>
      <c r="D147" s="344"/>
      <c r="E147" s="344"/>
      <c r="F147" s="344"/>
      <c r="G147" s="344"/>
      <c r="H147" s="345"/>
      <c r="I147" s="346" t="s">
        <v>56</v>
      </c>
      <c r="J147" s="347"/>
    </row>
    <row r="148" spans="2:12" ht="35.1" customHeight="1" x14ac:dyDescent="0.25">
      <c r="B148" s="13"/>
      <c r="C148" s="343" t="s">
        <v>375</v>
      </c>
      <c r="D148" s="344"/>
      <c r="E148" s="344"/>
      <c r="F148" s="344"/>
      <c r="G148" s="344"/>
      <c r="H148" s="345"/>
      <c r="I148" s="346" t="s">
        <v>56</v>
      </c>
      <c r="J148" s="347"/>
    </row>
    <row r="149" spans="2:12" ht="35.1" customHeight="1" x14ac:dyDescent="0.25">
      <c r="B149" s="13"/>
      <c r="C149" s="77"/>
      <c r="D149" s="77"/>
      <c r="E149" s="77"/>
      <c r="F149" s="77"/>
      <c r="G149" s="77"/>
      <c r="H149" s="77"/>
      <c r="I149" s="115"/>
      <c r="J149" s="115"/>
    </row>
    <row r="150" spans="2:12" ht="30" customHeight="1" x14ac:dyDescent="0.25">
      <c r="B150" s="114"/>
      <c r="C150" s="114"/>
      <c r="D150" s="114"/>
      <c r="E150" s="114"/>
      <c r="F150" s="114"/>
      <c r="G150" s="114"/>
      <c r="H150" s="114"/>
      <c r="I150" s="114"/>
      <c r="J150" s="114"/>
    </row>
    <row r="151" spans="2:12" s="7" customFormat="1" ht="20.100000000000001" customHeight="1" x14ac:dyDescent="0.25">
      <c r="B151" s="113" t="s">
        <v>141</v>
      </c>
    </row>
    <row r="152" spans="2:12" ht="20.100000000000001" customHeight="1" x14ac:dyDescent="0.25">
      <c r="B152" s="73" t="s">
        <v>180</v>
      </c>
    </row>
    <row r="153" spans="2:12" s="12" customFormat="1" ht="20.100000000000001" customHeight="1" x14ac:dyDescent="0.25">
      <c r="B153" s="73" t="s">
        <v>292</v>
      </c>
    </row>
    <row r="154" spans="2:12" s="12" customFormat="1" ht="30" customHeight="1" x14ac:dyDescent="0.25">
      <c r="B154" s="73"/>
    </row>
    <row r="155" spans="2:12" x14ac:dyDescent="0.25">
      <c r="B155" s="112" t="s">
        <v>19</v>
      </c>
      <c r="D155" s="51" t="str">
        <f>Konfigurationsblatt!E16</f>
        <v>Tragwerksplanung (vgl. § 51 HOAI)</v>
      </c>
      <c r="E155" s="51"/>
      <c r="F155" s="51" t="s">
        <v>273</v>
      </c>
      <c r="G155" s="51" t="s">
        <v>274</v>
      </c>
      <c r="H155" s="51" t="s">
        <v>275</v>
      </c>
      <c r="I155" s="51" t="str">
        <f>IF(D155="Technische Ausrüstung (vgl. § 55 HOAI)","","Honorarzone IV")</f>
        <v>Honorarzone IV</v>
      </c>
      <c r="J155" s="51" t="str">
        <f>IF(D155="Technische Ausrüstung (vgl. § 55 HOAI)","","Honorarzone V")</f>
        <v>Honorarzone V</v>
      </c>
      <c r="K155" s="51"/>
    </row>
    <row r="156" spans="2:12" x14ac:dyDescent="0.25">
      <c r="B156" s="112"/>
    </row>
    <row r="157" spans="2:12" s="23" customFormat="1" ht="24.75" customHeight="1" x14ac:dyDescent="0.25">
      <c r="B157" s="41" t="s">
        <v>143</v>
      </c>
      <c r="C157" s="30"/>
      <c r="D157" s="30"/>
      <c r="E157" s="42" t="s">
        <v>144</v>
      </c>
      <c r="G157" s="41" t="s">
        <v>145</v>
      </c>
      <c r="H157" s="12"/>
      <c r="I157" s="12"/>
      <c r="J157" s="297">
        <v>0</v>
      </c>
      <c r="K157" s="297"/>
      <c r="L157" s="12"/>
    </row>
    <row r="158" spans="2:12" s="23" customFormat="1" ht="4.5" customHeight="1" x14ac:dyDescent="0.25">
      <c r="B158" s="4"/>
      <c r="C158" s="12"/>
      <c r="D158" s="12"/>
      <c r="H158" s="12"/>
      <c r="I158" s="12"/>
      <c r="J158" s="12"/>
      <c r="K158" s="12"/>
      <c r="L158" s="12"/>
    </row>
    <row r="159" spans="2:12" s="23" customFormat="1" ht="22.5" customHeight="1" x14ac:dyDescent="0.25">
      <c r="B159" s="158" t="s">
        <v>272</v>
      </c>
      <c r="C159" s="12"/>
      <c r="D159" s="12"/>
      <c r="E159" s="42" t="s">
        <v>198</v>
      </c>
      <c r="G159" s="4" t="s">
        <v>146</v>
      </c>
      <c r="H159" s="12"/>
      <c r="I159" s="12"/>
      <c r="J159" s="12"/>
      <c r="K159" s="12"/>
      <c r="L159" s="12"/>
    </row>
    <row r="160" spans="2:12" s="23" customFormat="1" ht="4.5" customHeight="1" x14ac:dyDescent="0.25">
      <c r="B160" s="4"/>
      <c r="C160" s="12"/>
      <c r="D160" s="12"/>
      <c r="H160" s="12"/>
      <c r="I160" s="12"/>
      <c r="J160" s="12"/>
      <c r="K160" s="12"/>
      <c r="L160" s="12"/>
    </row>
    <row r="161" spans="1:12" s="157" customFormat="1" ht="20.25" customHeight="1" x14ac:dyDescent="0.25">
      <c r="B161" s="30" t="str">
        <f>"gemäß dem Leistungsbild "&amp;D155&amp;"."</f>
        <v>gemäß dem Leistungsbild Tragwerksplanung (vgl. § 51 HOAI).</v>
      </c>
      <c r="C161" s="116"/>
      <c r="D161" s="116"/>
      <c r="E161" s="116"/>
      <c r="F161" s="116"/>
      <c r="G161" s="116" t="s">
        <v>147</v>
      </c>
      <c r="H161" s="116"/>
      <c r="I161" s="116"/>
      <c r="J161" s="116"/>
      <c r="K161" s="116"/>
      <c r="L161" s="116"/>
    </row>
    <row r="162" spans="1:12" ht="30" customHeight="1" x14ac:dyDescent="0.25">
      <c r="B162" s="114"/>
      <c r="C162" s="114"/>
      <c r="D162" s="114"/>
      <c r="E162" s="114"/>
      <c r="F162" s="114"/>
      <c r="G162" s="114"/>
      <c r="H162" s="114"/>
      <c r="I162" s="114"/>
      <c r="J162" s="114"/>
    </row>
    <row r="163" spans="1:12" s="189" customFormat="1" ht="20.25" customHeight="1" x14ac:dyDescent="0.25">
      <c r="B163" s="202" t="s">
        <v>312</v>
      </c>
      <c r="C163" s="30"/>
      <c r="D163" s="30"/>
      <c r="E163" s="30"/>
      <c r="F163" s="30"/>
      <c r="G163" s="30"/>
      <c r="H163" s="30"/>
      <c r="I163" s="30"/>
      <c r="J163" s="30"/>
      <c r="K163" s="30"/>
      <c r="L163" s="30"/>
    </row>
    <row r="164" spans="1:12" s="189" customFormat="1" ht="20.25" customHeight="1" x14ac:dyDescent="0.25">
      <c r="B164" s="202" t="s">
        <v>313</v>
      </c>
      <c r="C164" s="30"/>
      <c r="D164" s="30"/>
      <c r="E164" s="30"/>
      <c r="F164" s="30"/>
      <c r="G164" s="30"/>
      <c r="H164" s="30"/>
      <c r="I164" s="30"/>
      <c r="J164" s="30"/>
      <c r="K164" s="30"/>
      <c r="L164" s="30"/>
    </row>
    <row r="165" spans="1:12" s="189" customFormat="1" ht="20.25" customHeight="1" x14ac:dyDescent="0.25">
      <c r="B165" s="191" t="s">
        <v>314</v>
      </c>
      <c r="C165" s="192"/>
      <c r="D165" s="192"/>
      <c r="E165" s="192"/>
      <c r="F165" s="30"/>
      <c r="G165" s="30"/>
      <c r="H165" s="30"/>
      <c r="I165" s="30"/>
      <c r="J165" s="30"/>
      <c r="K165" s="30"/>
      <c r="L165" s="30"/>
    </row>
    <row r="166" spans="1:12" s="189" customFormat="1" ht="20.25" customHeight="1" x14ac:dyDescent="0.25">
      <c r="B166" s="202" t="s">
        <v>297</v>
      </c>
      <c r="C166" s="30"/>
      <c r="D166" s="30"/>
      <c r="E166" s="30"/>
      <c r="F166" s="30"/>
      <c r="G166" s="30"/>
      <c r="H166" s="30"/>
      <c r="I166" s="30"/>
      <c r="J166" s="30"/>
      <c r="K166" s="30"/>
      <c r="L166" s="30"/>
    </row>
    <row r="167" spans="1:12" s="189" customFormat="1" ht="20.25" customHeight="1" x14ac:dyDescent="0.25">
      <c r="B167" s="202" t="s">
        <v>298</v>
      </c>
      <c r="C167" s="30"/>
      <c r="D167" s="30"/>
      <c r="E167" s="30"/>
      <c r="F167" s="30"/>
      <c r="G167" s="30"/>
      <c r="H167" s="30"/>
      <c r="I167" s="30"/>
      <c r="J167" s="30"/>
      <c r="K167" s="30"/>
      <c r="L167" s="30"/>
    </row>
    <row r="168" spans="1:12" s="23" customFormat="1" ht="20.25" customHeight="1" x14ac:dyDescent="0.25">
      <c r="B168" s="203" t="s">
        <v>299</v>
      </c>
      <c r="C168" s="12"/>
      <c r="D168" s="12"/>
      <c r="E168" s="12"/>
      <c r="F168" s="12"/>
      <c r="G168" s="12"/>
      <c r="H168" s="12"/>
      <c r="I168" s="12"/>
      <c r="J168" s="12"/>
      <c r="K168" s="12"/>
      <c r="L168" s="12"/>
    </row>
    <row r="169" spans="1:12" ht="30" customHeight="1" x14ac:dyDescent="0.25">
      <c r="B169" s="114"/>
      <c r="C169" s="114"/>
      <c r="D169" s="114"/>
      <c r="E169" s="114"/>
      <c r="F169" s="114"/>
      <c r="G169" s="114"/>
      <c r="H169" s="114"/>
      <c r="I169" s="114"/>
      <c r="J169" s="114"/>
    </row>
    <row r="170" spans="1:12" s="23" customFormat="1" x14ac:dyDescent="0.25">
      <c r="A170" s="12"/>
      <c r="B170" s="111" t="s">
        <v>385</v>
      </c>
      <c r="C170" s="12"/>
      <c r="D170" s="12"/>
      <c r="E170" s="12"/>
      <c r="F170" s="12"/>
      <c r="G170" s="12"/>
      <c r="H170" s="12"/>
      <c r="I170" s="12"/>
      <c r="J170" s="12"/>
      <c r="K170" s="12"/>
      <c r="L170" s="12"/>
    </row>
    <row r="171" spans="1:12" s="23" customFormat="1" ht="10.5" customHeight="1" x14ac:dyDescent="0.25">
      <c r="A171" s="12"/>
      <c r="B171" s="111"/>
      <c r="C171" s="12"/>
      <c r="D171" s="12"/>
      <c r="E171" s="12"/>
      <c r="F171" s="12"/>
      <c r="G171" s="12"/>
      <c r="H171" s="12"/>
      <c r="I171" s="12"/>
      <c r="J171" s="12"/>
      <c r="K171" s="12"/>
      <c r="L171" s="12"/>
    </row>
    <row r="172" spans="1:12" s="23" customFormat="1" ht="53.25" customHeight="1" x14ac:dyDescent="0.25">
      <c r="A172" s="12"/>
      <c r="B172" s="148" t="s">
        <v>148</v>
      </c>
      <c r="C172" s="149"/>
      <c r="D172" s="149"/>
      <c r="E172" s="149"/>
      <c r="F172" s="149"/>
      <c r="G172" s="149"/>
      <c r="H172" s="152" t="s">
        <v>374</v>
      </c>
      <c r="I172" s="152" t="s">
        <v>259</v>
      </c>
      <c r="J172" s="295" t="s">
        <v>27</v>
      </c>
      <c r="K172" s="296"/>
      <c r="L172" s="12"/>
    </row>
    <row r="173" spans="1:12" s="23" customFormat="1" ht="21" customHeight="1" x14ac:dyDescent="0.25">
      <c r="A173" s="12"/>
      <c r="B173" s="291" t="s">
        <v>20</v>
      </c>
      <c r="C173" s="268" t="s">
        <v>261</v>
      </c>
      <c r="D173" s="269"/>
      <c r="E173" s="269"/>
      <c r="F173" s="269"/>
      <c r="G173" s="270"/>
      <c r="H173" s="65">
        <v>3</v>
      </c>
      <c r="I173" s="155">
        <v>3</v>
      </c>
      <c r="J173" s="293">
        <f>J186/I185*I173</f>
        <v>0</v>
      </c>
      <c r="K173" s="294"/>
      <c r="L173" s="12"/>
    </row>
    <row r="174" spans="1:12" s="23" customFormat="1" ht="15" customHeight="1" x14ac:dyDescent="0.25">
      <c r="A174" s="12"/>
      <c r="B174" s="292"/>
      <c r="C174" s="271"/>
      <c r="D174" s="272"/>
      <c r="E174" s="272"/>
      <c r="F174" s="272"/>
      <c r="G174" s="273"/>
      <c r="H174" s="27" t="s">
        <v>260</v>
      </c>
      <c r="I174" s="27" t="s">
        <v>260</v>
      </c>
      <c r="J174" s="108"/>
      <c r="K174" s="107"/>
      <c r="L174" s="12"/>
    </row>
    <row r="175" spans="1:12" s="23" customFormat="1" ht="21" customHeight="1" x14ac:dyDescent="0.25">
      <c r="A175" s="12"/>
      <c r="B175" s="291" t="s">
        <v>21</v>
      </c>
      <c r="C175" s="268" t="s">
        <v>262</v>
      </c>
      <c r="D175" s="269"/>
      <c r="E175" s="269"/>
      <c r="F175" s="269"/>
      <c r="G175" s="270"/>
      <c r="H175" s="65">
        <v>10</v>
      </c>
      <c r="I175" s="155">
        <v>10</v>
      </c>
      <c r="J175" s="293">
        <f>J186/I185*I175</f>
        <v>0</v>
      </c>
      <c r="K175" s="294"/>
      <c r="L175" s="12"/>
    </row>
    <row r="176" spans="1:12" s="23" customFormat="1" ht="15" customHeight="1" x14ac:dyDescent="0.25">
      <c r="A176" s="12"/>
      <c r="B176" s="292"/>
      <c r="C176" s="271"/>
      <c r="D176" s="272"/>
      <c r="E176" s="272"/>
      <c r="F176" s="272"/>
      <c r="G176" s="273"/>
      <c r="H176" s="27" t="s">
        <v>260</v>
      </c>
      <c r="I176" s="27" t="s">
        <v>260</v>
      </c>
      <c r="J176" s="108"/>
      <c r="K176" s="107"/>
      <c r="L176" s="12"/>
    </row>
    <row r="177" spans="1:12" s="23" customFormat="1" ht="21" customHeight="1" x14ac:dyDescent="0.25">
      <c r="A177" s="12"/>
      <c r="B177" s="291" t="s">
        <v>22</v>
      </c>
      <c r="C177" s="268" t="s">
        <v>37</v>
      </c>
      <c r="D177" s="269"/>
      <c r="E177" s="269"/>
      <c r="F177" s="269"/>
      <c r="G177" s="270"/>
      <c r="H177" s="65">
        <v>15</v>
      </c>
      <c r="I177" s="155">
        <v>15</v>
      </c>
      <c r="J177" s="293">
        <f>J186/I185*I177</f>
        <v>0</v>
      </c>
      <c r="K177" s="294"/>
      <c r="L177" s="12"/>
    </row>
    <row r="178" spans="1:12" s="23" customFormat="1" ht="15" customHeight="1" x14ac:dyDescent="0.25">
      <c r="A178" s="12"/>
      <c r="B178" s="292"/>
      <c r="C178" s="271"/>
      <c r="D178" s="272"/>
      <c r="E178" s="272"/>
      <c r="F178" s="272"/>
      <c r="G178" s="273"/>
      <c r="H178" s="27" t="s">
        <v>260</v>
      </c>
      <c r="I178" s="27" t="s">
        <v>260</v>
      </c>
      <c r="J178" s="110"/>
      <c r="K178" s="109"/>
      <c r="L178" s="12"/>
    </row>
    <row r="179" spans="1:12" s="23" customFormat="1" ht="21" customHeight="1" x14ac:dyDescent="0.25">
      <c r="A179" s="12"/>
      <c r="B179" s="291" t="s">
        <v>23</v>
      </c>
      <c r="C179" s="268" t="s">
        <v>263</v>
      </c>
      <c r="D179" s="269"/>
      <c r="E179" s="269"/>
      <c r="F179" s="269"/>
      <c r="G179" s="270"/>
      <c r="H179" s="65">
        <v>30</v>
      </c>
      <c r="I179" s="155">
        <v>30</v>
      </c>
      <c r="J179" s="293">
        <f>J186/I185*I179</f>
        <v>0</v>
      </c>
      <c r="K179" s="294"/>
      <c r="L179" s="12"/>
    </row>
    <row r="180" spans="1:12" s="23" customFormat="1" ht="15" customHeight="1" x14ac:dyDescent="0.25">
      <c r="A180" s="12"/>
      <c r="B180" s="292"/>
      <c r="C180" s="271"/>
      <c r="D180" s="272"/>
      <c r="E180" s="272"/>
      <c r="F180" s="272"/>
      <c r="G180" s="273"/>
      <c r="H180" s="27" t="s">
        <v>260</v>
      </c>
      <c r="I180" s="27" t="s">
        <v>260</v>
      </c>
      <c r="J180" s="110"/>
      <c r="K180" s="109"/>
      <c r="L180" s="12"/>
    </row>
    <row r="181" spans="1:12" s="23" customFormat="1" ht="21" customHeight="1" x14ac:dyDescent="0.25">
      <c r="A181" s="12"/>
      <c r="B181" s="291" t="s">
        <v>24</v>
      </c>
      <c r="C181" s="268" t="s">
        <v>264</v>
      </c>
      <c r="D181" s="269"/>
      <c r="E181" s="269"/>
      <c r="F181" s="269"/>
      <c r="G181" s="270"/>
      <c r="H181" s="65">
        <v>40</v>
      </c>
      <c r="I181" s="155">
        <v>40</v>
      </c>
      <c r="J181" s="293">
        <f>J186/I185*I181</f>
        <v>0</v>
      </c>
      <c r="K181" s="294"/>
      <c r="L181" s="12"/>
    </row>
    <row r="182" spans="1:12" s="23" customFormat="1" ht="15" customHeight="1" x14ac:dyDescent="0.25">
      <c r="A182" s="12"/>
      <c r="B182" s="292"/>
      <c r="C182" s="271"/>
      <c r="D182" s="272"/>
      <c r="E182" s="272"/>
      <c r="F182" s="272"/>
      <c r="G182" s="273"/>
      <c r="H182" s="27" t="s">
        <v>260</v>
      </c>
      <c r="I182" s="27" t="s">
        <v>260</v>
      </c>
      <c r="J182" s="110"/>
      <c r="K182" s="109"/>
      <c r="L182" s="12"/>
    </row>
    <row r="183" spans="1:12" s="23" customFormat="1" ht="21" customHeight="1" x14ac:dyDescent="0.25">
      <c r="A183" s="12"/>
      <c r="B183" s="291" t="s">
        <v>25</v>
      </c>
      <c r="C183" s="268" t="s">
        <v>265</v>
      </c>
      <c r="D183" s="269"/>
      <c r="E183" s="269"/>
      <c r="F183" s="269"/>
      <c r="G183" s="270"/>
      <c r="H183" s="65">
        <v>2</v>
      </c>
      <c r="I183" s="155">
        <v>2</v>
      </c>
      <c r="J183" s="293">
        <f>J186/I185*I183</f>
        <v>0</v>
      </c>
      <c r="K183" s="294"/>
      <c r="L183" s="12"/>
    </row>
    <row r="184" spans="1:12" s="23" customFormat="1" ht="15" customHeight="1" x14ac:dyDescent="0.25">
      <c r="A184" s="12"/>
      <c r="B184" s="292"/>
      <c r="C184" s="271"/>
      <c r="D184" s="272"/>
      <c r="E184" s="272"/>
      <c r="F184" s="272"/>
      <c r="G184" s="273"/>
      <c r="H184" s="27" t="s">
        <v>260</v>
      </c>
      <c r="I184" s="27" t="s">
        <v>260</v>
      </c>
      <c r="J184" s="110"/>
      <c r="K184" s="109"/>
      <c r="L184" s="12"/>
    </row>
    <row r="185" spans="1:12" s="23" customFormat="1" ht="15" customHeight="1" x14ac:dyDescent="0.25">
      <c r="A185" s="12"/>
      <c r="B185" s="150" t="s">
        <v>34</v>
      </c>
      <c r="C185" s="151"/>
      <c r="D185" s="151"/>
      <c r="E185" s="151"/>
      <c r="F185" s="151"/>
      <c r="G185" s="151"/>
      <c r="H185" s="106">
        <f>SUM(H173:H184)</f>
        <v>100</v>
      </c>
      <c r="I185" s="106">
        <f>SUM(I173:I184)</f>
        <v>100</v>
      </c>
      <c r="J185" s="105"/>
      <c r="K185" s="104"/>
      <c r="L185" s="12"/>
    </row>
    <row r="186" spans="1:12" s="23" customFormat="1" ht="24.95" customHeight="1" x14ac:dyDescent="0.25">
      <c r="A186" s="12"/>
      <c r="B186" s="286" t="s">
        <v>386</v>
      </c>
      <c r="C186" s="287"/>
      <c r="D186" s="287"/>
      <c r="E186" s="287"/>
      <c r="F186" s="287"/>
      <c r="G186" s="287"/>
      <c r="H186" s="287"/>
      <c r="I186" s="288"/>
      <c r="J186" s="289">
        <v>0</v>
      </c>
      <c r="K186" s="290"/>
      <c r="L186" s="12"/>
    </row>
    <row r="187" spans="1:12" s="23" customFormat="1" ht="7.5" customHeight="1" x14ac:dyDescent="0.25">
      <c r="A187" s="12"/>
      <c r="B187" s="44"/>
      <c r="C187" s="44"/>
      <c r="D187" s="44"/>
      <c r="E187" s="44"/>
      <c r="F187" s="44"/>
      <c r="G187" s="44"/>
      <c r="H187" s="12"/>
      <c r="I187" s="44"/>
      <c r="J187" s="44"/>
      <c r="K187" s="44"/>
      <c r="L187" s="12"/>
    </row>
    <row r="188" spans="1:12" s="98" customFormat="1" ht="24.95" customHeight="1" x14ac:dyDescent="0.25">
      <c r="A188" s="12"/>
      <c r="B188" s="280" t="s">
        <v>43</v>
      </c>
      <c r="C188" s="281"/>
      <c r="D188" s="281"/>
      <c r="E188" s="281"/>
      <c r="F188" s="281"/>
      <c r="G188" s="281"/>
      <c r="H188" s="281"/>
      <c r="I188" s="282"/>
      <c r="J188" s="274">
        <v>0</v>
      </c>
      <c r="K188" s="275"/>
      <c r="L188" s="12"/>
    </row>
    <row r="189" spans="1:12" s="98" customFormat="1" ht="24.95" customHeight="1" x14ac:dyDescent="0.25">
      <c r="A189" s="12"/>
      <c r="B189" s="283"/>
      <c r="C189" s="284"/>
      <c r="D189" s="284"/>
      <c r="E189" s="284"/>
      <c r="F189" s="284"/>
      <c r="G189" s="284"/>
      <c r="H189" s="284"/>
      <c r="I189" s="285"/>
      <c r="J189" s="276">
        <f>ROUND(J186*J188,2)</f>
        <v>0</v>
      </c>
      <c r="K189" s="277"/>
      <c r="L189" s="12"/>
    </row>
    <row r="190" spans="1:12" s="98" customFormat="1" ht="24.95" customHeight="1" x14ac:dyDescent="0.25">
      <c r="A190" s="12"/>
      <c r="B190" s="245" t="s">
        <v>387</v>
      </c>
      <c r="C190" s="246"/>
      <c r="D190" s="246"/>
      <c r="E190" s="246"/>
      <c r="F190" s="246"/>
      <c r="G190" s="246"/>
      <c r="H190" s="246"/>
      <c r="I190" s="247"/>
      <c r="J190" s="261">
        <f>J189+J186</f>
        <v>0</v>
      </c>
      <c r="K190" s="262"/>
      <c r="L190" s="12"/>
    </row>
    <row r="191" spans="1:12" s="23" customFormat="1" ht="8.25" customHeight="1" x14ac:dyDescent="0.25">
      <c r="B191" s="103"/>
      <c r="C191" s="103"/>
      <c r="D191" s="103"/>
      <c r="E191" s="103"/>
      <c r="F191" s="103"/>
      <c r="G191" s="103"/>
      <c r="H191" s="103"/>
      <c r="I191" s="103"/>
      <c r="J191" s="99"/>
      <c r="K191" s="99"/>
    </row>
    <row r="192" spans="1:12" s="23" customFormat="1" ht="19.5" customHeight="1" x14ac:dyDescent="0.25">
      <c r="B192" s="280" t="s">
        <v>42</v>
      </c>
      <c r="C192" s="281"/>
      <c r="D192" s="281"/>
      <c r="E192" s="281"/>
      <c r="F192" s="281"/>
      <c r="G192" s="281"/>
      <c r="H192" s="281"/>
      <c r="I192" s="282"/>
      <c r="J192" s="274">
        <v>0</v>
      </c>
      <c r="K192" s="275"/>
    </row>
    <row r="193" spans="1:12" s="23" customFormat="1" ht="20.100000000000001" customHeight="1" x14ac:dyDescent="0.25">
      <c r="B193" s="283"/>
      <c r="C193" s="284"/>
      <c r="D193" s="284"/>
      <c r="E193" s="284"/>
      <c r="F193" s="284"/>
      <c r="G193" s="284"/>
      <c r="H193" s="284"/>
      <c r="I193" s="285"/>
      <c r="J193" s="276">
        <f>ROUND(J190*J192,2)</f>
        <v>0</v>
      </c>
      <c r="K193" s="277"/>
    </row>
    <row r="194" spans="1:12" s="23" customFormat="1" ht="24.95" customHeight="1" x14ac:dyDescent="0.25">
      <c r="B194" s="245" t="s">
        <v>304</v>
      </c>
      <c r="C194" s="246"/>
      <c r="D194" s="246"/>
      <c r="E194" s="246"/>
      <c r="F194" s="246"/>
      <c r="G194" s="246"/>
      <c r="H194" s="246"/>
      <c r="I194" s="247"/>
      <c r="J194" s="261">
        <f>SUM(J190+J193)</f>
        <v>0</v>
      </c>
      <c r="K194" s="262"/>
    </row>
    <row r="195" spans="1:12" s="23" customFormat="1" ht="8.25" customHeight="1" x14ac:dyDescent="0.25">
      <c r="B195" s="44"/>
      <c r="C195" s="44"/>
      <c r="D195" s="44"/>
      <c r="E195" s="44"/>
      <c r="F195" s="44"/>
      <c r="G195" s="44"/>
      <c r="H195" s="12"/>
      <c r="I195" s="44"/>
      <c r="J195" s="44"/>
      <c r="K195" s="44"/>
    </row>
    <row r="196" spans="1:12" s="102" customFormat="1" ht="19.5" customHeight="1" x14ac:dyDescent="0.25">
      <c r="B196" s="268" t="s">
        <v>44</v>
      </c>
      <c r="C196" s="269"/>
      <c r="D196" s="269"/>
      <c r="E196" s="269"/>
      <c r="F196" s="269"/>
      <c r="G196" s="269"/>
      <c r="H196" s="269"/>
      <c r="I196" s="270"/>
      <c r="J196" s="274">
        <v>0</v>
      </c>
      <c r="K196" s="275"/>
    </row>
    <row r="197" spans="1:12" s="102" customFormat="1" ht="20.100000000000001" customHeight="1" x14ac:dyDescent="0.25">
      <c r="B197" s="271"/>
      <c r="C197" s="272"/>
      <c r="D197" s="272"/>
      <c r="E197" s="272"/>
      <c r="F197" s="272"/>
      <c r="G197" s="272"/>
      <c r="H197" s="272"/>
      <c r="I197" s="273"/>
      <c r="J197" s="276">
        <f>ROUND(J194*-J196,2)</f>
        <v>0</v>
      </c>
      <c r="K197" s="277"/>
    </row>
    <row r="198" spans="1:12" s="102" customFormat="1" ht="24.95" customHeight="1" x14ac:dyDescent="0.25">
      <c r="B198" s="245" t="s">
        <v>302</v>
      </c>
      <c r="C198" s="246"/>
      <c r="D198" s="246"/>
      <c r="E198" s="246"/>
      <c r="F198" s="246"/>
      <c r="G198" s="246"/>
      <c r="H198" s="246"/>
      <c r="I198" s="247"/>
      <c r="J198" s="261">
        <f>J194+J197</f>
        <v>0</v>
      </c>
      <c r="K198" s="262"/>
    </row>
    <row r="199" spans="1:12" s="23" customFormat="1" ht="8.25" customHeight="1" x14ac:dyDescent="0.25">
      <c r="B199" s="44"/>
      <c r="C199" s="44"/>
      <c r="D199" s="44"/>
      <c r="E199" s="44"/>
      <c r="F199" s="44"/>
      <c r="G199" s="44"/>
      <c r="H199" s="12"/>
      <c r="I199" s="44"/>
      <c r="J199" s="44"/>
      <c r="K199" s="44"/>
    </row>
    <row r="200" spans="1:12" s="23" customFormat="1" ht="19.5" customHeight="1" x14ac:dyDescent="0.25">
      <c r="B200" s="268" t="s">
        <v>10</v>
      </c>
      <c r="C200" s="269"/>
      <c r="D200" s="269"/>
      <c r="E200" s="269"/>
      <c r="F200" s="269"/>
      <c r="G200" s="269"/>
      <c r="H200" s="269"/>
      <c r="I200" s="270"/>
      <c r="J200" s="278">
        <v>0.19</v>
      </c>
      <c r="K200" s="279"/>
    </row>
    <row r="201" spans="1:12" s="23" customFormat="1" ht="20.100000000000001" customHeight="1" x14ac:dyDescent="0.25">
      <c r="B201" s="271"/>
      <c r="C201" s="272"/>
      <c r="D201" s="272"/>
      <c r="E201" s="272"/>
      <c r="F201" s="272"/>
      <c r="G201" s="272"/>
      <c r="H201" s="272"/>
      <c r="I201" s="273"/>
      <c r="J201" s="276">
        <f>ROUND(J198*J200,2)</f>
        <v>0</v>
      </c>
      <c r="K201" s="277"/>
    </row>
    <row r="202" spans="1:12" s="23" customFormat="1" ht="24.95" customHeight="1" x14ac:dyDescent="0.25">
      <c r="B202" s="245" t="s">
        <v>305</v>
      </c>
      <c r="C202" s="246"/>
      <c r="D202" s="246"/>
      <c r="E202" s="246"/>
      <c r="F202" s="246"/>
      <c r="G202" s="246"/>
      <c r="H202" s="246"/>
      <c r="I202" s="247"/>
      <c r="J202" s="261">
        <f>J198+J201</f>
        <v>0</v>
      </c>
      <c r="K202" s="262"/>
    </row>
    <row r="203" spans="1:12" s="98" customFormat="1" ht="24.95" customHeight="1" x14ac:dyDescent="0.25">
      <c r="A203" s="12"/>
      <c r="B203" s="103"/>
      <c r="C203" s="103"/>
      <c r="D203" s="103"/>
      <c r="E203" s="103"/>
      <c r="F203" s="103"/>
      <c r="G203" s="103"/>
      <c r="H203" s="103"/>
      <c r="I203" s="103"/>
      <c r="J203" s="99"/>
      <c r="K203" s="99"/>
      <c r="L203" s="12"/>
    </row>
    <row r="204" spans="1:12" s="98" customFormat="1" ht="24.95" customHeight="1" x14ac:dyDescent="0.25">
      <c r="A204" s="12"/>
      <c r="B204" s="103"/>
      <c r="C204" s="103"/>
      <c r="D204" s="103"/>
      <c r="E204" s="103"/>
      <c r="F204" s="103"/>
      <c r="G204" s="103"/>
      <c r="H204" s="103"/>
      <c r="I204" s="103"/>
      <c r="J204" s="99"/>
      <c r="K204" s="99"/>
      <c r="L204" s="12"/>
    </row>
    <row r="205" spans="1:12" s="96" customFormat="1" ht="24.75" customHeight="1" x14ac:dyDescent="0.25">
      <c r="B205" s="101" t="s">
        <v>266</v>
      </c>
      <c r="C205" s="100"/>
      <c r="D205" s="100"/>
      <c r="E205" s="100"/>
      <c r="F205" s="100"/>
      <c r="G205" s="100"/>
      <c r="H205" s="100"/>
      <c r="I205" s="100"/>
      <c r="J205" s="100"/>
      <c r="K205" s="100"/>
      <c r="L205" s="100"/>
    </row>
    <row r="206" spans="1:12" s="23" customFormat="1" ht="19.5" customHeight="1" x14ac:dyDescent="0.25">
      <c r="B206" s="55" t="s">
        <v>294</v>
      </c>
      <c r="C206" s="76"/>
      <c r="D206" s="76"/>
      <c r="E206" s="76"/>
      <c r="F206" s="76"/>
      <c r="G206" s="76"/>
      <c r="H206" s="76"/>
      <c r="I206" s="76"/>
      <c r="J206" s="76"/>
      <c r="K206" s="99"/>
      <c r="L206" s="12"/>
    </row>
    <row r="207" spans="1:12" s="23" customFormat="1" ht="19.5" customHeight="1" x14ac:dyDescent="0.25">
      <c r="B207" s="55" t="s">
        <v>293</v>
      </c>
      <c r="C207" s="76"/>
      <c r="D207" s="76"/>
      <c r="E207" s="76"/>
      <c r="F207" s="76"/>
      <c r="G207" s="76"/>
      <c r="H207" s="76"/>
      <c r="I207" s="76"/>
      <c r="J207" s="76"/>
      <c r="K207" s="99"/>
      <c r="L207" s="12"/>
    </row>
    <row r="208" spans="1:12" s="23" customFormat="1" ht="19.5" customHeight="1" x14ac:dyDescent="0.25">
      <c r="B208" s="55"/>
      <c r="C208" s="76"/>
      <c r="D208" s="76"/>
      <c r="E208" s="76"/>
      <c r="F208" s="76"/>
      <c r="G208" s="76"/>
      <c r="H208" s="76"/>
      <c r="I208" s="76"/>
      <c r="J208" s="76"/>
      <c r="K208" s="99"/>
      <c r="L208" s="12"/>
    </row>
    <row r="209" spans="1:11" ht="37.5" customHeight="1" x14ac:dyDescent="0.3">
      <c r="A209" s="24"/>
      <c r="B209" s="263" t="s">
        <v>267</v>
      </c>
      <c r="C209" s="264"/>
      <c r="D209" s="264"/>
      <c r="E209" s="264"/>
      <c r="F209" s="264"/>
      <c r="G209" s="265"/>
      <c r="H209" s="25" t="s">
        <v>8</v>
      </c>
      <c r="I209" s="266" t="s">
        <v>54</v>
      </c>
      <c r="J209" s="267"/>
      <c r="K209" s="25" t="s">
        <v>9</v>
      </c>
    </row>
    <row r="210" spans="1:11" ht="21" customHeight="1" x14ac:dyDescent="0.25">
      <c r="B210" s="251" t="s">
        <v>343</v>
      </c>
      <c r="C210" s="239" t="s">
        <v>352</v>
      </c>
      <c r="D210" s="240"/>
      <c r="E210" s="240"/>
      <c r="F210" s="240"/>
      <c r="G210" s="241"/>
      <c r="H210" s="65">
        <v>2</v>
      </c>
      <c r="I210" s="253">
        <v>0</v>
      </c>
      <c r="J210" s="254"/>
      <c r="K210" s="232">
        <f>H210*I210</f>
        <v>0</v>
      </c>
    </row>
    <row r="211" spans="1:11" ht="21" customHeight="1" x14ac:dyDescent="0.25">
      <c r="B211" s="252"/>
      <c r="C211" s="242"/>
      <c r="D211" s="243"/>
      <c r="E211" s="243"/>
      <c r="F211" s="243"/>
      <c r="G211" s="244"/>
      <c r="H211" s="27" t="s">
        <v>315</v>
      </c>
      <c r="I211" s="234" t="s">
        <v>350</v>
      </c>
      <c r="J211" s="235"/>
      <c r="K211" s="233"/>
    </row>
    <row r="212" spans="1:11" ht="21" customHeight="1" x14ac:dyDescent="0.25">
      <c r="B212" s="251" t="s">
        <v>344</v>
      </c>
      <c r="C212" s="239" t="s">
        <v>348</v>
      </c>
      <c r="D212" s="240"/>
      <c r="E212" s="240"/>
      <c r="F212" s="240"/>
      <c r="G212" s="241"/>
      <c r="H212" s="65">
        <v>1</v>
      </c>
      <c r="I212" s="253">
        <v>0</v>
      </c>
      <c r="J212" s="254"/>
      <c r="K212" s="232">
        <f>H212*I212</f>
        <v>0</v>
      </c>
    </row>
    <row r="213" spans="1:11" ht="21" customHeight="1" x14ac:dyDescent="0.25">
      <c r="B213" s="252"/>
      <c r="C213" s="242"/>
      <c r="D213" s="243"/>
      <c r="E213" s="243"/>
      <c r="F213" s="243"/>
      <c r="G213" s="244"/>
      <c r="H213" s="27" t="s">
        <v>315</v>
      </c>
      <c r="I213" s="234" t="s">
        <v>268</v>
      </c>
      <c r="J213" s="235"/>
      <c r="K213" s="233"/>
    </row>
    <row r="214" spans="1:11" ht="21" customHeight="1" x14ac:dyDescent="0.25">
      <c r="B214" s="251" t="s">
        <v>345</v>
      </c>
      <c r="C214" s="239" t="s">
        <v>367</v>
      </c>
      <c r="D214" s="240"/>
      <c r="E214" s="240"/>
      <c r="F214" s="240"/>
      <c r="G214" s="241"/>
      <c r="H214" s="65">
        <v>40</v>
      </c>
      <c r="I214" s="257">
        <v>0</v>
      </c>
      <c r="J214" s="258"/>
      <c r="K214" s="232">
        <f>H214*I214</f>
        <v>0</v>
      </c>
    </row>
    <row r="215" spans="1:11" ht="21" customHeight="1" x14ac:dyDescent="0.25">
      <c r="B215" s="252"/>
      <c r="C215" s="242"/>
      <c r="D215" s="243"/>
      <c r="E215" s="243"/>
      <c r="F215" s="243"/>
      <c r="G215" s="244"/>
      <c r="H215" s="27" t="s">
        <v>11</v>
      </c>
      <c r="I215" s="234" t="s">
        <v>12</v>
      </c>
      <c r="J215" s="235"/>
      <c r="K215" s="233"/>
    </row>
    <row r="216" spans="1:11" ht="21" customHeight="1" x14ac:dyDescent="0.25">
      <c r="B216" s="251" t="s">
        <v>346</v>
      </c>
      <c r="C216" s="239" t="s">
        <v>349</v>
      </c>
      <c r="D216" s="240"/>
      <c r="E216" s="240"/>
      <c r="F216" s="240"/>
      <c r="G216" s="241"/>
      <c r="H216" s="65">
        <v>30</v>
      </c>
      <c r="I216" s="257">
        <v>0</v>
      </c>
      <c r="J216" s="258"/>
      <c r="K216" s="232">
        <f>H216*I216</f>
        <v>0</v>
      </c>
    </row>
    <row r="217" spans="1:11" ht="21" customHeight="1" x14ac:dyDescent="0.25">
      <c r="B217" s="252"/>
      <c r="C217" s="242"/>
      <c r="D217" s="243"/>
      <c r="E217" s="243"/>
      <c r="F217" s="243"/>
      <c r="G217" s="244"/>
      <c r="H217" s="27" t="s">
        <v>11</v>
      </c>
      <c r="I217" s="234" t="s">
        <v>12</v>
      </c>
      <c r="J217" s="235"/>
      <c r="K217" s="233"/>
    </row>
    <row r="218" spans="1:11" ht="21" customHeight="1" x14ac:dyDescent="0.25">
      <c r="B218" s="251" t="s">
        <v>347</v>
      </c>
      <c r="C218" s="239" t="s">
        <v>351</v>
      </c>
      <c r="D218" s="240"/>
      <c r="E218" s="240"/>
      <c r="F218" s="240"/>
      <c r="G218" s="241"/>
      <c r="H218" s="26">
        <v>50</v>
      </c>
      <c r="I218" s="253">
        <v>0</v>
      </c>
      <c r="J218" s="254"/>
      <c r="K218" s="232">
        <f>H218*I218</f>
        <v>0</v>
      </c>
    </row>
    <row r="219" spans="1:11" ht="21" customHeight="1" x14ac:dyDescent="0.25">
      <c r="B219" s="252"/>
      <c r="C219" s="242"/>
      <c r="D219" s="243"/>
      <c r="E219" s="243"/>
      <c r="F219" s="243"/>
      <c r="G219" s="244"/>
      <c r="H219" s="27" t="s">
        <v>11</v>
      </c>
      <c r="I219" s="234" t="s">
        <v>12</v>
      </c>
      <c r="J219" s="235"/>
      <c r="K219" s="233"/>
    </row>
    <row r="220" spans="1:11" ht="21" customHeight="1" x14ac:dyDescent="0.25">
      <c r="B220" s="251" t="s">
        <v>353</v>
      </c>
      <c r="C220" s="239" t="s">
        <v>355</v>
      </c>
      <c r="D220" s="240"/>
      <c r="E220" s="240"/>
      <c r="F220" s="240"/>
      <c r="G220" s="241"/>
      <c r="H220" s="26">
        <v>8</v>
      </c>
      <c r="I220" s="253">
        <v>0</v>
      </c>
      <c r="J220" s="254"/>
      <c r="K220" s="232">
        <f>H220*I220</f>
        <v>0</v>
      </c>
    </row>
    <row r="221" spans="1:11" ht="21" customHeight="1" x14ac:dyDescent="0.25">
      <c r="B221" s="252"/>
      <c r="C221" s="242"/>
      <c r="D221" s="243"/>
      <c r="E221" s="243"/>
      <c r="F221" s="243"/>
      <c r="G221" s="244"/>
      <c r="H221" s="27" t="s">
        <v>315</v>
      </c>
      <c r="I221" s="234" t="s">
        <v>350</v>
      </c>
      <c r="J221" s="235"/>
      <c r="K221" s="233"/>
    </row>
    <row r="222" spans="1:11" ht="21" customHeight="1" x14ac:dyDescent="0.25">
      <c r="B222" s="251" t="s">
        <v>354</v>
      </c>
      <c r="C222" s="239" t="s">
        <v>356</v>
      </c>
      <c r="D222" s="240"/>
      <c r="E222" s="240"/>
      <c r="F222" s="240"/>
      <c r="G222" s="241"/>
      <c r="H222" s="26">
        <v>2</v>
      </c>
      <c r="I222" s="253">
        <v>0</v>
      </c>
      <c r="J222" s="254"/>
      <c r="K222" s="232">
        <f>H222*I222</f>
        <v>0</v>
      </c>
    </row>
    <row r="223" spans="1:11" ht="21" customHeight="1" x14ac:dyDescent="0.25">
      <c r="B223" s="252"/>
      <c r="C223" s="242"/>
      <c r="D223" s="243"/>
      <c r="E223" s="243"/>
      <c r="F223" s="243"/>
      <c r="G223" s="244"/>
      <c r="H223" s="27" t="s">
        <v>315</v>
      </c>
      <c r="I223" s="234" t="s">
        <v>350</v>
      </c>
      <c r="J223" s="235"/>
      <c r="K223" s="233"/>
    </row>
    <row r="224" spans="1:11" ht="21" customHeight="1" x14ac:dyDescent="0.25">
      <c r="B224" s="251" t="s">
        <v>368</v>
      </c>
      <c r="C224" s="239" t="s">
        <v>357</v>
      </c>
      <c r="D224" s="240"/>
      <c r="E224" s="240"/>
      <c r="F224" s="240"/>
      <c r="G224" s="241"/>
      <c r="H224" s="26">
        <v>6</v>
      </c>
      <c r="I224" s="253">
        <v>0</v>
      </c>
      <c r="J224" s="254"/>
      <c r="K224" s="232">
        <f>H224*I224</f>
        <v>0</v>
      </c>
    </row>
    <row r="225" spans="2:12" ht="21" customHeight="1" x14ac:dyDescent="0.25">
      <c r="B225" s="252"/>
      <c r="C225" s="242"/>
      <c r="D225" s="243"/>
      <c r="E225" s="243"/>
      <c r="F225" s="243"/>
      <c r="G225" s="244"/>
      <c r="H225" s="27" t="s">
        <v>315</v>
      </c>
      <c r="I225" s="234" t="s">
        <v>350</v>
      </c>
      <c r="J225" s="235"/>
      <c r="K225" s="233"/>
    </row>
    <row r="226" spans="2:12" ht="21" customHeight="1" x14ac:dyDescent="0.25">
      <c r="B226" s="251" t="s">
        <v>371</v>
      </c>
      <c r="C226" s="239" t="s">
        <v>358</v>
      </c>
      <c r="D226" s="240"/>
      <c r="E226" s="240"/>
      <c r="F226" s="240"/>
      <c r="G226" s="241"/>
      <c r="H226" s="26">
        <v>2</v>
      </c>
      <c r="I226" s="253">
        <v>0</v>
      </c>
      <c r="J226" s="254"/>
      <c r="K226" s="232">
        <f>H226*I226</f>
        <v>0</v>
      </c>
    </row>
    <row r="227" spans="2:12" ht="21" customHeight="1" x14ac:dyDescent="0.25">
      <c r="B227" s="252"/>
      <c r="C227" s="242"/>
      <c r="D227" s="243"/>
      <c r="E227" s="243"/>
      <c r="F227" s="243"/>
      <c r="G227" s="244"/>
      <c r="H227" s="27" t="s">
        <v>315</v>
      </c>
      <c r="I227" s="234" t="s">
        <v>350</v>
      </c>
      <c r="J227" s="235"/>
      <c r="K227" s="233"/>
    </row>
    <row r="228" spans="2:12" ht="21" customHeight="1" x14ac:dyDescent="0.25">
      <c r="B228" s="259"/>
      <c r="C228" s="260"/>
      <c r="D228" s="260"/>
      <c r="E228" s="260"/>
      <c r="F228" s="260"/>
      <c r="G228" s="260"/>
      <c r="H228" s="260"/>
      <c r="I228" s="260"/>
      <c r="J228" s="260"/>
      <c r="K228" s="212"/>
    </row>
    <row r="229" spans="2:12" ht="21" customHeight="1" x14ac:dyDescent="0.25">
      <c r="B229" s="251" t="s">
        <v>359</v>
      </c>
      <c r="C229" s="239" t="s">
        <v>361</v>
      </c>
      <c r="D229" s="240"/>
      <c r="E229" s="240"/>
      <c r="F229" s="240"/>
      <c r="G229" s="241"/>
      <c r="H229" s="65">
        <v>10</v>
      </c>
      <c r="I229" s="257">
        <v>0</v>
      </c>
      <c r="J229" s="258"/>
      <c r="K229" s="232">
        <f>H229*I229</f>
        <v>0</v>
      </c>
    </row>
    <row r="230" spans="2:12" ht="21" customHeight="1" x14ac:dyDescent="0.25">
      <c r="B230" s="252"/>
      <c r="C230" s="242"/>
      <c r="D230" s="243"/>
      <c r="E230" s="243"/>
      <c r="F230" s="243"/>
      <c r="G230" s="244"/>
      <c r="H230" s="27" t="s">
        <v>11</v>
      </c>
      <c r="I230" s="234" t="s">
        <v>12</v>
      </c>
      <c r="J230" s="235"/>
      <c r="K230" s="233"/>
    </row>
    <row r="231" spans="2:12" ht="21" customHeight="1" x14ac:dyDescent="0.25">
      <c r="B231" s="251" t="s">
        <v>360</v>
      </c>
      <c r="C231" s="239" t="s">
        <v>362</v>
      </c>
      <c r="D231" s="240"/>
      <c r="E231" s="240"/>
      <c r="F231" s="240"/>
      <c r="G231" s="241"/>
      <c r="H231" s="26">
        <v>10</v>
      </c>
      <c r="I231" s="253">
        <v>0</v>
      </c>
      <c r="J231" s="254"/>
      <c r="K231" s="232">
        <f>H231*I231</f>
        <v>0</v>
      </c>
    </row>
    <row r="232" spans="2:12" ht="21" customHeight="1" x14ac:dyDescent="0.25">
      <c r="B232" s="252"/>
      <c r="C232" s="242"/>
      <c r="D232" s="243"/>
      <c r="E232" s="243"/>
      <c r="F232" s="243"/>
      <c r="G232" s="244"/>
      <c r="H232" s="27" t="s">
        <v>11</v>
      </c>
      <c r="I232" s="234" t="s">
        <v>12</v>
      </c>
      <c r="J232" s="235"/>
      <c r="K232" s="233"/>
    </row>
    <row r="233" spans="2:12" ht="21" customHeight="1" x14ac:dyDescent="0.25">
      <c r="B233" s="251" t="s">
        <v>369</v>
      </c>
      <c r="C233" s="239" t="s">
        <v>363</v>
      </c>
      <c r="D233" s="240"/>
      <c r="E233" s="240"/>
      <c r="F233" s="240"/>
      <c r="G233" s="241"/>
      <c r="H233" s="26">
        <v>10</v>
      </c>
      <c r="I233" s="253">
        <v>0</v>
      </c>
      <c r="J233" s="254"/>
      <c r="K233" s="232">
        <f>H233*I233</f>
        <v>0</v>
      </c>
    </row>
    <row r="234" spans="2:12" ht="21" customHeight="1" x14ac:dyDescent="0.25">
      <c r="B234" s="252"/>
      <c r="C234" s="242"/>
      <c r="D234" s="243"/>
      <c r="E234" s="243"/>
      <c r="F234" s="243"/>
      <c r="G234" s="244"/>
      <c r="H234" s="27" t="s">
        <v>11</v>
      </c>
      <c r="I234" s="234" t="s">
        <v>12</v>
      </c>
      <c r="J234" s="235"/>
      <c r="K234" s="233"/>
    </row>
    <row r="235" spans="2:12" ht="21" customHeight="1" x14ac:dyDescent="0.25">
      <c r="B235" s="251" t="s">
        <v>370</v>
      </c>
      <c r="C235" s="239" t="s">
        <v>364</v>
      </c>
      <c r="D235" s="240"/>
      <c r="E235" s="240"/>
      <c r="F235" s="240"/>
      <c r="G235" s="241"/>
      <c r="H235" s="26">
        <v>200</v>
      </c>
      <c r="I235" s="253">
        <v>0</v>
      </c>
      <c r="J235" s="254"/>
      <c r="K235" s="232">
        <f>H235*I235</f>
        <v>0</v>
      </c>
    </row>
    <row r="236" spans="2:12" ht="21" customHeight="1" x14ac:dyDescent="0.25">
      <c r="B236" s="252"/>
      <c r="C236" s="242"/>
      <c r="D236" s="243"/>
      <c r="E236" s="243"/>
      <c r="F236" s="243"/>
      <c r="G236" s="244"/>
      <c r="H236" s="27" t="s">
        <v>365</v>
      </c>
      <c r="I236" s="234" t="s">
        <v>366</v>
      </c>
      <c r="J236" s="235"/>
      <c r="K236" s="233"/>
    </row>
    <row r="237" spans="2:12" ht="20.25" customHeight="1" x14ac:dyDescent="0.25">
      <c r="B237" s="256" t="s">
        <v>300</v>
      </c>
      <c r="C237" s="256"/>
      <c r="D237" s="256"/>
      <c r="E237" s="256"/>
      <c r="F237" s="256"/>
      <c r="G237" s="256"/>
      <c r="H237" s="256"/>
      <c r="I237" s="256"/>
      <c r="J237" s="256"/>
      <c r="K237" s="28">
        <f>SUM(K210:K236)</f>
        <v>0</v>
      </c>
    </row>
    <row r="238" spans="2:12" ht="8.25" customHeight="1" x14ac:dyDescent="0.25">
      <c r="B238" s="20"/>
      <c r="C238" s="20"/>
      <c r="D238" s="20"/>
      <c r="E238" s="20"/>
      <c r="F238" s="20"/>
      <c r="G238" s="20"/>
      <c r="H238" s="20"/>
      <c r="I238" s="20"/>
      <c r="J238" s="20"/>
      <c r="K238" s="21"/>
      <c r="L238" s="12"/>
    </row>
    <row r="239" spans="2:12" s="98" customFormat="1" ht="19.5" customHeight="1" x14ac:dyDescent="0.25">
      <c r="B239" s="239" t="s">
        <v>42</v>
      </c>
      <c r="C239" s="240"/>
      <c r="D239" s="240"/>
      <c r="E239" s="240"/>
      <c r="F239" s="240"/>
      <c r="G239" s="240"/>
      <c r="H239" s="240"/>
      <c r="I239" s="240"/>
      <c r="J239" s="241"/>
      <c r="K239" s="40">
        <f>J192</f>
        <v>0</v>
      </c>
    </row>
    <row r="240" spans="2:12" s="98" customFormat="1" ht="19.5" customHeight="1" x14ac:dyDescent="0.25">
      <c r="B240" s="242"/>
      <c r="C240" s="243"/>
      <c r="D240" s="243"/>
      <c r="E240" s="243"/>
      <c r="F240" s="243"/>
      <c r="G240" s="243"/>
      <c r="H240" s="243"/>
      <c r="I240" s="243"/>
      <c r="J240" s="244"/>
      <c r="K240" s="53">
        <f>ROUND(K237*K239,2)</f>
        <v>0</v>
      </c>
    </row>
    <row r="241" spans="2:12" s="98" customFormat="1" ht="24.95" customHeight="1" x14ac:dyDescent="0.25">
      <c r="B241" s="236" t="s">
        <v>48</v>
      </c>
      <c r="C241" s="237"/>
      <c r="D241" s="237"/>
      <c r="E241" s="237"/>
      <c r="F241" s="237"/>
      <c r="G241" s="237"/>
      <c r="H241" s="237"/>
      <c r="I241" s="237"/>
      <c r="J241" s="238"/>
      <c r="K241" s="28">
        <f>K237+K240</f>
        <v>0</v>
      </c>
    </row>
    <row r="242" spans="2:12" ht="8.25" customHeight="1" x14ac:dyDescent="0.25">
      <c r="B242" s="20"/>
      <c r="C242" s="20"/>
      <c r="D242" s="20"/>
      <c r="E242" s="20"/>
      <c r="F242" s="20"/>
      <c r="G242" s="20"/>
      <c r="H242" s="20"/>
      <c r="I242" s="20"/>
      <c r="J242" s="20"/>
      <c r="K242" s="21"/>
      <c r="L242" s="12"/>
    </row>
    <row r="243" spans="2:12" s="98" customFormat="1" ht="19.5" customHeight="1" x14ac:dyDescent="0.25">
      <c r="B243" s="239" t="s">
        <v>44</v>
      </c>
      <c r="C243" s="240"/>
      <c r="D243" s="240"/>
      <c r="E243" s="240"/>
      <c r="F243" s="240"/>
      <c r="G243" s="240"/>
      <c r="H243" s="240"/>
      <c r="I243" s="240"/>
      <c r="J243" s="241"/>
      <c r="K243" s="40">
        <f>J196</f>
        <v>0</v>
      </c>
    </row>
    <row r="244" spans="2:12" s="98" customFormat="1" ht="19.5" customHeight="1" x14ac:dyDescent="0.25">
      <c r="B244" s="242"/>
      <c r="C244" s="243"/>
      <c r="D244" s="243"/>
      <c r="E244" s="243"/>
      <c r="F244" s="243"/>
      <c r="G244" s="243"/>
      <c r="H244" s="243"/>
      <c r="I244" s="243"/>
      <c r="J244" s="244"/>
      <c r="K244" s="53">
        <f>ROUND(K241*-K243,2)</f>
        <v>0</v>
      </c>
    </row>
    <row r="245" spans="2:12" s="98" customFormat="1" ht="24.95" customHeight="1" x14ac:dyDescent="0.25">
      <c r="B245" s="236" t="s">
        <v>301</v>
      </c>
      <c r="C245" s="237"/>
      <c r="D245" s="237"/>
      <c r="E245" s="237"/>
      <c r="F245" s="237"/>
      <c r="G245" s="237"/>
      <c r="H245" s="237"/>
      <c r="I245" s="237"/>
      <c r="J245" s="238"/>
      <c r="K245" s="28">
        <f>K241+K244</f>
        <v>0</v>
      </c>
    </row>
    <row r="246" spans="2:12" ht="8.25" customHeight="1" x14ac:dyDescent="0.25">
      <c r="B246" s="20"/>
      <c r="C246" s="20"/>
      <c r="D246" s="20"/>
      <c r="E246" s="20"/>
      <c r="F246" s="20"/>
      <c r="G246" s="20"/>
      <c r="H246" s="20"/>
      <c r="I246" s="20"/>
      <c r="J246" s="20"/>
      <c r="K246" s="21"/>
      <c r="L246" s="12"/>
    </row>
    <row r="247" spans="2:12" ht="19.5" customHeight="1" x14ac:dyDescent="0.25">
      <c r="B247" s="239" t="s">
        <v>10</v>
      </c>
      <c r="C247" s="240"/>
      <c r="D247" s="240"/>
      <c r="E247" s="240"/>
      <c r="F247" s="240"/>
      <c r="G247" s="240"/>
      <c r="H247" s="240"/>
      <c r="I247" s="240"/>
      <c r="J247" s="241"/>
      <c r="K247" s="95">
        <f>J200</f>
        <v>0.19</v>
      </c>
      <c r="L247" s="12"/>
    </row>
    <row r="248" spans="2:12" ht="19.5" customHeight="1" x14ac:dyDescent="0.25">
      <c r="B248" s="242"/>
      <c r="C248" s="243"/>
      <c r="D248" s="243"/>
      <c r="E248" s="243"/>
      <c r="F248" s="243"/>
      <c r="G248" s="243"/>
      <c r="H248" s="243"/>
      <c r="I248" s="243"/>
      <c r="J248" s="244"/>
      <c r="K248" s="53">
        <f>ROUND(K245*K247,2)</f>
        <v>0</v>
      </c>
      <c r="L248" s="12"/>
    </row>
    <row r="249" spans="2:12" ht="24.95" customHeight="1" x14ac:dyDescent="0.25">
      <c r="B249" s="245" t="s">
        <v>49</v>
      </c>
      <c r="C249" s="246"/>
      <c r="D249" s="246"/>
      <c r="E249" s="246"/>
      <c r="F249" s="246"/>
      <c r="G249" s="246"/>
      <c r="H249" s="246"/>
      <c r="I249" s="246"/>
      <c r="J249" s="247"/>
      <c r="K249" s="28">
        <f>K245+K248</f>
        <v>0</v>
      </c>
    </row>
    <row r="250" spans="2:12" ht="26.25" customHeight="1" x14ac:dyDescent="0.25">
      <c r="B250" s="76"/>
      <c r="C250" s="76"/>
      <c r="D250" s="76"/>
      <c r="E250" s="76"/>
      <c r="F250" s="76"/>
      <c r="G250" s="76"/>
      <c r="H250" s="76"/>
      <c r="I250" s="76"/>
      <c r="J250" s="76"/>
      <c r="K250" s="21"/>
    </row>
    <row r="251" spans="2:12" s="96" customFormat="1" ht="15.75" customHeight="1" x14ac:dyDescent="0.25">
      <c r="B251" s="97" t="s">
        <v>13</v>
      </c>
    </row>
    <row r="252" spans="2:12" x14ac:dyDescent="0.25"/>
    <row r="253" spans="2:12" ht="20.100000000000001" customHeight="1" x14ac:dyDescent="0.25">
      <c r="B253" s="248" t="str">
        <f>B198</f>
        <v xml:space="preserve">(Gesamt I:) netto Angebotssumme  // Honorarsumme inkl. Nebenkosten und Nachlass   </v>
      </c>
      <c r="C253" s="249"/>
      <c r="D253" s="249"/>
      <c r="E253" s="249"/>
      <c r="F253" s="249"/>
      <c r="G253" s="249"/>
      <c r="H253" s="249"/>
      <c r="I253" s="249"/>
      <c r="J253" s="250"/>
      <c r="K253" s="53">
        <f>J198</f>
        <v>0</v>
      </c>
    </row>
    <row r="254" spans="2:12" ht="20.100000000000001" customHeight="1" x14ac:dyDescent="0.25">
      <c r="B254" s="248" t="str">
        <f>B245</f>
        <v xml:space="preserve">(Gesamt II:) netto Angebotssumme (Optionen) inkl. Nebenkosten und Nachlass   </v>
      </c>
      <c r="C254" s="249"/>
      <c r="D254" s="249"/>
      <c r="E254" s="249"/>
      <c r="F254" s="249"/>
      <c r="G254" s="249"/>
      <c r="H254" s="249"/>
      <c r="I254" s="249"/>
      <c r="J254" s="250"/>
      <c r="K254" s="53">
        <f>K245</f>
        <v>0</v>
      </c>
    </row>
    <row r="255" spans="2:12" ht="20.100000000000001" customHeight="1" x14ac:dyDescent="0.25">
      <c r="B255" s="236" t="s">
        <v>303</v>
      </c>
      <c r="C255" s="237"/>
      <c r="D255" s="237"/>
      <c r="E255" s="237"/>
      <c r="F255" s="237"/>
      <c r="G255" s="237"/>
      <c r="H255" s="237"/>
      <c r="I255" s="237"/>
      <c r="J255" s="238"/>
      <c r="K255" s="28">
        <f>K253+K254</f>
        <v>0</v>
      </c>
    </row>
    <row r="256" spans="2:12" ht="7.5" customHeight="1" x14ac:dyDescent="0.25"/>
    <row r="257" spans="1:11" ht="20.100000000000001" customHeight="1" x14ac:dyDescent="0.25">
      <c r="B257" s="239" t="s">
        <v>10</v>
      </c>
      <c r="C257" s="240"/>
      <c r="D257" s="240"/>
      <c r="E257" s="240"/>
      <c r="F257" s="240"/>
      <c r="G257" s="240"/>
      <c r="H257" s="240"/>
      <c r="I257" s="240"/>
      <c r="J257" s="241"/>
      <c r="K257" s="95">
        <f>K247</f>
        <v>0.19</v>
      </c>
    </row>
    <row r="258" spans="1:11" ht="20.100000000000001" customHeight="1" x14ac:dyDescent="0.25">
      <c r="B258" s="242"/>
      <c r="C258" s="243"/>
      <c r="D258" s="243"/>
      <c r="E258" s="243"/>
      <c r="F258" s="243"/>
      <c r="G258" s="243"/>
      <c r="H258" s="243"/>
      <c r="I258" s="243"/>
      <c r="J258" s="244"/>
      <c r="K258" s="53">
        <f>ROUND(K255*K257,2)</f>
        <v>0</v>
      </c>
    </row>
    <row r="259" spans="1:11" ht="9" customHeight="1" x14ac:dyDescent="0.3">
      <c r="A259" s="23"/>
      <c r="B259" s="94"/>
    </row>
    <row r="260" spans="1:11" ht="20.100000000000001" customHeight="1" x14ac:dyDescent="0.25">
      <c r="A260" s="23"/>
      <c r="B260" s="236" t="s">
        <v>50</v>
      </c>
      <c r="C260" s="237"/>
      <c r="D260" s="237"/>
      <c r="E260" s="237"/>
      <c r="F260" s="237"/>
      <c r="G260" s="237"/>
      <c r="H260" s="237"/>
      <c r="I260" s="237"/>
      <c r="J260" s="238"/>
      <c r="K260" s="28">
        <f>K255+K258</f>
        <v>0</v>
      </c>
    </row>
    <row r="261" spans="1:11" ht="8.25" customHeight="1" x14ac:dyDescent="0.3">
      <c r="A261" s="23"/>
      <c r="B261" s="94"/>
    </row>
    <row r="262" spans="1:11" x14ac:dyDescent="0.25">
      <c r="A262" s="23"/>
      <c r="B262" s="20"/>
      <c r="C262" s="20"/>
      <c r="D262" s="20"/>
      <c r="E262" s="20"/>
      <c r="F262" s="20"/>
      <c r="G262" s="20"/>
      <c r="H262" s="20"/>
      <c r="I262" s="20"/>
      <c r="J262" s="20"/>
      <c r="K262" s="21"/>
    </row>
    <row r="263" spans="1:11" ht="18.75" x14ac:dyDescent="0.25">
      <c r="A263" s="23"/>
      <c r="B263" s="255"/>
      <c r="C263" s="255"/>
      <c r="D263" s="93" t="s">
        <v>45</v>
      </c>
      <c r="E263" s="22"/>
      <c r="F263" s="29" t="s">
        <v>142</v>
      </c>
      <c r="G263" s="29"/>
      <c r="H263" s="22"/>
      <c r="I263" s="29" t="s">
        <v>46</v>
      </c>
      <c r="J263" s="29"/>
      <c r="K263" s="21"/>
    </row>
    <row r="264" spans="1:11" ht="16.5" customHeight="1" x14ac:dyDescent="0.25">
      <c r="A264" s="23"/>
      <c r="F264" s="92" t="s">
        <v>47</v>
      </c>
    </row>
    <row r="265" spans="1:11" x14ac:dyDescent="0.25">
      <c r="A265" s="23"/>
    </row>
    <row r="267" spans="1:11" hidden="1" x14ac:dyDescent="0.25">
      <c r="A267" s="23"/>
    </row>
    <row r="466" s="1" customFormat="1" hidden="1" x14ac:dyDescent="0.25"/>
    <row r="467" s="1" customFormat="1" hidden="1" x14ac:dyDescent="0.25"/>
  </sheetData>
  <sheetProtection algorithmName="SHA-512" hashValue="94IDKYPaaUsIf3YgkLcTtJXZbrNwsGLaFt0CLWaN43SKyxOvAd/y0Z3hH7r1+8PzLQ/g+sWVEZEQpQGoai+wGA==" saltValue="P6fVYMWdZ4bTj/kBeLVcpA==" spinCount="100000" sheet="1" selectLockedCells="1"/>
  <protectedRanges>
    <protectedRange sqref="E172" name="Bereich1_1_1"/>
  </protectedRanges>
  <mergeCells count="238">
    <mergeCell ref="B41:K41"/>
    <mergeCell ref="C146:H146"/>
    <mergeCell ref="I146:J146"/>
    <mergeCell ref="C147:H147"/>
    <mergeCell ref="I147:J147"/>
    <mergeCell ref="C148:H148"/>
    <mergeCell ref="I148:J148"/>
    <mergeCell ref="C138:H138"/>
    <mergeCell ref="C139:H139"/>
    <mergeCell ref="C145:H145"/>
    <mergeCell ref="I145:J145"/>
    <mergeCell ref="J127:L127"/>
    <mergeCell ref="C122:H122"/>
    <mergeCell ref="C124:H124"/>
    <mergeCell ref="C136:H136"/>
    <mergeCell ref="C137:H137"/>
    <mergeCell ref="G93:K93"/>
    <mergeCell ref="G91:K91"/>
    <mergeCell ref="C44:D44"/>
    <mergeCell ref="C48:D48"/>
    <mergeCell ref="C49:D49"/>
    <mergeCell ref="C91:F91"/>
    <mergeCell ref="C134:H134"/>
    <mergeCell ref="C135:H135"/>
    <mergeCell ref="J124:L124"/>
    <mergeCell ref="J125:L125"/>
    <mergeCell ref="C119:H119"/>
    <mergeCell ref="E73:F73"/>
    <mergeCell ref="C120:H120"/>
    <mergeCell ref="C95:K95"/>
    <mergeCell ref="G94:K94"/>
    <mergeCell ref="C94:F94"/>
    <mergeCell ref="C92:F92"/>
    <mergeCell ref="C93:F93"/>
    <mergeCell ref="C123:H123"/>
    <mergeCell ref="C125:H125"/>
    <mergeCell ref="C17:D17"/>
    <mergeCell ref="G17:I17"/>
    <mergeCell ref="B3:I3"/>
    <mergeCell ref="B4:L4"/>
    <mergeCell ref="J17:K17"/>
    <mergeCell ref="C18:D18"/>
    <mergeCell ref="G18:I18"/>
    <mergeCell ref="J18:K18"/>
    <mergeCell ref="B2:I2"/>
    <mergeCell ref="D9:J9"/>
    <mergeCell ref="C25:D25"/>
    <mergeCell ref="G25:I25"/>
    <mergeCell ref="J25:K25"/>
    <mergeCell ref="C26:D26"/>
    <mergeCell ref="G26:I26"/>
    <mergeCell ref="J26:K26"/>
    <mergeCell ref="C19:D19"/>
    <mergeCell ref="G19:I19"/>
    <mergeCell ref="J19:K19"/>
    <mergeCell ref="C20:D20"/>
    <mergeCell ref="G23:I23"/>
    <mergeCell ref="J23:K23"/>
    <mergeCell ref="J20:K20"/>
    <mergeCell ref="C21:D21"/>
    <mergeCell ref="G21:I21"/>
    <mergeCell ref="J21:K21"/>
    <mergeCell ref="C22:D22"/>
    <mergeCell ref="G22:I22"/>
    <mergeCell ref="J22:K22"/>
    <mergeCell ref="C23:D23"/>
    <mergeCell ref="C24:D24"/>
    <mergeCell ref="G24:I24"/>
    <mergeCell ref="J24:K24"/>
    <mergeCell ref="G20:I20"/>
    <mergeCell ref="C43:D43"/>
    <mergeCell ref="C47:D47"/>
    <mergeCell ref="C45:D45"/>
    <mergeCell ref="C46:D46"/>
    <mergeCell ref="E43:F43"/>
    <mergeCell ref="E44:F44"/>
    <mergeCell ref="E45:F45"/>
    <mergeCell ref="C51:D51"/>
    <mergeCell ref="E47:F47"/>
    <mergeCell ref="E46:F46"/>
    <mergeCell ref="E48:F48"/>
    <mergeCell ref="E49:F49"/>
    <mergeCell ref="E51:F51"/>
    <mergeCell ref="C57:D57"/>
    <mergeCell ref="C68:D68"/>
    <mergeCell ref="E68:F68"/>
    <mergeCell ref="C69:D69"/>
    <mergeCell ref="C58:D58"/>
    <mergeCell ref="E57:F57"/>
    <mergeCell ref="E58:F58"/>
    <mergeCell ref="E59:F59"/>
    <mergeCell ref="E69:F69"/>
    <mergeCell ref="J157:K157"/>
    <mergeCell ref="C59:D59"/>
    <mergeCell ref="C60:D60"/>
    <mergeCell ref="E60:F60"/>
    <mergeCell ref="C62:D62"/>
    <mergeCell ref="E62:F62"/>
    <mergeCell ref="C131:H131"/>
    <mergeCell ref="C132:H132"/>
    <mergeCell ref="C133:H133"/>
    <mergeCell ref="C126:H126"/>
    <mergeCell ref="C121:H121"/>
    <mergeCell ref="C71:D71"/>
    <mergeCell ref="E71:F71"/>
    <mergeCell ref="B110:K110"/>
    <mergeCell ref="C127:H127"/>
    <mergeCell ref="C128:H128"/>
    <mergeCell ref="C129:H129"/>
    <mergeCell ref="C130:H130"/>
    <mergeCell ref="G92:K92"/>
    <mergeCell ref="J126:L126"/>
    <mergeCell ref="C70:D70"/>
    <mergeCell ref="E70:F70"/>
    <mergeCell ref="C73:D73"/>
    <mergeCell ref="J122:K122"/>
    <mergeCell ref="K222:K223"/>
    <mergeCell ref="I223:J223"/>
    <mergeCell ref="B222:B223"/>
    <mergeCell ref="B224:B225"/>
    <mergeCell ref="C224:G225"/>
    <mergeCell ref="I224:J224"/>
    <mergeCell ref="K224:K225"/>
    <mergeCell ref="I225:J225"/>
    <mergeCell ref="B226:B227"/>
    <mergeCell ref="K226:K227"/>
    <mergeCell ref="J172:K172"/>
    <mergeCell ref="B173:B174"/>
    <mergeCell ref="C173:G174"/>
    <mergeCell ref="J173:K173"/>
    <mergeCell ref="B175:B176"/>
    <mergeCell ref="C175:G176"/>
    <mergeCell ref="J175:K175"/>
    <mergeCell ref="B177:B178"/>
    <mergeCell ref="C177:G178"/>
    <mergeCell ref="J177:K177"/>
    <mergeCell ref="B179:B180"/>
    <mergeCell ref="C179:G180"/>
    <mergeCell ref="J179:K179"/>
    <mergeCell ref="B181:B182"/>
    <mergeCell ref="C181:G182"/>
    <mergeCell ref="J181:K181"/>
    <mergeCell ref="B183:B184"/>
    <mergeCell ref="C183:G184"/>
    <mergeCell ref="J183:K183"/>
    <mergeCell ref="B192:I193"/>
    <mergeCell ref="J192:K192"/>
    <mergeCell ref="J193:K193"/>
    <mergeCell ref="B186:I186"/>
    <mergeCell ref="J186:K186"/>
    <mergeCell ref="B188:I189"/>
    <mergeCell ref="J188:K188"/>
    <mergeCell ref="J189:K189"/>
    <mergeCell ref="B190:I190"/>
    <mergeCell ref="J190:K190"/>
    <mergeCell ref="B194:I194"/>
    <mergeCell ref="J194:K194"/>
    <mergeCell ref="B196:I197"/>
    <mergeCell ref="J196:K196"/>
    <mergeCell ref="J197:K197"/>
    <mergeCell ref="B198:I198"/>
    <mergeCell ref="J198:K198"/>
    <mergeCell ref="B200:I201"/>
    <mergeCell ref="J200:K200"/>
    <mergeCell ref="J201:K201"/>
    <mergeCell ref="B202:I202"/>
    <mergeCell ref="J202:K202"/>
    <mergeCell ref="B209:G209"/>
    <mergeCell ref="I209:J209"/>
    <mergeCell ref="B210:B211"/>
    <mergeCell ref="C210:G211"/>
    <mergeCell ref="I210:J210"/>
    <mergeCell ref="K210:K211"/>
    <mergeCell ref="I211:J211"/>
    <mergeCell ref="K218:K219"/>
    <mergeCell ref="I219:J219"/>
    <mergeCell ref="B220:B221"/>
    <mergeCell ref="C220:G221"/>
    <mergeCell ref="I220:J220"/>
    <mergeCell ref="K220:K221"/>
    <mergeCell ref="I221:J221"/>
    <mergeCell ref="B212:B213"/>
    <mergeCell ref="C212:G213"/>
    <mergeCell ref="I212:J212"/>
    <mergeCell ref="K212:K213"/>
    <mergeCell ref="I213:J213"/>
    <mergeCell ref="B216:B217"/>
    <mergeCell ref="C216:G217"/>
    <mergeCell ref="I216:J216"/>
    <mergeCell ref="K216:K217"/>
    <mergeCell ref="I217:J217"/>
    <mergeCell ref="I214:J214"/>
    <mergeCell ref="I215:J215"/>
    <mergeCell ref="B214:B215"/>
    <mergeCell ref="C214:G215"/>
    <mergeCell ref="K214:K215"/>
    <mergeCell ref="B255:J255"/>
    <mergeCell ref="B257:J258"/>
    <mergeCell ref="B260:J260"/>
    <mergeCell ref="B263:C263"/>
    <mergeCell ref="B237:J237"/>
    <mergeCell ref="B239:J240"/>
    <mergeCell ref="B241:J241"/>
    <mergeCell ref="B243:J244"/>
    <mergeCell ref="B218:B219"/>
    <mergeCell ref="C218:G219"/>
    <mergeCell ref="I218:J218"/>
    <mergeCell ref="C222:G223"/>
    <mergeCell ref="I222:J222"/>
    <mergeCell ref="C229:G230"/>
    <mergeCell ref="I229:J229"/>
    <mergeCell ref="C226:G227"/>
    <mergeCell ref="I226:J226"/>
    <mergeCell ref="I227:J227"/>
    <mergeCell ref="B228:J228"/>
    <mergeCell ref="K229:K230"/>
    <mergeCell ref="I230:J230"/>
    <mergeCell ref="B245:J245"/>
    <mergeCell ref="B247:J248"/>
    <mergeCell ref="B249:J249"/>
    <mergeCell ref="B253:J253"/>
    <mergeCell ref="B254:J254"/>
    <mergeCell ref="B235:B236"/>
    <mergeCell ref="C235:G236"/>
    <mergeCell ref="I235:J235"/>
    <mergeCell ref="K235:K236"/>
    <mergeCell ref="I236:J236"/>
    <mergeCell ref="B231:B232"/>
    <mergeCell ref="C231:G232"/>
    <mergeCell ref="I231:J231"/>
    <mergeCell ref="K231:K232"/>
    <mergeCell ref="I232:J232"/>
    <mergeCell ref="B233:B234"/>
    <mergeCell ref="C233:G234"/>
    <mergeCell ref="I233:J233"/>
    <mergeCell ref="K233:K234"/>
    <mergeCell ref="I234:J234"/>
    <mergeCell ref="B229:B230"/>
  </mergeCells>
  <conditionalFormatting sqref="C82">
    <cfRule type="expression" dxfId="997" priority="2">
      <formula>$C$82="Ja"</formula>
    </cfRule>
  </conditionalFormatting>
  <conditionalFormatting sqref="D9:J9">
    <cfRule type="expression" dxfId="996" priority="3">
      <formula>AND($D$9&lt;&gt;"bitte eintragen",$D$9&lt;&gt;"")</formula>
    </cfRule>
  </conditionalFormatting>
  <conditionalFormatting sqref="E49:F49">
    <cfRule type="expression" dxfId="995" priority="1">
      <formula>$E$49&gt;=$L$39</formula>
    </cfRule>
  </conditionalFormatting>
  <conditionalFormatting sqref="E51:F51">
    <cfRule type="expression" dxfId="994" priority="6">
      <formula>AND($E$51&gt;=$L$39,$E$51&lt;&gt;"")</formula>
    </cfRule>
  </conditionalFormatting>
  <conditionalFormatting sqref="E62:F62">
    <cfRule type="expression" dxfId="993" priority="5">
      <formula>$E$62&gt;=$H$57</formula>
    </cfRule>
  </conditionalFormatting>
  <conditionalFormatting sqref="E73:F73">
    <cfRule type="expression" dxfId="992" priority="4">
      <formula>AND($E$73&gt;=$H$68,$E$73&lt;=$E$62)</formula>
    </cfRule>
  </conditionalFormatting>
  <dataValidations count="10">
    <dataValidation type="list" allowBlank="1" showInputMessage="1" showErrorMessage="1" sqref="E159" xr:uid="{BFC616EC-9BD1-47DF-B93B-91259887EC74}">
      <formula1>"Basishonorarsatz,Viertelsatz,Mittelsatz,Dreiviertelsatz,Oberer Honorarsatz"</formula1>
    </dataValidation>
    <dataValidation type="decimal" allowBlank="1" showInputMessage="1" showErrorMessage="1" error="Bitte nur (gerundete) (Dezimal-)Zahlen eingeben, z.B. &quot;350.000,00&quot;" sqref="E69:F71 E58:F60" xr:uid="{20C5F109-271E-4BC4-9B4B-63F8A57A81FE}">
      <formula1>0</formula1>
      <formula2>10000000000</formula2>
    </dataValidation>
    <dataValidation type="decimal" allowBlank="1" showInputMessage="1" showErrorMessage="1" error="Bitte nur (gerundete) (Dezimal-)Zahlen eingeben, z.B. &quot;5,6&quot;" sqref="E44:F49" xr:uid="{0FAD49E1-215E-4199-B402-F7498D311A3D}">
      <formula1>0</formula1>
      <formula2>50000</formula2>
    </dataValidation>
    <dataValidation type="list" allowBlank="1" showInputMessage="1" showErrorMessage="1" sqref="E157" xr:uid="{173CC946-0F02-426B-886F-A236FD6FDBFF}">
      <formula1>$F$155:$J$155</formula1>
    </dataValidation>
    <dataValidation type="decimal" allowBlank="1" showInputMessage="1" showErrorMessage="1" sqref="J157" xr:uid="{4129F813-0AEA-47D5-82C2-0EC9F471454D}">
      <formula1>-1000</formula1>
      <formula2>1000</formula2>
    </dataValidation>
    <dataValidation type="list" allowBlank="1" showInputMessage="1" showErrorMessage="1" error="Es können nur die Werte &quot;Ja&quot; oder &quot;Nein&quot; eingegeben werden. Sie können dazu das Drop-Dwon-Auswahlfeld nutzen." sqref="C82" xr:uid="{E2499953-A64B-4BA9-81C5-A904E54DD2AE}">
      <formula1>"Ja,Nein"</formula1>
    </dataValidation>
    <dataValidation allowBlank="1" showErrorMessage="1" error="nur Zahlen zwischen 0 und 7 zulässig" sqref="H175:I175" xr:uid="{65D6A8C4-5EF3-4800-8C98-48E482D02E7D}"/>
    <dataValidation type="list" allowBlank="1" showInputMessage="1" showErrorMessage="1" error="Bitte über Drop-Down auswählen" sqref="C60:D60" xr:uid="{1A3B80FE-936A-46DF-92A4-183385683DAE}">
      <formula1>$G$58:$G$60</formula1>
    </dataValidation>
    <dataValidation type="decimal" allowBlank="1" showInputMessage="1" showErrorMessage="1" error="Bitte nur (Dezimal-)Zahlen eingeben, z.B. &quot;5,5&quot;" sqref="E18:E26" xr:uid="{D40B9EC5-7AFF-4274-A462-ADBD5934010F}">
      <formula1>0</formula1>
      <formula2>70</formula2>
    </dataValidation>
    <dataValidation type="list" allowBlank="1" showInputMessage="1" showErrorMessage="1" sqref="I147:J148" xr:uid="{0A4983EF-600C-41D2-810E-C5DB30F93542}">
      <formula1>"ja,nein"</formula1>
    </dataValidation>
  </dataValidations>
  <pageMargins left="0.7" right="0.7" top="0.78740157499999996" bottom="0.78740157499999996" header="0.3" footer="0.3"/>
  <pageSetup paperSize="9" scale="60" fitToHeight="0" orientation="portrait" r:id="rId1"/>
  <headerFooter>
    <oddFooter>&amp;RSeite &amp;P von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CA801-14B4-4293-A54D-0CBB82FC1F8D}">
  <sheetPr>
    <tabColor rgb="FFFDC73D"/>
    <pageSetUpPr fitToPage="1"/>
  </sheetPr>
  <dimension ref="A1:BB72"/>
  <sheetViews>
    <sheetView zoomScaleNormal="100" zoomScaleSheetLayoutView="85" workbookViewId="0">
      <pane xSplit="6" ySplit="10" topLeftCell="G11" activePane="bottomRight" state="frozen"/>
      <selection pane="topRight" activeCell="G1" sqref="G1"/>
      <selection pane="bottomLeft" activeCell="A11" sqref="A11"/>
      <selection pane="bottomRight" activeCell="E11" sqref="E11"/>
    </sheetView>
  </sheetViews>
  <sheetFormatPr baseColWidth="10" defaultColWidth="0" defaultRowHeight="0" customHeight="1" zeroHeight="1" x14ac:dyDescent="0.25"/>
  <cols>
    <col min="1" max="1" width="1.875" style="54" customWidth="1"/>
    <col min="2" max="2" width="6.5" style="54" customWidth="1"/>
    <col min="3" max="3" width="1.25" style="54" customWidth="1"/>
    <col min="4" max="4" width="24" style="54" customWidth="1"/>
    <col min="5" max="5" width="44.625" style="54" customWidth="1"/>
    <col min="6" max="6" width="1.25" style="54" customWidth="1"/>
    <col min="7" max="8" width="31.875" style="54" customWidth="1"/>
    <col min="9" max="9" width="1.25" style="54" customWidth="1"/>
    <col min="10" max="10" width="32.625" style="54" customWidth="1"/>
    <col min="11" max="11" width="36.25" style="54" customWidth="1"/>
    <col min="12" max="12" width="1.25" style="54" customWidth="1"/>
    <col min="13" max="13" width="16.75" style="54" customWidth="1"/>
    <col min="14" max="14" width="17.75" style="54" customWidth="1"/>
    <col min="15" max="15" width="1.25" style="54" customWidth="1"/>
    <col min="16" max="16" width="50.5" style="54" customWidth="1"/>
    <col min="17" max="17" width="11" style="54" customWidth="1"/>
    <col min="18" max="18" width="1.25" style="54" customWidth="1"/>
    <col min="19" max="19" width="34.625" style="54" customWidth="1"/>
    <col min="20" max="20" width="22.25" style="54" customWidth="1"/>
    <col min="21" max="21" width="1.25" style="54" customWidth="1"/>
    <col min="22" max="28" width="9.875" style="54" customWidth="1"/>
    <col min="29" max="29" width="1.25" style="54" customWidth="1"/>
    <col min="30" max="30" width="46.625" style="54" customWidth="1"/>
    <col min="31" max="31" width="11.75" style="54" customWidth="1"/>
    <col min="32" max="32" width="1.25" style="54" customWidth="1"/>
    <col min="33" max="37" width="20.625" style="54" customWidth="1"/>
    <col min="38" max="38" width="1.5" style="83" customWidth="1"/>
    <col min="39" max="54" width="11" style="83" hidden="1" customWidth="1"/>
    <col min="55" max="16384" width="0" style="83" hidden="1"/>
  </cols>
  <sheetData>
    <row r="1" spans="1:38" ht="9" customHeight="1" x14ac:dyDescent="0.25">
      <c r="B1" s="91"/>
      <c r="C1" s="91"/>
      <c r="F1" s="91"/>
      <c r="I1" s="91"/>
      <c r="L1" s="91"/>
      <c r="O1" s="91"/>
      <c r="R1" s="91"/>
      <c r="U1" s="91"/>
      <c r="AC1" s="91"/>
      <c r="AF1" s="91"/>
    </row>
    <row r="2" spans="1:38" s="200" customFormat="1" ht="39" customHeight="1" x14ac:dyDescent="0.3">
      <c r="A2" s="54"/>
      <c r="B2" s="89"/>
      <c r="C2" s="89"/>
      <c r="D2" s="89"/>
      <c r="E2" s="90" t="str">
        <f>""&amp;Konfigurationsblatt!E6&amp;" – "&amp;Konfigurationsblatt!E8&amp;""</f>
        <v>60-2025-34 – Tragwerksplanung: Sanierung des denkmalgeschützten Ratssaals in C-R</v>
      </c>
      <c r="F2" s="89"/>
      <c r="G2" s="89"/>
      <c r="H2" s="89"/>
      <c r="I2" s="89"/>
      <c r="J2" s="89"/>
      <c r="K2" s="89"/>
      <c r="L2" s="89"/>
      <c r="M2" s="89"/>
      <c r="N2" s="89"/>
      <c r="O2" s="89"/>
      <c r="P2" s="89"/>
      <c r="Q2" s="89"/>
      <c r="R2" s="89"/>
      <c r="S2" s="89"/>
      <c r="T2" s="89"/>
      <c r="V2" s="83" t="str">
        <f>IF(V3="ja"," 2","")</f>
        <v xml:space="preserve"> 2</v>
      </c>
      <c r="W2" s="83" t="str">
        <f>IF(W3="ja",", 3","")</f>
        <v>, 3</v>
      </c>
      <c r="X2" s="83" t="str">
        <f>IF(X3="ja",", 4","")</f>
        <v>, 4</v>
      </c>
      <c r="Y2" s="83" t="str">
        <f>IF(Y3="ja",", 5","")</f>
        <v>, 5</v>
      </c>
      <c r="Z2" s="83" t="str">
        <f>IF(Z3="ja",", 6","")</f>
        <v/>
      </c>
      <c r="AA2" s="83" t="str">
        <f>IF(AA3="ja",", 7","")</f>
        <v/>
      </c>
      <c r="AB2" s="83" t="str">
        <f>IF(AB3="ja"," und 8","")</f>
        <v/>
      </c>
      <c r="AC2" s="89"/>
      <c r="AD2" s="89"/>
      <c r="AE2" s="89"/>
      <c r="AG2" s="89"/>
      <c r="AH2" s="89"/>
      <c r="AI2" s="89"/>
      <c r="AJ2" s="89"/>
      <c r="AK2" s="89"/>
    </row>
    <row r="3" spans="1:38" s="81" customFormat="1" ht="30" customHeight="1" x14ac:dyDescent="0.25">
      <c r="A3" s="54"/>
      <c r="B3" s="78"/>
      <c r="C3" s="78"/>
      <c r="D3" s="54"/>
      <c r="E3" s="88" t="str">
        <f>""&amp;Konfigurationsblatt!E10&amp;""</f>
        <v>Leistungsbeschreibung Anlage 1 - Angebots- und Preisblatt</v>
      </c>
      <c r="F3" s="78"/>
      <c r="G3" s="54"/>
      <c r="H3" s="54"/>
      <c r="I3" s="87">
        <f>Konfigurationsblatt!C80</f>
        <v>2</v>
      </c>
      <c r="J3" s="80">
        <f>Konfigurationsblatt!I30</f>
        <v>1</v>
      </c>
      <c r="K3" s="80">
        <f>Konfigurationsblatt!I35</f>
        <v>1</v>
      </c>
      <c r="L3" s="82"/>
      <c r="M3" s="86">
        <f>Konfigurationsblatt!G50</f>
        <v>42339</v>
      </c>
      <c r="N3" s="83"/>
      <c r="O3" s="82"/>
      <c r="P3" s="83" t="str">
        <f>Konfigurationsblatt!E16</f>
        <v>Tragwerksplanung (vgl. § 51 HOAI)</v>
      </c>
      <c r="Q3" s="83">
        <f>_xlfn.ARABIC(R3)</f>
        <v>3</v>
      </c>
      <c r="R3" s="81" t="str">
        <f>Konfigurationsblatt!G52</f>
        <v>III</v>
      </c>
      <c r="S3" s="85">
        <f>Konfigurationsblatt!F54</f>
        <v>1500000</v>
      </c>
      <c r="T3" s="84" t="str">
        <f>Konfigurationsblatt!G56</f>
        <v>KG 300 bis KG 400</v>
      </c>
      <c r="U3" s="82"/>
      <c r="V3" s="83" t="str">
        <f>Konfigurationsblatt!J52</f>
        <v>ja</v>
      </c>
      <c r="W3" s="83" t="str">
        <f>Konfigurationsblatt!J54</f>
        <v>ja</v>
      </c>
      <c r="X3" s="83" t="str">
        <f>Konfigurationsblatt!J56</f>
        <v>ja</v>
      </c>
      <c r="Y3" s="83" t="str">
        <f>Konfigurationsblatt!J58</f>
        <v>ja</v>
      </c>
      <c r="Z3" s="83" t="str">
        <f>Konfigurationsblatt!J60</f>
        <v>nein</v>
      </c>
      <c r="AA3" s="83" t="str">
        <f>Konfigurationsblatt!J62</f>
        <v>ja / nein</v>
      </c>
      <c r="AB3" s="83" t="str">
        <f>Konfigurationsblatt!J64</f>
        <v>ja / nein</v>
      </c>
      <c r="AC3" s="82"/>
      <c r="AD3" s="81" t="str">
        <f>Konfigurationsblatt!F62</f>
        <v>Schalentragwerk</v>
      </c>
      <c r="AE3" s="81" t="str">
        <f>Konfigurationsblatt!F64</f>
        <v>Denkmalschutz</v>
      </c>
      <c r="AF3" s="82"/>
    </row>
    <row r="4" spans="1:38" ht="15.75" hidden="1" x14ac:dyDescent="0.25">
      <c r="B4" s="78"/>
      <c r="C4" s="78"/>
      <c r="F4" s="78"/>
      <c r="I4" s="80" t="str">
        <f>IF(I3&gt;1,"Referenzprojekte","Referenzprojekt")</f>
        <v>Referenzprojekte</v>
      </c>
      <c r="J4" s="80" t="str">
        <f>IF(J3&gt;1,"Referenzen","Referenz")</f>
        <v>Referenz</v>
      </c>
      <c r="K4" s="80" t="str">
        <f>IF(K3&gt;1,"Referenzen","Referenz")</f>
        <v>Referenz</v>
      </c>
      <c r="L4" s="78"/>
      <c r="O4" s="78"/>
      <c r="R4" s="78"/>
      <c r="U4" s="82"/>
      <c r="V4" s="83"/>
      <c r="W4" s="83"/>
      <c r="X4" s="83"/>
      <c r="Y4" s="83"/>
      <c r="Z4" s="83"/>
      <c r="AA4" s="83"/>
      <c r="AB4" s="83"/>
      <c r="AC4" s="78"/>
      <c r="AF4" s="82"/>
    </row>
    <row r="5" spans="1:38" ht="38.25" customHeight="1" x14ac:dyDescent="0.25">
      <c r="B5" s="78"/>
      <c r="C5" s="78"/>
      <c r="E5" s="358" t="s">
        <v>173</v>
      </c>
      <c r="F5" s="358"/>
      <c r="G5" s="358"/>
      <c r="H5" s="358"/>
      <c r="I5" s="358"/>
      <c r="J5" s="358"/>
      <c r="L5" s="78"/>
      <c r="O5" s="78"/>
      <c r="R5" s="78"/>
      <c r="U5" s="82"/>
      <c r="V5" s="83"/>
      <c r="W5" s="83"/>
      <c r="X5" s="83"/>
      <c r="Y5" s="83"/>
      <c r="Z5" s="83"/>
      <c r="AA5" s="83"/>
      <c r="AB5" s="83"/>
      <c r="AC5" s="78"/>
      <c r="AF5" s="82"/>
    </row>
    <row r="6" spans="1:38" ht="30.75" customHeight="1" x14ac:dyDescent="0.25">
      <c r="B6" s="78"/>
      <c r="C6" s="78"/>
      <c r="E6" s="30" t="str">
        <f>IF(AND('a) Angebots- und Preisblatt'!D9&lt;&gt;"",'a) Angebots- und Preisblatt'!D9&lt;&gt;"bitte eintragen"),"Name der Bietergemeinschaft: "&amp;'a) Angebots- und Preisblatt'!D9&amp;"","Name der Bietergemeinschaft: bitte in Tabellenblatt a) eintragen")</f>
        <v>Name der Bietergemeinschaft: bitte in Tabellenblatt a) eintragen</v>
      </c>
      <c r="F6" s="79"/>
      <c r="G6" s="79"/>
      <c r="H6" s="79"/>
      <c r="I6" s="79"/>
      <c r="J6" s="79"/>
      <c r="L6" s="78"/>
      <c r="O6" s="78"/>
      <c r="R6" s="78"/>
      <c r="U6" s="78"/>
      <c r="V6" s="199"/>
      <c r="AC6" s="78"/>
      <c r="AF6" s="78"/>
    </row>
    <row r="7" spans="1:38" ht="42.75" customHeight="1" x14ac:dyDescent="0.25">
      <c r="B7" s="78"/>
      <c r="C7" s="78"/>
      <c r="E7" s="79"/>
      <c r="F7" s="79"/>
      <c r="G7" s="79"/>
      <c r="H7" s="79"/>
      <c r="I7" s="79"/>
      <c r="J7" s="79"/>
      <c r="L7" s="78"/>
      <c r="O7" s="78"/>
      <c r="R7" s="78"/>
      <c r="U7" s="78"/>
      <c r="AC7" s="78"/>
      <c r="AF7" s="78"/>
      <c r="AG7" s="83">
        <f>SUM(AG13+AG16+AG19+AG22+AG25+AG28+AG31+AG34+AG37+AG40+AG43+AG46+AG49+AG52+AG55+AG58+AG61+AG64+AG67+AG70)</f>
        <v>0</v>
      </c>
      <c r="AH7" s="83">
        <f>SUM(AH13+AH16+AH19+AH22+AH25+AH28+AH31+AH34+AH37+AH40+AH43+AH46+AH49+AH52+AH55+AH58+AH61+AH64+AH67+AH70)</f>
        <v>0</v>
      </c>
      <c r="AI7" s="83">
        <f>SUM(AI13+AI16+AI19+AI22+AI25+AI28+AI31+AI34+AI37+AI40+AI43+AI46+AI49+AI52+AI55+AI58+AI61+AI64+AI67+AI70)</f>
        <v>0</v>
      </c>
      <c r="AJ7" s="83">
        <f>SUM(AJ13+AJ16+AJ19+AJ22+AJ25+AJ28+AJ31+AJ34+AJ37+AJ40+AJ43+AJ46+AJ49+AJ52+AJ55+AJ58+AJ61+AJ64+AJ67+AJ70)</f>
        <v>0</v>
      </c>
      <c r="AK7" s="83">
        <f>SUM(AK13+AK16+AK19+AK22+AK25+AK28+AK31+AK34+AK37+AK40+AK43+AK46+AK49+AK52+AK55+AK58+AK61+AK64+AK67+AK70)</f>
        <v>0</v>
      </c>
    </row>
    <row r="8" spans="1:38" s="216" customFormat="1" ht="35.25" customHeight="1" x14ac:dyDescent="0.25">
      <c r="A8" s="54"/>
      <c r="B8" s="75" t="s">
        <v>90</v>
      </c>
      <c r="C8" s="74"/>
      <c r="D8" s="350" t="s">
        <v>209</v>
      </c>
      <c r="E8" s="351"/>
      <c r="F8" s="74"/>
      <c r="G8" s="350" t="s">
        <v>210</v>
      </c>
      <c r="H8" s="351"/>
      <c r="I8" s="74"/>
      <c r="J8" s="350" t="s">
        <v>211</v>
      </c>
      <c r="K8" s="351"/>
      <c r="L8" s="74"/>
      <c r="M8" s="350" t="s">
        <v>212</v>
      </c>
      <c r="N8" s="351"/>
      <c r="O8" s="74"/>
      <c r="P8" s="350" t="s">
        <v>213</v>
      </c>
      <c r="Q8" s="351"/>
      <c r="R8" s="74"/>
      <c r="S8" s="350" t="s">
        <v>214</v>
      </c>
      <c r="T8" s="351"/>
      <c r="U8" s="74"/>
      <c r="V8" s="350" t="s">
        <v>215</v>
      </c>
      <c r="W8" s="352"/>
      <c r="X8" s="352"/>
      <c r="Y8" s="352"/>
      <c r="Z8" s="352"/>
      <c r="AA8" s="153"/>
      <c r="AB8" s="154"/>
      <c r="AC8" s="74"/>
      <c r="AD8" s="350" t="s">
        <v>216</v>
      </c>
      <c r="AE8" s="351"/>
      <c r="AF8" s="74"/>
      <c r="AG8" s="349" t="s">
        <v>336</v>
      </c>
      <c r="AH8" s="349"/>
      <c r="AI8" s="349"/>
      <c r="AJ8" s="349"/>
      <c r="AK8" s="349"/>
    </row>
    <row r="9" spans="1:38" s="217" customFormat="1" ht="133.5" customHeight="1" x14ac:dyDescent="0.25">
      <c r="A9" s="73"/>
      <c r="B9" s="144"/>
      <c r="C9" s="145"/>
      <c r="D9" s="353" t="str">
        <f>"     Es müssen mindestens "&amp;I3&amp;" "&amp;I4&amp;" einer vergleichbaren Leistung
     nachgewiesen werden. Jeder Referenz muss ein Exposé mit aussage-
     kräftigen Bildern und Beschreibungen dem Angebot beigefügt werden."</f>
        <v xml:space="preserve">     Es müssen mindestens 2 Referenzprojekte einer vergleichbaren Leistung
     nachgewiesen werden. Jeder Referenz muss ein Exposé mit aussage-
     kräftigen Bildern und Beschreibungen dem Angebot beigefügt werden.</v>
      </c>
      <c r="E9" s="354"/>
      <c r="F9" s="145"/>
      <c r="G9" s="353" t="s">
        <v>208</v>
      </c>
      <c r="H9" s="354"/>
      <c r="I9" s="145"/>
      <c r="J9" s="353" t="str">
        <f>"     Es wird erwartet, dass die für dieses Projekt vorgesehene Projektleitung 
     für mindestens "&amp;J3&amp;" "&amp;J4&amp;" projektverantwortlich war.
     Es wird erwartet, dass die für dieses Projekt vorgesehene stellvertretende
     Projektleitung für mindestens "&amp;K3&amp;" "&amp;K4&amp;" projektverantwortlich war."</f>
        <v xml:space="preserve">     Es wird erwartet, dass die für dieses Projekt vorgesehene Projektleitung 
     für mindestens 1 Referenz projektverantwortlich war.
     Es wird erwartet, dass die für dieses Projekt vorgesehene stellvertretende
     Projektleitung für mindestens 1 Referenz projektverantwortlich war.</v>
      </c>
      <c r="K9" s="354"/>
      <c r="L9" s="145"/>
      <c r="M9" s="353" t="str">
        <f>IF(P3="Tragwerksplanung (vgl. § 51 HOAI)","     Fertigstellung von Leistungsphase 6
     nicht vor dem "&amp;TEXT(M3,"TT.MM.JJJJ")&amp;".","     Fertigstellung von Leistungsphase 7
     nicht vor dem "&amp;TEXT(M3,"TT.MM.JJJJ")&amp;".")</f>
        <v xml:space="preserve">     Fertigstellung von Leistungsphase 6
     nicht vor dem 01.12.2015.</v>
      </c>
      <c r="N9" s="354"/>
      <c r="O9" s="145"/>
      <c r="P9" s="353" t="str">
        <f>"     Vorausgesetzt wird, dass durch den Bieter Leistungen nach dem 
     Leistungsbild "&amp;P3&amp;"
     erbracht wurden. Zudem wird vorausgesetzt, dass die Leistungs-
     komplexität zumindest der 'Honorarzone "&amp;R3&amp;"' entspricht."</f>
        <v xml:space="preserve">     Vorausgesetzt wird, dass durch den Bieter Leistungen nach dem 
     Leistungsbild Tragwerksplanung (vgl. § 51 HOAI)
     erbracht wurden. Zudem wird vorausgesetzt, dass die Leistungs-
     komplexität zumindest der 'Honorarzone III' entspricht.</v>
      </c>
      <c r="Q9" s="354"/>
      <c r="R9" s="145"/>
      <c r="S9" s="353" t="str">
        <f>"     Vorausgesetzt werden Baukosten in Höhe von mindestens
     "&amp;TEXT(S3,"#.##0,00")&amp;" Euro, die auf folgende Kostengruppen entfallen:
     "&amp;T3&amp;""</f>
        <v xml:space="preserve">     Vorausgesetzt werden Baukosten in Höhe von mindestens
     1.500.000,00 Euro, die auf folgende Kostengruppen entfallen:
     KG 300 bis KG 400</v>
      </c>
      <c r="T9" s="354"/>
      <c r="U9" s="145"/>
      <c r="V9" s="353" t="str">
        <f>"     Die durch den Bieter bearbeitete und vollständig abgeschlossene 
     Leistungsphasen (LPH)"&amp;V2&amp;""&amp;W2&amp;""&amp;X2&amp;""&amp;Y2&amp;""&amp;Z2&amp;""&amp;AA2&amp;""&amp;AB2&amp;" im Leistungsbild: 
     "&amp;P3&amp;". 
     Teilleistungen sind möglich (Beispiel: Referenz 1: LPH 2-5; Referenz 2: LPH 6-8)."</f>
        <v xml:space="preserve">     Die durch den Bieter bearbeitete und vollständig abgeschlossene 
     Leistungsphasen (LPH) 2, 3, 4, 5 im Leistungsbild: 
     Tragwerksplanung (vgl. § 51 HOAI). 
     Teilleistungen sind möglich (Beispiel: Referenz 1: LPH 2-5; Referenz 2: LPH 6-8).</v>
      </c>
      <c r="W9" s="355"/>
      <c r="X9" s="355"/>
      <c r="Y9" s="355"/>
      <c r="Z9" s="355"/>
      <c r="AA9" s="355"/>
      <c r="AB9" s="354"/>
      <c r="AC9" s="145"/>
      <c r="AD9" s="353" t="str">
        <f>"     Es wird erwartet, dass zumindest eine Referenz 
     das Kriterium ''"&amp;AD3&amp;"''
     und zumindest eine Referenz das Kriterium
     ''"&amp;AE3&amp;"'' aufweist."</f>
        <v xml:space="preserve">     Es wird erwartet, dass zumindest eine Referenz 
     das Kriterium ''Schalentragwerk''
     und zumindest eine Referenz das Kriterium
     ''Denkmalschutz'' aufweist.</v>
      </c>
      <c r="AE9" s="354"/>
      <c r="AF9" s="145"/>
      <c r="AG9" s="348" t="s">
        <v>342</v>
      </c>
      <c r="AH9" s="348"/>
      <c r="AI9" s="348"/>
      <c r="AJ9" s="348"/>
      <c r="AK9" s="348"/>
      <c r="AL9" s="220"/>
    </row>
    <row r="10" spans="1:38" s="218" customFormat="1" ht="7.5" customHeight="1" x14ac:dyDescent="0.25">
      <c r="A10" s="55"/>
      <c r="B10" s="71"/>
      <c r="C10" s="67"/>
      <c r="D10" s="56"/>
      <c r="E10" s="70"/>
      <c r="F10" s="67"/>
      <c r="G10" s="56"/>
      <c r="H10" s="69"/>
      <c r="I10" s="67"/>
      <c r="J10" s="56"/>
      <c r="K10" s="69"/>
      <c r="L10" s="67"/>
      <c r="M10" s="56"/>
      <c r="N10" s="72"/>
      <c r="O10" s="67"/>
      <c r="P10" s="56"/>
      <c r="Q10" s="69"/>
      <c r="R10" s="67"/>
      <c r="S10" s="56"/>
      <c r="T10" s="69"/>
      <c r="U10" s="67"/>
      <c r="V10" s="68"/>
      <c r="W10" s="68"/>
      <c r="X10" s="68"/>
      <c r="Y10" s="68"/>
      <c r="Z10" s="68"/>
      <c r="AA10" s="68"/>
      <c r="AB10" s="68"/>
      <c r="AC10" s="67"/>
      <c r="AD10" s="56"/>
      <c r="AE10" s="66"/>
      <c r="AF10" s="67"/>
      <c r="AG10" s="56"/>
      <c r="AH10" s="68"/>
      <c r="AI10" s="68"/>
      <c r="AJ10" s="68"/>
      <c r="AK10" s="66"/>
      <c r="AL10" s="221"/>
    </row>
    <row r="11" spans="1:38" s="219" customFormat="1" ht="37.5" customHeight="1" x14ac:dyDescent="0.25">
      <c r="A11" s="55"/>
      <c r="B11" s="356" t="s">
        <v>57</v>
      </c>
      <c r="C11" s="61"/>
      <c r="D11" s="59" t="s">
        <v>84</v>
      </c>
      <c r="E11" s="32"/>
      <c r="F11" s="61"/>
      <c r="G11" s="56" t="s">
        <v>86</v>
      </c>
      <c r="H11" s="32"/>
      <c r="I11" s="61"/>
      <c r="J11" s="56" t="s">
        <v>91</v>
      </c>
      <c r="K11" s="34"/>
      <c r="L11" s="61"/>
      <c r="M11" s="59" t="s">
        <v>89</v>
      </c>
      <c r="N11" s="146"/>
      <c r="O11" s="61"/>
      <c r="P11" s="58" t="str">
        <f>"   Die erbrachten Leistungen entsprechen dem Leistungsbild
   "&amp;P3&amp;""</f>
        <v xml:space="preserve">   Die erbrachten Leistungen entsprechen dem Leistungsbild
   Tragwerksplanung (vgl. § 51 HOAI)</v>
      </c>
      <c r="Q11" s="31" t="s">
        <v>56</v>
      </c>
      <c r="R11" s="61"/>
      <c r="S11" s="64" t="s">
        <v>199</v>
      </c>
      <c r="T11" s="63"/>
      <c r="U11" s="61"/>
      <c r="V11" s="62" t="s">
        <v>21</v>
      </c>
      <c r="W11" s="62" t="s">
        <v>22</v>
      </c>
      <c r="X11" s="62" t="s">
        <v>23</v>
      </c>
      <c r="Y11" s="62" t="s">
        <v>24</v>
      </c>
      <c r="Z11" s="62" t="s">
        <v>25</v>
      </c>
      <c r="AA11" s="62" t="s">
        <v>26</v>
      </c>
      <c r="AB11" s="62" t="s">
        <v>28</v>
      </c>
      <c r="AC11" s="61"/>
      <c r="AD11" s="56" t="str">
        <f>"   "&amp;AD3&amp;""</f>
        <v xml:space="preserve">   Schalentragwerk</v>
      </c>
      <c r="AE11" s="31" t="s">
        <v>56</v>
      </c>
      <c r="AF11" s="61"/>
      <c r="AG11" s="214" t="s">
        <v>337</v>
      </c>
      <c r="AH11" s="214" t="s">
        <v>338</v>
      </c>
      <c r="AI11" s="214" t="s">
        <v>339</v>
      </c>
      <c r="AJ11" s="214" t="s">
        <v>341</v>
      </c>
      <c r="AK11" s="214" t="s">
        <v>340</v>
      </c>
      <c r="AL11" s="222"/>
    </row>
    <row r="12" spans="1:38" s="219" customFormat="1" ht="37.5" customHeight="1" x14ac:dyDescent="0.25">
      <c r="A12" s="55"/>
      <c r="B12" s="357"/>
      <c r="C12" s="57"/>
      <c r="D12" s="59" t="s">
        <v>85</v>
      </c>
      <c r="E12" s="32"/>
      <c r="F12" s="57"/>
      <c r="G12" s="56" t="s">
        <v>87</v>
      </c>
      <c r="H12" s="32"/>
      <c r="I12" s="57"/>
      <c r="J12" s="56" t="s">
        <v>88</v>
      </c>
      <c r="K12" s="34"/>
      <c r="L12" s="60"/>
      <c r="M12" s="59" t="str">
        <f>IF(P3="Tragwerksplanung (vgl. § 51 HOAI)","   Abschluss LP 6
   (MM.JJJJ)","   Abschluss LP 7
   (MM.JJJJ)")</f>
        <v xml:space="preserve">   Abschluss LP 6
   (MM.JJJJ)</v>
      </c>
      <c r="N12" s="35"/>
      <c r="O12" s="57"/>
      <c r="P12" s="58" t="s">
        <v>92</v>
      </c>
      <c r="Q12" s="31" t="s">
        <v>271</v>
      </c>
      <c r="R12" s="57"/>
      <c r="S12" s="58" t="s">
        <v>93</v>
      </c>
      <c r="T12" s="33"/>
      <c r="U12" s="57"/>
      <c r="V12" s="31" t="s">
        <v>56</v>
      </c>
      <c r="W12" s="31" t="s">
        <v>56</v>
      </c>
      <c r="X12" s="31" t="s">
        <v>56</v>
      </c>
      <c r="Y12" s="31" t="s">
        <v>56</v>
      </c>
      <c r="Z12" s="31" t="s">
        <v>56</v>
      </c>
      <c r="AA12" s="31" t="s">
        <v>56</v>
      </c>
      <c r="AB12" s="31" t="s">
        <v>56</v>
      </c>
      <c r="AC12" s="57"/>
      <c r="AD12" s="56" t="str">
        <f>"   "&amp;AE3&amp;""</f>
        <v xml:space="preserve">   Denkmalschutz</v>
      </c>
      <c r="AE12" s="31" t="s">
        <v>56</v>
      </c>
      <c r="AF12" s="57"/>
      <c r="AG12" s="31" t="s">
        <v>56</v>
      </c>
      <c r="AH12" s="31" t="s">
        <v>56</v>
      </c>
      <c r="AI12" s="31" t="s">
        <v>56</v>
      </c>
      <c r="AJ12" s="31" t="s">
        <v>56</v>
      </c>
      <c r="AK12" s="31" t="s">
        <v>56</v>
      </c>
    </row>
    <row r="13" spans="1:38" s="218" customFormat="1" ht="7.5" customHeight="1" x14ac:dyDescent="0.25">
      <c r="A13" s="55"/>
      <c r="B13" s="71"/>
      <c r="C13" s="67"/>
      <c r="D13" s="56"/>
      <c r="E13" s="70"/>
      <c r="F13" s="67"/>
      <c r="G13" s="56"/>
      <c r="H13" s="69"/>
      <c r="I13" s="67"/>
      <c r="J13" s="56"/>
      <c r="K13" s="56"/>
      <c r="L13" s="67"/>
      <c r="M13" s="56"/>
      <c r="N13" s="147"/>
      <c r="O13" s="67"/>
      <c r="P13" s="56"/>
      <c r="Q13" s="69"/>
      <c r="R13" s="67"/>
      <c r="S13" s="56"/>
      <c r="T13" s="69"/>
      <c r="U13" s="67"/>
      <c r="V13" s="68"/>
      <c r="W13" s="68"/>
      <c r="X13" s="68"/>
      <c r="Y13" s="68"/>
      <c r="Z13" s="68"/>
      <c r="AA13" s="68"/>
      <c r="AB13" s="68"/>
      <c r="AC13" s="67"/>
      <c r="AD13" s="56"/>
      <c r="AE13" s="68"/>
      <c r="AF13" s="67"/>
      <c r="AG13" s="213" t="b">
        <f>IF(AG12="ja",1)</f>
        <v>0</v>
      </c>
      <c r="AH13" s="213" t="b">
        <f>IF(AH12="ja",1)</f>
        <v>0</v>
      </c>
      <c r="AI13" s="213" t="b">
        <f>IF(AI12="ja",1)</f>
        <v>0</v>
      </c>
      <c r="AJ13" s="213" t="b">
        <f>IF(AJ12="ja",1)</f>
        <v>0</v>
      </c>
      <c r="AK13" s="213" t="b">
        <f>IF(AK12="ja",1)</f>
        <v>0</v>
      </c>
    </row>
    <row r="14" spans="1:38" s="219" customFormat="1" ht="37.5" customHeight="1" x14ac:dyDescent="0.25">
      <c r="A14" s="55"/>
      <c r="B14" s="356" t="s">
        <v>94</v>
      </c>
      <c r="C14" s="61"/>
      <c r="D14" s="59" t="s">
        <v>84</v>
      </c>
      <c r="E14" s="32"/>
      <c r="F14" s="61"/>
      <c r="G14" s="56" t="s">
        <v>86</v>
      </c>
      <c r="H14" s="32"/>
      <c r="I14" s="61"/>
      <c r="J14" s="56" t="s">
        <v>91</v>
      </c>
      <c r="K14" s="34"/>
      <c r="L14" s="61"/>
      <c r="M14" s="59" t="s">
        <v>89</v>
      </c>
      <c r="N14" s="146"/>
      <c r="O14" s="61"/>
      <c r="P14" s="58" t="str">
        <f>"   Die erbrachten Leistungen entsprechen dem Leistungsbild
   "&amp;P3&amp;""</f>
        <v xml:space="preserve">   Die erbrachten Leistungen entsprechen dem Leistungsbild
   Tragwerksplanung (vgl. § 51 HOAI)</v>
      </c>
      <c r="Q14" s="31" t="s">
        <v>56</v>
      </c>
      <c r="R14" s="61"/>
      <c r="S14" s="64" t="s">
        <v>199</v>
      </c>
      <c r="T14" s="63"/>
      <c r="U14" s="61"/>
      <c r="V14" s="62" t="s">
        <v>21</v>
      </c>
      <c r="W14" s="62" t="s">
        <v>22</v>
      </c>
      <c r="X14" s="62" t="s">
        <v>23</v>
      </c>
      <c r="Y14" s="62" t="s">
        <v>24</v>
      </c>
      <c r="Z14" s="62" t="s">
        <v>25</v>
      </c>
      <c r="AA14" s="62" t="s">
        <v>26</v>
      </c>
      <c r="AB14" s="62" t="s">
        <v>28</v>
      </c>
      <c r="AC14" s="61"/>
      <c r="AD14" s="56" t="str">
        <f>"   "&amp;AD3&amp;""</f>
        <v xml:space="preserve">   Schalentragwerk</v>
      </c>
      <c r="AE14" s="31" t="s">
        <v>56</v>
      </c>
      <c r="AF14" s="61"/>
      <c r="AG14" s="214" t="s">
        <v>337</v>
      </c>
      <c r="AH14" s="214" t="s">
        <v>338</v>
      </c>
      <c r="AI14" s="214" t="s">
        <v>339</v>
      </c>
      <c r="AJ14" s="214" t="s">
        <v>341</v>
      </c>
      <c r="AK14" s="214" t="s">
        <v>340</v>
      </c>
    </row>
    <row r="15" spans="1:38" s="219" customFormat="1" ht="37.5" customHeight="1" x14ac:dyDescent="0.25">
      <c r="A15" s="55"/>
      <c r="B15" s="357"/>
      <c r="C15" s="57"/>
      <c r="D15" s="59" t="s">
        <v>85</v>
      </c>
      <c r="E15" s="32"/>
      <c r="F15" s="57"/>
      <c r="G15" s="56" t="s">
        <v>87</v>
      </c>
      <c r="H15" s="32"/>
      <c r="I15" s="57"/>
      <c r="J15" s="56" t="s">
        <v>88</v>
      </c>
      <c r="K15" s="34"/>
      <c r="L15" s="60"/>
      <c r="M15" s="59" t="str">
        <f>IF(P3="Tragwerksplanung (vgl. § 51 HOAI)","   Abschluss LP 6
   (MM.JJJJ)","   Abschluss LP 7
   (MM.JJJJ)")</f>
        <v xml:space="preserve">   Abschluss LP 6
   (MM.JJJJ)</v>
      </c>
      <c r="N15" s="35"/>
      <c r="O15" s="57"/>
      <c r="P15" s="58" t="s">
        <v>92</v>
      </c>
      <c r="Q15" s="31"/>
      <c r="R15" s="57"/>
      <c r="S15" s="58" t="s">
        <v>93</v>
      </c>
      <c r="T15" s="33"/>
      <c r="U15" s="57"/>
      <c r="V15" s="31" t="s">
        <v>56</v>
      </c>
      <c r="W15" s="31" t="s">
        <v>56</v>
      </c>
      <c r="X15" s="31" t="s">
        <v>56</v>
      </c>
      <c r="Y15" s="31" t="s">
        <v>56</v>
      </c>
      <c r="Z15" s="31" t="s">
        <v>56</v>
      </c>
      <c r="AA15" s="31" t="s">
        <v>56</v>
      </c>
      <c r="AB15" s="31" t="s">
        <v>56</v>
      </c>
      <c r="AC15" s="57"/>
      <c r="AD15" s="56" t="str">
        <f>"   "&amp;AE3&amp;""</f>
        <v xml:space="preserve">   Denkmalschutz</v>
      </c>
      <c r="AE15" s="31" t="s">
        <v>56</v>
      </c>
      <c r="AF15" s="57"/>
      <c r="AG15" s="31" t="s">
        <v>56</v>
      </c>
      <c r="AH15" s="31" t="s">
        <v>56</v>
      </c>
      <c r="AI15" s="31" t="s">
        <v>56</v>
      </c>
      <c r="AJ15" s="31" t="s">
        <v>56</v>
      </c>
      <c r="AK15" s="31" t="s">
        <v>56</v>
      </c>
    </row>
    <row r="16" spans="1:38" s="218" customFormat="1" ht="7.5" customHeight="1" x14ac:dyDescent="0.25">
      <c r="A16" s="55"/>
      <c r="B16" s="71"/>
      <c r="C16" s="67"/>
      <c r="D16" s="56"/>
      <c r="E16" s="70"/>
      <c r="F16" s="67"/>
      <c r="G16" s="56"/>
      <c r="H16" s="69"/>
      <c r="I16" s="67"/>
      <c r="J16" s="56"/>
      <c r="K16" s="56"/>
      <c r="L16" s="67"/>
      <c r="M16" s="56"/>
      <c r="N16" s="147"/>
      <c r="O16" s="67"/>
      <c r="P16" s="56"/>
      <c r="Q16" s="69"/>
      <c r="R16" s="67"/>
      <c r="S16" s="56"/>
      <c r="T16" s="69"/>
      <c r="U16" s="67"/>
      <c r="V16" s="68"/>
      <c r="W16" s="68"/>
      <c r="X16" s="68"/>
      <c r="Y16" s="68"/>
      <c r="Z16" s="68"/>
      <c r="AA16" s="68"/>
      <c r="AB16" s="68"/>
      <c r="AC16" s="67"/>
      <c r="AD16" s="56"/>
      <c r="AE16" s="68"/>
      <c r="AF16" s="67"/>
      <c r="AG16" s="213" t="b">
        <f>IF(AG15="ja",1)</f>
        <v>0</v>
      </c>
      <c r="AH16" s="213" t="b">
        <f>IF(AH15="ja",1)</f>
        <v>0</v>
      </c>
      <c r="AI16" s="213" t="b">
        <f>IF(AI15="ja",1)</f>
        <v>0</v>
      </c>
      <c r="AJ16" s="213" t="b">
        <f>IF(AJ15="ja",1)</f>
        <v>0</v>
      </c>
      <c r="AK16" s="213" t="b">
        <f>IF(AK15="ja",1)</f>
        <v>0</v>
      </c>
    </row>
    <row r="17" spans="1:37" ht="37.5" customHeight="1" x14ac:dyDescent="0.25">
      <c r="A17" s="55"/>
      <c r="B17" s="356" t="s">
        <v>95</v>
      </c>
      <c r="C17" s="61"/>
      <c r="D17" s="59" t="s">
        <v>84</v>
      </c>
      <c r="E17" s="32"/>
      <c r="F17" s="61"/>
      <c r="G17" s="56" t="s">
        <v>86</v>
      </c>
      <c r="H17" s="32"/>
      <c r="I17" s="61"/>
      <c r="J17" s="56" t="s">
        <v>91</v>
      </c>
      <c r="K17" s="34"/>
      <c r="L17" s="61"/>
      <c r="M17" s="59" t="s">
        <v>89</v>
      </c>
      <c r="N17" s="146"/>
      <c r="O17" s="61"/>
      <c r="P17" s="58" t="str">
        <f>"   Die erbrachten Leistungen entsprechen dem Leistungsbild
   "&amp;P3&amp;""</f>
        <v xml:space="preserve">   Die erbrachten Leistungen entsprechen dem Leistungsbild
   Tragwerksplanung (vgl. § 51 HOAI)</v>
      </c>
      <c r="Q17" s="31" t="s">
        <v>56</v>
      </c>
      <c r="R17" s="61"/>
      <c r="S17" s="64" t="s">
        <v>199</v>
      </c>
      <c r="T17" s="63"/>
      <c r="U17" s="61"/>
      <c r="V17" s="62" t="s">
        <v>21</v>
      </c>
      <c r="W17" s="62" t="s">
        <v>22</v>
      </c>
      <c r="X17" s="62" t="s">
        <v>23</v>
      </c>
      <c r="Y17" s="62" t="s">
        <v>24</v>
      </c>
      <c r="Z17" s="62" t="s">
        <v>25</v>
      </c>
      <c r="AA17" s="62" t="s">
        <v>26</v>
      </c>
      <c r="AB17" s="62" t="s">
        <v>28</v>
      </c>
      <c r="AC17" s="61"/>
      <c r="AD17" s="56" t="str">
        <f>"   "&amp;AD3&amp;""</f>
        <v xml:space="preserve">   Schalentragwerk</v>
      </c>
      <c r="AE17" s="31" t="s">
        <v>56</v>
      </c>
      <c r="AF17" s="61"/>
      <c r="AG17" s="214" t="s">
        <v>337</v>
      </c>
      <c r="AH17" s="214" t="s">
        <v>338</v>
      </c>
      <c r="AI17" s="214" t="s">
        <v>339</v>
      </c>
      <c r="AJ17" s="214" t="s">
        <v>341</v>
      </c>
      <c r="AK17" s="214" t="s">
        <v>340</v>
      </c>
    </row>
    <row r="18" spans="1:37" ht="37.5" customHeight="1" x14ac:dyDescent="0.25">
      <c r="A18" s="55"/>
      <c r="B18" s="357"/>
      <c r="C18" s="57"/>
      <c r="D18" s="59" t="s">
        <v>85</v>
      </c>
      <c r="E18" s="32"/>
      <c r="F18" s="57"/>
      <c r="G18" s="56" t="s">
        <v>87</v>
      </c>
      <c r="H18" s="32"/>
      <c r="I18" s="57"/>
      <c r="J18" s="56" t="s">
        <v>88</v>
      </c>
      <c r="K18" s="34"/>
      <c r="L18" s="60"/>
      <c r="M18" s="59" t="str">
        <f>IF(P3="Tragwerksplanung (vgl. § 51 HOAI)","   Abschluss LP 6
   (MM.JJJJ)","   Abschluss LP 7
   (MM.JJJJ)")</f>
        <v xml:space="preserve">   Abschluss LP 6
   (MM.JJJJ)</v>
      </c>
      <c r="N18" s="35"/>
      <c r="O18" s="57"/>
      <c r="P18" s="58" t="s">
        <v>92</v>
      </c>
      <c r="Q18" s="31"/>
      <c r="R18" s="57"/>
      <c r="S18" s="58" t="s">
        <v>93</v>
      </c>
      <c r="T18" s="33"/>
      <c r="U18" s="57"/>
      <c r="V18" s="31" t="s">
        <v>56</v>
      </c>
      <c r="W18" s="31" t="s">
        <v>56</v>
      </c>
      <c r="X18" s="31" t="s">
        <v>56</v>
      </c>
      <c r="Y18" s="31" t="s">
        <v>56</v>
      </c>
      <c r="Z18" s="31" t="s">
        <v>56</v>
      </c>
      <c r="AA18" s="31" t="s">
        <v>56</v>
      </c>
      <c r="AB18" s="31" t="s">
        <v>56</v>
      </c>
      <c r="AC18" s="57"/>
      <c r="AD18" s="56" t="str">
        <f>"   "&amp;AE3&amp;""</f>
        <v xml:space="preserve">   Denkmalschutz</v>
      </c>
      <c r="AE18" s="31" t="s">
        <v>56</v>
      </c>
      <c r="AF18" s="57"/>
      <c r="AG18" s="31" t="s">
        <v>56</v>
      </c>
      <c r="AH18" s="31" t="s">
        <v>56</v>
      </c>
      <c r="AI18" s="31" t="s">
        <v>56</v>
      </c>
      <c r="AJ18" s="31" t="s">
        <v>56</v>
      </c>
      <c r="AK18" s="31" t="s">
        <v>56</v>
      </c>
    </row>
    <row r="19" spans="1:37" ht="7.5" customHeight="1" x14ac:dyDescent="0.25">
      <c r="A19" s="55"/>
      <c r="B19" s="71"/>
      <c r="C19" s="67"/>
      <c r="D19" s="56"/>
      <c r="E19" s="70"/>
      <c r="F19" s="67"/>
      <c r="G19" s="56"/>
      <c r="H19" s="69"/>
      <c r="I19" s="67"/>
      <c r="J19" s="56"/>
      <c r="K19" s="56"/>
      <c r="L19" s="67"/>
      <c r="M19" s="56"/>
      <c r="N19" s="147"/>
      <c r="O19" s="67"/>
      <c r="P19" s="56"/>
      <c r="Q19" s="69"/>
      <c r="R19" s="67"/>
      <c r="S19" s="56"/>
      <c r="T19" s="69"/>
      <c r="U19" s="67"/>
      <c r="V19" s="68"/>
      <c r="W19" s="68"/>
      <c r="X19" s="68"/>
      <c r="Y19" s="68"/>
      <c r="Z19" s="68"/>
      <c r="AA19" s="68"/>
      <c r="AB19" s="68"/>
      <c r="AC19" s="67"/>
      <c r="AD19" s="56"/>
      <c r="AE19" s="68"/>
      <c r="AF19" s="67"/>
      <c r="AG19" s="213" t="b">
        <f>IF(AG18="ja",1)</f>
        <v>0</v>
      </c>
      <c r="AH19" s="213" t="b">
        <f>IF(AH18="ja",1)</f>
        <v>0</v>
      </c>
      <c r="AI19" s="213" t="b">
        <f>IF(AI18="ja",1)</f>
        <v>0</v>
      </c>
      <c r="AJ19" s="213" t="b">
        <f>IF(AJ18="ja",1)</f>
        <v>0</v>
      </c>
      <c r="AK19" s="213" t="b">
        <f>IF(AK18="ja",1)</f>
        <v>0</v>
      </c>
    </row>
    <row r="20" spans="1:37" ht="37.5" customHeight="1" x14ac:dyDescent="0.25">
      <c r="A20" s="55"/>
      <c r="B20" s="356" t="s">
        <v>96</v>
      </c>
      <c r="C20" s="61"/>
      <c r="D20" s="59" t="s">
        <v>84</v>
      </c>
      <c r="E20" s="32"/>
      <c r="F20" s="61"/>
      <c r="G20" s="56" t="s">
        <v>86</v>
      </c>
      <c r="H20" s="32"/>
      <c r="I20" s="61"/>
      <c r="J20" s="56" t="s">
        <v>91</v>
      </c>
      <c r="K20" s="34"/>
      <c r="L20" s="61"/>
      <c r="M20" s="59" t="s">
        <v>89</v>
      </c>
      <c r="N20" s="146"/>
      <c r="O20" s="61"/>
      <c r="P20" s="58" t="str">
        <f>"   Die erbrachten Leistungen entsprechen dem Leistungsbild
   "&amp;P3&amp;""</f>
        <v xml:space="preserve">   Die erbrachten Leistungen entsprechen dem Leistungsbild
   Tragwerksplanung (vgl. § 51 HOAI)</v>
      </c>
      <c r="Q20" s="31" t="s">
        <v>56</v>
      </c>
      <c r="R20" s="61"/>
      <c r="S20" s="64" t="s">
        <v>199</v>
      </c>
      <c r="T20" s="63"/>
      <c r="U20" s="61"/>
      <c r="V20" s="62" t="s">
        <v>21</v>
      </c>
      <c r="W20" s="62" t="s">
        <v>22</v>
      </c>
      <c r="X20" s="62" t="s">
        <v>23</v>
      </c>
      <c r="Y20" s="62" t="s">
        <v>24</v>
      </c>
      <c r="Z20" s="62" t="s">
        <v>25</v>
      </c>
      <c r="AA20" s="62" t="s">
        <v>26</v>
      </c>
      <c r="AB20" s="62" t="s">
        <v>28</v>
      </c>
      <c r="AC20" s="61"/>
      <c r="AD20" s="56" t="str">
        <f>"   "&amp;AD3&amp;""</f>
        <v xml:space="preserve">   Schalentragwerk</v>
      </c>
      <c r="AE20" s="31" t="s">
        <v>56</v>
      </c>
      <c r="AF20" s="61"/>
      <c r="AG20" s="214" t="s">
        <v>337</v>
      </c>
      <c r="AH20" s="214" t="s">
        <v>338</v>
      </c>
      <c r="AI20" s="214" t="s">
        <v>339</v>
      </c>
      <c r="AJ20" s="214" t="s">
        <v>341</v>
      </c>
      <c r="AK20" s="214" t="s">
        <v>340</v>
      </c>
    </row>
    <row r="21" spans="1:37" ht="37.5" customHeight="1" x14ac:dyDescent="0.25">
      <c r="A21" s="55"/>
      <c r="B21" s="357"/>
      <c r="C21" s="57"/>
      <c r="D21" s="59" t="s">
        <v>85</v>
      </c>
      <c r="E21" s="32"/>
      <c r="F21" s="57"/>
      <c r="G21" s="56" t="s">
        <v>87</v>
      </c>
      <c r="H21" s="32"/>
      <c r="I21" s="57"/>
      <c r="J21" s="56" t="s">
        <v>88</v>
      </c>
      <c r="K21" s="34"/>
      <c r="L21" s="57"/>
      <c r="M21" s="59" t="str">
        <f>IF(P3="Tragwerksplanung (vgl. § 51 HOAI)","   Abschluss LP 6
   (MM.JJJJ)","   Abschluss LP 7
   (MM.JJJJ)")</f>
        <v xml:space="preserve">   Abschluss LP 6
   (MM.JJJJ)</v>
      </c>
      <c r="N21" s="35"/>
      <c r="O21" s="57"/>
      <c r="P21" s="58" t="s">
        <v>92</v>
      </c>
      <c r="Q21" s="31"/>
      <c r="R21" s="57"/>
      <c r="S21" s="58" t="s">
        <v>93</v>
      </c>
      <c r="T21" s="33"/>
      <c r="U21" s="57"/>
      <c r="V21" s="31" t="s">
        <v>56</v>
      </c>
      <c r="W21" s="31" t="s">
        <v>56</v>
      </c>
      <c r="X21" s="31" t="s">
        <v>56</v>
      </c>
      <c r="Y21" s="31" t="s">
        <v>56</v>
      </c>
      <c r="Z21" s="31" t="s">
        <v>56</v>
      </c>
      <c r="AA21" s="31" t="s">
        <v>56</v>
      </c>
      <c r="AB21" s="31" t="s">
        <v>56</v>
      </c>
      <c r="AC21" s="57"/>
      <c r="AD21" s="56" t="str">
        <f>"   "&amp;AE3&amp;""</f>
        <v xml:space="preserve">   Denkmalschutz</v>
      </c>
      <c r="AE21" s="31" t="s">
        <v>56</v>
      </c>
      <c r="AF21" s="57"/>
      <c r="AG21" s="31" t="s">
        <v>56</v>
      </c>
      <c r="AH21" s="31" t="s">
        <v>56</v>
      </c>
      <c r="AI21" s="31" t="s">
        <v>56</v>
      </c>
      <c r="AJ21" s="31" t="s">
        <v>56</v>
      </c>
      <c r="AK21" s="31" t="s">
        <v>56</v>
      </c>
    </row>
    <row r="22" spans="1:37" ht="7.5" customHeight="1" x14ac:dyDescent="0.25">
      <c r="A22" s="55"/>
      <c r="B22" s="71"/>
      <c r="C22" s="67"/>
      <c r="D22" s="56"/>
      <c r="E22" s="70"/>
      <c r="F22" s="67"/>
      <c r="G22" s="56"/>
      <c r="H22" s="69"/>
      <c r="I22" s="67"/>
      <c r="J22" s="56"/>
      <c r="K22" s="56"/>
      <c r="L22" s="67"/>
      <c r="M22" s="56"/>
      <c r="N22" s="147"/>
      <c r="O22" s="67"/>
      <c r="P22" s="56"/>
      <c r="Q22" s="69"/>
      <c r="R22" s="67"/>
      <c r="S22" s="56"/>
      <c r="T22" s="69"/>
      <c r="U22" s="67"/>
      <c r="V22" s="68"/>
      <c r="W22" s="68"/>
      <c r="X22" s="68"/>
      <c r="Y22" s="68"/>
      <c r="Z22" s="68"/>
      <c r="AA22" s="68"/>
      <c r="AB22" s="68"/>
      <c r="AC22" s="67"/>
      <c r="AD22" s="56"/>
      <c r="AE22" s="68"/>
      <c r="AF22" s="67"/>
      <c r="AG22" s="213" t="b">
        <f>IF(AG21="ja",1)</f>
        <v>0</v>
      </c>
      <c r="AH22" s="213" t="b">
        <f>IF(AH21="ja",1)</f>
        <v>0</v>
      </c>
      <c r="AI22" s="213" t="b">
        <f>IF(AI21="ja",1)</f>
        <v>0</v>
      </c>
      <c r="AJ22" s="213" t="b">
        <f>IF(AJ21="ja",1)</f>
        <v>0</v>
      </c>
      <c r="AK22" s="213" t="b">
        <f>IF(AK21="ja",1)</f>
        <v>0</v>
      </c>
    </row>
    <row r="23" spans="1:37" ht="37.5" customHeight="1" x14ac:dyDescent="0.25">
      <c r="A23" s="55"/>
      <c r="B23" s="356" t="s">
        <v>97</v>
      </c>
      <c r="C23" s="61"/>
      <c r="D23" s="59" t="s">
        <v>84</v>
      </c>
      <c r="E23" s="32"/>
      <c r="F23" s="61"/>
      <c r="G23" s="56" t="s">
        <v>86</v>
      </c>
      <c r="H23" s="32"/>
      <c r="I23" s="61"/>
      <c r="J23" s="56" t="s">
        <v>91</v>
      </c>
      <c r="K23" s="34"/>
      <c r="L23" s="61"/>
      <c r="M23" s="59" t="s">
        <v>89</v>
      </c>
      <c r="N23" s="146"/>
      <c r="O23" s="61"/>
      <c r="P23" s="58" t="str">
        <f>"   Die erbrachten Leistungen entsprechen dem Leistungsbild
   "&amp;P3&amp;""</f>
        <v xml:space="preserve">   Die erbrachten Leistungen entsprechen dem Leistungsbild
   Tragwerksplanung (vgl. § 51 HOAI)</v>
      </c>
      <c r="Q23" s="31" t="s">
        <v>56</v>
      </c>
      <c r="R23" s="61"/>
      <c r="S23" s="64" t="s">
        <v>199</v>
      </c>
      <c r="T23" s="63"/>
      <c r="U23" s="61"/>
      <c r="V23" s="62" t="s">
        <v>21</v>
      </c>
      <c r="W23" s="62" t="s">
        <v>22</v>
      </c>
      <c r="X23" s="62" t="s">
        <v>23</v>
      </c>
      <c r="Y23" s="62" t="s">
        <v>24</v>
      </c>
      <c r="Z23" s="62" t="s">
        <v>25</v>
      </c>
      <c r="AA23" s="62" t="s">
        <v>26</v>
      </c>
      <c r="AB23" s="62" t="s">
        <v>28</v>
      </c>
      <c r="AC23" s="61"/>
      <c r="AD23" s="56" t="str">
        <f>"   "&amp;AD3&amp;""</f>
        <v xml:space="preserve">   Schalentragwerk</v>
      </c>
      <c r="AE23" s="31" t="s">
        <v>56</v>
      </c>
      <c r="AF23" s="61"/>
      <c r="AG23" s="214" t="s">
        <v>337</v>
      </c>
      <c r="AH23" s="214" t="s">
        <v>338</v>
      </c>
      <c r="AI23" s="214" t="s">
        <v>339</v>
      </c>
      <c r="AJ23" s="214" t="s">
        <v>341</v>
      </c>
      <c r="AK23" s="214" t="s">
        <v>340</v>
      </c>
    </row>
    <row r="24" spans="1:37" ht="37.5" customHeight="1" x14ac:dyDescent="0.25">
      <c r="A24" s="55"/>
      <c r="B24" s="357"/>
      <c r="C24" s="57"/>
      <c r="D24" s="59" t="s">
        <v>85</v>
      </c>
      <c r="E24" s="32"/>
      <c r="F24" s="57"/>
      <c r="G24" s="56" t="s">
        <v>87</v>
      </c>
      <c r="H24" s="32"/>
      <c r="I24" s="57"/>
      <c r="J24" s="56" t="s">
        <v>88</v>
      </c>
      <c r="K24" s="34"/>
      <c r="L24" s="60"/>
      <c r="M24" s="59" t="str">
        <f>IF(P3="Tragwerksplanung (vgl. § 51 HOAI)","   Abschluss LP 6
   (MM.JJJJ)","   Abschluss LP 7
   (MM.JJJJ)")</f>
        <v xml:space="preserve">   Abschluss LP 6
   (MM.JJJJ)</v>
      </c>
      <c r="N24" s="35"/>
      <c r="O24" s="57"/>
      <c r="P24" s="58" t="s">
        <v>92</v>
      </c>
      <c r="Q24" s="31"/>
      <c r="R24" s="57"/>
      <c r="S24" s="58" t="s">
        <v>93</v>
      </c>
      <c r="T24" s="33"/>
      <c r="U24" s="57"/>
      <c r="V24" s="31" t="s">
        <v>56</v>
      </c>
      <c r="W24" s="31" t="s">
        <v>56</v>
      </c>
      <c r="X24" s="31" t="s">
        <v>56</v>
      </c>
      <c r="Y24" s="31" t="s">
        <v>56</v>
      </c>
      <c r="Z24" s="31" t="s">
        <v>56</v>
      </c>
      <c r="AA24" s="31" t="s">
        <v>56</v>
      </c>
      <c r="AB24" s="31" t="s">
        <v>56</v>
      </c>
      <c r="AC24" s="57"/>
      <c r="AD24" s="56" t="str">
        <f>"   "&amp;AE3&amp;""</f>
        <v xml:space="preserve">   Denkmalschutz</v>
      </c>
      <c r="AE24" s="31" t="s">
        <v>56</v>
      </c>
      <c r="AF24" s="57"/>
      <c r="AG24" s="31" t="s">
        <v>56</v>
      </c>
      <c r="AH24" s="31" t="s">
        <v>56</v>
      </c>
      <c r="AI24" s="31" t="s">
        <v>56</v>
      </c>
      <c r="AJ24" s="31" t="s">
        <v>56</v>
      </c>
      <c r="AK24" s="31" t="s">
        <v>56</v>
      </c>
    </row>
    <row r="25" spans="1:37" ht="7.5" customHeight="1" x14ac:dyDescent="0.25">
      <c r="A25" s="55"/>
      <c r="B25" s="71"/>
      <c r="C25" s="67"/>
      <c r="D25" s="56"/>
      <c r="E25" s="70"/>
      <c r="F25" s="67"/>
      <c r="G25" s="56"/>
      <c r="H25" s="69"/>
      <c r="I25" s="67"/>
      <c r="J25" s="56"/>
      <c r="K25" s="56"/>
      <c r="L25" s="67"/>
      <c r="M25" s="56"/>
      <c r="N25" s="147"/>
      <c r="O25" s="67"/>
      <c r="P25" s="56"/>
      <c r="Q25" s="69"/>
      <c r="R25" s="67"/>
      <c r="S25" s="56"/>
      <c r="T25" s="69"/>
      <c r="U25" s="67"/>
      <c r="V25" s="68"/>
      <c r="W25" s="68"/>
      <c r="X25" s="68"/>
      <c r="Y25" s="68"/>
      <c r="Z25" s="68"/>
      <c r="AA25" s="68"/>
      <c r="AB25" s="68"/>
      <c r="AC25" s="67"/>
      <c r="AD25" s="56"/>
      <c r="AE25" s="68"/>
      <c r="AF25" s="67"/>
      <c r="AG25" s="213" t="b">
        <f>IF(AG24="ja",1)</f>
        <v>0</v>
      </c>
      <c r="AH25" s="213" t="b">
        <f>IF(AH24="ja",1)</f>
        <v>0</v>
      </c>
      <c r="AI25" s="213" t="b">
        <f>IF(AI24="ja",1)</f>
        <v>0</v>
      </c>
      <c r="AJ25" s="213" t="b">
        <f>IF(AJ24="ja",1)</f>
        <v>0</v>
      </c>
      <c r="AK25" s="213" t="b">
        <f>IF(AK24="ja",1)</f>
        <v>0</v>
      </c>
    </row>
    <row r="26" spans="1:37" ht="37.5" customHeight="1" x14ac:dyDescent="0.25">
      <c r="A26" s="55"/>
      <c r="B26" s="356" t="s">
        <v>98</v>
      </c>
      <c r="C26" s="61"/>
      <c r="D26" s="59" t="s">
        <v>84</v>
      </c>
      <c r="E26" s="32"/>
      <c r="F26" s="61"/>
      <c r="G26" s="56" t="s">
        <v>86</v>
      </c>
      <c r="H26" s="32"/>
      <c r="I26" s="61"/>
      <c r="J26" s="56" t="s">
        <v>91</v>
      </c>
      <c r="K26" s="34"/>
      <c r="L26" s="61"/>
      <c r="M26" s="59" t="s">
        <v>89</v>
      </c>
      <c r="N26" s="146"/>
      <c r="O26" s="61"/>
      <c r="P26" s="58" t="str">
        <f>"   Die erbrachten Leistungen entsprechen dem Leistungsbild
   "&amp;P3&amp;""</f>
        <v xml:space="preserve">   Die erbrachten Leistungen entsprechen dem Leistungsbild
   Tragwerksplanung (vgl. § 51 HOAI)</v>
      </c>
      <c r="Q26" s="31" t="s">
        <v>56</v>
      </c>
      <c r="R26" s="61"/>
      <c r="S26" s="64" t="s">
        <v>199</v>
      </c>
      <c r="T26" s="63"/>
      <c r="U26" s="61"/>
      <c r="V26" s="62" t="s">
        <v>21</v>
      </c>
      <c r="W26" s="62" t="s">
        <v>22</v>
      </c>
      <c r="X26" s="62" t="s">
        <v>23</v>
      </c>
      <c r="Y26" s="62" t="s">
        <v>24</v>
      </c>
      <c r="Z26" s="62" t="s">
        <v>25</v>
      </c>
      <c r="AA26" s="62" t="s">
        <v>26</v>
      </c>
      <c r="AB26" s="62" t="s">
        <v>28</v>
      </c>
      <c r="AC26" s="61"/>
      <c r="AD26" s="56" t="str">
        <f>"   "&amp;AD3&amp;""</f>
        <v xml:space="preserve">   Schalentragwerk</v>
      </c>
      <c r="AE26" s="31" t="s">
        <v>56</v>
      </c>
      <c r="AF26" s="61"/>
      <c r="AG26" s="214" t="s">
        <v>337</v>
      </c>
      <c r="AH26" s="214" t="s">
        <v>338</v>
      </c>
      <c r="AI26" s="214" t="s">
        <v>339</v>
      </c>
      <c r="AJ26" s="214" t="s">
        <v>341</v>
      </c>
      <c r="AK26" s="214" t="s">
        <v>340</v>
      </c>
    </row>
    <row r="27" spans="1:37" ht="37.5" customHeight="1" x14ac:dyDescent="0.25">
      <c r="A27" s="55"/>
      <c r="B27" s="357"/>
      <c r="C27" s="57"/>
      <c r="D27" s="59" t="s">
        <v>85</v>
      </c>
      <c r="E27" s="32"/>
      <c r="F27" s="57"/>
      <c r="G27" s="56" t="s">
        <v>87</v>
      </c>
      <c r="H27" s="32"/>
      <c r="I27" s="57"/>
      <c r="J27" s="56" t="s">
        <v>88</v>
      </c>
      <c r="K27" s="34"/>
      <c r="L27" s="60"/>
      <c r="M27" s="59" t="str">
        <f>IF(P3="Tragwerksplanung (vgl. § 51 HOAI)","   Abschluss LP 6
   (MM.JJJJ)","   Abschluss LP 7
   (MM.JJJJ)")</f>
        <v xml:space="preserve">   Abschluss LP 6
   (MM.JJJJ)</v>
      </c>
      <c r="N27" s="35"/>
      <c r="O27" s="57"/>
      <c r="P27" s="58" t="s">
        <v>92</v>
      </c>
      <c r="Q27" s="31"/>
      <c r="R27" s="57"/>
      <c r="S27" s="58" t="s">
        <v>93</v>
      </c>
      <c r="T27" s="33"/>
      <c r="U27" s="57"/>
      <c r="V27" s="31" t="s">
        <v>56</v>
      </c>
      <c r="W27" s="31" t="s">
        <v>56</v>
      </c>
      <c r="X27" s="31" t="s">
        <v>56</v>
      </c>
      <c r="Y27" s="31" t="s">
        <v>56</v>
      </c>
      <c r="Z27" s="31" t="s">
        <v>56</v>
      </c>
      <c r="AA27" s="31" t="s">
        <v>56</v>
      </c>
      <c r="AB27" s="31" t="s">
        <v>56</v>
      </c>
      <c r="AC27" s="57"/>
      <c r="AD27" s="56" t="str">
        <f>"   "&amp;AE3&amp;""</f>
        <v xml:space="preserve">   Denkmalschutz</v>
      </c>
      <c r="AE27" s="31" t="s">
        <v>56</v>
      </c>
      <c r="AF27" s="57"/>
      <c r="AG27" s="31" t="s">
        <v>56</v>
      </c>
      <c r="AH27" s="31" t="s">
        <v>56</v>
      </c>
      <c r="AI27" s="31" t="s">
        <v>56</v>
      </c>
      <c r="AJ27" s="31" t="s">
        <v>56</v>
      </c>
      <c r="AK27" s="31" t="s">
        <v>56</v>
      </c>
    </row>
    <row r="28" spans="1:37" ht="7.5" customHeight="1" x14ac:dyDescent="0.25">
      <c r="A28" s="55"/>
      <c r="B28" s="71"/>
      <c r="C28" s="67"/>
      <c r="D28" s="56"/>
      <c r="E28" s="70"/>
      <c r="F28" s="67"/>
      <c r="G28" s="56"/>
      <c r="H28" s="69"/>
      <c r="I28" s="67"/>
      <c r="J28" s="56"/>
      <c r="K28" s="56"/>
      <c r="L28" s="67"/>
      <c r="M28" s="56"/>
      <c r="N28" s="147"/>
      <c r="O28" s="67"/>
      <c r="P28" s="56"/>
      <c r="Q28" s="69"/>
      <c r="R28" s="67"/>
      <c r="S28" s="56"/>
      <c r="T28" s="69"/>
      <c r="U28" s="67"/>
      <c r="V28" s="68"/>
      <c r="W28" s="68"/>
      <c r="X28" s="68"/>
      <c r="Y28" s="68"/>
      <c r="Z28" s="68"/>
      <c r="AA28" s="68"/>
      <c r="AB28" s="68"/>
      <c r="AC28" s="67"/>
      <c r="AD28" s="56"/>
      <c r="AE28" s="66"/>
      <c r="AF28" s="67"/>
      <c r="AG28" s="213" t="b">
        <f>IF(AG27="ja",1)</f>
        <v>0</v>
      </c>
      <c r="AH28" s="213" t="b">
        <f>IF(AH27="ja",1)</f>
        <v>0</v>
      </c>
      <c r="AI28" s="213" t="b">
        <f>IF(AI27="ja",1)</f>
        <v>0</v>
      </c>
      <c r="AJ28" s="213" t="b">
        <f>IF(AJ27="ja",1)</f>
        <v>0</v>
      </c>
      <c r="AK28" s="213" t="b">
        <f>IF(AK27="ja",1)</f>
        <v>0</v>
      </c>
    </row>
    <row r="29" spans="1:37" ht="37.5" customHeight="1" x14ac:dyDescent="0.25">
      <c r="A29" s="55"/>
      <c r="B29" s="356" t="s">
        <v>99</v>
      </c>
      <c r="C29" s="61"/>
      <c r="D29" s="59" t="s">
        <v>84</v>
      </c>
      <c r="E29" s="32"/>
      <c r="F29" s="61"/>
      <c r="G29" s="56" t="s">
        <v>86</v>
      </c>
      <c r="H29" s="32"/>
      <c r="I29" s="61"/>
      <c r="J29" s="56" t="s">
        <v>91</v>
      </c>
      <c r="K29" s="34"/>
      <c r="L29" s="61"/>
      <c r="M29" s="59" t="s">
        <v>89</v>
      </c>
      <c r="N29" s="146"/>
      <c r="O29" s="61"/>
      <c r="P29" s="58" t="str">
        <f>"   Die erbrachten Leistungen entsprechen dem Leistungsbild
   "&amp;P3&amp;""</f>
        <v xml:space="preserve">   Die erbrachten Leistungen entsprechen dem Leistungsbild
   Tragwerksplanung (vgl. § 51 HOAI)</v>
      </c>
      <c r="Q29" s="31" t="s">
        <v>56</v>
      </c>
      <c r="R29" s="61"/>
      <c r="S29" s="64" t="s">
        <v>199</v>
      </c>
      <c r="T29" s="63"/>
      <c r="U29" s="61"/>
      <c r="V29" s="62" t="s">
        <v>21</v>
      </c>
      <c r="W29" s="62" t="s">
        <v>22</v>
      </c>
      <c r="X29" s="62" t="s">
        <v>23</v>
      </c>
      <c r="Y29" s="62" t="s">
        <v>24</v>
      </c>
      <c r="Z29" s="62" t="s">
        <v>25</v>
      </c>
      <c r="AA29" s="62" t="s">
        <v>26</v>
      </c>
      <c r="AB29" s="62" t="s">
        <v>28</v>
      </c>
      <c r="AC29" s="61"/>
      <c r="AD29" s="56" t="str">
        <f>"   "&amp;AD3&amp;""</f>
        <v xml:space="preserve">   Schalentragwerk</v>
      </c>
      <c r="AE29" s="31" t="s">
        <v>56</v>
      </c>
      <c r="AF29" s="61"/>
      <c r="AG29" s="214" t="s">
        <v>337</v>
      </c>
      <c r="AH29" s="214" t="s">
        <v>338</v>
      </c>
      <c r="AI29" s="214" t="s">
        <v>339</v>
      </c>
      <c r="AJ29" s="214" t="s">
        <v>341</v>
      </c>
      <c r="AK29" s="214" t="s">
        <v>340</v>
      </c>
    </row>
    <row r="30" spans="1:37" ht="37.5" customHeight="1" x14ac:dyDescent="0.25">
      <c r="A30" s="55"/>
      <c r="B30" s="357"/>
      <c r="C30" s="57"/>
      <c r="D30" s="59" t="s">
        <v>85</v>
      </c>
      <c r="E30" s="32"/>
      <c r="F30" s="57"/>
      <c r="G30" s="56" t="s">
        <v>87</v>
      </c>
      <c r="H30" s="32"/>
      <c r="I30" s="57"/>
      <c r="J30" s="56" t="s">
        <v>88</v>
      </c>
      <c r="K30" s="34"/>
      <c r="L30" s="60"/>
      <c r="M30" s="59" t="str">
        <f>IF(P3="Tragwerksplanung (vgl. § 51 HOAI)","   Abschluss LP 6
   (MM.JJJJ)","   Abschluss LP 7
   (MM.JJJJ)")</f>
        <v xml:space="preserve">   Abschluss LP 6
   (MM.JJJJ)</v>
      </c>
      <c r="N30" s="35"/>
      <c r="O30" s="57"/>
      <c r="P30" s="58" t="s">
        <v>92</v>
      </c>
      <c r="Q30" s="31"/>
      <c r="R30" s="57"/>
      <c r="S30" s="58" t="s">
        <v>93</v>
      </c>
      <c r="T30" s="33"/>
      <c r="U30" s="57"/>
      <c r="V30" s="31" t="s">
        <v>56</v>
      </c>
      <c r="W30" s="31" t="s">
        <v>56</v>
      </c>
      <c r="X30" s="31" t="s">
        <v>56</v>
      </c>
      <c r="Y30" s="31" t="s">
        <v>56</v>
      </c>
      <c r="Z30" s="31" t="s">
        <v>56</v>
      </c>
      <c r="AA30" s="31" t="s">
        <v>56</v>
      </c>
      <c r="AB30" s="31" t="s">
        <v>56</v>
      </c>
      <c r="AC30" s="57"/>
      <c r="AD30" s="56" t="str">
        <f>"   "&amp;AE3&amp;""</f>
        <v xml:space="preserve">   Denkmalschutz</v>
      </c>
      <c r="AE30" s="31" t="s">
        <v>56</v>
      </c>
      <c r="AF30" s="57"/>
      <c r="AG30" s="31" t="s">
        <v>56</v>
      </c>
      <c r="AH30" s="31" t="s">
        <v>56</v>
      </c>
      <c r="AI30" s="31" t="s">
        <v>56</v>
      </c>
      <c r="AJ30" s="31" t="s">
        <v>56</v>
      </c>
      <c r="AK30" s="31" t="s">
        <v>56</v>
      </c>
    </row>
    <row r="31" spans="1:37" ht="7.5" customHeight="1" x14ac:dyDescent="0.25">
      <c r="A31" s="55"/>
      <c r="B31" s="71"/>
      <c r="C31" s="67"/>
      <c r="D31" s="56"/>
      <c r="E31" s="70"/>
      <c r="F31" s="67"/>
      <c r="G31" s="56"/>
      <c r="H31" s="69"/>
      <c r="I31" s="67"/>
      <c r="J31" s="56"/>
      <c r="K31" s="56"/>
      <c r="L31" s="67"/>
      <c r="M31" s="56"/>
      <c r="N31" s="147"/>
      <c r="O31" s="67"/>
      <c r="P31" s="56"/>
      <c r="Q31" s="69"/>
      <c r="R31" s="67"/>
      <c r="S31" s="56"/>
      <c r="T31" s="69"/>
      <c r="U31" s="67"/>
      <c r="V31" s="68"/>
      <c r="W31" s="68"/>
      <c r="X31" s="68"/>
      <c r="Y31" s="68"/>
      <c r="Z31" s="68"/>
      <c r="AA31" s="68"/>
      <c r="AB31" s="68"/>
      <c r="AC31" s="67"/>
      <c r="AD31" s="56"/>
      <c r="AE31" s="68"/>
      <c r="AF31" s="67"/>
      <c r="AG31" s="213" t="b">
        <f>IF(AG30="ja",1)</f>
        <v>0</v>
      </c>
      <c r="AH31" s="213" t="b">
        <f>IF(AH30="ja",1)</f>
        <v>0</v>
      </c>
      <c r="AI31" s="213" t="b">
        <f>IF(AI30="ja",1)</f>
        <v>0</v>
      </c>
      <c r="AJ31" s="213" t="b">
        <f>IF(AJ30="ja",1)</f>
        <v>0</v>
      </c>
      <c r="AK31" s="213" t="b">
        <f>IF(AK30="ja",1)</f>
        <v>0</v>
      </c>
    </row>
    <row r="32" spans="1:37" ht="37.5" customHeight="1" x14ac:dyDescent="0.25">
      <c r="A32" s="55"/>
      <c r="B32" s="356" t="s">
        <v>100</v>
      </c>
      <c r="C32" s="61"/>
      <c r="D32" s="59" t="s">
        <v>84</v>
      </c>
      <c r="E32" s="32"/>
      <c r="F32" s="61"/>
      <c r="G32" s="56" t="s">
        <v>86</v>
      </c>
      <c r="H32" s="32"/>
      <c r="I32" s="61"/>
      <c r="J32" s="56" t="s">
        <v>91</v>
      </c>
      <c r="K32" s="34"/>
      <c r="L32" s="61"/>
      <c r="M32" s="59" t="s">
        <v>89</v>
      </c>
      <c r="N32" s="146"/>
      <c r="O32" s="61"/>
      <c r="P32" s="58" t="str">
        <f>"   Die erbrachten Leistungen entsprechen dem Leistungsbild
   "&amp;P3&amp;""</f>
        <v xml:space="preserve">   Die erbrachten Leistungen entsprechen dem Leistungsbild
   Tragwerksplanung (vgl. § 51 HOAI)</v>
      </c>
      <c r="Q32" s="31" t="s">
        <v>56</v>
      </c>
      <c r="R32" s="61"/>
      <c r="S32" s="64" t="s">
        <v>199</v>
      </c>
      <c r="T32" s="63"/>
      <c r="U32" s="61"/>
      <c r="V32" s="62" t="s">
        <v>21</v>
      </c>
      <c r="W32" s="62" t="s">
        <v>22</v>
      </c>
      <c r="X32" s="62" t="s">
        <v>23</v>
      </c>
      <c r="Y32" s="62" t="s">
        <v>24</v>
      </c>
      <c r="Z32" s="62" t="s">
        <v>25</v>
      </c>
      <c r="AA32" s="62" t="s">
        <v>26</v>
      </c>
      <c r="AB32" s="62" t="s">
        <v>28</v>
      </c>
      <c r="AC32" s="61"/>
      <c r="AD32" s="56" t="str">
        <f>"   "&amp;AD3&amp;""</f>
        <v xml:space="preserve">   Schalentragwerk</v>
      </c>
      <c r="AE32" s="31" t="s">
        <v>56</v>
      </c>
      <c r="AF32" s="61"/>
      <c r="AG32" s="214" t="s">
        <v>337</v>
      </c>
      <c r="AH32" s="214" t="s">
        <v>338</v>
      </c>
      <c r="AI32" s="214" t="s">
        <v>339</v>
      </c>
      <c r="AJ32" s="214" t="s">
        <v>341</v>
      </c>
      <c r="AK32" s="214" t="s">
        <v>340</v>
      </c>
    </row>
    <row r="33" spans="1:37" ht="37.5" customHeight="1" x14ac:dyDescent="0.25">
      <c r="A33" s="55"/>
      <c r="B33" s="357"/>
      <c r="C33" s="57"/>
      <c r="D33" s="59" t="s">
        <v>85</v>
      </c>
      <c r="E33" s="32"/>
      <c r="F33" s="57"/>
      <c r="G33" s="56" t="s">
        <v>87</v>
      </c>
      <c r="H33" s="32"/>
      <c r="I33" s="57"/>
      <c r="J33" s="56" t="s">
        <v>88</v>
      </c>
      <c r="K33" s="34"/>
      <c r="L33" s="60"/>
      <c r="M33" s="59" t="str">
        <f>IF(P3="Tragwerksplanung (vgl. § 51 HOAI)","   Abschluss LP 6
   (MM.JJJJ)","   Abschluss LP 7
   (MM.JJJJ)")</f>
        <v xml:space="preserve">   Abschluss LP 6
   (MM.JJJJ)</v>
      </c>
      <c r="N33" s="35"/>
      <c r="O33" s="57"/>
      <c r="P33" s="58" t="s">
        <v>92</v>
      </c>
      <c r="Q33" s="31"/>
      <c r="R33" s="57"/>
      <c r="S33" s="58" t="s">
        <v>93</v>
      </c>
      <c r="T33" s="33"/>
      <c r="U33" s="57"/>
      <c r="V33" s="31" t="s">
        <v>56</v>
      </c>
      <c r="W33" s="31" t="s">
        <v>56</v>
      </c>
      <c r="X33" s="31" t="s">
        <v>56</v>
      </c>
      <c r="Y33" s="31" t="s">
        <v>56</v>
      </c>
      <c r="Z33" s="31" t="s">
        <v>56</v>
      </c>
      <c r="AA33" s="31" t="s">
        <v>56</v>
      </c>
      <c r="AB33" s="31" t="s">
        <v>56</v>
      </c>
      <c r="AC33" s="57"/>
      <c r="AD33" s="56" t="str">
        <f>"   "&amp;AE3&amp;""</f>
        <v xml:space="preserve">   Denkmalschutz</v>
      </c>
      <c r="AE33" s="31" t="s">
        <v>56</v>
      </c>
      <c r="AF33" s="57"/>
      <c r="AG33" s="31" t="s">
        <v>56</v>
      </c>
      <c r="AH33" s="31" t="s">
        <v>56</v>
      </c>
      <c r="AI33" s="31" t="s">
        <v>56</v>
      </c>
      <c r="AJ33" s="31" t="s">
        <v>56</v>
      </c>
      <c r="AK33" s="31" t="s">
        <v>56</v>
      </c>
    </row>
    <row r="34" spans="1:37" ht="7.5" customHeight="1" x14ac:dyDescent="0.25">
      <c r="A34" s="55"/>
      <c r="B34" s="71"/>
      <c r="C34" s="67"/>
      <c r="D34" s="56"/>
      <c r="E34" s="70"/>
      <c r="F34" s="67"/>
      <c r="G34" s="56"/>
      <c r="H34" s="69"/>
      <c r="I34" s="67"/>
      <c r="J34" s="56"/>
      <c r="K34" s="56"/>
      <c r="L34" s="67"/>
      <c r="M34" s="56"/>
      <c r="N34" s="147"/>
      <c r="O34" s="67"/>
      <c r="P34" s="56"/>
      <c r="Q34" s="69"/>
      <c r="R34" s="67"/>
      <c r="S34" s="56"/>
      <c r="T34" s="69"/>
      <c r="U34" s="67"/>
      <c r="V34" s="68"/>
      <c r="W34" s="68"/>
      <c r="X34" s="68"/>
      <c r="Y34" s="68"/>
      <c r="Z34" s="68"/>
      <c r="AA34" s="68"/>
      <c r="AB34" s="68"/>
      <c r="AC34" s="67"/>
      <c r="AD34" s="56"/>
      <c r="AE34" s="68"/>
      <c r="AF34" s="67"/>
      <c r="AG34" s="213" t="b">
        <f>IF(AG33="ja",1)</f>
        <v>0</v>
      </c>
      <c r="AH34" s="213" t="b">
        <f>IF(AH33="ja",1)</f>
        <v>0</v>
      </c>
      <c r="AI34" s="213" t="b">
        <f>IF(AI33="ja",1)</f>
        <v>0</v>
      </c>
      <c r="AJ34" s="213" t="b">
        <f>IF(AJ33="ja",1)</f>
        <v>0</v>
      </c>
      <c r="AK34" s="213" t="b">
        <f>IF(AK33="ja",1)</f>
        <v>0</v>
      </c>
    </row>
    <row r="35" spans="1:37" ht="37.5" customHeight="1" x14ac:dyDescent="0.25">
      <c r="A35" s="55"/>
      <c r="B35" s="356" t="s">
        <v>101</v>
      </c>
      <c r="C35" s="61"/>
      <c r="D35" s="59" t="s">
        <v>84</v>
      </c>
      <c r="E35" s="32"/>
      <c r="F35" s="61"/>
      <c r="G35" s="56" t="s">
        <v>86</v>
      </c>
      <c r="H35" s="32"/>
      <c r="I35" s="61"/>
      <c r="J35" s="56" t="s">
        <v>91</v>
      </c>
      <c r="K35" s="34"/>
      <c r="L35" s="61"/>
      <c r="M35" s="59" t="s">
        <v>89</v>
      </c>
      <c r="N35" s="146"/>
      <c r="O35" s="61"/>
      <c r="P35" s="58" t="str">
        <f>"   Die erbrachten Leistungen entsprechen dem Leistungsbild
   "&amp;P3&amp;""</f>
        <v xml:space="preserve">   Die erbrachten Leistungen entsprechen dem Leistungsbild
   Tragwerksplanung (vgl. § 51 HOAI)</v>
      </c>
      <c r="Q35" s="31" t="s">
        <v>56</v>
      </c>
      <c r="R35" s="61"/>
      <c r="S35" s="64" t="s">
        <v>199</v>
      </c>
      <c r="T35" s="63"/>
      <c r="U35" s="61"/>
      <c r="V35" s="62" t="s">
        <v>21</v>
      </c>
      <c r="W35" s="62" t="s">
        <v>22</v>
      </c>
      <c r="X35" s="62" t="s">
        <v>23</v>
      </c>
      <c r="Y35" s="62" t="s">
        <v>24</v>
      </c>
      <c r="Z35" s="62" t="s">
        <v>25</v>
      </c>
      <c r="AA35" s="62" t="s">
        <v>26</v>
      </c>
      <c r="AB35" s="62" t="s">
        <v>28</v>
      </c>
      <c r="AC35" s="61"/>
      <c r="AD35" s="56" t="str">
        <f>"   "&amp;AD3&amp;""</f>
        <v xml:space="preserve">   Schalentragwerk</v>
      </c>
      <c r="AE35" s="31" t="s">
        <v>56</v>
      </c>
      <c r="AF35" s="61"/>
      <c r="AG35" s="214" t="s">
        <v>337</v>
      </c>
      <c r="AH35" s="214" t="s">
        <v>338</v>
      </c>
      <c r="AI35" s="214" t="s">
        <v>339</v>
      </c>
      <c r="AJ35" s="214" t="s">
        <v>341</v>
      </c>
      <c r="AK35" s="214" t="s">
        <v>340</v>
      </c>
    </row>
    <row r="36" spans="1:37" ht="37.5" customHeight="1" x14ac:dyDescent="0.25">
      <c r="A36" s="55"/>
      <c r="B36" s="357"/>
      <c r="C36" s="57"/>
      <c r="D36" s="59" t="s">
        <v>85</v>
      </c>
      <c r="E36" s="32"/>
      <c r="F36" s="57"/>
      <c r="G36" s="56" t="s">
        <v>87</v>
      </c>
      <c r="H36" s="32"/>
      <c r="I36" s="57"/>
      <c r="J36" s="56" t="s">
        <v>88</v>
      </c>
      <c r="K36" s="34"/>
      <c r="L36" s="60"/>
      <c r="M36" s="59" t="str">
        <f>IF(P3="Tragwerksplanung (vgl. § 51 HOAI)","   Abschluss LP 6
   (MM.JJJJ)","   Abschluss LP 7
   (MM.JJJJ)")</f>
        <v xml:space="preserve">   Abschluss LP 6
   (MM.JJJJ)</v>
      </c>
      <c r="N36" s="35"/>
      <c r="O36" s="57"/>
      <c r="P36" s="58" t="s">
        <v>92</v>
      </c>
      <c r="Q36" s="31"/>
      <c r="R36" s="57"/>
      <c r="S36" s="58" t="s">
        <v>93</v>
      </c>
      <c r="T36" s="33"/>
      <c r="U36" s="57"/>
      <c r="V36" s="31" t="s">
        <v>56</v>
      </c>
      <c r="W36" s="31" t="s">
        <v>56</v>
      </c>
      <c r="X36" s="31" t="s">
        <v>56</v>
      </c>
      <c r="Y36" s="31" t="s">
        <v>56</v>
      </c>
      <c r="Z36" s="31" t="s">
        <v>56</v>
      </c>
      <c r="AA36" s="31" t="s">
        <v>56</v>
      </c>
      <c r="AB36" s="31" t="s">
        <v>56</v>
      </c>
      <c r="AC36" s="57"/>
      <c r="AD36" s="56" t="str">
        <f>"   "&amp;AE3&amp;""</f>
        <v xml:space="preserve">   Denkmalschutz</v>
      </c>
      <c r="AE36" s="31" t="s">
        <v>56</v>
      </c>
      <c r="AF36" s="57"/>
      <c r="AG36" s="31" t="s">
        <v>56</v>
      </c>
      <c r="AH36" s="31" t="s">
        <v>56</v>
      </c>
      <c r="AI36" s="31" t="s">
        <v>56</v>
      </c>
      <c r="AJ36" s="31" t="s">
        <v>56</v>
      </c>
      <c r="AK36" s="31" t="s">
        <v>56</v>
      </c>
    </row>
    <row r="37" spans="1:37" ht="7.5" customHeight="1" x14ac:dyDescent="0.25">
      <c r="A37" s="55"/>
      <c r="B37" s="71"/>
      <c r="C37" s="67"/>
      <c r="D37" s="56"/>
      <c r="E37" s="70"/>
      <c r="F37" s="67"/>
      <c r="G37" s="56"/>
      <c r="H37" s="69"/>
      <c r="I37" s="67"/>
      <c r="J37" s="56"/>
      <c r="K37" s="56"/>
      <c r="L37" s="67"/>
      <c r="M37" s="56"/>
      <c r="N37" s="147"/>
      <c r="O37" s="67"/>
      <c r="P37" s="56"/>
      <c r="Q37" s="69"/>
      <c r="R37" s="67"/>
      <c r="S37" s="56"/>
      <c r="T37" s="69"/>
      <c r="U37" s="67"/>
      <c r="V37" s="68"/>
      <c r="W37" s="68"/>
      <c r="X37" s="68"/>
      <c r="Y37" s="68"/>
      <c r="Z37" s="68"/>
      <c r="AA37" s="68"/>
      <c r="AB37" s="68"/>
      <c r="AC37" s="67"/>
      <c r="AD37" s="56"/>
      <c r="AE37" s="68"/>
      <c r="AF37" s="67"/>
      <c r="AG37" s="213" t="b">
        <f>IF(AG36="ja",1)</f>
        <v>0</v>
      </c>
      <c r="AH37" s="213" t="b">
        <f>IF(AH36="ja",1)</f>
        <v>0</v>
      </c>
      <c r="AI37" s="213" t="b">
        <f>IF(AI36="ja",1)</f>
        <v>0</v>
      </c>
      <c r="AJ37" s="213" t="b">
        <f>IF(AJ36="ja",1)</f>
        <v>0</v>
      </c>
      <c r="AK37" s="213" t="b">
        <f>IF(AK36="ja",1)</f>
        <v>0</v>
      </c>
    </row>
    <row r="38" spans="1:37" ht="37.5" customHeight="1" x14ac:dyDescent="0.25">
      <c r="A38" s="55"/>
      <c r="B38" s="356" t="s">
        <v>102</v>
      </c>
      <c r="C38" s="61"/>
      <c r="D38" s="59" t="s">
        <v>84</v>
      </c>
      <c r="E38" s="32"/>
      <c r="F38" s="61"/>
      <c r="G38" s="56" t="s">
        <v>86</v>
      </c>
      <c r="H38" s="32"/>
      <c r="I38" s="61"/>
      <c r="J38" s="56" t="s">
        <v>91</v>
      </c>
      <c r="K38" s="34"/>
      <c r="L38" s="61"/>
      <c r="M38" s="59" t="s">
        <v>89</v>
      </c>
      <c r="N38" s="146"/>
      <c r="O38" s="61"/>
      <c r="P38" s="58" t="str">
        <f>"   Die erbrachten Leistungen entsprechen dem Leistungsbild
   "&amp;P3&amp;""</f>
        <v xml:space="preserve">   Die erbrachten Leistungen entsprechen dem Leistungsbild
   Tragwerksplanung (vgl. § 51 HOAI)</v>
      </c>
      <c r="Q38" s="31" t="s">
        <v>56</v>
      </c>
      <c r="R38" s="61"/>
      <c r="S38" s="64" t="s">
        <v>199</v>
      </c>
      <c r="T38" s="63"/>
      <c r="U38" s="61"/>
      <c r="V38" s="62" t="s">
        <v>21</v>
      </c>
      <c r="W38" s="62" t="s">
        <v>22</v>
      </c>
      <c r="X38" s="62" t="s">
        <v>23</v>
      </c>
      <c r="Y38" s="62" t="s">
        <v>24</v>
      </c>
      <c r="Z38" s="62" t="s">
        <v>25</v>
      </c>
      <c r="AA38" s="62" t="s">
        <v>26</v>
      </c>
      <c r="AB38" s="62" t="s">
        <v>28</v>
      </c>
      <c r="AC38" s="61"/>
      <c r="AD38" s="56" t="str">
        <f>"   "&amp;AD3&amp;""</f>
        <v xml:space="preserve">   Schalentragwerk</v>
      </c>
      <c r="AE38" s="31" t="s">
        <v>56</v>
      </c>
      <c r="AF38" s="61"/>
      <c r="AG38" s="214" t="s">
        <v>337</v>
      </c>
      <c r="AH38" s="214" t="s">
        <v>338</v>
      </c>
      <c r="AI38" s="214" t="s">
        <v>339</v>
      </c>
      <c r="AJ38" s="214" t="s">
        <v>341</v>
      </c>
      <c r="AK38" s="214" t="s">
        <v>340</v>
      </c>
    </row>
    <row r="39" spans="1:37" ht="37.5" customHeight="1" x14ac:dyDescent="0.25">
      <c r="A39" s="55"/>
      <c r="B39" s="357"/>
      <c r="C39" s="57"/>
      <c r="D39" s="59" t="s">
        <v>85</v>
      </c>
      <c r="E39" s="32"/>
      <c r="F39" s="57"/>
      <c r="G39" s="56" t="s">
        <v>87</v>
      </c>
      <c r="H39" s="32"/>
      <c r="I39" s="57"/>
      <c r="J39" s="56" t="s">
        <v>88</v>
      </c>
      <c r="K39" s="34"/>
      <c r="L39" s="60"/>
      <c r="M39" s="59" t="str">
        <f>IF(P3="Tragwerksplanung (vgl. § 51 HOAI)","   Abschluss LP 6
   (MM.JJJJ)","   Abschluss LP 7
   (MM.JJJJ)")</f>
        <v xml:space="preserve">   Abschluss LP 6
   (MM.JJJJ)</v>
      </c>
      <c r="N39" s="35"/>
      <c r="O39" s="57"/>
      <c r="P39" s="58" t="s">
        <v>92</v>
      </c>
      <c r="Q39" s="31"/>
      <c r="R39" s="57"/>
      <c r="S39" s="58" t="s">
        <v>93</v>
      </c>
      <c r="T39" s="33"/>
      <c r="U39" s="57"/>
      <c r="V39" s="31" t="s">
        <v>56</v>
      </c>
      <c r="W39" s="31" t="s">
        <v>56</v>
      </c>
      <c r="X39" s="31" t="s">
        <v>56</v>
      </c>
      <c r="Y39" s="31" t="s">
        <v>56</v>
      </c>
      <c r="Z39" s="31" t="s">
        <v>56</v>
      </c>
      <c r="AA39" s="31" t="s">
        <v>56</v>
      </c>
      <c r="AB39" s="31" t="s">
        <v>56</v>
      </c>
      <c r="AC39" s="57"/>
      <c r="AD39" s="56" t="str">
        <f>"   "&amp;AE3&amp;""</f>
        <v xml:space="preserve">   Denkmalschutz</v>
      </c>
      <c r="AE39" s="31" t="s">
        <v>56</v>
      </c>
      <c r="AF39" s="57"/>
      <c r="AG39" s="31" t="s">
        <v>56</v>
      </c>
      <c r="AH39" s="31" t="s">
        <v>56</v>
      </c>
      <c r="AI39" s="31" t="s">
        <v>56</v>
      </c>
      <c r="AJ39" s="31" t="s">
        <v>56</v>
      </c>
      <c r="AK39" s="31" t="s">
        <v>56</v>
      </c>
    </row>
    <row r="40" spans="1:37" ht="7.5" customHeight="1" x14ac:dyDescent="0.25">
      <c r="A40" s="55"/>
      <c r="B40" s="71"/>
      <c r="C40" s="67"/>
      <c r="D40" s="56"/>
      <c r="E40" s="70"/>
      <c r="F40" s="67"/>
      <c r="G40" s="56"/>
      <c r="H40" s="69"/>
      <c r="I40" s="67"/>
      <c r="J40" s="56"/>
      <c r="K40" s="56"/>
      <c r="L40" s="67"/>
      <c r="M40" s="56"/>
      <c r="N40" s="147"/>
      <c r="O40" s="67"/>
      <c r="P40" s="56"/>
      <c r="Q40" s="69"/>
      <c r="R40" s="67"/>
      <c r="S40" s="56"/>
      <c r="T40" s="69"/>
      <c r="U40" s="67"/>
      <c r="V40" s="68"/>
      <c r="W40" s="68"/>
      <c r="X40" s="68"/>
      <c r="Y40" s="68"/>
      <c r="Z40" s="68"/>
      <c r="AA40" s="68"/>
      <c r="AB40" s="68"/>
      <c r="AC40" s="67"/>
      <c r="AD40" s="56"/>
      <c r="AE40" s="68"/>
      <c r="AF40" s="67"/>
      <c r="AG40" s="213" t="b">
        <f>IF(AG39="ja",1)</f>
        <v>0</v>
      </c>
      <c r="AH40" s="213" t="b">
        <f>IF(AH39="ja",1)</f>
        <v>0</v>
      </c>
      <c r="AI40" s="213" t="b">
        <f>IF(AI39="ja",1)</f>
        <v>0</v>
      </c>
      <c r="AJ40" s="213" t="b">
        <f>IF(AJ39="ja",1)</f>
        <v>0</v>
      </c>
      <c r="AK40" s="213" t="b">
        <f>IF(AK39="ja",1)</f>
        <v>0</v>
      </c>
    </row>
    <row r="41" spans="1:37" ht="37.5" customHeight="1" x14ac:dyDescent="0.25">
      <c r="A41" s="55"/>
      <c r="B41" s="356" t="s">
        <v>103</v>
      </c>
      <c r="C41" s="61"/>
      <c r="D41" s="59" t="s">
        <v>84</v>
      </c>
      <c r="E41" s="32"/>
      <c r="F41" s="61"/>
      <c r="G41" s="56" t="s">
        <v>86</v>
      </c>
      <c r="H41" s="32"/>
      <c r="I41" s="61"/>
      <c r="J41" s="56" t="s">
        <v>91</v>
      </c>
      <c r="K41" s="34"/>
      <c r="L41" s="61"/>
      <c r="M41" s="59" t="s">
        <v>89</v>
      </c>
      <c r="N41" s="146"/>
      <c r="O41" s="61"/>
      <c r="P41" s="58" t="str">
        <f>"   Die erbrachten Leistungen entsprechen dem Leistungsbild
   "&amp;P3&amp;""</f>
        <v xml:space="preserve">   Die erbrachten Leistungen entsprechen dem Leistungsbild
   Tragwerksplanung (vgl. § 51 HOAI)</v>
      </c>
      <c r="Q41" s="31" t="s">
        <v>56</v>
      </c>
      <c r="R41" s="61"/>
      <c r="S41" s="64" t="s">
        <v>199</v>
      </c>
      <c r="T41" s="63"/>
      <c r="U41" s="61"/>
      <c r="V41" s="62" t="s">
        <v>21</v>
      </c>
      <c r="W41" s="62" t="s">
        <v>22</v>
      </c>
      <c r="X41" s="62" t="s">
        <v>23</v>
      </c>
      <c r="Y41" s="62" t="s">
        <v>24</v>
      </c>
      <c r="Z41" s="62" t="s">
        <v>25</v>
      </c>
      <c r="AA41" s="62" t="s">
        <v>26</v>
      </c>
      <c r="AB41" s="62" t="s">
        <v>28</v>
      </c>
      <c r="AC41" s="61"/>
      <c r="AD41" s="56" t="str">
        <f>"   "&amp;AD3&amp;""</f>
        <v xml:space="preserve">   Schalentragwerk</v>
      </c>
      <c r="AE41" s="31" t="s">
        <v>56</v>
      </c>
      <c r="AF41" s="61"/>
      <c r="AG41" s="214" t="s">
        <v>337</v>
      </c>
      <c r="AH41" s="214" t="s">
        <v>338</v>
      </c>
      <c r="AI41" s="214" t="s">
        <v>339</v>
      </c>
      <c r="AJ41" s="214" t="s">
        <v>341</v>
      </c>
      <c r="AK41" s="214" t="s">
        <v>340</v>
      </c>
    </row>
    <row r="42" spans="1:37" ht="37.5" customHeight="1" x14ac:dyDescent="0.25">
      <c r="A42" s="55"/>
      <c r="B42" s="357"/>
      <c r="C42" s="57"/>
      <c r="D42" s="59" t="s">
        <v>85</v>
      </c>
      <c r="E42" s="32"/>
      <c r="F42" s="57"/>
      <c r="G42" s="56" t="s">
        <v>87</v>
      </c>
      <c r="H42" s="32"/>
      <c r="I42" s="57"/>
      <c r="J42" s="56" t="s">
        <v>88</v>
      </c>
      <c r="K42" s="34"/>
      <c r="L42" s="60"/>
      <c r="M42" s="59" t="str">
        <f>IF(P3="Tragwerksplanung (vgl. § 51 HOAI)","   Abschluss LP 6
   (MM.JJJJ)","   Abschluss LP 7
   (MM.JJJJ)")</f>
        <v xml:space="preserve">   Abschluss LP 6
   (MM.JJJJ)</v>
      </c>
      <c r="N42" s="35"/>
      <c r="O42" s="57"/>
      <c r="P42" s="58" t="s">
        <v>92</v>
      </c>
      <c r="Q42" s="31"/>
      <c r="R42" s="57"/>
      <c r="S42" s="58" t="s">
        <v>93</v>
      </c>
      <c r="T42" s="33"/>
      <c r="U42" s="57"/>
      <c r="V42" s="31" t="s">
        <v>56</v>
      </c>
      <c r="W42" s="31" t="s">
        <v>56</v>
      </c>
      <c r="X42" s="31" t="s">
        <v>56</v>
      </c>
      <c r="Y42" s="31" t="s">
        <v>56</v>
      </c>
      <c r="Z42" s="31" t="s">
        <v>56</v>
      </c>
      <c r="AA42" s="31" t="s">
        <v>56</v>
      </c>
      <c r="AB42" s="31" t="s">
        <v>56</v>
      </c>
      <c r="AC42" s="57"/>
      <c r="AD42" s="56" t="str">
        <f>"   "&amp;AE3&amp;""</f>
        <v xml:space="preserve">   Denkmalschutz</v>
      </c>
      <c r="AE42" s="31" t="s">
        <v>56</v>
      </c>
      <c r="AF42" s="57"/>
      <c r="AG42" s="31" t="s">
        <v>56</v>
      </c>
      <c r="AH42" s="31" t="s">
        <v>56</v>
      </c>
      <c r="AI42" s="31" t="s">
        <v>56</v>
      </c>
      <c r="AJ42" s="31" t="s">
        <v>56</v>
      </c>
      <c r="AK42" s="31" t="s">
        <v>56</v>
      </c>
    </row>
    <row r="43" spans="1:37" ht="7.5" customHeight="1" x14ac:dyDescent="0.25">
      <c r="A43" s="55"/>
      <c r="B43" s="71"/>
      <c r="C43" s="67"/>
      <c r="D43" s="56"/>
      <c r="E43" s="70"/>
      <c r="F43" s="67"/>
      <c r="G43" s="56"/>
      <c r="H43" s="69"/>
      <c r="I43" s="67"/>
      <c r="J43" s="56"/>
      <c r="K43" s="56"/>
      <c r="L43" s="67"/>
      <c r="M43" s="56"/>
      <c r="N43" s="147"/>
      <c r="O43" s="67"/>
      <c r="P43" s="56"/>
      <c r="Q43" s="69"/>
      <c r="R43" s="67"/>
      <c r="S43" s="56"/>
      <c r="T43" s="69"/>
      <c r="U43" s="67"/>
      <c r="V43" s="68"/>
      <c r="W43" s="68"/>
      <c r="X43" s="68"/>
      <c r="Y43" s="68"/>
      <c r="Z43" s="68"/>
      <c r="AA43" s="68"/>
      <c r="AB43" s="68"/>
      <c r="AC43" s="67"/>
      <c r="AD43" s="56"/>
      <c r="AE43" s="68"/>
      <c r="AF43" s="67"/>
      <c r="AG43" s="213" t="b">
        <f>IF(AG42="ja",1)</f>
        <v>0</v>
      </c>
      <c r="AH43" s="213" t="b">
        <f>IF(AH42="ja",1)</f>
        <v>0</v>
      </c>
      <c r="AI43" s="213" t="b">
        <f>IF(AI42="ja",1)</f>
        <v>0</v>
      </c>
      <c r="AJ43" s="213" t="b">
        <f>IF(AJ42="ja",1)</f>
        <v>0</v>
      </c>
      <c r="AK43" s="213" t="b">
        <f>IF(AK42="ja",1)</f>
        <v>0</v>
      </c>
    </row>
    <row r="44" spans="1:37" ht="37.5" customHeight="1" x14ac:dyDescent="0.25">
      <c r="A44" s="55"/>
      <c r="B44" s="356" t="s">
        <v>104</v>
      </c>
      <c r="C44" s="61"/>
      <c r="D44" s="59" t="s">
        <v>84</v>
      </c>
      <c r="E44" s="32"/>
      <c r="F44" s="61"/>
      <c r="G44" s="56" t="s">
        <v>86</v>
      </c>
      <c r="H44" s="32"/>
      <c r="I44" s="61"/>
      <c r="J44" s="56" t="s">
        <v>91</v>
      </c>
      <c r="K44" s="34"/>
      <c r="L44" s="61"/>
      <c r="M44" s="59" t="s">
        <v>89</v>
      </c>
      <c r="N44" s="146"/>
      <c r="O44" s="61"/>
      <c r="P44" s="58" t="str">
        <f>"   Die erbrachten Leistungen entsprechen dem Leistungsbild
   "&amp;P3&amp;""</f>
        <v xml:space="preserve">   Die erbrachten Leistungen entsprechen dem Leistungsbild
   Tragwerksplanung (vgl. § 51 HOAI)</v>
      </c>
      <c r="Q44" s="31" t="s">
        <v>56</v>
      </c>
      <c r="R44" s="61"/>
      <c r="S44" s="64" t="s">
        <v>199</v>
      </c>
      <c r="T44" s="63"/>
      <c r="U44" s="61"/>
      <c r="V44" s="62" t="s">
        <v>21</v>
      </c>
      <c r="W44" s="62" t="s">
        <v>22</v>
      </c>
      <c r="X44" s="62" t="s">
        <v>23</v>
      </c>
      <c r="Y44" s="62" t="s">
        <v>24</v>
      </c>
      <c r="Z44" s="62" t="s">
        <v>25</v>
      </c>
      <c r="AA44" s="62" t="s">
        <v>26</v>
      </c>
      <c r="AB44" s="62" t="s">
        <v>28</v>
      </c>
      <c r="AC44" s="61"/>
      <c r="AD44" s="56" t="str">
        <f>"   "&amp;AD3&amp;""</f>
        <v xml:space="preserve">   Schalentragwerk</v>
      </c>
      <c r="AE44" s="31" t="s">
        <v>56</v>
      </c>
      <c r="AF44" s="61"/>
      <c r="AG44" s="214" t="s">
        <v>337</v>
      </c>
      <c r="AH44" s="214" t="s">
        <v>338</v>
      </c>
      <c r="AI44" s="214" t="s">
        <v>339</v>
      </c>
      <c r="AJ44" s="214" t="s">
        <v>341</v>
      </c>
      <c r="AK44" s="214" t="s">
        <v>340</v>
      </c>
    </row>
    <row r="45" spans="1:37" ht="37.5" customHeight="1" x14ac:dyDescent="0.25">
      <c r="A45" s="55"/>
      <c r="B45" s="357"/>
      <c r="C45" s="57"/>
      <c r="D45" s="59" t="s">
        <v>85</v>
      </c>
      <c r="E45" s="32"/>
      <c r="F45" s="57"/>
      <c r="G45" s="56" t="s">
        <v>87</v>
      </c>
      <c r="H45" s="32"/>
      <c r="I45" s="57"/>
      <c r="J45" s="56" t="s">
        <v>88</v>
      </c>
      <c r="K45" s="34"/>
      <c r="L45" s="60"/>
      <c r="M45" s="59" t="str">
        <f>IF(P3="Tragwerksplanung (vgl. § 51 HOAI)","   Abschluss LP 6
   (MM.JJJJ)","   Abschluss LP 7
   (MM.JJJJ)")</f>
        <v xml:space="preserve">   Abschluss LP 6
   (MM.JJJJ)</v>
      </c>
      <c r="N45" s="35"/>
      <c r="O45" s="57"/>
      <c r="P45" s="58" t="s">
        <v>92</v>
      </c>
      <c r="Q45" s="31"/>
      <c r="R45" s="57"/>
      <c r="S45" s="58" t="s">
        <v>93</v>
      </c>
      <c r="T45" s="33"/>
      <c r="U45" s="57"/>
      <c r="V45" s="31" t="s">
        <v>56</v>
      </c>
      <c r="W45" s="31" t="s">
        <v>56</v>
      </c>
      <c r="X45" s="31" t="s">
        <v>56</v>
      </c>
      <c r="Y45" s="31" t="s">
        <v>56</v>
      </c>
      <c r="Z45" s="31" t="s">
        <v>56</v>
      </c>
      <c r="AA45" s="31" t="s">
        <v>56</v>
      </c>
      <c r="AB45" s="31" t="s">
        <v>56</v>
      </c>
      <c r="AC45" s="57"/>
      <c r="AD45" s="56" t="str">
        <f>"   "&amp;AE3&amp;""</f>
        <v xml:space="preserve">   Denkmalschutz</v>
      </c>
      <c r="AE45" s="31" t="s">
        <v>56</v>
      </c>
      <c r="AF45" s="57"/>
      <c r="AG45" s="31" t="s">
        <v>56</v>
      </c>
      <c r="AH45" s="31" t="s">
        <v>56</v>
      </c>
      <c r="AI45" s="31" t="s">
        <v>56</v>
      </c>
      <c r="AJ45" s="31" t="s">
        <v>56</v>
      </c>
      <c r="AK45" s="31" t="s">
        <v>56</v>
      </c>
    </row>
    <row r="46" spans="1:37" ht="7.5" customHeight="1" x14ac:dyDescent="0.25">
      <c r="A46" s="55"/>
      <c r="B46" s="71"/>
      <c r="C46" s="67"/>
      <c r="D46" s="56"/>
      <c r="E46" s="70"/>
      <c r="F46" s="67"/>
      <c r="G46" s="56"/>
      <c r="H46" s="69"/>
      <c r="I46" s="67"/>
      <c r="J46" s="56"/>
      <c r="K46" s="56"/>
      <c r="L46" s="67"/>
      <c r="M46" s="56"/>
      <c r="N46" s="147"/>
      <c r="O46" s="67"/>
      <c r="P46" s="56"/>
      <c r="Q46" s="69"/>
      <c r="R46" s="67"/>
      <c r="S46" s="56"/>
      <c r="T46" s="69"/>
      <c r="U46" s="67"/>
      <c r="V46" s="68"/>
      <c r="W46" s="68"/>
      <c r="X46" s="68"/>
      <c r="Y46" s="68"/>
      <c r="Z46" s="68"/>
      <c r="AA46" s="68"/>
      <c r="AB46" s="68"/>
      <c r="AC46" s="67"/>
      <c r="AD46" s="56"/>
      <c r="AE46" s="68"/>
      <c r="AF46" s="67"/>
      <c r="AG46" s="213" t="b">
        <f>IF(AG45="ja",1)</f>
        <v>0</v>
      </c>
      <c r="AH46" s="213" t="b">
        <f>IF(AH45="ja",1)</f>
        <v>0</v>
      </c>
      <c r="AI46" s="213" t="b">
        <f>IF(AI45="ja",1)</f>
        <v>0</v>
      </c>
      <c r="AJ46" s="213" t="b">
        <f>IF(AJ45="ja",1)</f>
        <v>0</v>
      </c>
      <c r="AK46" s="213" t="b">
        <f>IF(AK45="ja",1)</f>
        <v>0</v>
      </c>
    </row>
    <row r="47" spans="1:37" ht="37.5" customHeight="1" x14ac:dyDescent="0.25">
      <c r="A47" s="55"/>
      <c r="B47" s="356" t="s">
        <v>105</v>
      </c>
      <c r="C47" s="61"/>
      <c r="D47" s="59" t="s">
        <v>84</v>
      </c>
      <c r="E47" s="32"/>
      <c r="F47" s="61"/>
      <c r="G47" s="56" t="s">
        <v>86</v>
      </c>
      <c r="H47" s="32"/>
      <c r="I47" s="61"/>
      <c r="J47" s="56" t="s">
        <v>91</v>
      </c>
      <c r="K47" s="34"/>
      <c r="L47" s="61"/>
      <c r="M47" s="59" t="s">
        <v>89</v>
      </c>
      <c r="N47" s="146"/>
      <c r="O47" s="61"/>
      <c r="P47" s="58" t="str">
        <f>"   Die erbrachten Leistungen entsprechen dem Leistungsbild
   "&amp;P3&amp;""</f>
        <v xml:space="preserve">   Die erbrachten Leistungen entsprechen dem Leistungsbild
   Tragwerksplanung (vgl. § 51 HOAI)</v>
      </c>
      <c r="Q47" s="31" t="s">
        <v>56</v>
      </c>
      <c r="R47" s="61"/>
      <c r="S47" s="64" t="s">
        <v>199</v>
      </c>
      <c r="T47" s="63"/>
      <c r="U47" s="61"/>
      <c r="V47" s="62" t="s">
        <v>21</v>
      </c>
      <c r="W47" s="62" t="s">
        <v>22</v>
      </c>
      <c r="X47" s="62" t="s">
        <v>23</v>
      </c>
      <c r="Y47" s="62" t="s">
        <v>24</v>
      </c>
      <c r="Z47" s="62" t="s">
        <v>25</v>
      </c>
      <c r="AA47" s="62" t="s">
        <v>26</v>
      </c>
      <c r="AB47" s="62" t="s">
        <v>28</v>
      </c>
      <c r="AC47" s="61"/>
      <c r="AD47" s="56" t="str">
        <f>"   "&amp;AD3&amp;""</f>
        <v xml:space="preserve">   Schalentragwerk</v>
      </c>
      <c r="AE47" s="31" t="s">
        <v>56</v>
      </c>
      <c r="AF47" s="61"/>
      <c r="AG47" s="214" t="s">
        <v>337</v>
      </c>
      <c r="AH47" s="214" t="s">
        <v>338</v>
      </c>
      <c r="AI47" s="214" t="s">
        <v>339</v>
      </c>
      <c r="AJ47" s="214" t="s">
        <v>341</v>
      </c>
      <c r="AK47" s="214" t="s">
        <v>340</v>
      </c>
    </row>
    <row r="48" spans="1:37" ht="37.5" customHeight="1" x14ac:dyDescent="0.25">
      <c r="A48" s="55"/>
      <c r="B48" s="357"/>
      <c r="C48" s="57"/>
      <c r="D48" s="59" t="s">
        <v>85</v>
      </c>
      <c r="E48" s="32"/>
      <c r="F48" s="57"/>
      <c r="G48" s="56" t="s">
        <v>87</v>
      </c>
      <c r="H48" s="32"/>
      <c r="I48" s="57"/>
      <c r="J48" s="56" t="s">
        <v>88</v>
      </c>
      <c r="K48" s="34"/>
      <c r="L48" s="60"/>
      <c r="M48" s="59" t="str">
        <f>IF(P3="Tragwerksplanung (vgl. § 51 HOAI)","   Abschluss LP 6
   (MM.JJJJ)","   Abschluss LP 7
   (MM.JJJJ)")</f>
        <v xml:space="preserve">   Abschluss LP 6
   (MM.JJJJ)</v>
      </c>
      <c r="N48" s="35"/>
      <c r="O48" s="57"/>
      <c r="P48" s="58" t="s">
        <v>92</v>
      </c>
      <c r="Q48" s="31"/>
      <c r="R48" s="57"/>
      <c r="S48" s="58" t="s">
        <v>93</v>
      </c>
      <c r="T48" s="33"/>
      <c r="U48" s="57"/>
      <c r="V48" s="31" t="s">
        <v>56</v>
      </c>
      <c r="W48" s="31" t="s">
        <v>56</v>
      </c>
      <c r="X48" s="31" t="s">
        <v>56</v>
      </c>
      <c r="Y48" s="31" t="s">
        <v>56</v>
      </c>
      <c r="Z48" s="31" t="s">
        <v>56</v>
      </c>
      <c r="AA48" s="31" t="s">
        <v>56</v>
      </c>
      <c r="AB48" s="31" t="s">
        <v>56</v>
      </c>
      <c r="AC48" s="57"/>
      <c r="AD48" s="56" t="str">
        <f>"   "&amp;AE3&amp;""</f>
        <v xml:space="preserve">   Denkmalschutz</v>
      </c>
      <c r="AE48" s="31" t="s">
        <v>56</v>
      </c>
      <c r="AF48" s="57"/>
      <c r="AG48" s="31" t="s">
        <v>56</v>
      </c>
      <c r="AH48" s="31" t="s">
        <v>56</v>
      </c>
      <c r="AI48" s="31" t="s">
        <v>56</v>
      </c>
      <c r="AJ48" s="31" t="s">
        <v>56</v>
      </c>
      <c r="AK48" s="31" t="s">
        <v>56</v>
      </c>
    </row>
    <row r="49" spans="1:37" ht="7.5" customHeight="1" x14ac:dyDescent="0.25">
      <c r="A49" s="55"/>
      <c r="B49" s="71"/>
      <c r="C49" s="67"/>
      <c r="D49" s="56"/>
      <c r="E49" s="70"/>
      <c r="F49" s="67"/>
      <c r="G49" s="56"/>
      <c r="H49" s="69"/>
      <c r="I49" s="67"/>
      <c r="J49" s="56"/>
      <c r="K49" s="56"/>
      <c r="L49" s="67"/>
      <c r="M49" s="56"/>
      <c r="N49" s="147"/>
      <c r="O49" s="67"/>
      <c r="P49" s="56"/>
      <c r="Q49" s="69"/>
      <c r="R49" s="67"/>
      <c r="S49" s="56"/>
      <c r="T49" s="69"/>
      <c r="U49" s="67"/>
      <c r="V49" s="68"/>
      <c r="W49" s="68"/>
      <c r="X49" s="68"/>
      <c r="Y49" s="68"/>
      <c r="Z49" s="68"/>
      <c r="AA49" s="68"/>
      <c r="AB49" s="68"/>
      <c r="AC49" s="67"/>
      <c r="AD49" s="56"/>
      <c r="AE49" s="68"/>
      <c r="AF49" s="67"/>
      <c r="AG49" s="213" t="b">
        <f>IF(AG48="ja",1)</f>
        <v>0</v>
      </c>
      <c r="AH49" s="213" t="b">
        <f>IF(AH48="ja",1)</f>
        <v>0</v>
      </c>
      <c r="AI49" s="213" t="b">
        <f>IF(AI48="ja",1)</f>
        <v>0</v>
      </c>
      <c r="AJ49" s="213" t="b">
        <f>IF(AJ48="ja",1)</f>
        <v>0</v>
      </c>
      <c r="AK49" s="213" t="b">
        <f>IF(AK48="ja",1)</f>
        <v>0</v>
      </c>
    </row>
    <row r="50" spans="1:37" ht="37.5" customHeight="1" x14ac:dyDescent="0.25">
      <c r="A50" s="55"/>
      <c r="B50" s="356" t="s">
        <v>106</v>
      </c>
      <c r="C50" s="61"/>
      <c r="D50" s="59" t="s">
        <v>84</v>
      </c>
      <c r="E50" s="32"/>
      <c r="F50" s="61"/>
      <c r="G50" s="56" t="s">
        <v>86</v>
      </c>
      <c r="H50" s="32"/>
      <c r="I50" s="61"/>
      <c r="J50" s="56" t="s">
        <v>91</v>
      </c>
      <c r="K50" s="34"/>
      <c r="L50" s="61"/>
      <c r="M50" s="59" t="s">
        <v>89</v>
      </c>
      <c r="N50" s="146"/>
      <c r="O50" s="61"/>
      <c r="P50" s="58" t="str">
        <f>"   Die erbrachten Leistungen entsprechen dem Leistungsbild
   "&amp;P3&amp;""</f>
        <v xml:space="preserve">   Die erbrachten Leistungen entsprechen dem Leistungsbild
   Tragwerksplanung (vgl. § 51 HOAI)</v>
      </c>
      <c r="Q50" s="31" t="s">
        <v>56</v>
      </c>
      <c r="R50" s="61"/>
      <c r="S50" s="64" t="s">
        <v>199</v>
      </c>
      <c r="T50" s="63"/>
      <c r="U50" s="61"/>
      <c r="V50" s="62" t="s">
        <v>21</v>
      </c>
      <c r="W50" s="62" t="s">
        <v>22</v>
      </c>
      <c r="X50" s="62" t="s">
        <v>23</v>
      </c>
      <c r="Y50" s="62" t="s">
        <v>24</v>
      </c>
      <c r="Z50" s="62" t="s">
        <v>25</v>
      </c>
      <c r="AA50" s="62" t="s">
        <v>26</v>
      </c>
      <c r="AB50" s="62" t="s">
        <v>28</v>
      </c>
      <c r="AC50" s="61"/>
      <c r="AD50" s="56" t="str">
        <f>"   "&amp;AD3&amp;""</f>
        <v xml:space="preserve">   Schalentragwerk</v>
      </c>
      <c r="AE50" s="31" t="s">
        <v>56</v>
      </c>
      <c r="AF50" s="61"/>
      <c r="AG50" s="214" t="s">
        <v>337</v>
      </c>
      <c r="AH50" s="214" t="s">
        <v>338</v>
      </c>
      <c r="AI50" s="214" t="s">
        <v>339</v>
      </c>
      <c r="AJ50" s="214" t="s">
        <v>341</v>
      </c>
      <c r="AK50" s="214" t="s">
        <v>340</v>
      </c>
    </row>
    <row r="51" spans="1:37" ht="37.5" customHeight="1" x14ac:dyDescent="0.25">
      <c r="A51" s="55"/>
      <c r="B51" s="357"/>
      <c r="C51" s="57"/>
      <c r="D51" s="59" t="s">
        <v>85</v>
      </c>
      <c r="E51" s="32"/>
      <c r="F51" s="57"/>
      <c r="G51" s="56" t="s">
        <v>87</v>
      </c>
      <c r="H51" s="32"/>
      <c r="I51" s="57"/>
      <c r="J51" s="56" t="s">
        <v>88</v>
      </c>
      <c r="K51" s="34"/>
      <c r="L51" s="60"/>
      <c r="M51" s="59" t="str">
        <f>IF(P3="Tragwerksplanung (vgl. § 51 HOAI)","   Abschluss LP 6
   (MM.JJJJ)","   Abschluss LP 7
   (MM.JJJJ)")</f>
        <v xml:space="preserve">   Abschluss LP 6
   (MM.JJJJ)</v>
      </c>
      <c r="N51" s="35"/>
      <c r="O51" s="57"/>
      <c r="P51" s="58" t="s">
        <v>92</v>
      </c>
      <c r="Q51" s="31"/>
      <c r="R51" s="57"/>
      <c r="S51" s="58" t="s">
        <v>93</v>
      </c>
      <c r="T51" s="33"/>
      <c r="U51" s="57"/>
      <c r="V51" s="31" t="s">
        <v>56</v>
      </c>
      <c r="W51" s="31" t="s">
        <v>56</v>
      </c>
      <c r="X51" s="31" t="s">
        <v>56</v>
      </c>
      <c r="Y51" s="31" t="s">
        <v>56</v>
      </c>
      <c r="Z51" s="31" t="s">
        <v>56</v>
      </c>
      <c r="AA51" s="31" t="s">
        <v>56</v>
      </c>
      <c r="AB51" s="31" t="s">
        <v>56</v>
      </c>
      <c r="AC51" s="57"/>
      <c r="AD51" s="56" t="str">
        <f>"   "&amp;AE3&amp;""</f>
        <v xml:space="preserve">   Denkmalschutz</v>
      </c>
      <c r="AE51" s="31" t="s">
        <v>56</v>
      </c>
      <c r="AF51" s="57"/>
      <c r="AG51" s="31" t="s">
        <v>56</v>
      </c>
      <c r="AH51" s="31" t="s">
        <v>56</v>
      </c>
      <c r="AI51" s="31" t="s">
        <v>56</v>
      </c>
      <c r="AJ51" s="31" t="s">
        <v>56</v>
      </c>
      <c r="AK51" s="31" t="s">
        <v>56</v>
      </c>
    </row>
    <row r="52" spans="1:37" ht="7.5" customHeight="1" x14ac:dyDescent="0.25">
      <c r="A52" s="55"/>
      <c r="B52" s="71"/>
      <c r="C52" s="67"/>
      <c r="D52" s="56"/>
      <c r="E52" s="70"/>
      <c r="F52" s="67"/>
      <c r="G52" s="56"/>
      <c r="H52" s="69"/>
      <c r="I52" s="67"/>
      <c r="J52" s="56"/>
      <c r="K52" s="56"/>
      <c r="L52" s="67"/>
      <c r="M52" s="56"/>
      <c r="N52" s="147"/>
      <c r="O52" s="67"/>
      <c r="P52" s="56"/>
      <c r="Q52" s="69"/>
      <c r="R52" s="67"/>
      <c r="S52" s="56"/>
      <c r="T52" s="69"/>
      <c r="U52" s="67"/>
      <c r="V52" s="68"/>
      <c r="W52" s="68"/>
      <c r="X52" s="68"/>
      <c r="Y52" s="68"/>
      <c r="Z52" s="68"/>
      <c r="AA52" s="68"/>
      <c r="AB52" s="68"/>
      <c r="AC52" s="67"/>
      <c r="AD52" s="56"/>
      <c r="AE52" s="68"/>
      <c r="AF52" s="67"/>
      <c r="AG52" s="213" t="b">
        <f>IF(AG51="ja",1)</f>
        <v>0</v>
      </c>
      <c r="AH52" s="213" t="b">
        <f>IF(AH51="ja",1)</f>
        <v>0</v>
      </c>
      <c r="AI52" s="213" t="b">
        <f>IF(AI51="ja",1)</f>
        <v>0</v>
      </c>
      <c r="AJ52" s="213" t="b">
        <f>IF(AJ51="ja",1)</f>
        <v>0</v>
      </c>
      <c r="AK52" s="213" t="b">
        <f>IF(AK51="ja",1)</f>
        <v>0</v>
      </c>
    </row>
    <row r="53" spans="1:37" ht="37.5" customHeight="1" x14ac:dyDescent="0.25">
      <c r="A53" s="55"/>
      <c r="B53" s="356" t="s">
        <v>107</v>
      </c>
      <c r="C53" s="61"/>
      <c r="D53" s="59" t="s">
        <v>84</v>
      </c>
      <c r="E53" s="32"/>
      <c r="F53" s="61"/>
      <c r="G53" s="56" t="s">
        <v>86</v>
      </c>
      <c r="H53" s="32"/>
      <c r="I53" s="61"/>
      <c r="J53" s="56" t="s">
        <v>91</v>
      </c>
      <c r="K53" s="34"/>
      <c r="L53" s="61"/>
      <c r="M53" s="59" t="s">
        <v>89</v>
      </c>
      <c r="N53" s="146"/>
      <c r="O53" s="61"/>
      <c r="P53" s="58" t="str">
        <f>"   Die erbrachten Leistungen entsprechen dem Leistungsbild
   "&amp;P3&amp;""</f>
        <v xml:space="preserve">   Die erbrachten Leistungen entsprechen dem Leistungsbild
   Tragwerksplanung (vgl. § 51 HOAI)</v>
      </c>
      <c r="Q53" s="31" t="s">
        <v>56</v>
      </c>
      <c r="R53" s="61"/>
      <c r="S53" s="64" t="s">
        <v>199</v>
      </c>
      <c r="T53" s="63"/>
      <c r="U53" s="61"/>
      <c r="V53" s="62" t="s">
        <v>21</v>
      </c>
      <c r="W53" s="62" t="s">
        <v>22</v>
      </c>
      <c r="X53" s="62" t="s">
        <v>23</v>
      </c>
      <c r="Y53" s="62" t="s">
        <v>24</v>
      </c>
      <c r="Z53" s="62" t="s">
        <v>25</v>
      </c>
      <c r="AA53" s="62" t="s">
        <v>26</v>
      </c>
      <c r="AB53" s="62" t="s">
        <v>28</v>
      </c>
      <c r="AC53" s="61"/>
      <c r="AD53" s="56" t="str">
        <f>"   "&amp;AD3&amp;""</f>
        <v xml:space="preserve">   Schalentragwerk</v>
      </c>
      <c r="AE53" s="31" t="s">
        <v>56</v>
      </c>
      <c r="AF53" s="61"/>
      <c r="AG53" s="214" t="s">
        <v>337</v>
      </c>
      <c r="AH53" s="214" t="s">
        <v>338</v>
      </c>
      <c r="AI53" s="214" t="s">
        <v>339</v>
      </c>
      <c r="AJ53" s="214" t="s">
        <v>341</v>
      </c>
      <c r="AK53" s="214" t="s">
        <v>340</v>
      </c>
    </row>
    <row r="54" spans="1:37" ht="37.5" customHeight="1" x14ac:dyDescent="0.25">
      <c r="A54" s="55"/>
      <c r="B54" s="357"/>
      <c r="C54" s="57"/>
      <c r="D54" s="59" t="s">
        <v>85</v>
      </c>
      <c r="E54" s="32"/>
      <c r="F54" s="57"/>
      <c r="G54" s="56" t="s">
        <v>87</v>
      </c>
      <c r="H54" s="32"/>
      <c r="I54" s="57"/>
      <c r="J54" s="56" t="s">
        <v>88</v>
      </c>
      <c r="K54" s="34"/>
      <c r="L54" s="60"/>
      <c r="M54" s="59" t="str">
        <f>IF(P3="Tragwerksplanung (vgl. § 51 HOAI)","   Abschluss LP 6
   (MM.JJJJ)","   Abschluss LP 7
   (MM.JJJJ)")</f>
        <v xml:space="preserve">   Abschluss LP 6
   (MM.JJJJ)</v>
      </c>
      <c r="N54" s="35"/>
      <c r="O54" s="57"/>
      <c r="P54" s="58" t="s">
        <v>92</v>
      </c>
      <c r="Q54" s="31"/>
      <c r="R54" s="57"/>
      <c r="S54" s="58" t="s">
        <v>93</v>
      </c>
      <c r="T54" s="33"/>
      <c r="U54" s="57"/>
      <c r="V54" s="31" t="s">
        <v>56</v>
      </c>
      <c r="W54" s="31" t="s">
        <v>56</v>
      </c>
      <c r="X54" s="31" t="s">
        <v>56</v>
      </c>
      <c r="Y54" s="31" t="s">
        <v>56</v>
      </c>
      <c r="Z54" s="31" t="s">
        <v>56</v>
      </c>
      <c r="AA54" s="31" t="s">
        <v>56</v>
      </c>
      <c r="AB54" s="31" t="s">
        <v>56</v>
      </c>
      <c r="AC54" s="57"/>
      <c r="AD54" s="56" t="str">
        <f>"   "&amp;AE3&amp;""</f>
        <v xml:space="preserve">   Denkmalschutz</v>
      </c>
      <c r="AE54" s="31" t="s">
        <v>56</v>
      </c>
      <c r="AF54" s="57"/>
      <c r="AG54" s="31" t="s">
        <v>56</v>
      </c>
      <c r="AH54" s="31" t="s">
        <v>56</v>
      </c>
      <c r="AI54" s="31" t="s">
        <v>56</v>
      </c>
      <c r="AJ54" s="31" t="s">
        <v>56</v>
      </c>
      <c r="AK54" s="31" t="s">
        <v>56</v>
      </c>
    </row>
    <row r="55" spans="1:37" ht="7.5" customHeight="1" x14ac:dyDescent="0.25">
      <c r="A55" s="55"/>
      <c r="B55" s="71"/>
      <c r="C55" s="67"/>
      <c r="D55" s="56"/>
      <c r="E55" s="70"/>
      <c r="F55" s="67"/>
      <c r="G55" s="56"/>
      <c r="H55" s="69"/>
      <c r="I55" s="67"/>
      <c r="J55" s="56"/>
      <c r="K55" s="56"/>
      <c r="L55" s="67"/>
      <c r="M55" s="56"/>
      <c r="N55" s="147"/>
      <c r="O55" s="67"/>
      <c r="P55" s="56"/>
      <c r="Q55" s="69"/>
      <c r="R55" s="67"/>
      <c r="S55" s="56"/>
      <c r="T55" s="69"/>
      <c r="U55" s="67"/>
      <c r="V55" s="68"/>
      <c r="W55" s="68"/>
      <c r="X55" s="68"/>
      <c r="Y55" s="68"/>
      <c r="Z55" s="68"/>
      <c r="AA55" s="68"/>
      <c r="AB55" s="68"/>
      <c r="AC55" s="67"/>
      <c r="AD55" s="56"/>
      <c r="AE55" s="68"/>
      <c r="AF55" s="67"/>
      <c r="AG55" s="213" t="b">
        <f>IF(AG54="ja",1)</f>
        <v>0</v>
      </c>
      <c r="AH55" s="213" t="b">
        <f>IF(AH54="ja",1)</f>
        <v>0</v>
      </c>
      <c r="AI55" s="213" t="b">
        <f>IF(AI54="ja",1)</f>
        <v>0</v>
      </c>
      <c r="AJ55" s="213" t="b">
        <f>IF(AJ54="ja",1)</f>
        <v>0</v>
      </c>
      <c r="AK55" s="213" t="b">
        <f>IF(AK54="ja",1)</f>
        <v>0</v>
      </c>
    </row>
    <row r="56" spans="1:37" ht="37.5" customHeight="1" x14ac:dyDescent="0.25">
      <c r="A56" s="55"/>
      <c r="B56" s="356" t="s">
        <v>108</v>
      </c>
      <c r="C56" s="61"/>
      <c r="D56" s="59" t="s">
        <v>84</v>
      </c>
      <c r="E56" s="32"/>
      <c r="F56" s="61"/>
      <c r="G56" s="56" t="s">
        <v>86</v>
      </c>
      <c r="H56" s="32"/>
      <c r="I56" s="61"/>
      <c r="J56" s="56" t="s">
        <v>91</v>
      </c>
      <c r="K56" s="34"/>
      <c r="L56" s="61"/>
      <c r="M56" s="59" t="s">
        <v>89</v>
      </c>
      <c r="N56" s="146"/>
      <c r="O56" s="61"/>
      <c r="P56" s="58" t="str">
        <f>"   Die erbrachten Leistungen entsprechen dem Leistungsbild
   "&amp;P3&amp;""</f>
        <v xml:space="preserve">   Die erbrachten Leistungen entsprechen dem Leistungsbild
   Tragwerksplanung (vgl. § 51 HOAI)</v>
      </c>
      <c r="Q56" s="31" t="s">
        <v>56</v>
      </c>
      <c r="R56" s="61"/>
      <c r="S56" s="64" t="s">
        <v>199</v>
      </c>
      <c r="T56" s="63"/>
      <c r="U56" s="61"/>
      <c r="V56" s="62" t="s">
        <v>21</v>
      </c>
      <c r="W56" s="62" t="s">
        <v>22</v>
      </c>
      <c r="X56" s="62" t="s">
        <v>23</v>
      </c>
      <c r="Y56" s="62" t="s">
        <v>24</v>
      </c>
      <c r="Z56" s="62" t="s">
        <v>25</v>
      </c>
      <c r="AA56" s="62" t="s">
        <v>26</v>
      </c>
      <c r="AB56" s="62" t="s">
        <v>28</v>
      </c>
      <c r="AC56" s="61"/>
      <c r="AD56" s="56" t="str">
        <f>"   "&amp;AD3&amp;""</f>
        <v xml:space="preserve">   Schalentragwerk</v>
      </c>
      <c r="AE56" s="31" t="s">
        <v>56</v>
      </c>
      <c r="AF56" s="61"/>
      <c r="AG56" s="214" t="s">
        <v>337</v>
      </c>
      <c r="AH56" s="214" t="s">
        <v>338</v>
      </c>
      <c r="AI56" s="214" t="s">
        <v>339</v>
      </c>
      <c r="AJ56" s="214" t="s">
        <v>341</v>
      </c>
      <c r="AK56" s="214" t="s">
        <v>340</v>
      </c>
    </row>
    <row r="57" spans="1:37" ht="37.5" customHeight="1" x14ac:dyDescent="0.25">
      <c r="A57" s="55"/>
      <c r="B57" s="357"/>
      <c r="C57" s="57"/>
      <c r="D57" s="59" t="s">
        <v>85</v>
      </c>
      <c r="E57" s="32"/>
      <c r="F57" s="57"/>
      <c r="G57" s="56" t="s">
        <v>87</v>
      </c>
      <c r="H57" s="32"/>
      <c r="I57" s="57"/>
      <c r="J57" s="56" t="s">
        <v>88</v>
      </c>
      <c r="K57" s="34"/>
      <c r="L57" s="60"/>
      <c r="M57" s="59" t="str">
        <f>IF(P3="Tragwerksplanung (vgl. § 51 HOAI)","   Abschluss LP 6
   (MM.JJJJ)","   Abschluss LP 7
   (MM.JJJJ)")</f>
        <v xml:space="preserve">   Abschluss LP 6
   (MM.JJJJ)</v>
      </c>
      <c r="N57" s="35"/>
      <c r="O57" s="57"/>
      <c r="P57" s="58" t="s">
        <v>92</v>
      </c>
      <c r="Q57" s="31"/>
      <c r="R57" s="57"/>
      <c r="S57" s="58" t="s">
        <v>93</v>
      </c>
      <c r="T57" s="33"/>
      <c r="U57" s="57"/>
      <c r="V57" s="31" t="s">
        <v>56</v>
      </c>
      <c r="W57" s="31" t="s">
        <v>56</v>
      </c>
      <c r="X57" s="31" t="s">
        <v>56</v>
      </c>
      <c r="Y57" s="31" t="s">
        <v>56</v>
      </c>
      <c r="Z57" s="31" t="s">
        <v>56</v>
      </c>
      <c r="AA57" s="31" t="s">
        <v>56</v>
      </c>
      <c r="AB57" s="31" t="s">
        <v>56</v>
      </c>
      <c r="AC57" s="57"/>
      <c r="AD57" s="56" t="str">
        <f>"   "&amp;AE3&amp;""</f>
        <v xml:space="preserve">   Denkmalschutz</v>
      </c>
      <c r="AE57" s="31" t="s">
        <v>56</v>
      </c>
      <c r="AF57" s="57"/>
      <c r="AG57" s="31" t="s">
        <v>56</v>
      </c>
      <c r="AH57" s="31" t="s">
        <v>56</v>
      </c>
      <c r="AI57" s="31" t="s">
        <v>56</v>
      </c>
      <c r="AJ57" s="31" t="s">
        <v>56</v>
      </c>
      <c r="AK57" s="31" t="s">
        <v>56</v>
      </c>
    </row>
    <row r="58" spans="1:37" ht="7.5" customHeight="1" x14ac:dyDescent="0.25">
      <c r="A58" s="55"/>
      <c r="B58" s="71"/>
      <c r="C58" s="67"/>
      <c r="D58" s="56"/>
      <c r="E58" s="70"/>
      <c r="F58" s="67"/>
      <c r="G58" s="56"/>
      <c r="H58" s="69"/>
      <c r="I58" s="67"/>
      <c r="J58" s="56"/>
      <c r="K58" s="56"/>
      <c r="L58" s="67"/>
      <c r="M58" s="56"/>
      <c r="N58" s="147"/>
      <c r="O58" s="67"/>
      <c r="P58" s="56"/>
      <c r="Q58" s="69"/>
      <c r="R58" s="67"/>
      <c r="S58" s="56"/>
      <c r="T58" s="69"/>
      <c r="U58" s="67"/>
      <c r="V58" s="68"/>
      <c r="W58" s="68"/>
      <c r="X58" s="68"/>
      <c r="Y58" s="68"/>
      <c r="Z58" s="68"/>
      <c r="AA58" s="68"/>
      <c r="AB58" s="68"/>
      <c r="AC58" s="67"/>
      <c r="AD58" s="56"/>
      <c r="AE58" s="68"/>
      <c r="AF58" s="67"/>
      <c r="AG58" s="213" t="b">
        <f>IF(AG57="ja",1)</f>
        <v>0</v>
      </c>
      <c r="AH58" s="213" t="b">
        <f>IF(AH57="ja",1)</f>
        <v>0</v>
      </c>
      <c r="AI58" s="213" t="b">
        <f>IF(AI57="ja",1)</f>
        <v>0</v>
      </c>
      <c r="AJ58" s="213" t="b">
        <f>IF(AJ57="ja",1)</f>
        <v>0</v>
      </c>
      <c r="AK58" s="213" t="b">
        <f>IF(AK57="ja",1)</f>
        <v>0</v>
      </c>
    </row>
    <row r="59" spans="1:37" ht="37.5" customHeight="1" x14ac:dyDescent="0.25">
      <c r="A59" s="55"/>
      <c r="B59" s="356" t="s">
        <v>109</v>
      </c>
      <c r="C59" s="61"/>
      <c r="D59" s="59" t="s">
        <v>84</v>
      </c>
      <c r="E59" s="32"/>
      <c r="F59" s="61"/>
      <c r="G59" s="56" t="s">
        <v>86</v>
      </c>
      <c r="H59" s="32"/>
      <c r="I59" s="61"/>
      <c r="J59" s="56" t="s">
        <v>91</v>
      </c>
      <c r="K59" s="34"/>
      <c r="L59" s="61"/>
      <c r="M59" s="59" t="s">
        <v>89</v>
      </c>
      <c r="N59" s="146"/>
      <c r="O59" s="61"/>
      <c r="P59" s="58" t="str">
        <f>"   Die erbrachten Leistungen entsprechen dem Leistungsbild
   "&amp;P3&amp;""</f>
        <v xml:space="preserve">   Die erbrachten Leistungen entsprechen dem Leistungsbild
   Tragwerksplanung (vgl. § 51 HOAI)</v>
      </c>
      <c r="Q59" s="31" t="s">
        <v>56</v>
      </c>
      <c r="R59" s="61"/>
      <c r="S59" s="64" t="s">
        <v>199</v>
      </c>
      <c r="T59" s="63"/>
      <c r="U59" s="61"/>
      <c r="V59" s="62" t="s">
        <v>21</v>
      </c>
      <c r="W59" s="62" t="s">
        <v>22</v>
      </c>
      <c r="X59" s="62" t="s">
        <v>23</v>
      </c>
      <c r="Y59" s="62" t="s">
        <v>24</v>
      </c>
      <c r="Z59" s="62" t="s">
        <v>25</v>
      </c>
      <c r="AA59" s="62" t="s">
        <v>26</v>
      </c>
      <c r="AB59" s="62" t="s">
        <v>28</v>
      </c>
      <c r="AC59" s="61"/>
      <c r="AD59" s="56" t="str">
        <f>"   "&amp;AD3&amp;""</f>
        <v xml:space="preserve">   Schalentragwerk</v>
      </c>
      <c r="AE59" s="31" t="s">
        <v>56</v>
      </c>
      <c r="AF59" s="61"/>
      <c r="AG59" s="214" t="s">
        <v>337</v>
      </c>
      <c r="AH59" s="214" t="s">
        <v>338</v>
      </c>
      <c r="AI59" s="214" t="s">
        <v>339</v>
      </c>
      <c r="AJ59" s="214" t="s">
        <v>341</v>
      </c>
      <c r="AK59" s="214" t="s">
        <v>340</v>
      </c>
    </row>
    <row r="60" spans="1:37" ht="37.5" customHeight="1" x14ac:dyDescent="0.25">
      <c r="A60" s="55"/>
      <c r="B60" s="357"/>
      <c r="C60" s="57"/>
      <c r="D60" s="59" t="s">
        <v>85</v>
      </c>
      <c r="E60" s="32"/>
      <c r="F60" s="57"/>
      <c r="G60" s="56" t="s">
        <v>87</v>
      </c>
      <c r="H60" s="32"/>
      <c r="I60" s="57"/>
      <c r="J60" s="56" t="s">
        <v>88</v>
      </c>
      <c r="K60" s="34"/>
      <c r="L60" s="60"/>
      <c r="M60" s="59" t="str">
        <f>IF(P3="Tragwerksplanung (vgl. § 51 HOAI)","   Abschluss LP 6
   (MM.JJJJ)","   Abschluss LP 7
   (MM.JJJJ)")</f>
        <v xml:space="preserve">   Abschluss LP 6
   (MM.JJJJ)</v>
      </c>
      <c r="N60" s="35"/>
      <c r="O60" s="57"/>
      <c r="P60" s="58" t="s">
        <v>92</v>
      </c>
      <c r="Q60" s="31"/>
      <c r="R60" s="57"/>
      <c r="S60" s="58" t="s">
        <v>93</v>
      </c>
      <c r="T60" s="33"/>
      <c r="U60" s="57"/>
      <c r="V60" s="31" t="s">
        <v>56</v>
      </c>
      <c r="W60" s="31" t="s">
        <v>56</v>
      </c>
      <c r="X60" s="31" t="s">
        <v>56</v>
      </c>
      <c r="Y60" s="31" t="s">
        <v>56</v>
      </c>
      <c r="Z60" s="31" t="s">
        <v>56</v>
      </c>
      <c r="AA60" s="31" t="s">
        <v>56</v>
      </c>
      <c r="AB60" s="31" t="s">
        <v>56</v>
      </c>
      <c r="AC60" s="57"/>
      <c r="AD60" s="56" t="str">
        <f>"   "&amp;AE3&amp;""</f>
        <v xml:space="preserve">   Denkmalschutz</v>
      </c>
      <c r="AE60" s="31" t="s">
        <v>56</v>
      </c>
      <c r="AF60" s="57"/>
      <c r="AG60" s="31" t="s">
        <v>56</v>
      </c>
      <c r="AH60" s="31" t="s">
        <v>56</v>
      </c>
      <c r="AI60" s="31" t="s">
        <v>56</v>
      </c>
      <c r="AJ60" s="31" t="s">
        <v>56</v>
      </c>
      <c r="AK60" s="31" t="s">
        <v>56</v>
      </c>
    </row>
    <row r="61" spans="1:37" ht="7.5" customHeight="1" x14ac:dyDescent="0.25">
      <c r="A61" s="55"/>
      <c r="B61" s="71"/>
      <c r="C61" s="67"/>
      <c r="D61" s="56"/>
      <c r="E61" s="70"/>
      <c r="F61" s="67"/>
      <c r="G61" s="56"/>
      <c r="H61" s="69"/>
      <c r="I61" s="67"/>
      <c r="J61" s="56"/>
      <c r="K61" s="56"/>
      <c r="L61" s="67"/>
      <c r="M61" s="56"/>
      <c r="N61" s="147"/>
      <c r="O61" s="67"/>
      <c r="P61" s="56"/>
      <c r="Q61" s="69"/>
      <c r="R61" s="67"/>
      <c r="S61" s="56"/>
      <c r="T61" s="69"/>
      <c r="U61" s="67"/>
      <c r="V61" s="68"/>
      <c r="W61" s="68"/>
      <c r="X61" s="68"/>
      <c r="Y61" s="68"/>
      <c r="Z61" s="68"/>
      <c r="AA61" s="68"/>
      <c r="AB61" s="68"/>
      <c r="AC61" s="67"/>
      <c r="AD61" s="56"/>
      <c r="AE61" s="68"/>
      <c r="AF61" s="67"/>
      <c r="AG61" s="213" t="b">
        <f>IF(AG60="ja",1)</f>
        <v>0</v>
      </c>
      <c r="AH61" s="213" t="b">
        <f>IF(AH60="ja",1)</f>
        <v>0</v>
      </c>
      <c r="AI61" s="213" t="b">
        <f>IF(AI60="ja",1)</f>
        <v>0</v>
      </c>
      <c r="AJ61" s="213" t="b">
        <f>IF(AJ60="ja",1)</f>
        <v>0</v>
      </c>
      <c r="AK61" s="213" t="b">
        <f>IF(AK60="ja",1)</f>
        <v>0</v>
      </c>
    </row>
    <row r="62" spans="1:37" ht="37.5" customHeight="1" x14ac:dyDescent="0.25">
      <c r="A62" s="55"/>
      <c r="B62" s="356" t="s">
        <v>110</v>
      </c>
      <c r="C62" s="61"/>
      <c r="D62" s="59" t="s">
        <v>84</v>
      </c>
      <c r="E62" s="32"/>
      <c r="F62" s="61"/>
      <c r="G62" s="56" t="s">
        <v>86</v>
      </c>
      <c r="H62" s="32"/>
      <c r="I62" s="61"/>
      <c r="J62" s="56" t="s">
        <v>91</v>
      </c>
      <c r="K62" s="34"/>
      <c r="L62" s="61"/>
      <c r="M62" s="59" t="s">
        <v>89</v>
      </c>
      <c r="N62" s="146"/>
      <c r="O62" s="61"/>
      <c r="P62" s="58" t="str">
        <f>"   Die erbrachten Leistungen entsprechen dem Leistungsbild
   "&amp;P3&amp;""</f>
        <v xml:space="preserve">   Die erbrachten Leistungen entsprechen dem Leistungsbild
   Tragwerksplanung (vgl. § 51 HOAI)</v>
      </c>
      <c r="Q62" s="31" t="s">
        <v>56</v>
      </c>
      <c r="R62" s="61"/>
      <c r="S62" s="64" t="s">
        <v>199</v>
      </c>
      <c r="T62" s="63"/>
      <c r="U62" s="61"/>
      <c r="V62" s="62" t="s">
        <v>21</v>
      </c>
      <c r="W62" s="62" t="s">
        <v>22</v>
      </c>
      <c r="X62" s="62" t="s">
        <v>23</v>
      </c>
      <c r="Y62" s="62" t="s">
        <v>24</v>
      </c>
      <c r="Z62" s="62" t="s">
        <v>25</v>
      </c>
      <c r="AA62" s="62" t="s">
        <v>26</v>
      </c>
      <c r="AB62" s="62" t="s">
        <v>28</v>
      </c>
      <c r="AC62" s="61"/>
      <c r="AD62" s="56" t="str">
        <f>"   "&amp;AD3&amp;""</f>
        <v xml:space="preserve">   Schalentragwerk</v>
      </c>
      <c r="AE62" s="31" t="s">
        <v>56</v>
      </c>
      <c r="AF62" s="61"/>
      <c r="AG62" s="214" t="s">
        <v>337</v>
      </c>
      <c r="AH62" s="214" t="s">
        <v>338</v>
      </c>
      <c r="AI62" s="214" t="s">
        <v>339</v>
      </c>
      <c r="AJ62" s="214" t="s">
        <v>341</v>
      </c>
      <c r="AK62" s="214" t="s">
        <v>340</v>
      </c>
    </row>
    <row r="63" spans="1:37" ht="37.5" customHeight="1" x14ac:dyDescent="0.25">
      <c r="A63" s="55"/>
      <c r="B63" s="357"/>
      <c r="C63" s="57"/>
      <c r="D63" s="59" t="s">
        <v>85</v>
      </c>
      <c r="E63" s="32"/>
      <c r="F63" s="57"/>
      <c r="G63" s="56" t="s">
        <v>87</v>
      </c>
      <c r="H63" s="32"/>
      <c r="I63" s="57"/>
      <c r="J63" s="56" t="s">
        <v>88</v>
      </c>
      <c r="K63" s="34"/>
      <c r="L63" s="60"/>
      <c r="M63" s="59" t="str">
        <f>IF(P3="Tragwerksplanung (vgl. § 51 HOAI)","   Abschluss LP 6
   (MM.JJJJ)","   Abschluss LP 7
   (MM.JJJJ)")</f>
        <v xml:space="preserve">   Abschluss LP 6
   (MM.JJJJ)</v>
      </c>
      <c r="N63" s="35"/>
      <c r="O63" s="57"/>
      <c r="P63" s="58" t="s">
        <v>92</v>
      </c>
      <c r="Q63" s="31"/>
      <c r="R63" s="57"/>
      <c r="S63" s="58" t="s">
        <v>93</v>
      </c>
      <c r="T63" s="33"/>
      <c r="U63" s="57"/>
      <c r="V63" s="31" t="s">
        <v>56</v>
      </c>
      <c r="W63" s="31" t="s">
        <v>56</v>
      </c>
      <c r="X63" s="31" t="s">
        <v>56</v>
      </c>
      <c r="Y63" s="31" t="s">
        <v>56</v>
      </c>
      <c r="Z63" s="31" t="s">
        <v>56</v>
      </c>
      <c r="AA63" s="31" t="s">
        <v>56</v>
      </c>
      <c r="AB63" s="31" t="s">
        <v>56</v>
      </c>
      <c r="AC63" s="57"/>
      <c r="AD63" s="56" t="str">
        <f>"   "&amp;AE3&amp;""</f>
        <v xml:space="preserve">   Denkmalschutz</v>
      </c>
      <c r="AE63" s="31" t="s">
        <v>56</v>
      </c>
      <c r="AF63" s="57"/>
      <c r="AG63" s="31" t="s">
        <v>56</v>
      </c>
      <c r="AH63" s="31" t="s">
        <v>56</v>
      </c>
      <c r="AI63" s="31" t="s">
        <v>56</v>
      </c>
      <c r="AJ63" s="31" t="s">
        <v>56</v>
      </c>
      <c r="AK63" s="31" t="s">
        <v>56</v>
      </c>
    </row>
    <row r="64" spans="1:37" ht="7.5" customHeight="1" x14ac:dyDescent="0.25">
      <c r="A64" s="55"/>
      <c r="B64" s="71"/>
      <c r="C64" s="67"/>
      <c r="D64" s="56"/>
      <c r="E64" s="70"/>
      <c r="F64" s="67"/>
      <c r="G64" s="56"/>
      <c r="H64" s="69"/>
      <c r="I64" s="67"/>
      <c r="J64" s="56"/>
      <c r="K64" s="56"/>
      <c r="L64" s="67"/>
      <c r="M64" s="56"/>
      <c r="N64" s="147"/>
      <c r="O64" s="67"/>
      <c r="P64" s="56"/>
      <c r="Q64" s="69"/>
      <c r="R64" s="67"/>
      <c r="S64" s="56"/>
      <c r="T64" s="69"/>
      <c r="U64" s="67"/>
      <c r="V64" s="68"/>
      <c r="W64" s="68"/>
      <c r="X64" s="68"/>
      <c r="Y64" s="68"/>
      <c r="Z64" s="68"/>
      <c r="AA64" s="68"/>
      <c r="AB64" s="68"/>
      <c r="AC64" s="67"/>
      <c r="AD64" s="56"/>
      <c r="AE64" s="68"/>
      <c r="AF64" s="67"/>
      <c r="AG64" s="213" t="b">
        <f>IF(AG63="ja",1)</f>
        <v>0</v>
      </c>
      <c r="AH64" s="213" t="b">
        <f>IF(AH63="ja",1)</f>
        <v>0</v>
      </c>
      <c r="AI64" s="213" t="b">
        <f>IF(AI63="ja",1)</f>
        <v>0</v>
      </c>
      <c r="AJ64" s="213" t="b">
        <f>IF(AJ63="ja",1)</f>
        <v>0</v>
      </c>
      <c r="AK64" s="213" t="b">
        <f>IF(AK63="ja",1)</f>
        <v>0</v>
      </c>
    </row>
    <row r="65" spans="1:37" ht="37.5" customHeight="1" x14ac:dyDescent="0.25">
      <c r="A65" s="55"/>
      <c r="B65" s="356" t="s">
        <v>111</v>
      </c>
      <c r="C65" s="61"/>
      <c r="D65" s="59" t="s">
        <v>84</v>
      </c>
      <c r="E65" s="32"/>
      <c r="F65" s="61"/>
      <c r="G65" s="56" t="s">
        <v>86</v>
      </c>
      <c r="H65" s="32"/>
      <c r="I65" s="61"/>
      <c r="J65" s="56" t="s">
        <v>91</v>
      </c>
      <c r="K65" s="34"/>
      <c r="L65" s="61"/>
      <c r="M65" s="59" t="s">
        <v>89</v>
      </c>
      <c r="N65" s="146"/>
      <c r="O65" s="61"/>
      <c r="P65" s="58" t="str">
        <f>"   Die erbrachten Leistungen entsprechen dem Leistungsbild
   "&amp;P3&amp;""</f>
        <v xml:space="preserve">   Die erbrachten Leistungen entsprechen dem Leistungsbild
   Tragwerksplanung (vgl. § 51 HOAI)</v>
      </c>
      <c r="Q65" s="31" t="s">
        <v>56</v>
      </c>
      <c r="R65" s="61"/>
      <c r="S65" s="64" t="s">
        <v>199</v>
      </c>
      <c r="T65" s="63"/>
      <c r="U65" s="61"/>
      <c r="V65" s="62" t="s">
        <v>21</v>
      </c>
      <c r="W65" s="62" t="s">
        <v>22</v>
      </c>
      <c r="X65" s="62" t="s">
        <v>23</v>
      </c>
      <c r="Y65" s="62" t="s">
        <v>24</v>
      </c>
      <c r="Z65" s="62" t="s">
        <v>25</v>
      </c>
      <c r="AA65" s="62" t="s">
        <v>26</v>
      </c>
      <c r="AB65" s="62" t="s">
        <v>28</v>
      </c>
      <c r="AC65" s="61"/>
      <c r="AD65" s="56" t="str">
        <f>"   "&amp;AD3&amp;""</f>
        <v xml:space="preserve">   Schalentragwerk</v>
      </c>
      <c r="AE65" s="31" t="s">
        <v>56</v>
      </c>
      <c r="AF65" s="61"/>
      <c r="AG65" s="214" t="s">
        <v>337</v>
      </c>
      <c r="AH65" s="214" t="s">
        <v>338</v>
      </c>
      <c r="AI65" s="214" t="s">
        <v>339</v>
      </c>
      <c r="AJ65" s="214" t="s">
        <v>341</v>
      </c>
      <c r="AK65" s="214" t="s">
        <v>340</v>
      </c>
    </row>
    <row r="66" spans="1:37" ht="37.5" customHeight="1" x14ac:dyDescent="0.25">
      <c r="A66" s="55"/>
      <c r="B66" s="357"/>
      <c r="C66" s="57"/>
      <c r="D66" s="59" t="s">
        <v>85</v>
      </c>
      <c r="E66" s="32"/>
      <c r="F66" s="57"/>
      <c r="G66" s="56" t="s">
        <v>87</v>
      </c>
      <c r="H66" s="32"/>
      <c r="I66" s="57"/>
      <c r="J66" s="56" t="s">
        <v>88</v>
      </c>
      <c r="K66" s="34"/>
      <c r="L66" s="60"/>
      <c r="M66" s="59" t="str">
        <f>IF(P3="Tragwerksplanung (vgl. § 51 HOAI)","   Abschluss LP 6
   (MM.JJJJ)","   Abschluss LP 7
   (MM.JJJJ)")</f>
        <v xml:space="preserve">   Abschluss LP 6
   (MM.JJJJ)</v>
      </c>
      <c r="N66" s="35"/>
      <c r="O66" s="57"/>
      <c r="P66" s="58" t="s">
        <v>92</v>
      </c>
      <c r="Q66" s="31"/>
      <c r="R66" s="57"/>
      <c r="S66" s="58" t="s">
        <v>93</v>
      </c>
      <c r="T66" s="33"/>
      <c r="U66" s="57"/>
      <c r="V66" s="31" t="s">
        <v>56</v>
      </c>
      <c r="W66" s="31" t="s">
        <v>56</v>
      </c>
      <c r="X66" s="31" t="s">
        <v>56</v>
      </c>
      <c r="Y66" s="31" t="s">
        <v>56</v>
      </c>
      <c r="Z66" s="31" t="s">
        <v>56</v>
      </c>
      <c r="AA66" s="31" t="s">
        <v>56</v>
      </c>
      <c r="AB66" s="31" t="s">
        <v>56</v>
      </c>
      <c r="AC66" s="57"/>
      <c r="AD66" s="56" t="str">
        <f>"   "&amp;AE3&amp;""</f>
        <v xml:space="preserve">   Denkmalschutz</v>
      </c>
      <c r="AE66" s="31" t="s">
        <v>56</v>
      </c>
      <c r="AF66" s="57"/>
      <c r="AG66" s="31" t="s">
        <v>56</v>
      </c>
      <c r="AH66" s="31" t="s">
        <v>56</v>
      </c>
      <c r="AI66" s="31" t="s">
        <v>56</v>
      </c>
      <c r="AJ66" s="31" t="s">
        <v>56</v>
      </c>
      <c r="AK66" s="31" t="s">
        <v>56</v>
      </c>
    </row>
    <row r="67" spans="1:37" ht="7.5" customHeight="1" x14ac:dyDescent="0.25">
      <c r="A67" s="55"/>
      <c r="B67" s="71"/>
      <c r="C67" s="67"/>
      <c r="D67" s="56"/>
      <c r="E67" s="70"/>
      <c r="F67" s="67"/>
      <c r="G67" s="56"/>
      <c r="H67" s="69"/>
      <c r="I67" s="67"/>
      <c r="J67" s="56"/>
      <c r="K67" s="56"/>
      <c r="L67" s="67"/>
      <c r="M67" s="56"/>
      <c r="N67" s="147"/>
      <c r="O67" s="67"/>
      <c r="P67" s="56"/>
      <c r="Q67" s="69"/>
      <c r="R67" s="67"/>
      <c r="S67" s="56"/>
      <c r="T67" s="69"/>
      <c r="U67" s="67"/>
      <c r="V67" s="68"/>
      <c r="W67" s="68"/>
      <c r="X67" s="68"/>
      <c r="Y67" s="68"/>
      <c r="Z67" s="68"/>
      <c r="AA67" s="68"/>
      <c r="AB67" s="68"/>
      <c r="AC67" s="67"/>
      <c r="AD67" s="56"/>
      <c r="AE67" s="68"/>
      <c r="AF67" s="67"/>
      <c r="AG67" s="213" t="b">
        <f>IF(AG66="ja",1)</f>
        <v>0</v>
      </c>
      <c r="AH67" s="213" t="b">
        <f>IF(AH66="ja",1)</f>
        <v>0</v>
      </c>
      <c r="AI67" s="213" t="b">
        <f>IF(AI66="ja",1)</f>
        <v>0</v>
      </c>
      <c r="AJ67" s="213" t="b">
        <f>IF(AJ66="ja",1)</f>
        <v>0</v>
      </c>
      <c r="AK67" s="213" t="b">
        <f>IF(AK66="ja",1)</f>
        <v>0</v>
      </c>
    </row>
    <row r="68" spans="1:37" ht="37.5" customHeight="1" x14ac:dyDescent="0.25">
      <c r="A68" s="55"/>
      <c r="B68" s="356" t="s">
        <v>112</v>
      </c>
      <c r="C68" s="61"/>
      <c r="D68" s="59" t="s">
        <v>84</v>
      </c>
      <c r="E68" s="32"/>
      <c r="F68" s="61"/>
      <c r="G68" s="56" t="s">
        <v>86</v>
      </c>
      <c r="H68" s="32"/>
      <c r="I68" s="61"/>
      <c r="J68" s="56" t="s">
        <v>91</v>
      </c>
      <c r="K68" s="34"/>
      <c r="L68" s="61"/>
      <c r="M68" s="59" t="s">
        <v>89</v>
      </c>
      <c r="N68" s="146"/>
      <c r="O68" s="61"/>
      <c r="P68" s="58" t="str">
        <f>"   Die erbrachten Leistungen entsprechen dem Leistungsbild
   "&amp;P3&amp;""</f>
        <v xml:space="preserve">   Die erbrachten Leistungen entsprechen dem Leistungsbild
   Tragwerksplanung (vgl. § 51 HOAI)</v>
      </c>
      <c r="Q68" s="31" t="s">
        <v>56</v>
      </c>
      <c r="R68" s="61"/>
      <c r="S68" s="64" t="s">
        <v>199</v>
      </c>
      <c r="T68" s="63"/>
      <c r="U68" s="61"/>
      <c r="V68" s="62" t="s">
        <v>21</v>
      </c>
      <c r="W68" s="62" t="s">
        <v>22</v>
      </c>
      <c r="X68" s="62" t="s">
        <v>23</v>
      </c>
      <c r="Y68" s="62" t="s">
        <v>24</v>
      </c>
      <c r="Z68" s="62" t="s">
        <v>25</v>
      </c>
      <c r="AA68" s="62" t="s">
        <v>26</v>
      </c>
      <c r="AB68" s="62" t="s">
        <v>28</v>
      </c>
      <c r="AC68" s="61"/>
      <c r="AD68" s="56" t="str">
        <f>"   "&amp;AD3&amp;""</f>
        <v xml:space="preserve">   Schalentragwerk</v>
      </c>
      <c r="AE68" s="31" t="s">
        <v>56</v>
      </c>
      <c r="AF68" s="61"/>
      <c r="AG68" s="214" t="s">
        <v>337</v>
      </c>
      <c r="AH68" s="214" t="s">
        <v>338</v>
      </c>
      <c r="AI68" s="214" t="s">
        <v>339</v>
      </c>
      <c r="AJ68" s="214" t="s">
        <v>341</v>
      </c>
      <c r="AK68" s="214" t="s">
        <v>340</v>
      </c>
    </row>
    <row r="69" spans="1:37" ht="37.5" customHeight="1" x14ac:dyDescent="0.25">
      <c r="A69" s="55"/>
      <c r="B69" s="357"/>
      <c r="C69" s="57"/>
      <c r="D69" s="59" t="s">
        <v>85</v>
      </c>
      <c r="E69" s="32"/>
      <c r="F69" s="57"/>
      <c r="G69" s="56" t="s">
        <v>87</v>
      </c>
      <c r="H69" s="32"/>
      <c r="I69" s="57"/>
      <c r="J69" s="56" t="s">
        <v>88</v>
      </c>
      <c r="K69" s="34"/>
      <c r="L69" s="60"/>
      <c r="M69" s="59" t="str">
        <f>IF(P3="Tragwerksplanung (vgl. § 51 HOAI)","   Abschluss LP 6
   (MM.JJJJ)","   Abschluss LP 7
   (MM.JJJJ)")</f>
        <v xml:space="preserve">   Abschluss LP 6
   (MM.JJJJ)</v>
      </c>
      <c r="N69" s="35"/>
      <c r="O69" s="57"/>
      <c r="P69" s="58" t="s">
        <v>92</v>
      </c>
      <c r="Q69" s="31"/>
      <c r="R69" s="57"/>
      <c r="S69" s="58" t="s">
        <v>93</v>
      </c>
      <c r="T69" s="33"/>
      <c r="U69" s="57"/>
      <c r="V69" s="31" t="s">
        <v>56</v>
      </c>
      <c r="W69" s="31" t="s">
        <v>56</v>
      </c>
      <c r="X69" s="31" t="s">
        <v>56</v>
      </c>
      <c r="Y69" s="31" t="s">
        <v>56</v>
      </c>
      <c r="Z69" s="31" t="s">
        <v>56</v>
      </c>
      <c r="AA69" s="31" t="s">
        <v>56</v>
      </c>
      <c r="AB69" s="31" t="s">
        <v>56</v>
      </c>
      <c r="AC69" s="57"/>
      <c r="AD69" s="56" t="str">
        <f>"   "&amp;AE3&amp;""</f>
        <v xml:space="preserve">   Denkmalschutz</v>
      </c>
      <c r="AE69" s="31" t="s">
        <v>56</v>
      </c>
      <c r="AF69" s="57"/>
      <c r="AG69" s="31" t="s">
        <v>56</v>
      </c>
      <c r="AH69" s="31" t="s">
        <v>56</v>
      </c>
      <c r="AI69" s="31" t="s">
        <v>56</v>
      </c>
      <c r="AJ69" s="31" t="s">
        <v>56</v>
      </c>
      <c r="AK69" s="31" t="s">
        <v>56</v>
      </c>
    </row>
    <row r="70" spans="1:37" ht="15.75" customHeight="1" x14ac:dyDescent="0.25">
      <c r="AG70" s="215" t="b">
        <f>IF(AG69="ja",1)</f>
        <v>0</v>
      </c>
      <c r="AH70" s="215" t="b">
        <f>IF(AH69="ja",1)</f>
        <v>0</v>
      </c>
      <c r="AI70" s="215" t="b">
        <f>IF(AI69="ja",1)</f>
        <v>0</v>
      </c>
      <c r="AJ70" s="215" t="b">
        <f>IF(AJ69="ja",1)</f>
        <v>0</v>
      </c>
      <c r="AK70" s="215" t="b">
        <f>IF(AK69="ja",1)</f>
        <v>0</v>
      </c>
    </row>
    <row r="71" spans="1:37" ht="20.100000000000001" customHeight="1" x14ac:dyDescent="0.25"/>
    <row r="72" spans="1:37" ht="20.100000000000001" customHeight="1" x14ac:dyDescent="0.25"/>
  </sheetData>
  <sheetProtection algorithmName="SHA-512" hashValue="lH73g61SQjRyfSWQxhV+VM1cPHS7v1CWcH8g6DppEeOHd6kDDYcZ6pwyG9YTzO7W/T2UYub0kCN3OMmttCUOXA==" saltValue="j3LQQA58kKNqxZt6JsOQvA==" spinCount="100000" sheet="1" selectLockedCells="1"/>
  <protectedRanges>
    <protectedRange sqref="M75" name="Bereich1"/>
  </protectedRanges>
  <mergeCells count="39">
    <mergeCell ref="E5:J5"/>
    <mergeCell ref="D9:E9"/>
    <mergeCell ref="B68:B69"/>
    <mergeCell ref="M9:N9"/>
    <mergeCell ref="S9:T9"/>
    <mergeCell ref="P9:Q9"/>
    <mergeCell ref="B29:B30"/>
    <mergeCell ref="B32:B33"/>
    <mergeCell ref="B35:B36"/>
    <mergeCell ref="B11:B12"/>
    <mergeCell ref="B14:B15"/>
    <mergeCell ref="B17:B18"/>
    <mergeCell ref="B20:B21"/>
    <mergeCell ref="B23:B24"/>
    <mergeCell ref="B26:B27"/>
    <mergeCell ref="B38:B39"/>
    <mergeCell ref="B65:B66"/>
    <mergeCell ref="B62:B63"/>
    <mergeCell ref="B59:B60"/>
    <mergeCell ref="B56:B57"/>
    <mergeCell ref="B41:B42"/>
    <mergeCell ref="B44:B45"/>
    <mergeCell ref="B47:B48"/>
    <mergeCell ref="B50:B51"/>
    <mergeCell ref="B53:B54"/>
    <mergeCell ref="AG9:AK9"/>
    <mergeCell ref="AG8:AK8"/>
    <mergeCell ref="S8:T8"/>
    <mergeCell ref="AD8:AE8"/>
    <mergeCell ref="D8:E8"/>
    <mergeCell ref="G8:H8"/>
    <mergeCell ref="J8:K8"/>
    <mergeCell ref="M8:N8"/>
    <mergeCell ref="P8:Q8"/>
    <mergeCell ref="V8:Z8"/>
    <mergeCell ref="J9:K9"/>
    <mergeCell ref="AD9:AE9"/>
    <mergeCell ref="G9:H9"/>
    <mergeCell ref="V9:AB9"/>
  </mergeCells>
  <conditionalFormatting sqref="D11:E11">
    <cfRule type="expression" dxfId="991" priority="3632">
      <formula>$E$11&lt;&gt;""</formula>
    </cfRule>
  </conditionalFormatting>
  <conditionalFormatting sqref="D12:E12">
    <cfRule type="expression" dxfId="990" priority="3633">
      <formula>$E$12&lt;&gt;""</formula>
    </cfRule>
  </conditionalFormatting>
  <conditionalFormatting sqref="D14:E14">
    <cfRule type="expression" dxfId="989" priority="3651">
      <formula>$E$14&lt;&gt;""</formula>
    </cfRule>
  </conditionalFormatting>
  <conditionalFormatting sqref="D15:E15">
    <cfRule type="expression" dxfId="988" priority="3652">
      <formula>$E$15&lt;&gt;""</formula>
    </cfRule>
  </conditionalFormatting>
  <conditionalFormatting sqref="D17:E17">
    <cfRule type="expression" dxfId="987" priority="3670">
      <formula>$E$17&lt;&gt;""</formula>
    </cfRule>
  </conditionalFormatting>
  <conditionalFormatting sqref="D18:E18">
    <cfRule type="expression" dxfId="986" priority="3671">
      <formula>$E$18&lt;&gt;""</formula>
    </cfRule>
  </conditionalFormatting>
  <conditionalFormatting sqref="D20:E20">
    <cfRule type="expression" dxfId="985" priority="3689">
      <formula>$E$20&lt;&gt;""</formula>
    </cfRule>
  </conditionalFormatting>
  <conditionalFormatting sqref="D21:E21">
    <cfRule type="expression" dxfId="984" priority="3690">
      <formula>$E$21&lt;&gt;""</formula>
    </cfRule>
  </conditionalFormatting>
  <conditionalFormatting sqref="D23:E23">
    <cfRule type="expression" dxfId="983" priority="3708">
      <formula>$E$23&lt;&gt;""</formula>
    </cfRule>
  </conditionalFormatting>
  <conditionalFormatting sqref="D24:E24">
    <cfRule type="expression" dxfId="982" priority="3709">
      <formula>$E$24&lt;&gt;""</formula>
    </cfRule>
  </conditionalFormatting>
  <conditionalFormatting sqref="D26:E26">
    <cfRule type="expression" dxfId="981" priority="3727">
      <formula>$E$26&lt;&gt;""</formula>
    </cfRule>
  </conditionalFormatting>
  <conditionalFormatting sqref="D27:E27">
    <cfRule type="expression" dxfId="980" priority="3728">
      <formula>$E$27&lt;&gt;""</formula>
    </cfRule>
  </conditionalFormatting>
  <conditionalFormatting sqref="D29:E29">
    <cfRule type="expression" dxfId="979" priority="3746">
      <formula>$E$29&lt;&gt;""</formula>
    </cfRule>
  </conditionalFormatting>
  <conditionalFormatting sqref="D30:E30">
    <cfRule type="expression" dxfId="978" priority="3747">
      <formula>$E$30&lt;&gt;""</formula>
    </cfRule>
  </conditionalFormatting>
  <conditionalFormatting sqref="D32:E32">
    <cfRule type="expression" dxfId="977" priority="3765">
      <formula>$E$32&lt;&gt;""</formula>
    </cfRule>
  </conditionalFormatting>
  <conditionalFormatting sqref="D33:E33">
    <cfRule type="expression" dxfId="976" priority="3766">
      <formula>$E$33&lt;&gt;""</formula>
    </cfRule>
  </conditionalFormatting>
  <conditionalFormatting sqref="D35:E35">
    <cfRule type="expression" dxfId="975" priority="3784">
      <formula>$E$35&lt;&gt;""</formula>
    </cfRule>
  </conditionalFormatting>
  <conditionalFormatting sqref="D36:E36">
    <cfRule type="expression" dxfId="974" priority="3785">
      <formula>$E$36&lt;&gt;""</formula>
    </cfRule>
  </conditionalFormatting>
  <conditionalFormatting sqref="D38:E38">
    <cfRule type="expression" dxfId="973" priority="3803">
      <formula>$E$38&lt;&gt;""</formula>
    </cfRule>
  </conditionalFormatting>
  <conditionalFormatting sqref="D39:E39">
    <cfRule type="expression" dxfId="972" priority="3804">
      <formula>$E$39&lt;&gt;""</formula>
    </cfRule>
  </conditionalFormatting>
  <conditionalFormatting sqref="D41:E41">
    <cfRule type="expression" dxfId="971" priority="3822">
      <formula>$E$41&lt;&gt;""</formula>
    </cfRule>
  </conditionalFormatting>
  <conditionalFormatting sqref="D42:E42">
    <cfRule type="expression" dxfId="970" priority="3823">
      <formula>$E$42&lt;&gt;""</formula>
    </cfRule>
  </conditionalFormatting>
  <conditionalFormatting sqref="D44:E44">
    <cfRule type="expression" dxfId="969" priority="3841">
      <formula>$E$44&lt;&gt;""</formula>
    </cfRule>
  </conditionalFormatting>
  <conditionalFormatting sqref="D45:E45">
    <cfRule type="expression" dxfId="968" priority="3842">
      <formula>$E$45&lt;&gt;""</formula>
    </cfRule>
  </conditionalFormatting>
  <conditionalFormatting sqref="D47:E47">
    <cfRule type="expression" dxfId="967" priority="3860">
      <formula>$E$47&lt;&gt;""</formula>
    </cfRule>
  </conditionalFormatting>
  <conditionalFormatting sqref="D48:E48">
    <cfRule type="expression" dxfId="966" priority="3861">
      <formula>$E$48&lt;&gt;""</formula>
    </cfRule>
  </conditionalFormatting>
  <conditionalFormatting sqref="D50:E50">
    <cfRule type="expression" dxfId="965" priority="3879">
      <formula>$E$50&lt;&gt;""</formula>
    </cfRule>
  </conditionalFormatting>
  <conditionalFormatting sqref="D51:E51">
    <cfRule type="expression" dxfId="964" priority="3880">
      <formula>$E$51&lt;&gt;""</formula>
    </cfRule>
  </conditionalFormatting>
  <conditionalFormatting sqref="D53:E53">
    <cfRule type="expression" dxfId="963" priority="3898">
      <formula>$E$53&lt;&gt;""</formula>
    </cfRule>
  </conditionalFormatting>
  <conditionalFormatting sqref="D54:E54">
    <cfRule type="expression" dxfId="962" priority="3899">
      <formula>$E$54&lt;&gt;""</formula>
    </cfRule>
  </conditionalFormatting>
  <conditionalFormatting sqref="D56:E56">
    <cfRule type="expression" dxfId="961" priority="3917">
      <formula>$E$56&lt;&gt;""</formula>
    </cfRule>
  </conditionalFormatting>
  <conditionalFormatting sqref="D57:E57">
    <cfRule type="expression" dxfId="960" priority="3918">
      <formula>$E$57&lt;&gt;""</formula>
    </cfRule>
  </conditionalFormatting>
  <conditionalFormatting sqref="D59:E59">
    <cfRule type="expression" dxfId="959" priority="3936">
      <formula>$E$59&lt;&gt;""</formula>
    </cfRule>
  </conditionalFormatting>
  <conditionalFormatting sqref="D60:E60">
    <cfRule type="expression" dxfId="958" priority="3937">
      <formula>$E$60&lt;&gt;""</formula>
    </cfRule>
  </conditionalFormatting>
  <conditionalFormatting sqref="D62:E62">
    <cfRule type="expression" dxfId="957" priority="3955">
      <formula>$E$62&lt;&gt;""</formula>
    </cfRule>
  </conditionalFormatting>
  <conditionalFormatting sqref="D63:E63">
    <cfRule type="expression" dxfId="956" priority="3956">
      <formula>$E$63&lt;&gt;""</formula>
    </cfRule>
  </conditionalFormatting>
  <conditionalFormatting sqref="D65:E65">
    <cfRule type="expression" dxfId="955" priority="3974">
      <formula>$E$65&lt;&gt;""</formula>
    </cfRule>
  </conditionalFormatting>
  <conditionalFormatting sqref="D66:E66">
    <cfRule type="expression" dxfId="954" priority="3975">
      <formula>$E$66&lt;&gt;""</formula>
    </cfRule>
  </conditionalFormatting>
  <conditionalFormatting sqref="D68:E68">
    <cfRule type="expression" dxfId="953" priority="3995">
      <formula>$E$68&lt;&gt;""</formula>
    </cfRule>
  </conditionalFormatting>
  <conditionalFormatting sqref="D69:E69">
    <cfRule type="expression" dxfId="952" priority="3996">
      <formula>$E$69&lt;&gt;""</formula>
    </cfRule>
  </conditionalFormatting>
  <conditionalFormatting sqref="G11:H11">
    <cfRule type="expression" dxfId="951" priority="3631">
      <formula>$H$11&lt;&gt;""</formula>
    </cfRule>
  </conditionalFormatting>
  <conditionalFormatting sqref="G12:H12">
    <cfRule type="expression" dxfId="950" priority="3630">
      <formula>$H$12&lt;&gt;""</formula>
    </cfRule>
  </conditionalFormatting>
  <conditionalFormatting sqref="G14:H14">
    <cfRule type="expression" dxfId="949" priority="3650">
      <formula>$H$14&lt;&gt;""</formula>
    </cfRule>
  </conditionalFormatting>
  <conditionalFormatting sqref="G15:H15">
    <cfRule type="expression" dxfId="948" priority="3649">
      <formula>$H$15&lt;&gt;""</formula>
    </cfRule>
  </conditionalFormatting>
  <conditionalFormatting sqref="G17:H17">
    <cfRule type="expression" dxfId="947" priority="3669">
      <formula>$H$17&lt;&gt;""</formula>
    </cfRule>
  </conditionalFormatting>
  <conditionalFormatting sqref="G18:H18">
    <cfRule type="expression" dxfId="946" priority="3668">
      <formula>$H$18&lt;&gt;""</formula>
    </cfRule>
  </conditionalFormatting>
  <conditionalFormatting sqref="G20:H20">
    <cfRule type="expression" dxfId="945" priority="3688">
      <formula>$H$20&lt;&gt;""</formula>
    </cfRule>
  </conditionalFormatting>
  <conditionalFormatting sqref="G21:H21">
    <cfRule type="expression" dxfId="944" priority="3687">
      <formula>$H$21&lt;&gt;""</formula>
    </cfRule>
  </conditionalFormatting>
  <conditionalFormatting sqref="G23:H23">
    <cfRule type="expression" dxfId="943" priority="3707">
      <formula>$H$23&lt;&gt;""</formula>
    </cfRule>
  </conditionalFormatting>
  <conditionalFormatting sqref="G24:H24">
    <cfRule type="expression" dxfId="942" priority="3706">
      <formula>$H$24&lt;&gt;""</formula>
    </cfRule>
  </conditionalFormatting>
  <conditionalFormatting sqref="G26:H26">
    <cfRule type="expression" dxfId="941" priority="3726">
      <formula>$H$26&lt;&gt;""</formula>
    </cfRule>
  </conditionalFormatting>
  <conditionalFormatting sqref="G27:H27">
    <cfRule type="expression" dxfId="940" priority="3725">
      <formula>$H$27&lt;&gt;""</formula>
    </cfRule>
  </conditionalFormatting>
  <conditionalFormatting sqref="G29:H29">
    <cfRule type="expression" dxfId="939" priority="3745">
      <formula>$H$29&lt;&gt;""</formula>
    </cfRule>
  </conditionalFormatting>
  <conditionalFormatting sqref="G30:H30">
    <cfRule type="expression" dxfId="938" priority="3744">
      <formula>$H$30&lt;&gt;""</formula>
    </cfRule>
  </conditionalFormatting>
  <conditionalFormatting sqref="G32:H32">
    <cfRule type="expression" dxfId="937" priority="3764">
      <formula>$H$32&lt;&gt;""</formula>
    </cfRule>
  </conditionalFormatting>
  <conditionalFormatting sqref="G33:H33">
    <cfRule type="expression" dxfId="936" priority="3763">
      <formula>$H$33&lt;&gt;""</formula>
    </cfRule>
  </conditionalFormatting>
  <conditionalFormatting sqref="G35:H35">
    <cfRule type="expression" dxfId="935" priority="3783">
      <formula>$H$35&lt;&gt;""</formula>
    </cfRule>
  </conditionalFormatting>
  <conditionalFormatting sqref="G36:H36">
    <cfRule type="expression" dxfId="934" priority="3782">
      <formula>$H$36&lt;&gt;""</formula>
    </cfRule>
  </conditionalFormatting>
  <conditionalFormatting sqref="G38:H38">
    <cfRule type="expression" dxfId="933" priority="3802">
      <formula>$H$38&lt;&gt;""</formula>
    </cfRule>
  </conditionalFormatting>
  <conditionalFormatting sqref="G39:H39">
    <cfRule type="expression" dxfId="932" priority="3801">
      <formula>$H$39&lt;&gt;""</formula>
    </cfRule>
  </conditionalFormatting>
  <conditionalFormatting sqref="G41:H41">
    <cfRule type="expression" dxfId="931" priority="3821">
      <formula>$H$41&lt;&gt;""</formula>
    </cfRule>
  </conditionalFormatting>
  <conditionalFormatting sqref="G42:H42">
    <cfRule type="expression" dxfId="930" priority="3820">
      <formula>$H$42&lt;&gt;""</formula>
    </cfRule>
  </conditionalFormatting>
  <conditionalFormatting sqref="G44:H44">
    <cfRule type="expression" dxfId="929" priority="3840">
      <formula>$H$44&lt;&gt;""</formula>
    </cfRule>
  </conditionalFormatting>
  <conditionalFormatting sqref="G45:H45">
    <cfRule type="expression" dxfId="928" priority="3839">
      <formula>$H$45&lt;&gt;""</formula>
    </cfRule>
  </conditionalFormatting>
  <conditionalFormatting sqref="G47:H47">
    <cfRule type="expression" dxfId="927" priority="3859">
      <formula>$H$47&lt;&gt;""</formula>
    </cfRule>
  </conditionalFormatting>
  <conditionalFormatting sqref="G48:H48">
    <cfRule type="expression" dxfId="926" priority="3858">
      <formula>$H$48&lt;&gt;""</formula>
    </cfRule>
  </conditionalFormatting>
  <conditionalFormatting sqref="G50:H50">
    <cfRule type="expression" dxfId="925" priority="3878">
      <formula>$H$50&lt;&gt;""</formula>
    </cfRule>
  </conditionalFormatting>
  <conditionalFormatting sqref="G51:H51">
    <cfRule type="expression" dxfId="924" priority="3877">
      <formula>$H$51&lt;&gt;""</formula>
    </cfRule>
  </conditionalFormatting>
  <conditionalFormatting sqref="G53:H53">
    <cfRule type="expression" dxfId="923" priority="3897">
      <formula>$H$53&lt;&gt;""</formula>
    </cfRule>
  </conditionalFormatting>
  <conditionalFormatting sqref="G54:H54">
    <cfRule type="expression" dxfId="922" priority="3896">
      <formula>$H$54&lt;&gt;""</formula>
    </cfRule>
  </conditionalFormatting>
  <conditionalFormatting sqref="G56:H56">
    <cfRule type="expression" dxfId="921" priority="3916">
      <formula>$H$56&lt;&gt;""</formula>
    </cfRule>
  </conditionalFormatting>
  <conditionalFormatting sqref="G57:H57">
    <cfRule type="expression" dxfId="920" priority="3915">
      <formula>$H$57&lt;&gt;""</formula>
    </cfRule>
  </conditionalFormatting>
  <conditionalFormatting sqref="G59:H59">
    <cfRule type="expression" dxfId="919" priority="3935">
      <formula>$H$59&lt;&gt;""</formula>
    </cfRule>
  </conditionalFormatting>
  <conditionalFormatting sqref="G60:H60">
    <cfRule type="expression" dxfId="918" priority="3934">
      <formula>$H$60&lt;&gt;""</formula>
    </cfRule>
  </conditionalFormatting>
  <conditionalFormatting sqref="G62:H62">
    <cfRule type="expression" dxfId="917" priority="3954">
      <formula>$H$62&lt;&gt;""</formula>
    </cfRule>
  </conditionalFormatting>
  <conditionalFormatting sqref="G63:H63">
    <cfRule type="expression" dxfId="916" priority="3953">
      <formula>$H$63&lt;&gt;""</formula>
    </cfRule>
  </conditionalFormatting>
  <conditionalFormatting sqref="G65:H65">
    <cfRule type="expression" dxfId="915" priority="3973">
      <formula>$H$65&lt;&gt;""</formula>
    </cfRule>
  </conditionalFormatting>
  <conditionalFormatting sqref="G66:H66">
    <cfRule type="expression" dxfId="914" priority="3972">
      <formula>$H$66&lt;&gt;""</formula>
    </cfRule>
  </conditionalFormatting>
  <conditionalFormatting sqref="G68:H68">
    <cfRule type="expression" dxfId="913" priority="3994">
      <formula>$H$68&lt;&gt;""</formula>
    </cfRule>
  </conditionalFormatting>
  <conditionalFormatting sqref="G69:H69">
    <cfRule type="expression" dxfId="912" priority="3993">
      <formula>$H$69&lt;&gt;""</formula>
    </cfRule>
  </conditionalFormatting>
  <conditionalFormatting sqref="J11:K11">
    <cfRule type="expression" dxfId="911" priority="3629">
      <formula>$K$11&lt;&gt;""</formula>
    </cfRule>
  </conditionalFormatting>
  <conditionalFormatting sqref="J12:K12">
    <cfRule type="expression" dxfId="910" priority="3533">
      <formula>$K$12&lt;&gt;""</formula>
    </cfRule>
  </conditionalFormatting>
  <conditionalFormatting sqref="J14:K14">
    <cfRule type="expression" dxfId="909" priority="3612">
      <formula>$K$14&lt;&gt;""</formula>
    </cfRule>
  </conditionalFormatting>
  <conditionalFormatting sqref="J15:K15">
    <cfRule type="expression" dxfId="908" priority="3532">
      <formula>$K$15&lt;&gt;""</formula>
    </cfRule>
  </conditionalFormatting>
  <conditionalFormatting sqref="J17:K17">
    <cfRule type="expression" dxfId="907" priority="3611">
      <formula>$K$17&lt;&gt;""</formula>
    </cfRule>
  </conditionalFormatting>
  <conditionalFormatting sqref="J18:K18">
    <cfRule type="expression" dxfId="906" priority="3531">
      <formula>$K$18&lt;&gt;""</formula>
    </cfRule>
  </conditionalFormatting>
  <conditionalFormatting sqref="J20:K20">
    <cfRule type="expression" dxfId="905" priority="3610">
      <formula>$K$20&lt;&gt;""</formula>
    </cfRule>
  </conditionalFormatting>
  <conditionalFormatting sqref="J21:K21">
    <cfRule type="expression" dxfId="904" priority="3530">
      <formula>$K$21&lt;&gt;""</formula>
    </cfRule>
  </conditionalFormatting>
  <conditionalFormatting sqref="J23:K23">
    <cfRule type="expression" dxfId="903" priority="3609">
      <formula>$K$23&lt;&gt;""</formula>
    </cfRule>
  </conditionalFormatting>
  <conditionalFormatting sqref="J24:K24">
    <cfRule type="expression" dxfId="902" priority="3529">
      <formula>$K$24&lt;&gt;""</formula>
    </cfRule>
  </conditionalFormatting>
  <conditionalFormatting sqref="J26:K26">
    <cfRule type="expression" dxfId="901" priority="3608">
      <formula>$K$26&lt;&gt;""</formula>
    </cfRule>
  </conditionalFormatting>
  <conditionalFormatting sqref="J27:K27">
    <cfRule type="expression" dxfId="900" priority="3528">
      <formula>$K$27&lt;&gt;""</formula>
    </cfRule>
  </conditionalFormatting>
  <conditionalFormatting sqref="J29:K29">
    <cfRule type="expression" dxfId="899" priority="3607">
      <formula>$K$29&lt;&gt;""</formula>
    </cfRule>
  </conditionalFormatting>
  <conditionalFormatting sqref="J30:K30">
    <cfRule type="expression" dxfId="898" priority="3527">
      <formula>$K$30&lt;&gt;""</formula>
    </cfRule>
  </conditionalFormatting>
  <conditionalFormatting sqref="J32:K32">
    <cfRule type="expression" dxfId="897" priority="3606">
      <formula>$K$32&lt;&gt;""</formula>
    </cfRule>
  </conditionalFormatting>
  <conditionalFormatting sqref="J33:K33">
    <cfRule type="expression" dxfId="896" priority="3526">
      <formula>$K$33&lt;&gt;""</formula>
    </cfRule>
  </conditionalFormatting>
  <conditionalFormatting sqref="J35:K35">
    <cfRule type="expression" dxfId="895" priority="3605">
      <formula>$K$35&lt;&gt;""</formula>
    </cfRule>
  </conditionalFormatting>
  <conditionalFormatting sqref="J36:K36">
    <cfRule type="expression" dxfId="894" priority="3525">
      <formula>$K$36&lt;&gt;""</formula>
    </cfRule>
  </conditionalFormatting>
  <conditionalFormatting sqref="J38:K38">
    <cfRule type="expression" dxfId="893" priority="3604">
      <formula>$K$38&lt;&gt;""</formula>
    </cfRule>
  </conditionalFormatting>
  <conditionalFormatting sqref="J39:K39">
    <cfRule type="expression" dxfId="892" priority="3524">
      <formula>$K$39&lt;&gt;""</formula>
    </cfRule>
  </conditionalFormatting>
  <conditionalFormatting sqref="J41:K41">
    <cfRule type="expression" dxfId="891" priority="3603">
      <formula>$K$41&lt;&gt;""</formula>
    </cfRule>
  </conditionalFormatting>
  <conditionalFormatting sqref="J42:K42">
    <cfRule type="expression" dxfId="890" priority="3523">
      <formula>$K$42&lt;&gt;""</formula>
    </cfRule>
  </conditionalFormatting>
  <conditionalFormatting sqref="J44:K44">
    <cfRule type="expression" dxfId="889" priority="3602">
      <formula>$K$44&lt;&gt;""</formula>
    </cfRule>
  </conditionalFormatting>
  <conditionalFormatting sqref="J45:K45">
    <cfRule type="expression" dxfId="888" priority="3522">
      <formula>$K$45&lt;&gt;""</formula>
    </cfRule>
  </conditionalFormatting>
  <conditionalFormatting sqref="J47:K47">
    <cfRule type="expression" dxfId="887" priority="3601">
      <formula>$K$47&lt;&gt;""</formula>
    </cfRule>
  </conditionalFormatting>
  <conditionalFormatting sqref="J48:K48">
    <cfRule type="expression" dxfId="886" priority="3521">
      <formula>$K$48&lt;&gt;""</formula>
    </cfRule>
  </conditionalFormatting>
  <conditionalFormatting sqref="J50:K50">
    <cfRule type="expression" dxfId="885" priority="3600">
      <formula>$K$50&lt;&gt;""</formula>
    </cfRule>
  </conditionalFormatting>
  <conditionalFormatting sqref="J51:K51">
    <cfRule type="expression" dxfId="884" priority="3520">
      <formula>$K$51&lt;&gt;""</formula>
    </cfRule>
  </conditionalFormatting>
  <conditionalFormatting sqref="J53:K53">
    <cfRule type="expression" dxfId="883" priority="3599">
      <formula>$K$53&lt;&gt;""</formula>
    </cfRule>
  </conditionalFormatting>
  <conditionalFormatting sqref="J54:K54">
    <cfRule type="expression" dxfId="882" priority="3519">
      <formula>$K$54&lt;&gt;""</formula>
    </cfRule>
  </conditionalFormatting>
  <conditionalFormatting sqref="J56:K56">
    <cfRule type="expression" dxfId="881" priority="3598">
      <formula>$K$56&lt;&gt;""</formula>
    </cfRule>
  </conditionalFormatting>
  <conditionalFormatting sqref="J57:K57">
    <cfRule type="expression" dxfId="880" priority="3518">
      <formula>$K$57&lt;&gt;""</formula>
    </cfRule>
  </conditionalFormatting>
  <conditionalFormatting sqref="J59:K59">
    <cfRule type="expression" dxfId="879" priority="3597">
      <formula>$K$59&lt;&gt;""</formula>
    </cfRule>
  </conditionalFormatting>
  <conditionalFormatting sqref="J60:K60">
    <cfRule type="expression" dxfId="878" priority="3517">
      <formula>$K$60&lt;&gt;""</formula>
    </cfRule>
  </conditionalFormatting>
  <conditionalFormatting sqref="J62:K62">
    <cfRule type="expression" dxfId="877" priority="3596">
      <formula>$K$62&lt;&gt;""</formula>
    </cfRule>
  </conditionalFormatting>
  <conditionalFormatting sqref="J63:K63">
    <cfRule type="expression" dxfId="876" priority="3516">
      <formula>$K$63&lt;&gt;""</formula>
    </cfRule>
  </conditionalFormatting>
  <conditionalFormatting sqref="J65:K65">
    <cfRule type="expression" dxfId="875" priority="3595">
      <formula>$K$65&lt;&gt;""</formula>
    </cfRule>
  </conditionalFormatting>
  <conditionalFormatting sqref="J66:K66">
    <cfRule type="expression" dxfId="874" priority="3515">
      <formula>$K$66&lt;&gt;""</formula>
    </cfRule>
  </conditionalFormatting>
  <conditionalFormatting sqref="J68:K68">
    <cfRule type="expression" dxfId="873" priority="3594">
      <formula>$K$68&lt;&gt;""</formula>
    </cfRule>
  </conditionalFormatting>
  <conditionalFormatting sqref="J69:K69">
    <cfRule type="expression" dxfId="872" priority="3514">
      <formula>$K$69&lt;&gt;""</formula>
    </cfRule>
  </conditionalFormatting>
  <conditionalFormatting sqref="M15">
    <cfRule type="expression" dxfId="871" priority="3646">
      <formula>AND($N$15&gt;$M$3,$N$15&lt;&gt;"",$N$15&lt;=TODAY())</formula>
    </cfRule>
  </conditionalFormatting>
  <conditionalFormatting sqref="M18">
    <cfRule type="expression" dxfId="870" priority="3665">
      <formula>AND($N$18&gt;$M$3,$N$18&lt;&gt;"",$N$18&lt;=TODAY())</formula>
    </cfRule>
  </conditionalFormatting>
  <conditionalFormatting sqref="M21">
    <cfRule type="expression" dxfId="869" priority="3684">
      <formula>AND($N$21&gt;$M$3,$N$21&lt;&gt;"",$N$21&lt;=TODAY())</formula>
    </cfRule>
  </conditionalFormatting>
  <conditionalFormatting sqref="M24">
    <cfRule type="expression" dxfId="868" priority="3703">
      <formula>AND($N$24&gt;$M$3,$N$24&lt;&gt;"",$N$24&lt;=TODAY())</formula>
    </cfRule>
  </conditionalFormatting>
  <conditionalFormatting sqref="M27">
    <cfRule type="expression" dxfId="867" priority="3722">
      <formula>AND($N$27&gt;$M$3,$N$27&lt;&gt;"",$N$27&lt;=TODAY())</formula>
    </cfRule>
  </conditionalFormatting>
  <conditionalFormatting sqref="M30">
    <cfRule type="expression" dxfId="866" priority="3741">
      <formula>AND($N$30&gt;$M$3,$N$30&lt;&gt;"",$N$30&lt;=TODAY())</formula>
    </cfRule>
  </conditionalFormatting>
  <conditionalFormatting sqref="M33">
    <cfRule type="expression" dxfId="865" priority="3760">
      <formula>AND($N$33&gt;$M$3,$N$33&lt;&gt;"",$N$33&lt;=TODAY())</formula>
    </cfRule>
  </conditionalFormatting>
  <conditionalFormatting sqref="M36">
    <cfRule type="expression" dxfId="864" priority="3779">
      <formula>AND($N$36&gt;$M$3,$N$36&lt;&gt;"",$N$36&lt;=TODAY())</formula>
    </cfRule>
  </conditionalFormatting>
  <conditionalFormatting sqref="M39">
    <cfRule type="expression" dxfId="863" priority="3798">
      <formula>AND($N$39&gt;$M$3,$N$39&lt;&gt;"",$N$39&lt;=TODAY())</formula>
    </cfRule>
  </conditionalFormatting>
  <conditionalFormatting sqref="M42">
    <cfRule type="expression" dxfId="862" priority="3817">
      <formula>AND($N$42&gt;$M$3,$N$42&lt;&gt;"",$N$42&lt;=TODAY())</formula>
    </cfRule>
  </conditionalFormatting>
  <conditionalFormatting sqref="M45">
    <cfRule type="expression" dxfId="861" priority="3836">
      <formula>AND($N$45&gt;$M$3,$N$45&lt;&gt;"",$N$45&lt;=TODAY())</formula>
    </cfRule>
  </conditionalFormatting>
  <conditionalFormatting sqref="M48">
    <cfRule type="expression" dxfId="860" priority="3855">
      <formula>AND($N$48&gt;$M$3,$N$48&lt;&gt;"",$N$48&lt;=TODAY())</formula>
    </cfRule>
  </conditionalFormatting>
  <conditionalFormatting sqref="M51">
    <cfRule type="expression" dxfId="859" priority="3874">
      <formula>AND($N$51&gt;$M$3,$N$51&lt;&gt;"",$N$51&lt;=TODAY())</formula>
    </cfRule>
  </conditionalFormatting>
  <conditionalFormatting sqref="M54">
    <cfRule type="expression" dxfId="858" priority="3893">
      <formula>AND($N$54&gt;$M$3,$N$54&lt;&gt;"",$N$54&lt;=TODAY())</formula>
    </cfRule>
  </conditionalFormatting>
  <conditionalFormatting sqref="M57">
    <cfRule type="expression" dxfId="857" priority="3912">
      <formula>AND($N$57&gt;$M$3,$N$57&lt;&gt;"",$N$57&lt;=TODAY())</formula>
    </cfRule>
  </conditionalFormatting>
  <conditionalFormatting sqref="M60">
    <cfRule type="expression" dxfId="856" priority="3931">
      <formula>AND($N$60&gt;$M$3,$N$60&lt;&gt;"",$N$60&lt;=TODAY())</formula>
    </cfRule>
  </conditionalFormatting>
  <conditionalFormatting sqref="M63">
    <cfRule type="expression" dxfId="855" priority="3950">
      <formula>AND($N$63&gt;$M$3,$N$63&lt;&gt;"",$N$63&lt;=TODAY())</formula>
    </cfRule>
  </conditionalFormatting>
  <conditionalFormatting sqref="M66">
    <cfRule type="expression" dxfId="854" priority="3969">
      <formula>AND($N$66&gt;$M$3,$N$66&lt;&gt;"",$N$66&lt;=TODAY())</formula>
    </cfRule>
  </conditionalFormatting>
  <conditionalFormatting sqref="M69">
    <cfRule type="expression" dxfId="853" priority="3990">
      <formula>AND($N$69&gt;$M$3,$N$69&lt;&gt;"",$N$69&lt;=TODAY())</formula>
    </cfRule>
  </conditionalFormatting>
  <conditionalFormatting sqref="M11:N11">
    <cfRule type="expression" dxfId="852" priority="3513">
      <formula>$N$11&lt;&gt;""</formula>
    </cfRule>
  </conditionalFormatting>
  <conditionalFormatting sqref="M12:N12">
    <cfRule type="expression" dxfId="851" priority="3626">
      <formula>AND($N$12&gt;=$M$3,$N$12&lt;&gt;"")</formula>
    </cfRule>
  </conditionalFormatting>
  <conditionalFormatting sqref="M14:N14">
    <cfRule type="expression" dxfId="850" priority="3512">
      <formula>$N$14&lt;&gt;""</formula>
    </cfRule>
  </conditionalFormatting>
  <conditionalFormatting sqref="M15:N15">
    <cfRule type="expression" dxfId="849" priority="3493">
      <formula>AND($N$15&gt;=$M$3,$N$15&lt;&gt;"")</formula>
    </cfRule>
  </conditionalFormatting>
  <conditionalFormatting sqref="M17:N17">
    <cfRule type="expression" dxfId="848" priority="3511">
      <formula>$N$17&lt;&gt;""</formula>
    </cfRule>
  </conditionalFormatting>
  <conditionalFormatting sqref="M18:N18">
    <cfRule type="expression" dxfId="847" priority="3492">
      <formula>AND($N$18&gt;=$M$3,$N$18&lt;&gt;"")</formula>
    </cfRule>
  </conditionalFormatting>
  <conditionalFormatting sqref="M20:N20">
    <cfRule type="expression" dxfId="846" priority="3510">
      <formula>$N$20&lt;&gt;""</formula>
    </cfRule>
  </conditionalFormatting>
  <conditionalFormatting sqref="M21:N21">
    <cfRule type="expression" dxfId="845" priority="3491">
      <formula>AND($N$21&gt;=$M$3,$N$21&lt;&gt;"")</formula>
    </cfRule>
  </conditionalFormatting>
  <conditionalFormatting sqref="M23:N23">
    <cfRule type="expression" dxfId="844" priority="3509">
      <formula>$N$23&lt;&gt;""</formula>
    </cfRule>
  </conditionalFormatting>
  <conditionalFormatting sqref="M24:N24">
    <cfRule type="expression" dxfId="843" priority="3490">
      <formula>AND($N$24&gt;=$M$3,$N$24&lt;&gt;"")</formula>
    </cfRule>
  </conditionalFormatting>
  <conditionalFormatting sqref="M26:N26">
    <cfRule type="expression" dxfId="842" priority="3508">
      <formula>$N$26&lt;&gt;""</formula>
    </cfRule>
  </conditionalFormatting>
  <conditionalFormatting sqref="M27:N27">
    <cfRule type="expression" dxfId="841" priority="3489">
      <formula>AND($N$27&gt;=$M$3,$N$27&lt;&gt;"")</formula>
    </cfRule>
  </conditionalFormatting>
  <conditionalFormatting sqref="M29:N29">
    <cfRule type="expression" dxfId="840" priority="3507">
      <formula>$N$29&lt;&gt;""</formula>
    </cfRule>
  </conditionalFormatting>
  <conditionalFormatting sqref="M30:N30">
    <cfRule type="expression" dxfId="839" priority="3488">
      <formula>AND($N$30&gt;=$M$3,$N$30&lt;&gt;"")</formula>
    </cfRule>
  </conditionalFormatting>
  <conditionalFormatting sqref="M32:N32">
    <cfRule type="expression" dxfId="838" priority="3506">
      <formula>$N$32&lt;&gt;""</formula>
    </cfRule>
  </conditionalFormatting>
  <conditionalFormatting sqref="M33:N33">
    <cfRule type="expression" dxfId="837" priority="3487">
      <formula>AND($N$33&gt;=$M$3,$N$33&lt;&gt;"")</formula>
    </cfRule>
  </conditionalFormatting>
  <conditionalFormatting sqref="M35:N35">
    <cfRule type="expression" dxfId="836" priority="3505">
      <formula>$N$35&lt;&gt;""</formula>
    </cfRule>
  </conditionalFormatting>
  <conditionalFormatting sqref="M36:N36">
    <cfRule type="expression" dxfId="835" priority="3486">
      <formula>AND($N$36&gt;=$M$3,$N$36&lt;&gt;"")</formula>
    </cfRule>
  </conditionalFormatting>
  <conditionalFormatting sqref="M38:N38">
    <cfRule type="expression" dxfId="834" priority="3504">
      <formula>$N$38&lt;&gt;""</formula>
    </cfRule>
  </conditionalFormatting>
  <conditionalFormatting sqref="M39:N39">
    <cfRule type="expression" dxfId="833" priority="3485">
      <formula>AND($N$39&gt;=$M$3,$N$39&lt;&gt;"")</formula>
    </cfRule>
  </conditionalFormatting>
  <conditionalFormatting sqref="M41:N41">
    <cfRule type="expression" dxfId="832" priority="3503">
      <formula>$N$41&lt;&gt;""</formula>
    </cfRule>
  </conditionalFormatting>
  <conditionalFormatting sqref="M42:N42">
    <cfRule type="expression" dxfId="831" priority="3484">
      <formula>AND($N$42&gt;=$M$3,$N$42&lt;&gt;"")</formula>
    </cfRule>
  </conditionalFormatting>
  <conditionalFormatting sqref="M44:N44">
    <cfRule type="expression" dxfId="830" priority="3502">
      <formula>$N$44&lt;&gt;""</formula>
    </cfRule>
  </conditionalFormatting>
  <conditionalFormatting sqref="M45:N45">
    <cfRule type="expression" dxfId="829" priority="3483">
      <formula>AND($N$45&gt;=$M$3,$N$45&lt;&gt;"")</formula>
    </cfRule>
  </conditionalFormatting>
  <conditionalFormatting sqref="M47:N47">
    <cfRule type="expression" dxfId="828" priority="3501">
      <formula>$N$47&lt;&gt;""</formula>
    </cfRule>
  </conditionalFormatting>
  <conditionalFormatting sqref="M48:N48">
    <cfRule type="expression" dxfId="827" priority="3482">
      <formula>AND($N$48&gt;=$M$3,$N$48&lt;&gt;"")</formula>
    </cfRule>
  </conditionalFormatting>
  <conditionalFormatting sqref="M50:N50">
    <cfRule type="expression" dxfId="826" priority="3500">
      <formula>$N$50&lt;&gt;""</formula>
    </cfRule>
  </conditionalFormatting>
  <conditionalFormatting sqref="M51:N51">
    <cfRule type="expression" dxfId="825" priority="3481">
      <formula>AND($N$51&gt;=$M$3,$N$51&lt;&gt;"")</formula>
    </cfRule>
  </conditionalFormatting>
  <conditionalFormatting sqref="M53:N53">
    <cfRule type="expression" dxfId="824" priority="3499">
      <formula>$N$53&lt;&gt;""</formula>
    </cfRule>
  </conditionalFormatting>
  <conditionalFormatting sqref="M54:N54">
    <cfRule type="expression" dxfId="823" priority="3480">
      <formula>AND($N$54&gt;=$M$3,$N$54&lt;&gt;"")</formula>
    </cfRule>
  </conditionalFormatting>
  <conditionalFormatting sqref="M56:N56">
    <cfRule type="expression" dxfId="822" priority="3498">
      <formula>$N$56&lt;&gt;""</formula>
    </cfRule>
  </conditionalFormatting>
  <conditionalFormatting sqref="M57:N57">
    <cfRule type="expression" dxfId="821" priority="3479">
      <formula>AND($N$57&gt;=$M$3,$N$57&lt;&gt;"")</formula>
    </cfRule>
  </conditionalFormatting>
  <conditionalFormatting sqref="M59:N59">
    <cfRule type="expression" dxfId="820" priority="3497">
      <formula>$N$59&lt;&gt;""</formula>
    </cfRule>
  </conditionalFormatting>
  <conditionalFormatting sqref="M60:N60">
    <cfRule type="expression" dxfId="819" priority="3478">
      <formula>AND($N$60&gt;=$M$3,$N$60&lt;&gt;"")</formula>
    </cfRule>
  </conditionalFormatting>
  <conditionalFormatting sqref="M62:N62">
    <cfRule type="expression" dxfId="818" priority="3496">
      <formula>$N$62&lt;&gt;""</formula>
    </cfRule>
  </conditionalFormatting>
  <conditionalFormatting sqref="M63:N63">
    <cfRule type="expression" dxfId="817" priority="3477">
      <formula>AND($N$63&gt;=$M$3,$N$63&lt;&gt;"")</formula>
    </cfRule>
  </conditionalFormatting>
  <conditionalFormatting sqref="M65:N65">
    <cfRule type="expression" dxfId="816" priority="3495">
      <formula>$N$65&lt;&gt;""</formula>
    </cfRule>
  </conditionalFormatting>
  <conditionalFormatting sqref="M66:N66">
    <cfRule type="expression" dxfId="815" priority="3476">
      <formula>AND($N$66&gt;=$M$3,$N$66&lt;&gt;"")</formula>
    </cfRule>
  </conditionalFormatting>
  <conditionalFormatting sqref="M68:N68">
    <cfRule type="expression" dxfId="814" priority="3494">
      <formula>$N$68&lt;&gt;""</formula>
    </cfRule>
  </conditionalFormatting>
  <conditionalFormatting sqref="M69:N69">
    <cfRule type="expression" dxfId="813" priority="3475">
      <formula>AND($N$69&gt;=$M$3,$N$69&lt;&gt;"")</formula>
    </cfRule>
  </conditionalFormatting>
  <conditionalFormatting sqref="P11:Q11">
    <cfRule type="expression" dxfId="812" priority="3615">
      <formula>$Q$11="ja"</formula>
    </cfRule>
  </conditionalFormatting>
  <conditionalFormatting sqref="P12:Q12">
    <cfRule type="expression" dxfId="811" priority="3614">
      <formula>$Q$12&gt;=ROMAN($Q$3)</formula>
    </cfRule>
  </conditionalFormatting>
  <conditionalFormatting sqref="P14:Q14">
    <cfRule type="expression" dxfId="810" priority="3635">
      <formula>$Q$14="ja"</formula>
    </cfRule>
  </conditionalFormatting>
  <conditionalFormatting sqref="P15:Q15">
    <cfRule type="expression" dxfId="809" priority="3634">
      <formula>$Q$15&gt;=ROMAN($Q$3)</formula>
    </cfRule>
  </conditionalFormatting>
  <conditionalFormatting sqref="P17:Q17">
    <cfRule type="expression" dxfId="808" priority="3654">
      <formula>$Q$17="ja"</formula>
    </cfRule>
  </conditionalFormatting>
  <conditionalFormatting sqref="P18:Q18">
    <cfRule type="expression" dxfId="807" priority="3653">
      <formula>$Q$18&gt;=ROMAN($Q$3)</formula>
    </cfRule>
  </conditionalFormatting>
  <conditionalFormatting sqref="P20:Q20">
    <cfRule type="expression" dxfId="806" priority="3673">
      <formula>$Q$20="ja"</formula>
    </cfRule>
  </conditionalFormatting>
  <conditionalFormatting sqref="P21:Q21">
    <cfRule type="expression" dxfId="805" priority="3672">
      <formula>$Q$21&gt;=ROMAN($Q$3)</formula>
    </cfRule>
  </conditionalFormatting>
  <conditionalFormatting sqref="P23:Q23">
    <cfRule type="expression" dxfId="804" priority="3692">
      <formula>$Q$23="ja"</formula>
    </cfRule>
  </conditionalFormatting>
  <conditionalFormatting sqref="P24:Q24">
    <cfRule type="expression" dxfId="803" priority="3691">
      <formula>$Q$24&gt;=ROMAN($Q$3)</formula>
    </cfRule>
  </conditionalFormatting>
  <conditionalFormatting sqref="P26:Q26">
    <cfRule type="expression" dxfId="802" priority="3711">
      <formula>$Q$26="ja"</formula>
    </cfRule>
  </conditionalFormatting>
  <conditionalFormatting sqref="P27:Q27">
    <cfRule type="expression" dxfId="801" priority="3710">
      <formula>$Q$27&gt;=ROMAN($Q$3)</formula>
    </cfRule>
  </conditionalFormatting>
  <conditionalFormatting sqref="P29:Q29">
    <cfRule type="expression" dxfId="800" priority="3730">
      <formula>$Q$29="ja"</formula>
    </cfRule>
  </conditionalFormatting>
  <conditionalFormatting sqref="P30:Q30">
    <cfRule type="expression" dxfId="799" priority="3729">
      <formula>$Q$30&gt;=ROMAN($Q$3)</formula>
    </cfRule>
  </conditionalFormatting>
  <conditionalFormatting sqref="P32:Q32">
    <cfRule type="expression" dxfId="798" priority="3749">
      <formula>$Q$32="ja"</formula>
    </cfRule>
  </conditionalFormatting>
  <conditionalFormatting sqref="P33:Q33">
    <cfRule type="expression" dxfId="797" priority="3748">
      <formula>$Q$33&gt;=ROMAN($Q$3)</formula>
    </cfRule>
  </conditionalFormatting>
  <conditionalFormatting sqref="P35:Q35">
    <cfRule type="expression" dxfId="796" priority="3768">
      <formula>$Q$35="ja"</formula>
    </cfRule>
  </conditionalFormatting>
  <conditionalFormatting sqref="P36:Q36">
    <cfRule type="expression" dxfId="795" priority="3767">
      <formula>$Q$36&gt;=ROMAN($Q$3)</formula>
    </cfRule>
  </conditionalFormatting>
  <conditionalFormatting sqref="P38:Q38">
    <cfRule type="expression" dxfId="794" priority="3787">
      <formula>$Q$38="ja"</formula>
    </cfRule>
  </conditionalFormatting>
  <conditionalFormatting sqref="P39:Q39">
    <cfRule type="expression" dxfId="793" priority="3786">
      <formula>$Q$39&gt;=ROMAN($Q$3)</formula>
    </cfRule>
  </conditionalFormatting>
  <conditionalFormatting sqref="P41:Q41">
    <cfRule type="expression" dxfId="792" priority="3806">
      <formula>$Q$41="ja"</formula>
    </cfRule>
  </conditionalFormatting>
  <conditionalFormatting sqref="P42:Q42">
    <cfRule type="expression" dxfId="791" priority="3805">
      <formula>$Q$42&gt;=ROMAN($Q$3)</formula>
    </cfRule>
  </conditionalFormatting>
  <conditionalFormatting sqref="P44:Q44">
    <cfRule type="expression" dxfId="790" priority="3825">
      <formula>$Q$44="ja"</formula>
    </cfRule>
  </conditionalFormatting>
  <conditionalFormatting sqref="P45:Q45">
    <cfRule type="expression" dxfId="789" priority="3824">
      <formula>$Q$45&gt;=ROMAN($Q$3)</formula>
    </cfRule>
  </conditionalFormatting>
  <conditionalFormatting sqref="P47:Q47">
    <cfRule type="expression" dxfId="788" priority="3844">
      <formula>$Q$47="ja"</formula>
    </cfRule>
  </conditionalFormatting>
  <conditionalFormatting sqref="P48:Q48">
    <cfRule type="expression" dxfId="787" priority="3843">
      <formula>$Q$48&gt;=ROMAN($Q$3)</formula>
    </cfRule>
  </conditionalFormatting>
  <conditionalFormatting sqref="P50:Q50">
    <cfRule type="expression" dxfId="786" priority="3863">
      <formula>$Q$50="ja"</formula>
    </cfRule>
  </conditionalFormatting>
  <conditionalFormatting sqref="P51:Q51">
    <cfRule type="expression" dxfId="785" priority="3862">
      <formula>$Q$51&gt;=ROMAN($Q$3)</formula>
    </cfRule>
  </conditionalFormatting>
  <conditionalFormatting sqref="P53:Q53">
    <cfRule type="expression" dxfId="784" priority="3882">
      <formula>$Q$53="ja"</formula>
    </cfRule>
  </conditionalFormatting>
  <conditionalFormatting sqref="P54:Q54">
    <cfRule type="expression" dxfId="783" priority="3881">
      <formula>$Q$54&gt;=ROMAN($Q$3)</formula>
    </cfRule>
  </conditionalFormatting>
  <conditionalFormatting sqref="P56:Q56">
    <cfRule type="expression" dxfId="782" priority="3901">
      <formula>$Q$56="ja"</formula>
    </cfRule>
  </conditionalFormatting>
  <conditionalFormatting sqref="P57:Q57">
    <cfRule type="expression" dxfId="781" priority="3900">
      <formula>$Q$57&gt;=ROMAN($Q$3)</formula>
    </cfRule>
  </conditionalFormatting>
  <conditionalFormatting sqref="P59:Q59">
    <cfRule type="expression" dxfId="780" priority="3920">
      <formula>$Q$59="ja"</formula>
    </cfRule>
  </conditionalFormatting>
  <conditionalFormatting sqref="P60:Q60">
    <cfRule type="expression" dxfId="779" priority="3919">
      <formula>$Q$60&gt;=ROMAN($Q$3)</formula>
    </cfRule>
  </conditionalFormatting>
  <conditionalFormatting sqref="P62:Q62">
    <cfRule type="expression" dxfId="778" priority="3939">
      <formula>$Q$62="ja"</formula>
    </cfRule>
  </conditionalFormatting>
  <conditionalFormatting sqref="P63:Q63">
    <cfRule type="expression" dxfId="777" priority="3938">
      <formula>$Q$63&gt;=ROMAN($Q$3)</formula>
    </cfRule>
  </conditionalFormatting>
  <conditionalFormatting sqref="P65:Q65">
    <cfRule type="expression" dxfId="776" priority="3958">
      <formula>$Q$65="ja"</formula>
    </cfRule>
  </conditionalFormatting>
  <conditionalFormatting sqref="P66:Q66">
    <cfRule type="expression" dxfId="775" priority="3957">
      <formula>$Q$66&gt;=ROMAN($Q$3)</formula>
    </cfRule>
  </conditionalFormatting>
  <conditionalFormatting sqref="P68:Q68">
    <cfRule type="expression" dxfId="774" priority="3979">
      <formula>$Q$68="ja"</formula>
    </cfRule>
  </conditionalFormatting>
  <conditionalFormatting sqref="P69:Q69">
    <cfRule type="expression" dxfId="773" priority="3978">
      <formula>$Q$69&gt;=ROMAN($Q$3)</formula>
    </cfRule>
  </conditionalFormatting>
  <conditionalFormatting sqref="S11:T11">
    <cfRule type="expression" dxfId="772" priority="3613">
      <formula>$T$11&gt;=$S$3</formula>
    </cfRule>
  </conditionalFormatting>
  <conditionalFormatting sqref="S12:T12">
    <cfRule type="expression" dxfId="771" priority="3574">
      <formula>$T$12&gt;=$S$3</formula>
    </cfRule>
  </conditionalFormatting>
  <conditionalFormatting sqref="S14:T14">
    <cfRule type="expression" dxfId="770" priority="3573">
      <formula>$T$14&gt;=$S$3</formula>
    </cfRule>
  </conditionalFormatting>
  <conditionalFormatting sqref="S15:T15">
    <cfRule type="expression" dxfId="769" priority="3572">
      <formula>$T$15&gt;=$S$3</formula>
    </cfRule>
  </conditionalFormatting>
  <conditionalFormatting sqref="S17:T17">
    <cfRule type="expression" dxfId="768" priority="3571">
      <formula>$T$17&gt;=$S$3</formula>
    </cfRule>
  </conditionalFormatting>
  <conditionalFormatting sqref="S18:T18">
    <cfRule type="expression" dxfId="767" priority="3570">
      <formula>$T$18&gt;=$S$3</formula>
    </cfRule>
  </conditionalFormatting>
  <conditionalFormatting sqref="S20:T20">
    <cfRule type="expression" dxfId="766" priority="3569">
      <formula>$T$20&gt;=$S$3</formula>
    </cfRule>
  </conditionalFormatting>
  <conditionalFormatting sqref="S21:T21">
    <cfRule type="expression" dxfId="765" priority="3568">
      <formula>$T$21&gt;=$S$3</formula>
    </cfRule>
  </conditionalFormatting>
  <conditionalFormatting sqref="S23:T23">
    <cfRule type="expression" dxfId="764" priority="3567">
      <formula>$T$23&gt;=$S$3</formula>
    </cfRule>
  </conditionalFormatting>
  <conditionalFormatting sqref="S24:T24">
    <cfRule type="expression" dxfId="763" priority="3566">
      <formula>$T$24&gt;=$S$3</formula>
    </cfRule>
  </conditionalFormatting>
  <conditionalFormatting sqref="S26:T26">
    <cfRule type="expression" dxfId="762" priority="3565">
      <formula>$T$26&gt;=$S$3</formula>
    </cfRule>
  </conditionalFormatting>
  <conditionalFormatting sqref="S27:T27">
    <cfRule type="expression" dxfId="761" priority="3564">
      <formula>$T$27&gt;=$S$3</formula>
    </cfRule>
  </conditionalFormatting>
  <conditionalFormatting sqref="S29:T29">
    <cfRule type="expression" dxfId="760" priority="3563">
      <formula>$T$29&gt;=$S$3</formula>
    </cfRule>
  </conditionalFormatting>
  <conditionalFormatting sqref="S30:T30">
    <cfRule type="expression" dxfId="759" priority="3562">
      <formula>$T$30&gt;=$S$3</formula>
    </cfRule>
  </conditionalFormatting>
  <conditionalFormatting sqref="S32:T32">
    <cfRule type="expression" dxfId="758" priority="3561">
      <formula>$T$32&gt;=$S$3</formula>
    </cfRule>
  </conditionalFormatting>
  <conditionalFormatting sqref="S33:T33">
    <cfRule type="expression" dxfId="757" priority="3560">
      <formula>$T$33&gt;=$S$3</formula>
    </cfRule>
  </conditionalFormatting>
  <conditionalFormatting sqref="S35:T35">
    <cfRule type="expression" dxfId="756" priority="3559">
      <formula>$T$35&gt;=$S$3</formula>
    </cfRule>
  </conditionalFormatting>
  <conditionalFormatting sqref="S36:T36">
    <cfRule type="expression" dxfId="755" priority="3558">
      <formula>$T$36&gt;=$S$3</formula>
    </cfRule>
  </conditionalFormatting>
  <conditionalFormatting sqref="S38:T38">
    <cfRule type="expression" dxfId="754" priority="3557">
      <formula>$T$38&gt;=$S$3</formula>
    </cfRule>
  </conditionalFormatting>
  <conditionalFormatting sqref="S39:T39">
    <cfRule type="expression" dxfId="753" priority="3556">
      <formula>$T$39&gt;=$S$3</formula>
    </cfRule>
  </conditionalFormatting>
  <conditionalFormatting sqref="S41:T41">
    <cfRule type="expression" dxfId="752" priority="3555">
      <formula>$T$41&gt;=$S$3</formula>
    </cfRule>
  </conditionalFormatting>
  <conditionalFormatting sqref="S42:T42">
    <cfRule type="expression" dxfId="751" priority="3554">
      <formula>$T$42&gt;=$S$3</formula>
    </cfRule>
  </conditionalFormatting>
  <conditionalFormatting sqref="S44:T44">
    <cfRule type="expression" dxfId="750" priority="3553">
      <formula>$T$44&gt;=$S$3</formula>
    </cfRule>
  </conditionalFormatting>
  <conditionalFormatting sqref="S45:T45">
    <cfRule type="expression" dxfId="749" priority="3552">
      <formula>$T$45&gt;=$S$3</formula>
    </cfRule>
  </conditionalFormatting>
  <conditionalFormatting sqref="S47:T47">
    <cfRule type="expression" dxfId="748" priority="3551">
      <formula>$T$47&gt;=$S$3</formula>
    </cfRule>
  </conditionalFormatting>
  <conditionalFormatting sqref="S48:T48">
    <cfRule type="expression" dxfId="747" priority="3550">
      <formula>$T$48&gt;=$S$3</formula>
    </cfRule>
  </conditionalFormatting>
  <conditionalFormatting sqref="S50:T50">
    <cfRule type="expression" dxfId="746" priority="3549">
      <formula>$T$50&gt;=$S$3</formula>
    </cfRule>
  </conditionalFormatting>
  <conditionalFormatting sqref="S51:T51">
    <cfRule type="expression" dxfId="745" priority="3548">
      <formula>$T$51&gt;=$S$3</formula>
    </cfRule>
  </conditionalFormatting>
  <conditionalFormatting sqref="S53:T53">
    <cfRule type="expression" dxfId="744" priority="3547">
      <formula>$T$53&gt;=$S$3</formula>
    </cfRule>
  </conditionalFormatting>
  <conditionalFormatting sqref="S54:T54">
    <cfRule type="expression" dxfId="743" priority="3546">
      <formula>$T$54&gt;=$S$3</formula>
    </cfRule>
  </conditionalFormatting>
  <conditionalFormatting sqref="S56:T56">
    <cfRule type="expression" dxfId="742" priority="3545">
      <formula>$T$56&gt;=$S$3</formula>
    </cfRule>
  </conditionalFormatting>
  <conditionalFormatting sqref="S57:T57">
    <cfRule type="expression" dxfId="741" priority="3544">
      <formula>$T$57&gt;=$S$3</formula>
    </cfRule>
  </conditionalFormatting>
  <conditionalFormatting sqref="S59:T59">
    <cfRule type="expression" dxfId="740" priority="3543">
      <formula>$T$59&gt;=$S$3</formula>
    </cfRule>
  </conditionalFormatting>
  <conditionalFormatting sqref="S60:T60">
    <cfRule type="expression" dxfId="739" priority="3542">
      <formula>$T$60&gt;=$S$3</formula>
    </cfRule>
  </conditionalFormatting>
  <conditionalFormatting sqref="S62:T62">
    <cfRule type="expression" dxfId="738" priority="3541">
      <formula>$T$62&gt;=$S$3</formula>
    </cfRule>
  </conditionalFormatting>
  <conditionalFormatting sqref="S63:T63">
    <cfRule type="expression" dxfId="737" priority="3540">
      <formula>$T$63&gt;=$S$3</formula>
    </cfRule>
  </conditionalFormatting>
  <conditionalFormatting sqref="S65:T65">
    <cfRule type="expression" dxfId="736" priority="3539">
      <formula>$T$65&gt;=$S$3</formula>
    </cfRule>
  </conditionalFormatting>
  <conditionalFormatting sqref="S66:T66">
    <cfRule type="expression" dxfId="735" priority="3538">
      <formula>$T$66&gt;=$S$3</formula>
    </cfRule>
  </conditionalFormatting>
  <conditionalFormatting sqref="S68:T68">
    <cfRule type="expression" dxfId="734" priority="3537">
      <formula>$T$68&gt;=$S$3</formula>
    </cfRule>
  </conditionalFormatting>
  <conditionalFormatting sqref="S69:T69">
    <cfRule type="expression" dxfId="733" priority="3536">
      <formula>$T$69&gt;=$S$3</formula>
    </cfRule>
  </conditionalFormatting>
  <conditionalFormatting sqref="V11:V12 V14:V15 V17:V18 V20:V21 V23:V24 V26:V27 V29:V30 V32:V33 V35:V36 V38:V39 V41:V42 V44:V45 V47:V48 V50:V51 V53:V54 V56:V57 V59:V60 V62:V63 V65:V66 V68:V69">
    <cfRule type="expression" dxfId="732" priority="3274">
      <formula>$V$3&lt;&gt;"ja"</formula>
    </cfRule>
  </conditionalFormatting>
  <conditionalFormatting sqref="V11:V12">
    <cfRule type="expression" dxfId="731" priority="3474">
      <formula>$V$12="ja/nein"</formula>
    </cfRule>
    <cfRule type="expression" dxfId="730" priority="3618">
      <formula>$V$12="ja"</formula>
    </cfRule>
  </conditionalFormatting>
  <conditionalFormatting sqref="V14:V15">
    <cfRule type="expression" dxfId="729" priority="3465">
      <formula>$V$15="ja/nein"</formula>
    </cfRule>
    <cfRule type="expression" dxfId="728" priority="3638">
      <formula>$V$15="ja"</formula>
    </cfRule>
  </conditionalFormatting>
  <conditionalFormatting sqref="V17:V18">
    <cfRule type="expression" dxfId="727" priority="3457">
      <formula>$V$18="ja/nein"</formula>
    </cfRule>
    <cfRule type="expression" dxfId="726" priority="3657">
      <formula>$V$18="ja"</formula>
    </cfRule>
  </conditionalFormatting>
  <conditionalFormatting sqref="V20:V21">
    <cfRule type="expression" dxfId="725" priority="3448">
      <formula>$V$21="ja/nein"</formula>
    </cfRule>
    <cfRule type="expression" dxfId="724" priority="3676">
      <formula>$V$21="ja"</formula>
    </cfRule>
  </conditionalFormatting>
  <conditionalFormatting sqref="V23:V24">
    <cfRule type="expression" dxfId="723" priority="3440">
      <formula>$V$24="ja/nein"</formula>
    </cfRule>
    <cfRule type="expression" dxfId="722" priority="3695">
      <formula>$V$24="ja"</formula>
    </cfRule>
  </conditionalFormatting>
  <conditionalFormatting sqref="V26:V27">
    <cfRule type="expression" dxfId="721" priority="3431">
      <formula>$V$27="ja/nein"</formula>
    </cfRule>
    <cfRule type="expression" dxfId="720" priority="3714">
      <formula>$V$27="ja"</formula>
    </cfRule>
  </conditionalFormatting>
  <conditionalFormatting sqref="V29:V30">
    <cfRule type="expression" dxfId="719" priority="3422">
      <formula>$V$30="ja/nein"</formula>
    </cfRule>
    <cfRule type="expression" dxfId="718" priority="3733">
      <formula>$V$30="ja"</formula>
    </cfRule>
  </conditionalFormatting>
  <conditionalFormatting sqref="V32:V33">
    <cfRule type="expression" dxfId="717" priority="3413">
      <formula>$V$33="ja/nein"</formula>
    </cfRule>
    <cfRule type="expression" dxfId="716" priority="3752">
      <formula>$V$33="ja"</formula>
    </cfRule>
  </conditionalFormatting>
  <conditionalFormatting sqref="V35:V36">
    <cfRule type="expression" dxfId="715" priority="3404">
      <formula>$V$36="ja/nein"</formula>
    </cfRule>
    <cfRule type="expression" dxfId="714" priority="3771">
      <formula>$V$36="ja"</formula>
    </cfRule>
  </conditionalFormatting>
  <conditionalFormatting sqref="V38:V39">
    <cfRule type="expression" dxfId="713" priority="3395">
      <formula>$V$39="ja/nein"</formula>
    </cfRule>
    <cfRule type="expression" dxfId="712" priority="3790">
      <formula>$V$39="ja"</formula>
    </cfRule>
  </conditionalFormatting>
  <conditionalFormatting sqref="V41:V42">
    <cfRule type="expression" dxfId="711" priority="3386">
      <formula>$V$42="ja/nein"</formula>
    </cfRule>
    <cfRule type="expression" dxfId="710" priority="3809">
      <formula>$V$42="ja"</formula>
    </cfRule>
  </conditionalFormatting>
  <conditionalFormatting sqref="V44:V45">
    <cfRule type="expression" dxfId="709" priority="3377">
      <formula>$V$45="ja/nein"</formula>
    </cfRule>
    <cfRule type="expression" dxfId="708" priority="3828">
      <formula>$V$45="ja"</formula>
    </cfRule>
  </conditionalFormatting>
  <conditionalFormatting sqref="V47:V48">
    <cfRule type="expression" dxfId="707" priority="3368">
      <formula>$V$48="ja/nein"</formula>
    </cfRule>
    <cfRule type="expression" dxfId="706" priority="3847">
      <formula>$V$48="ja"</formula>
    </cfRule>
  </conditionalFormatting>
  <conditionalFormatting sqref="V50:V51">
    <cfRule type="expression" dxfId="705" priority="3359">
      <formula>$V$51="ja/nein"</formula>
    </cfRule>
    <cfRule type="expression" dxfId="704" priority="3866">
      <formula>$V$51="ja"</formula>
    </cfRule>
  </conditionalFormatting>
  <conditionalFormatting sqref="V53:V54">
    <cfRule type="expression" dxfId="703" priority="3350">
      <formula>$V$54="ja/nein"</formula>
    </cfRule>
    <cfRule type="expression" dxfId="702" priority="3885">
      <formula>$V$54="ja"</formula>
    </cfRule>
  </conditionalFormatting>
  <conditionalFormatting sqref="V56:V57">
    <cfRule type="expression" dxfId="701" priority="3333">
      <formula>$V$57="ja/nein"</formula>
    </cfRule>
    <cfRule type="expression" dxfId="700" priority="3904">
      <formula>$V$57="ja"</formula>
    </cfRule>
  </conditionalFormatting>
  <conditionalFormatting sqref="V59:V60">
    <cfRule type="expression" dxfId="699" priority="3332">
      <formula>$V$60="ja/nein"</formula>
    </cfRule>
    <cfRule type="expression" dxfId="698" priority="3923">
      <formula>$V$60="ja"</formula>
    </cfRule>
  </conditionalFormatting>
  <conditionalFormatting sqref="V62:V63">
    <cfRule type="expression" dxfId="697" priority="3323">
      <formula>$V$63="ja/nein"</formula>
    </cfRule>
    <cfRule type="expression" dxfId="696" priority="3942">
      <formula>$V$63="ja"</formula>
    </cfRule>
  </conditionalFormatting>
  <conditionalFormatting sqref="V65:V66">
    <cfRule type="expression" dxfId="695" priority="3314">
      <formula>$V$66="ja/nein"</formula>
    </cfRule>
    <cfRule type="expression" dxfId="694" priority="3961">
      <formula>$V$66="ja"</formula>
    </cfRule>
  </conditionalFormatting>
  <conditionalFormatting sqref="V68:V69">
    <cfRule type="expression" dxfId="693" priority="3305">
      <formula>$V$69="ja/nein"</formula>
    </cfRule>
    <cfRule type="expression" dxfId="692" priority="3982">
      <formula>$V$69="ja"</formula>
    </cfRule>
  </conditionalFormatting>
  <conditionalFormatting sqref="V11:AB12">
    <cfRule type="expression" dxfId="691" priority="3625">
      <formula>OR($V$12="ja",$W$12="ja",$X$12="ja",$Y$12="ja",$Z$12="ja",$AA$12="ja",$AB$12="ja")</formula>
    </cfRule>
  </conditionalFormatting>
  <conditionalFormatting sqref="V14:AB15">
    <cfRule type="expression" dxfId="690" priority="3645">
      <formula>OR($V$15="ja",$W$15="ja",$X$15="ja",$Y$15="ja",$Z$15="ja",$AA$15="ja",$AB$15="ja")</formula>
    </cfRule>
  </conditionalFormatting>
  <conditionalFormatting sqref="V17:AB18">
    <cfRule type="expression" dxfId="689" priority="3664">
      <formula>OR($V$18="ja",$W$18="ja",$X$18="ja",$Y$18="ja",$Z$18="ja",$AA$18="ja",$AB$18="ja")</formula>
    </cfRule>
  </conditionalFormatting>
  <conditionalFormatting sqref="V20:AB21">
    <cfRule type="expression" dxfId="688" priority="3683">
      <formula>OR($V$21="ja",$W$21="ja",$X$21="ja",$Y$21="ja",$Z$21="ja",$AA$21="ja",$AB$21="ja")</formula>
    </cfRule>
  </conditionalFormatting>
  <conditionalFormatting sqref="V23:AB24">
    <cfRule type="expression" dxfId="687" priority="3702">
      <formula>OR($V$24="ja",$W$24="ja",$X$24="ja",$Y$24="ja",$Z$24="ja",$AA$24="ja",$AB$24="ja")</formula>
    </cfRule>
  </conditionalFormatting>
  <conditionalFormatting sqref="V26:AB27">
    <cfRule type="expression" dxfId="686" priority="3721">
      <formula>OR($V$27="ja",$W$27="ja",$X$27="ja",$Y$27="ja",$Z$27="ja",$AA$27="ja",$AB$27="ja")</formula>
    </cfRule>
  </conditionalFormatting>
  <conditionalFormatting sqref="V29:AB30">
    <cfRule type="expression" dxfId="685" priority="3740">
      <formula>OR($V$30="ja",$W$30="ja",$X$30="ja",$Y$30="ja",$Z$30="ja",$AA$30="ja",$AB$30="ja")</formula>
    </cfRule>
  </conditionalFormatting>
  <conditionalFormatting sqref="V32:AB33">
    <cfRule type="expression" dxfId="684" priority="3759">
      <formula>OR($V$33="ja",$W$33="ja",$X$33="ja",$Y$33="ja",$Z$33="ja",$AA$33="ja",$AB$33="ja")</formula>
    </cfRule>
  </conditionalFormatting>
  <conditionalFormatting sqref="V35:AB36">
    <cfRule type="expression" dxfId="683" priority="3778">
      <formula>OR($V$36="ja",$W$36="ja",$X$36="ja",$Y$36="ja",$Z$36="ja",$AA$36="ja",$AB$36="ja")</formula>
    </cfRule>
  </conditionalFormatting>
  <conditionalFormatting sqref="V38:AB39">
    <cfRule type="expression" dxfId="682" priority="3797">
      <formula>OR($V$39="ja",$W$39="ja",$X$39="ja",$Y$39="ja",$Z$39="ja",$AA$39="ja",$AB$39="ja")</formula>
    </cfRule>
  </conditionalFormatting>
  <conditionalFormatting sqref="V41:AB42">
    <cfRule type="expression" dxfId="681" priority="3816">
      <formula>OR($V$42="ja",$W$42="ja",$X$42="ja",$Y$42="ja",$Z$42="ja",$AA$42="ja",$AB$42="ja")</formula>
    </cfRule>
  </conditionalFormatting>
  <conditionalFormatting sqref="V44:AB45">
    <cfRule type="expression" dxfId="680" priority="3835">
      <formula>OR($V$45="ja",$W$45="ja",$X$45="ja",$Y$45="ja",$Z$45="ja",$AA$45="ja",$AB$45="ja")</formula>
    </cfRule>
  </conditionalFormatting>
  <conditionalFormatting sqref="V47:AB48">
    <cfRule type="expression" dxfId="679" priority="3854">
      <formula>OR($V$48="ja",$W$48="ja",$X$48="ja",$Y$48="ja",$Z$48="ja",$AA$48="ja",$AB$48="ja")</formula>
    </cfRule>
  </conditionalFormatting>
  <conditionalFormatting sqref="V50:AB51">
    <cfRule type="expression" dxfId="678" priority="3873">
      <formula>OR($V$51="ja",$W$51="ja",$X$51="ja",$Y$51="ja",$Z$51="ja",$AA$51="ja",$AB$51="ja")</formula>
    </cfRule>
  </conditionalFormatting>
  <conditionalFormatting sqref="V53:AB54">
    <cfRule type="expression" dxfId="677" priority="3892">
      <formula>OR($V$54="ja",$W$54="ja",$X$54="ja",$Y$54="ja",$Z$54="ja",$AA$54="ja",$AB$54="ja")</formula>
    </cfRule>
  </conditionalFormatting>
  <conditionalFormatting sqref="V56:AB57">
    <cfRule type="expression" dxfId="676" priority="3911">
      <formula>OR($V$57="ja",$W$57="ja",$X$57="ja",$Y$57="ja",$Z$57="ja",$AA$57="ja",$AB$57="ja")</formula>
    </cfRule>
  </conditionalFormatting>
  <conditionalFormatting sqref="V59:AB60">
    <cfRule type="expression" dxfId="675" priority="3930">
      <formula>OR($V$60="ja",$W$60="ja",$X$60="ja",$Y$60="ja",$Z$60="ja",$AA$60="ja",$AB$60="ja")</formula>
    </cfRule>
  </conditionalFormatting>
  <conditionalFormatting sqref="V62:AB63">
    <cfRule type="expression" dxfId="674" priority="3949">
      <formula>OR($V$63="ja",$W$63="ja",$X$63="ja",$Y$63="ja",$Z$63="ja",$AA$63="ja",$AB$63="ja")</formula>
    </cfRule>
  </conditionalFormatting>
  <conditionalFormatting sqref="V65:AB66">
    <cfRule type="expression" dxfId="673" priority="3968">
      <formula>OR($V$66="ja",$W$66="ja",$X$66="ja",$Y$66="ja",$Z$66="ja",$AA$66="ja",$AB$66="ja")</formula>
    </cfRule>
  </conditionalFormatting>
  <conditionalFormatting sqref="V68:AB69">
    <cfRule type="expression" dxfId="672" priority="3989">
      <formula>OR($V$69="ja",$W$69="ja",$X$69="ja",$Y$69="ja",$Z$69="ja",$AA$69="ja",$AB$69="ja")</formula>
    </cfRule>
  </conditionalFormatting>
  <conditionalFormatting sqref="W11:W12 W14:W15 W17:W18 W20:W21 W23:W24 W26:W27 W29:W30 W32:W33 W35:W36 W38:W39 W41:W42 W44:W45 W47:W48 W50:W51 W53:W54 W56:W57 W59:W60 W62:W63 W65:W66 W68:W69">
    <cfRule type="expression" dxfId="671" priority="3273">
      <formula>$W$3&lt;&gt;"ja"</formula>
    </cfRule>
  </conditionalFormatting>
  <conditionalFormatting sqref="W11:W12">
    <cfRule type="expression" dxfId="670" priority="3473">
      <formula>$W$12="ja/nein"</formula>
    </cfRule>
    <cfRule type="expression" dxfId="669" priority="3624">
      <formula>$W$12="ja"</formula>
    </cfRule>
  </conditionalFormatting>
  <conditionalFormatting sqref="W14:W15">
    <cfRule type="expression" dxfId="668" priority="3464">
      <formula>$W$15="ja/nein"</formula>
    </cfRule>
    <cfRule type="expression" dxfId="667" priority="3644">
      <formula>$W$15="ja"</formula>
    </cfRule>
  </conditionalFormatting>
  <conditionalFormatting sqref="W17:W18">
    <cfRule type="expression" dxfId="666" priority="3456">
      <formula>$W$18="ja/nein"</formula>
    </cfRule>
    <cfRule type="expression" dxfId="665" priority="3663">
      <formula>$W$18="ja"</formula>
    </cfRule>
  </conditionalFormatting>
  <conditionalFormatting sqref="W20:W21">
    <cfRule type="expression" dxfId="664" priority="3447">
      <formula>$W$21="ja/nein"</formula>
    </cfRule>
    <cfRule type="expression" dxfId="663" priority="3682">
      <formula>$W$21="ja"</formula>
    </cfRule>
  </conditionalFormatting>
  <conditionalFormatting sqref="W23:W24">
    <cfRule type="expression" dxfId="662" priority="3439">
      <formula>$W$24="ja/nein"</formula>
    </cfRule>
    <cfRule type="expression" dxfId="661" priority="3701">
      <formula>$W$24="ja"</formula>
    </cfRule>
  </conditionalFormatting>
  <conditionalFormatting sqref="W26:W27">
    <cfRule type="expression" dxfId="660" priority="3430">
      <formula>$W$27="ja/nein"</formula>
    </cfRule>
    <cfRule type="expression" dxfId="659" priority="3720">
      <formula>$W$27="ja"</formula>
    </cfRule>
  </conditionalFormatting>
  <conditionalFormatting sqref="W29:W30">
    <cfRule type="expression" dxfId="658" priority="3421">
      <formula>$W$30="ja/nein"</formula>
    </cfRule>
    <cfRule type="expression" dxfId="657" priority="3739">
      <formula>$W$30="ja"</formula>
    </cfRule>
  </conditionalFormatting>
  <conditionalFormatting sqref="W32:W33">
    <cfRule type="expression" dxfId="656" priority="3412">
      <formula>$W$33="ja/nein"</formula>
    </cfRule>
    <cfRule type="expression" dxfId="655" priority="3758">
      <formula>$W$33="ja"</formula>
    </cfRule>
  </conditionalFormatting>
  <conditionalFormatting sqref="W35:W36">
    <cfRule type="expression" dxfId="654" priority="3403">
      <formula>$W$36="ja/nein"</formula>
    </cfRule>
    <cfRule type="expression" dxfId="653" priority="3777">
      <formula>$W$36="ja"</formula>
    </cfRule>
  </conditionalFormatting>
  <conditionalFormatting sqref="W38:W39">
    <cfRule type="expression" dxfId="652" priority="3394">
      <formula>$W$39="ja/nein"</formula>
    </cfRule>
    <cfRule type="expression" dxfId="651" priority="3796">
      <formula>$W$39="ja"</formula>
    </cfRule>
  </conditionalFormatting>
  <conditionalFormatting sqref="W41:W42">
    <cfRule type="expression" dxfId="650" priority="3385">
      <formula>$W$42="ja/nein"</formula>
    </cfRule>
    <cfRule type="expression" dxfId="649" priority="3815">
      <formula>$W$42="ja"</formula>
    </cfRule>
  </conditionalFormatting>
  <conditionalFormatting sqref="W44:W45">
    <cfRule type="expression" dxfId="648" priority="3376">
      <formula>$W$45="ja/nein"</formula>
    </cfRule>
    <cfRule type="expression" dxfId="647" priority="3834">
      <formula>$W$45="ja"</formula>
    </cfRule>
  </conditionalFormatting>
  <conditionalFormatting sqref="W47:W48">
    <cfRule type="expression" dxfId="646" priority="3367">
      <formula>$W$48="ja/nein"</formula>
    </cfRule>
    <cfRule type="expression" dxfId="645" priority="3853">
      <formula>$W$48="ja"</formula>
    </cfRule>
  </conditionalFormatting>
  <conditionalFormatting sqref="W50:W51">
    <cfRule type="expression" dxfId="644" priority="3358">
      <formula>$W$51="ja/nein"</formula>
    </cfRule>
    <cfRule type="expression" dxfId="643" priority="3872">
      <formula>$W$51="ja"</formula>
    </cfRule>
  </conditionalFormatting>
  <conditionalFormatting sqref="W53:W54">
    <cfRule type="expression" dxfId="642" priority="3349">
      <formula>$W$54="ja/nein"</formula>
    </cfRule>
    <cfRule type="expression" dxfId="641" priority="3891">
      <formula>$W$54="ja"</formula>
    </cfRule>
  </conditionalFormatting>
  <conditionalFormatting sqref="W56:W57">
    <cfRule type="expression" dxfId="640" priority="3334">
      <formula>$W$57="ja/nein"</formula>
    </cfRule>
    <cfRule type="expression" dxfId="639" priority="3910">
      <formula>$W$57="ja"</formula>
    </cfRule>
  </conditionalFormatting>
  <conditionalFormatting sqref="W59:W60">
    <cfRule type="expression" dxfId="638" priority="3331">
      <formula>$W$60="ja/nein"</formula>
    </cfRule>
    <cfRule type="expression" dxfId="637" priority="3929">
      <formula>$W$60="ja"</formula>
    </cfRule>
  </conditionalFormatting>
  <conditionalFormatting sqref="W62:W63">
    <cfRule type="expression" dxfId="636" priority="3322">
      <formula>$W$63="ja/nein"</formula>
    </cfRule>
    <cfRule type="expression" dxfId="635" priority="3948">
      <formula>$W$63="ja"</formula>
    </cfRule>
  </conditionalFormatting>
  <conditionalFormatting sqref="W65:W66">
    <cfRule type="expression" dxfId="634" priority="3313">
      <formula>$W$66="ja/nein"</formula>
    </cfRule>
    <cfRule type="expression" dxfId="633" priority="3967">
      <formula>$W$66="ja"</formula>
    </cfRule>
  </conditionalFormatting>
  <conditionalFormatting sqref="W68:W69">
    <cfRule type="expression" dxfId="632" priority="3304">
      <formula>$W$69="ja/nein"</formula>
    </cfRule>
    <cfRule type="expression" dxfId="631" priority="3988">
      <formula>$W$69="ja"</formula>
    </cfRule>
  </conditionalFormatting>
  <conditionalFormatting sqref="X11:X12 X14:X15 X17:X18 X20:X21 X23:X24 X26:X27 X29:X30 X32:X33 X35:X36 X38:X39 X41:X42 X44:X45 X47:X48 X50:X51 X53:X54 X56:X57 X59:X60 X62:X63 X65:X66 X68:X69">
    <cfRule type="expression" dxfId="630" priority="3272">
      <formula>$X$3&lt;&gt;"ja"</formula>
    </cfRule>
  </conditionalFormatting>
  <conditionalFormatting sqref="X11:X12">
    <cfRule type="expression" dxfId="629" priority="3472">
      <formula>$X$12="ja/nein"</formula>
    </cfRule>
    <cfRule type="expression" dxfId="628" priority="3623">
      <formula>$X$12="ja"</formula>
    </cfRule>
  </conditionalFormatting>
  <conditionalFormatting sqref="X14:X15">
    <cfRule type="expression" dxfId="627" priority="3463">
      <formula>$X$15="ja/nein"</formula>
    </cfRule>
    <cfRule type="expression" dxfId="626" priority="3643">
      <formula>$X$15="ja"</formula>
    </cfRule>
  </conditionalFormatting>
  <conditionalFormatting sqref="X17:X18">
    <cfRule type="expression" dxfId="625" priority="3455">
      <formula>$X$18="ja/nein"</formula>
    </cfRule>
    <cfRule type="expression" dxfId="624" priority="3662">
      <formula>$X$18="ja"</formula>
    </cfRule>
  </conditionalFormatting>
  <conditionalFormatting sqref="X20:X21">
    <cfRule type="expression" dxfId="623" priority="3446">
      <formula>$X$21="ja/nein"</formula>
    </cfRule>
    <cfRule type="expression" dxfId="622" priority="3681">
      <formula>$X$21="ja"</formula>
    </cfRule>
  </conditionalFormatting>
  <conditionalFormatting sqref="X23:X24">
    <cfRule type="expression" dxfId="621" priority="3438">
      <formula>$X$24="ja/nein"</formula>
    </cfRule>
    <cfRule type="expression" dxfId="620" priority="3700">
      <formula>$X$24="ja"</formula>
    </cfRule>
  </conditionalFormatting>
  <conditionalFormatting sqref="X26:X27">
    <cfRule type="expression" dxfId="619" priority="3429">
      <formula>$X$27="ja/nein"</formula>
    </cfRule>
    <cfRule type="expression" dxfId="618" priority="3719">
      <formula>$X$27="ja"</formula>
    </cfRule>
  </conditionalFormatting>
  <conditionalFormatting sqref="X29:X30">
    <cfRule type="expression" dxfId="617" priority="3420">
      <formula>$X$30="ja/nein"</formula>
    </cfRule>
    <cfRule type="expression" dxfId="616" priority="3738">
      <formula>$X$30="ja"</formula>
    </cfRule>
  </conditionalFormatting>
  <conditionalFormatting sqref="X32:X33">
    <cfRule type="expression" dxfId="615" priority="3411">
      <formula>$X$33="ja/nein"</formula>
    </cfRule>
    <cfRule type="expression" dxfId="614" priority="3757">
      <formula>$X$33="ja"</formula>
    </cfRule>
  </conditionalFormatting>
  <conditionalFormatting sqref="X35:X36">
    <cfRule type="expression" dxfId="613" priority="3402">
      <formula>$X$36="ja/nein"</formula>
    </cfRule>
    <cfRule type="expression" dxfId="612" priority="3776">
      <formula>$X$36="ja"</formula>
    </cfRule>
  </conditionalFormatting>
  <conditionalFormatting sqref="X38:X39">
    <cfRule type="expression" dxfId="611" priority="3393">
      <formula>$X$39="ja/nein"</formula>
    </cfRule>
    <cfRule type="expression" dxfId="610" priority="3795">
      <formula>$X$39="ja"</formula>
    </cfRule>
  </conditionalFormatting>
  <conditionalFormatting sqref="X41:X42">
    <cfRule type="expression" dxfId="609" priority="3384">
      <formula>$X$42="ja/nein"</formula>
    </cfRule>
    <cfRule type="expression" dxfId="608" priority="3814">
      <formula>$X$42="ja"</formula>
    </cfRule>
  </conditionalFormatting>
  <conditionalFormatting sqref="X44:X45">
    <cfRule type="expression" dxfId="607" priority="3375">
      <formula>$X$45="ja/nein"</formula>
    </cfRule>
    <cfRule type="expression" dxfId="606" priority="3833">
      <formula>$X$45="ja"</formula>
    </cfRule>
  </conditionalFormatting>
  <conditionalFormatting sqref="X47:X48">
    <cfRule type="expression" dxfId="605" priority="3366">
      <formula>$X$48="ja/nein"</formula>
    </cfRule>
    <cfRule type="expression" dxfId="604" priority="3852">
      <formula>$X$48="ja"</formula>
    </cfRule>
  </conditionalFormatting>
  <conditionalFormatting sqref="X50:X51">
    <cfRule type="expression" dxfId="603" priority="3357">
      <formula>$X$51="ja/nein"</formula>
    </cfRule>
    <cfRule type="expression" dxfId="602" priority="3871">
      <formula>$X$51="ja"</formula>
    </cfRule>
  </conditionalFormatting>
  <conditionalFormatting sqref="X53:X54">
    <cfRule type="expression" dxfId="601" priority="3348">
      <formula>$X$54="ja/nein"</formula>
    </cfRule>
    <cfRule type="expression" dxfId="600" priority="3890">
      <formula>$X$54="ja"</formula>
    </cfRule>
  </conditionalFormatting>
  <conditionalFormatting sqref="X56:X57">
    <cfRule type="expression" dxfId="599" priority="3335">
      <formula>$X$57="ja/nein"</formula>
    </cfRule>
    <cfRule type="expression" dxfId="598" priority="3909">
      <formula>$X$57="ja"</formula>
    </cfRule>
  </conditionalFormatting>
  <conditionalFormatting sqref="X59:X60">
    <cfRule type="expression" dxfId="597" priority="3330">
      <formula>$X$60="ja/nein"</formula>
    </cfRule>
    <cfRule type="expression" dxfId="596" priority="3928">
      <formula>$X$60="ja"</formula>
    </cfRule>
  </conditionalFormatting>
  <conditionalFormatting sqref="X62:X63">
    <cfRule type="expression" dxfId="595" priority="3321">
      <formula>$X$63="ja/nein"</formula>
    </cfRule>
    <cfRule type="expression" dxfId="594" priority="3947">
      <formula>$X$63="ja"</formula>
    </cfRule>
  </conditionalFormatting>
  <conditionalFormatting sqref="X65:X66">
    <cfRule type="expression" dxfId="593" priority="3312">
      <formula>$X$66="ja/nein"</formula>
    </cfRule>
    <cfRule type="expression" dxfId="592" priority="3966">
      <formula>$X$66="ja"</formula>
    </cfRule>
  </conditionalFormatting>
  <conditionalFormatting sqref="X68:X69">
    <cfRule type="expression" dxfId="591" priority="3303">
      <formula>$X$69="ja/nein"</formula>
    </cfRule>
    <cfRule type="expression" dxfId="590" priority="3987">
      <formula>$X$69="ja"</formula>
    </cfRule>
  </conditionalFormatting>
  <conditionalFormatting sqref="Y11:Y12 Y14:Y15 Y17:Y18 Y20:Y21 Y23:Y24 Y26:Y27 Y29:Y30 Y32:Y33 Y35:Y36 Y38:Y39 Y41:Y42 Y44:Y45 Y47:Y48 Y50:Y51 Y53:Y54 Y56:Y57 Y59:Y60 Y62:Y63 Y65:Y66 Y68:Y69">
    <cfRule type="expression" dxfId="589" priority="3271">
      <formula>$Y$3&lt;&gt;"ja"</formula>
    </cfRule>
  </conditionalFormatting>
  <conditionalFormatting sqref="Y11:Y12">
    <cfRule type="expression" dxfId="588" priority="3471">
      <formula>$Y$12="ja/nein"</formula>
    </cfRule>
    <cfRule type="expression" dxfId="587" priority="3622">
      <formula>$Y$12="ja"</formula>
    </cfRule>
  </conditionalFormatting>
  <conditionalFormatting sqref="Y14:Y15">
    <cfRule type="expression" dxfId="586" priority="3462">
      <formula>$Y$15="ja/nein"</formula>
    </cfRule>
    <cfRule type="expression" dxfId="585" priority="3642">
      <formula>$Y$15="ja"</formula>
    </cfRule>
  </conditionalFormatting>
  <conditionalFormatting sqref="Y17:Y18">
    <cfRule type="expression" dxfId="584" priority="3454">
      <formula>$Y$18="ja/nein"</formula>
    </cfRule>
    <cfRule type="expression" dxfId="583" priority="3661">
      <formula>$Y$18="ja"</formula>
    </cfRule>
  </conditionalFormatting>
  <conditionalFormatting sqref="Y20:Y21">
    <cfRule type="expression" dxfId="582" priority="3445">
      <formula>$Y$21="ja/nein"</formula>
    </cfRule>
    <cfRule type="expression" dxfId="581" priority="3680">
      <formula>$Y$21="ja"</formula>
    </cfRule>
  </conditionalFormatting>
  <conditionalFormatting sqref="Y23:Y24">
    <cfRule type="expression" dxfId="580" priority="3437">
      <formula>$Y$24="ja/nein"</formula>
    </cfRule>
    <cfRule type="expression" dxfId="579" priority="3699">
      <formula>$Y$24="ja"</formula>
    </cfRule>
  </conditionalFormatting>
  <conditionalFormatting sqref="Y26:Y27">
    <cfRule type="expression" dxfId="578" priority="3428">
      <formula>$Y$27="ja/nein"</formula>
    </cfRule>
    <cfRule type="expression" dxfId="577" priority="3718">
      <formula>$Y$27="ja"</formula>
    </cfRule>
  </conditionalFormatting>
  <conditionalFormatting sqref="Y29:Y30">
    <cfRule type="expression" dxfId="576" priority="3419">
      <formula>$Y$30="ja/nein"</formula>
    </cfRule>
    <cfRule type="expression" dxfId="575" priority="3737">
      <formula>$Y$30="ja"</formula>
    </cfRule>
  </conditionalFormatting>
  <conditionalFormatting sqref="Y32:Y33">
    <cfRule type="expression" dxfId="574" priority="3410">
      <formula>$Y$33="ja/nein"</formula>
    </cfRule>
    <cfRule type="expression" dxfId="573" priority="3756">
      <formula>$Y$33="ja"</formula>
    </cfRule>
  </conditionalFormatting>
  <conditionalFormatting sqref="Y35:Y36">
    <cfRule type="expression" dxfId="572" priority="3401">
      <formula>$Y$36="ja/nein"</formula>
    </cfRule>
    <cfRule type="expression" dxfId="571" priority="3775">
      <formula>$Y$36="ja"</formula>
    </cfRule>
  </conditionalFormatting>
  <conditionalFormatting sqref="Y38:Y39">
    <cfRule type="expression" dxfId="570" priority="3392">
      <formula>$Y$39="ja/nein"</formula>
    </cfRule>
    <cfRule type="expression" dxfId="569" priority="3794">
      <formula>$Y$39="ja"</formula>
    </cfRule>
  </conditionalFormatting>
  <conditionalFormatting sqref="Y41:Y42">
    <cfRule type="expression" dxfId="568" priority="3383">
      <formula>$Y$42="ja/nein"</formula>
    </cfRule>
    <cfRule type="expression" dxfId="567" priority="3813">
      <formula>$Y$42="ja"</formula>
    </cfRule>
  </conditionalFormatting>
  <conditionalFormatting sqref="Y44:Y45">
    <cfRule type="expression" dxfId="566" priority="3374">
      <formula>$Y$45="ja/nein"</formula>
    </cfRule>
    <cfRule type="expression" dxfId="565" priority="3832">
      <formula>$Y$45="ja"</formula>
    </cfRule>
  </conditionalFormatting>
  <conditionalFormatting sqref="Y47:Y48">
    <cfRule type="expression" dxfId="564" priority="3365">
      <formula>$Y$48="ja/nein"</formula>
    </cfRule>
    <cfRule type="expression" dxfId="563" priority="3851">
      <formula>$Y$48="ja"</formula>
    </cfRule>
  </conditionalFormatting>
  <conditionalFormatting sqref="Y50:Y51">
    <cfRule type="expression" dxfId="562" priority="3356">
      <formula>$Y$51="ja/nein"</formula>
    </cfRule>
    <cfRule type="expression" dxfId="561" priority="3870">
      <formula>$Y$51="ja"</formula>
    </cfRule>
  </conditionalFormatting>
  <conditionalFormatting sqref="Y53:Y54">
    <cfRule type="expression" dxfId="560" priority="3347">
      <formula>$Y$54="ja/nein"</formula>
    </cfRule>
    <cfRule type="expression" dxfId="559" priority="3889">
      <formula>$Y$54="ja"</formula>
    </cfRule>
  </conditionalFormatting>
  <conditionalFormatting sqref="Y56:Y57">
    <cfRule type="expression" dxfId="558" priority="3336">
      <formula>$Y$57="ja/nein"</formula>
    </cfRule>
    <cfRule type="expression" dxfId="557" priority="3908">
      <formula>$Y$57="ja"</formula>
    </cfRule>
  </conditionalFormatting>
  <conditionalFormatting sqref="Y59:Y60">
    <cfRule type="expression" dxfId="556" priority="3329">
      <formula>$Y$60="ja/nein"</formula>
    </cfRule>
    <cfRule type="expression" dxfId="555" priority="3927">
      <formula>$Y$60="ja"</formula>
    </cfRule>
  </conditionalFormatting>
  <conditionalFormatting sqref="Y62:Y63">
    <cfRule type="expression" dxfId="554" priority="3320">
      <formula>$Y$63="ja/nein"</formula>
    </cfRule>
    <cfRule type="expression" dxfId="553" priority="3946">
      <formula>$Y$63="ja"</formula>
    </cfRule>
  </conditionalFormatting>
  <conditionalFormatting sqref="Y65:Y66">
    <cfRule type="expression" dxfId="552" priority="3311">
      <formula>$Y$66="ja/nein"</formula>
    </cfRule>
    <cfRule type="expression" dxfId="551" priority="3965">
      <formula>$Y$66="ja"</formula>
    </cfRule>
  </conditionalFormatting>
  <conditionalFormatting sqref="Y68:Y69">
    <cfRule type="expression" dxfId="550" priority="3302">
      <formula>$Y$69="ja/nein"</formula>
    </cfRule>
    <cfRule type="expression" dxfId="549" priority="3986">
      <formula>$Y$69="ja"</formula>
    </cfRule>
  </conditionalFormatting>
  <conditionalFormatting sqref="Z11:Z12 Z14:Z15 Z17:Z18 Z20:Z21 Z23:Z24 Z26:Z27 Z29:Z30 Z32:Z33 Z35:Z36 Z38:Z39 Z41:Z42 Z44:Z45 Z47:Z48 Z50:Z51 Z53:Z54 Z56:Z57 Z59:Z60 Z62:Z63 Z65:Z66 Z68:Z69">
    <cfRule type="expression" dxfId="548" priority="3270">
      <formula>$Z$3&lt;&gt;"ja"</formula>
    </cfRule>
  </conditionalFormatting>
  <conditionalFormatting sqref="Z11:Z12">
    <cfRule type="expression" dxfId="547" priority="3470">
      <formula>$Z$12="ja/nein"</formula>
    </cfRule>
    <cfRule type="expression" dxfId="546" priority="3621">
      <formula>$Z$12="ja"</formula>
    </cfRule>
  </conditionalFormatting>
  <conditionalFormatting sqref="Z14:Z15">
    <cfRule type="expression" dxfId="545" priority="3461">
      <formula>$Z$15="ja/nein"</formula>
    </cfRule>
    <cfRule type="expression" dxfId="544" priority="3641">
      <formula>$Z$15="ja"</formula>
    </cfRule>
  </conditionalFormatting>
  <conditionalFormatting sqref="Z17:Z18">
    <cfRule type="expression" dxfId="543" priority="3453">
      <formula>$Z$18="ja/nein"</formula>
    </cfRule>
    <cfRule type="expression" dxfId="542" priority="3660">
      <formula>$Z$18="ja"</formula>
    </cfRule>
  </conditionalFormatting>
  <conditionalFormatting sqref="Z20:Z21">
    <cfRule type="expression" dxfId="541" priority="3444">
      <formula>$Z$21="ja/nein"</formula>
    </cfRule>
    <cfRule type="expression" dxfId="540" priority="3679">
      <formula>$Z$21="ja"</formula>
    </cfRule>
  </conditionalFormatting>
  <conditionalFormatting sqref="Z23:Z24">
    <cfRule type="expression" dxfId="539" priority="3436">
      <formula>$Z$24="ja/nein"</formula>
    </cfRule>
    <cfRule type="expression" dxfId="538" priority="3698">
      <formula>$Z$24="ja"</formula>
    </cfRule>
  </conditionalFormatting>
  <conditionalFormatting sqref="Z26:Z27">
    <cfRule type="expression" dxfId="537" priority="3427">
      <formula>$Z$27="ja/nein"</formula>
    </cfRule>
    <cfRule type="expression" dxfId="536" priority="3717">
      <formula>$Z$27="ja"</formula>
    </cfRule>
  </conditionalFormatting>
  <conditionalFormatting sqref="Z29:Z30">
    <cfRule type="expression" dxfId="535" priority="3418">
      <formula>$Z$30="ja/nein"</formula>
    </cfRule>
    <cfRule type="expression" dxfId="534" priority="3736">
      <formula>$Z$30="ja"</formula>
    </cfRule>
  </conditionalFormatting>
  <conditionalFormatting sqref="Z32:Z33">
    <cfRule type="expression" dxfId="533" priority="3409">
      <formula>$Z$33="ja/nein"</formula>
    </cfRule>
    <cfRule type="expression" dxfId="532" priority="3755">
      <formula>$Z$33="ja"</formula>
    </cfRule>
  </conditionalFormatting>
  <conditionalFormatting sqref="Z35:Z36">
    <cfRule type="expression" dxfId="531" priority="3400">
      <formula>$Z$36="ja/nein"</formula>
    </cfRule>
    <cfRule type="expression" dxfId="530" priority="3774">
      <formula>$Z$36="ja"</formula>
    </cfRule>
  </conditionalFormatting>
  <conditionalFormatting sqref="Z38:Z39">
    <cfRule type="expression" dxfId="529" priority="3391">
      <formula>$Z$39="ja/nein"</formula>
    </cfRule>
    <cfRule type="expression" dxfId="528" priority="3793">
      <formula>$Z$39="ja"</formula>
    </cfRule>
  </conditionalFormatting>
  <conditionalFormatting sqref="Z41:Z42">
    <cfRule type="expression" dxfId="527" priority="3382">
      <formula>$Z$42="ja/nein"</formula>
    </cfRule>
    <cfRule type="expression" dxfId="526" priority="3812">
      <formula>$Z$42="ja"</formula>
    </cfRule>
  </conditionalFormatting>
  <conditionalFormatting sqref="Z44:Z45">
    <cfRule type="expression" dxfId="525" priority="3373">
      <formula>$Z$45="ja/nein"</formula>
    </cfRule>
    <cfRule type="expression" dxfId="524" priority="3831">
      <formula>$Z$45="ja"</formula>
    </cfRule>
  </conditionalFormatting>
  <conditionalFormatting sqref="Z47:Z48">
    <cfRule type="expression" dxfId="523" priority="3364">
      <formula>$Z$48="ja/nein"</formula>
    </cfRule>
    <cfRule type="expression" dxfId="522" priority="3850">
      <formula>$Z$48="ja"</formula>
    </cfRule>
  </conditionalFormatting>
  <conditionalFormatting sqref="Z50:Z51">
    <cfRule type="expression" dxfId="521" priority="3355">
      <formula>$Z$51="ja/nein"</formula>
    </cfRule>
    <cfRule type="expression" dxfId="520" priority="3869">
      <formula>$Z$51="ja"</formula>
    </cfRule>
  </conditionalFormatting>
  <conditionalFormatting sqref="Z53:Z54">
    <cfRule type="expression" dxfId="519" priority="3346">
      <formula>$Z$54="ja/nein"</formula>
    </cfRule>
    <cfRule type="expression" dxfId="518" priority="3888">
      <formula>$Z$54="ja"</formula>
    </cfRule>
  </conditionalFormatting>
  <conditionalFormatting sqref="Z56:Z57">
    <cfRule type="expression" dxfId="517" priority="3337">
      <formula>$Z$57="ja/nein"</formula>
    </cfRule>
    <cfRule type="expression" dxfId="516" priority="3907">
      <formula>$Z$57="ja"</formula>
    </cfRule>
  </conditionalFormatting>
  <conditionalFormatting sqref="Z59:Z60">
    <cfRule type="expression" dxfId="515" priority="3328">
      <formula>$Z$60="ja/nein"</formula>
    </cfRule>
    <cfRule type="expression" dxfId="514" priority="3926">
      <formula>$Z$60="ja"</formula>
    </cfRule>
  </conditionalFormatting>
  <conditionalFormatting sqref="Z62:Z63">
    <cfRule type="expression" dxfId="513" priority="3319">
      <formula>$Z$63="ja/nein"</formula>
    </cfRule>
    <cfRule type="expression" dxfId="512" priority="3945">
      <formula>$Z$63="ja"</formula>
    </cfRule>
  </conditionalFormatting>
  <conditionalFormatting sqref="Z65:Z66">
    <cfRule type="expression" dxfId="511" priority="3310">
      <formula>$Z$66="ja/nein"</formula>
    </cfRule>
    <cfRule type="expression" dxfId="510" priority="3964">
      <formula>$Z$66="ja"</formula>
    </cfRule>
  </conditionalFormatting>
  <conditionalFormatting sqref="Z68:Z69">
    <cfRule type="expression" dxfId="509" priority="3301">
      <formula>$Z$69="ja/nein"</formula>
    </cfRule>
    <cfRule type="expression" dxfId="508" priority="3985">
      <formula>$Z$69="ja"</formula>
    </cfRule>
  </conditionalFormatting>
  <conditionalFormatting sqref="AA11:AA12 AA14:AA15 AA17:AA18 AA20:AA21 AA23:AA24 AA26:AA27 AA29:AA30 AA32:AA33 AA35:AA36 AA38:AA39 AA41:AA42 AA44:AA45 AA47:AA48 AA50:AA51 AA53:AA54 AA56:AA57 AA59:AA60 AA62:AA63 AA65:AA66 AA68:AA69">
    <cfRule type="expression" dxfId="507" priority="3269">
      <formula>$AA$3&lt;&gt;"ja"</formula>
    </cfRule>
  </conditionalFormatting>
  <conditionalFormatting sqref="AA11:AA12">
    <cfRule type="expression" dxfId="506" priority="3469">
      <formula>$AA$12="ja/nein"</formula>
    </cfRule>
    <cfRule type="expression" dxfId="505" priority="3620">
      <formula>$AA$12="ja"</formula>
    </cfRule>
  </conditionalFormatting>
  <conditionalFormatting sqref="AA14:AA15">
    <cfRule type="expression" dxfId="504" priority="3460">
      <formula>$AA$15="ja/nein"</formula>
    </cfRule>
    <cfRule type="expression" dxfId="503" priority="3640">
      <formula>$AA$15="ja"</formula>
    </cfRule>
  </conditionalFormatting>
  <conditionalFormatting sqref="AA17:AA18">
    <cfRule type="expression" dxfId="502" priority="3452">
      <formula>$AA$18="ja/nein"</formula>
    </cfRule>
    <cfRule type="expression" dxfId="501" priority="3659">
      <formula>$AA$18="ja"</formula>
    </cfRule>
  </conditionalFormatting>
  <conditionalFormatting sqref="AA20:AA21">
    <cfRule type="expression" dxfId="500" priority="3443">
      <formula>$AA$21="ja/nein"</formula>
    </cfRule>
    <cfRule type="expression" dxfId="499" priority="3678">
      <formula>$AA$21="ja"</formula>
    </cfRule>
  </conditionalFormatting>
  <conditionalFormatting sqref="AA23:AA24">
    <cfRule type="expression" dxfId="498" priority="3435">
      <formula>$AA$24="ja/nein"</formula>
    </cfRule>
    <cfRule type="expression" dxfId="497" priority="3697">
      <formula>$AA$24="ja"</formula>
    </cfRule>
  </conditionalFormatting>
  <conditionalFormatting sqref="AA26:AA27">
    <cfRule type="expression" dxfId="496" priority="3426">
      <formula>$AA$27="ja/nein"</formula>
    </cfRule>
    <cfRule type="expression" dxfId="495" priority="3716">
      <formula>$AA$27="ja"</formula>
    </cfRule>
  </conditionalFormatting>
  <conditionalFormatting sqref="AA29:AA30">
    <cfRule type="expression" dxfId="494" priority="3417">
      <formula>$AA$30="ja/nein"</formula>
    </cfRule>
    <cfRule type="expression" dxfId="493" priority="3735">
      <formula>$AA$30="ja"</formula>
    </cfRule>
  </conditionalFormatting>
  <conditionalFormatting sqref="AA32:AA33">
    <cfRule type="expression" dxfId="492" priority="3408">
      <formula>$AA$33="ja/nein"</formula>
    </cfRule>
    <cfRule type="expression" dxfId="491" priority="3754">
      <formula>$AA$33="ja"</formula>
    </cfRule>
  </conditionalFormatting>
  <conditionalFormatting sqref="AA35:AA36">
    <cfRule type="expression" dxfId="490" priority="3399">
      <formula>$AA$36="ja/nein"</formula>
    </cfRule>
    <cfRule type="expression" dxfId="489" priority="3773">
      <formula>$AA$36="ja"</formula>
    </cfRule>
  </conditionalFormatting>
  <conditionalFormatting sqref="AA38:AA39">
    <cfRule type="expression" dxfId="488" priority="3390">
      <formula>$AA$39="ja/nein"</formula>
    </cfRule>
    <cfRule type="expression" dxfId="487" priority="3792">
      <formula>$AA$39="ja"</formula>
    </cfRule>
  </conditionalFormatting>
  <conditionalFormatting sqref="AA41:AA42">
    <cfRule type="expression" dxfId="486" priority="3381">
      <formula>$AA$42="ja/nein"</formula>
    </cfRule>
    <cfRule type="expression" dxfId="485" priority="3811">
      <formula>$AA$42="ja"</formula>
    </cfRule>
  </conditionalFormatting>
  <conditionalFormatting sqref="AA44:AA45">
    <cfRule type="expression" dxfId="484" priority="3372">
      <formula>$AA$45="ja/nein"</formula>
    </cfRule>
    <cfRule type="expression" dxfId="483" priority="3830">
      <formula>$AA$45="ja"</formula>
    </cfRule>
  </conditionalFormatting>
  <conditionalFormatting sqref="AA47:AA48">
    <cfRule type="expression" dxfId="482" priority="3363">
      <formula>$AA$48="ja/nein"</formula>
    </cfRule>
    <cfRule type="expression" dxfId="481" priority="3849">
      <formula>$AA$48="ja"</formula>
    </cfRule>
  </conditionalFormatting>
  <conditionalFormatting sqref="AA50:AA51">
    <cfRule type="expression" dxfId="480" priority="3354">
      <formula>$AA$51="ja/nein"</formula>
    </cfRule>
    <cfRule type="expression" dxfId="479" priority="3868">
      <formula>$AA$51="ja"</formula>
    </cfRule>
  </conditionalFormatting>
  <conditionalFormatting sqref="AA53:AA54">
    <cfRule type="expression" dxfId="478" priority="3345">
      <formula>$AA$54="ja/nein"</formula>
    </cfRule>
    <cfRule type="expression" dxfId="477" priority="3887">
      <formula>$AA$54="ja"</formula>
    </cfRule>
  </conditionalFormatting>
  <conditionalFormatting sqref="AA56:AA57">
    <cfRule type="expression" dxfId="476" priority="3338">
      <formula>$AA$57="ja/nein"</formula>
    </cfRule>
    <cfRule type="expression" dxfId="475" priority="3906">
      <formula>$AA$57="ja"</formula>
    </cfRule>
  </conditionalFormatting>
  <conditionalFormatting sqref="AA59:AA60">
    <cfRule type="expression" dxfId="474" priority="3327">
      <formula>$AA$60="ja/nein"</formula>
    </cfRule>
    <cfRule type="expression" dxfId="473" priority="3925">
      <formula>$AA$60="ja"</formula>
    </cfRule>
  </conditionalFormatting>
  <conditionalFormatting sqref="AA62:AA63">
    <cfRule type="expression" dxfId="472" priority="3318">
      <formula>$AA$63="ja/nein"</formula>
    </cfRule>
    <cfRule type="expression" dxfId="471" priority="3944">
      <formula>$AA$63="ja"</formula>
    </cfRule>
  </conditionalFormatting>
  <conditionalFormatting sqref="AA65:AA66">
    <cfRule type="expression" dxfId="470" priority="3309">
      <formula>$AA$66="ja/nein"</formula>
    </cfRule>
    <cfRule type="expression" dxfId="469" priority="3963">
      <formula>$AA$66="ja"</formula>
    </cfRule>
  </conditionalFormatting>
  <conditionalFormatting sqref="AA68:AA69">
    <cfRule type="expression" dxfId="468" priority="3300">
      <formula>$AA$69="ja/nein"</formula>
    </cfRule>
    <cfRule type="expression" dxfId="467" priority="3984">
      <formula>$AA$69="ja"</formula>
    </cfRule>
  </conditionalFormatting>
  <conditionalFormatting sqref="AA11:AB12 AA14:AB15 AA17:AB18 AA20:AB21 AA23:AB24 AA26:AB27 AA29:AB30 AA32:AB33 AA35:AB36 AA38:AB39 AA41:AB42 AA44:AB45 AA47:AB48 AA50:AB51 AA53:AB54 AA56:AB57 AA59:AB60 AA62:AB63 AA65:AB66 AA68:AB69">
    <cfRule type="expression" dxfId="466" priority="3275">
      <formula>$P$3="Tragwerksplanung (vgl. § 51 HOAI)"</formula>
    </cfRule>
  </conditionalFormatting>
  <conditionalFormatting sqref="AB11:AB12 AB14:AB15 AB17:AB18 AB20:AB21 AB23:AB24 AB26:AB27 AB29:AB30 AB32:AB33 AB35:AB36 AB38:AB39 AB41:AB42 AB44:AB45 AB47:AB48 AB50:AB51 AB53:AB54 AB56:AB57 AB59:AB60 AB62:AB63 AB65:AB66 AB68:AB69">
    <cfRule type="expression" dxfId="465" priority="3268">
      <formula>$AB$3&lt;&gt;"ja"</formula>
    </cfRule>
  </conditionalFormatting>
  <conditionalFormatting sqref="AB11:AB12">
    <cfRule type="expression" dxfId="464" priority="3468">
      <formula>$AB$12="ja/nein"</formula>
    </cfRule>
    <cfRule type="expression" dxfId="463" priority="3619">
      <formula>$AB$12="ja"</formula>
    </cfRule>
  </conditionalFormatting>
  <conditionalFormatting sqref="AB14:AB15">
    <cfRule type="expression" dxfId="462" priority="3459">
      <formula>$AB$15="ja/nein"</formula>
    </cfRule>
    <cfRule type="expression" dxfId="461" priority="3639">
      <formula>$AB$15="ja"</formula>
    </cfRule>
  </conditionalFormatting>
  <conditionalFormatting sqref="AB17:AB18">
    <cfRule type="expression" dxfId="460" priority="3451">
      <formula>$AB$18="ja/nein"</formula>
    </cfRule>
    <cfRule type="expression" dxfId="459" priority="3658">
      <formula>$AB$18="ja"</formula>
    </cfRule>
  </conditionalFormatting>
  <conditionalFormatting sqref="AB20:AB21">
    <cfRule type="expression" dxfId="458" priority="3442">
      <formula>$AB$21="ja/nein"</formula>
    </cfRule>
    <cfRule type="expression" dxfId="457" priority="3677">
      <formula>$AB$21="ja"</formula>
    </cfRule>
  </conditionalFormatting>
  <conditionalFormatting sqref="AB23:AB24">
    <cfRule type="expression" dxfId="456" priority="3434">
      <formula>$AB$24="ja/nein"</formula>
    </cfRule>
    <cfRule type="expression" dxfId="455" priority="3696">
      <formula>$AB$24="ja"</formula>
    </cfRule>
  </conditionalFormatting>
  <conditionalFormatting sqref="AB26:AB27">
    <cfRule type="expression" dxfId="454" priority="3425">
      <formula>$AB$27="ja/nein"</formula>
    </cfRule>
    <cfRule type="expression" dxfId="453" priority="3715">
      <formula>$AB$27="ja"</formula>
    </cfRule>
  </conditionalFormatting>
  <conditionalFormatting sqref="AB29:AB30">
    <cfRule type="expression" dxfId="452" priority="3416">
      <formula>$AB$30="ja/nein"</formula>
    </cfRule>
    <cfRule type="expression" dxfId="451" priority="3734">
      <formula>$AB$30="ja"</formula>
    </cfRule>
  </conditionalFormatting>
  <conditionalFormatting sqref="AB32:AB33">
    <cfRule type="expression" dxfId="450" priority="3407">
      <formula>$AB$33="ja/nein"</formula>
    </cfRule>
    <cfRule type="expression" dxfId="449" priority="3753">
      <formula>$AB$33="ja"</formula>
    </cfRule>
  </conditionalFormatting>
  <conditionalFormatting sqref="AB35:AB36">
    <cfRule type="expression" dxfId="448" priority="3398">
      <formula>$AB$36="ja/nein"</formula>
    </cfRule>
    <cfRule type="expression" dxfId="447" priority="3772">
      <formula>$AB$36="ja"</formula>
    </cfRule>
  </conditionalFormatting>
  <conditionalFormatting sqref="AB38:AB39">
    <cfRule type="expression" dxfId="446" priority="3389">
      <formula>$AB$39="ja/nein"</formula>
    </cfRule>
    <cfRule type="expression" dxfId="445" priority="3791">
      <formula>$AB$39="ja"</formula>
    </cfRule>
  </conditionalFormatting>
  <conditionalFormatting sqref="AB41:AB42">
    <cfRule type="expression" dxfId="444" priority="3380">
      <formula>$AB$42="ja/nein"</formula>
    </cfRule>
    <cfRule type="expression" dxfId="443" priority="3810">
      <formula>$AB$42="ja"</formula>
    </cfRule>
  </conditionalFormatting>
  <conditionalFormatting sqref="AB44:AB45">
    <cfRule type="expression" dxfId="442" priority="3371">
      <formula>$AB$45="ja/nein"</formula>
    </cfRule>
    <cfRule type="expression" dxfId="441" priority="3829">
      <formula>$AB$45="ja"</formula>
    </cfRule>
  </conditionalFormatting>
  <conditionalFormatting sqref="AB47:AB48">
    <cfRule type="expression" dxfId="440" priority="3362">
      <formula>$AB$48="ja/nein"</formula>
    </cfRule>
    <cfRule type="expression" dxfId="439" priority="3848">
      <formula>$AB$48="ja"</formula>
    </cfRule>
  </conditionalFormatting>
  <conditionalFormatting sqref="AB50:AB51">
    <cfRule type="expression" dxfId="438" priority="3353">
      <formula>$AB$51="ja/nein"</formula>
    </cfRule>
    <cfRule type="expression" dxfId="437" priority="3867">
      <formula>$AB$51="ja"</formula>
    </cfRule>
  </conditionalFormatting>
  <conditionalFormatting sqref="AB53:AB54">
    <cfRule type="expression" dxfId="436" priority="3344">
      <formula>$AB$54="ja/nein"</formula>
    </cfRule>
    <cfRule type="expression" dxfId="435" priority="3886">
      <formula>$AB$54="ja"</formula>
    </cfRule>
  </conditionalFormatting>
  <conditionalFormatting sqref="AB56:AB57">
    <cfRule type="expression" dxfId="434" priority="3339">
      <formula>$AB$57="ja/nein"</formula>
    </cfRule>
    <cfRule type="expression" dxfId="433" priority="3905">
      <formula>$AB$57="ja"</formula>
    </cfRule>
  </conditionalFormatting>
  <conditionalFormatting sqref="AB59:AB60">
    <cfRule type="expression" dxfId="432" priority="3326">
      <formula>$AB$60="ja/nein"</formula>
    </cfRule>
    <cfRule type="expression" dxfId="431" priority="3924">
      <formula>$AB$60="ja"</formula>
    </cfRule>
  </conditionalFormatting>
  <conditionalFormatting sqref="AB62:AB63">
    <cfRule type="expression" dxfId="430" priority="3317">
      <formula>$AB$63="ja/nein"</formula>
    </cfRule>
    <cfRule type="expression" dxfId="429" priority="3943">
      <formula>$AB$63="ja"</formula>
    </cfRule>
  </conditionalFormatting>
  <conditionalFormatting sqref="AB65:AB66">
    <cfRule type="expression" dxfId="428" priority="3308">
      <formula>$AB$66="ja/nein"</formula>
    </cfRule>
    <cfRule type="expression" dxfId="427" priority="3962">
      <formula>$AB$66="ja"</formula>
    </cfRule>
  </conditionalFormatting>
  <conditionalFormatting sqref="AB68:AB69">
    <cfRule type="expression" dxfId="426" priority="3299">
      <formula>$AB$69="ja/nein"</formula>
    </cfRule>
    <cfRule type="expression" dxfId="425" priority="3983">
      <formula>$AB$69="ja"</formula>
    </cfRule>
  </conditionalFormatting>
  <conditionalFormatting sqref="AD11:AE11">
    <cfRule type="expression" dxfId="424" priority="3467">
      <formula>$AE$11="ja/nein"</formula>
    </cfRule>
    <cfRule type="expression" dxfId="423" priority="3535">
      <formula>$AE$11="ja"</formula>
    </cfRule>
  </conditionalFormatting>
  <conditionalFormatting sqref="AD14:AE14">
    <cfRule type="expression" dxfId="422" priority="3296">
      <formula>$AE$14="ja/nein"</formula>
    </cfRule>
    <cfRule type="expression" dxfId="421" priority="3617">
      <formula>$AE$14="ja"</formula>
    </cfRule>
  </conditionalFormatting>
  <conditionalFormatting sqref="AD15:AE15">
    <cfRule type="expression" dxfId="420" priority="3458">
      <formula>$AE$15="ja/nein"</formula>
    </cfRule>
    <cfRule type="expression" dxfId="419" priority="3616">
      <formula>$AE$15="ja"</formula>
    </cfRule>
  </conditionalFormatting>
  <conditionalFormatting sqref="AD17:AE17">
    <cfRule type="expression" dxfId="418" priority="3449">
      <formula>$AE$17="ja/nein"</formula>
    </cfRule>
    <cfRule type="expression" dxfId="417" priority="3637">
      <formula>$AE$17="ja"</formula>
    </cfRule>
  </conditionalFormatting>
  <conditionalFormatting sqref="AD18:AE18">
    <cfRule type="expression" dxfId="416" priority="3450">
      <formula>$AE$18="ja/nein"</formula>
    </cfRule>
    <cfRule type="expression" dxfId="415" priority="3636">
      <formula>$AE$18="ja"</formula>
    </cfRule>
  </conditionalFormatting>
  <conditionalFormatting sqref="AD20:AE20">
    <cfRule type="expression" dxfId="414" priority="3295">
      <formula>$AE$20="ja/nein"</formula>
    </cfRule>
    <cfRule type="expression" dxfId="413" priority="3656">
      <formula>$AE$20="ja"</formula>
    </cfRule>
  </conditionalFormatting>
  <conditionalFormatting sqref="AD21:AE21">
    <cfRule type="expression" dxfId="412" priority="3441">
      <formula>$AE$21="ja/nein"</formula>
    </cfRule>
    <cfRule type="expression" dxfId="411" priority="3655">
      <formula>$AE$21="ja"</formula>
    </cfRule>
  </conditionalFormatting>
  <conditionalFormatting sqref="AD23:AE23">
    <cfRule type="expression" dxfId="410" priority="3432">
      <formula>$AE$23="ja/nein"</formula>
    </cfRule>
    <cfRule type="expression" dxfId="409" priority="3675">
      <formula>$AE$23="ja"</formula>
    </cfRule>
  </conditionalFormatting>
  <conditionalFormatting sqref="AD24:AE24">
    <cfRule type="expression" dxfId="408" priority="3433">
      <formula>$AE$24="ja/nein"</formula>
    </cfRule>
    <cfRule type="expression" dxfId="407" priority="3674">
      <formula>$AE$24="ja"</formula>
    </cfRule>
  </conditionalFormatting>
  <conditionalFormatting sqref="AD26:AE26">
    <cfRule type="expression" dxfId="406" priority="3423">
      <formula>$AE$26="ja/nein"</formula>
    </cfRule>
    <cfRule type="expression" dxfId="405" priority="3694">
      <formula>$AE$26="ja"</formula>
    </cfRule>
  </conditionalFormatting>
  <conditionalFormatting sqref="AD27:AE27">
    <cfRule type="expression" dxfId="404" priority="3424">
      <formula>$AE$27="ja/nein"</formula>
    </cfRule>
    <cfRule type="expression" dxfId="403" priority="3712">
      <formula>$AE$27="ja"</formula>
    </cfRule>
  </conditionalFormatting>
  <conditionalFormatting sqref="AD29:AE29">
    <cfRule type="expression" dxfId="402" priority="3415">
      <formula>$AE$29="ja/nein"</formula>
    </cfRule>
    <cfRule type="expression" dxfId="401" priority="3713">
      <formula>$AE$29="ja"</formula>
    </cfRule>
  </conditionalFormatting>
  <conditionalFormatting sqref="AD30:AE30">
    <cfRule type="expression" dxfId="400" priority="3414">
      <formula>$AE$30="ja/nein"</formula>
    </cfRule>
    <cfRule type="expression" dxfId="399" priority="3693">
      <formula>$AE$30="ja"</formula>
    </cfRule>
  </conditionalFormatting>
  <conditionalFormatting sqref="AD32:AE32">
    <cfRule type="expression" dxfId="398" priority="3405">
      <formula>$AE$32="ja/nein"</formula>
    </cfRule>
    <cfRule type="expression" dxfId="397" priority="3732">
      <formula>$AE$32="ja"</formula>
    </cfRule>
  </conditionalFormatting>
  <conditionalFormatting sqref="AD33:AE33">
    <cfRule type="expression" dxfId="396" priority="3406">
      <formula>$AE$33="ja/nein"</formula>
    </cfRule>
    <cfRule type="expression" dxfId="395" priority="3731">
      <formula>$AE$33="ja"</formula>
    </cfRule>
  </conditionalFormatting>
  <conditionalFormatting sqref="AD35:AE35">
    <cfRule type="expression" dxfId="394" priority="3397">
      <formula>$AE$35="ja/nein"</formula>
    </cfRule>
    <cfRule type="expression" dxfId="393" priority="3751">
      <formula>$AE$35="ja"</formula>
    </cfRule>
  </conditionalFormatting>
  <conditionalFormatting sqref="AD36:AE36">
    <cfRule type="expression" dxfId="392" priority="3396">
      <formula>$AE$36="ja/nein"</formula>
    </cfRule>
    <cfRule type="expression" dxfId="391" priority="3750">
      <formula>$AE$36="ja"</formula>
    </cfRule>
  </conditionalFormatting>
  <conditionalFormatting sqref="AD38:AE38">
    <cfRule type="expression" dxfId="390" priority="3388">
      <formula>$AE$38="ja/nein"</formula>
    </cfRule>
    <cfRule type="expression" dxfId="389" priority="3770">
      <formula>$AE$38="ja"</formula>
    </cfRule>
  </conditionalFormatting>
  <conditionalFormatting sqref="AD39:AE39">
    <cfRule type="expression" dxfId="388" priority="3387">
      <formula>$AE$39="ja/nein"</formula>
    </cfRule>
    <cfRule type="expression" dxfId="387" priority="3769">
      <formula>$AE$39="ja"</formula>
    </cfRule>
  </conditionalFormatting>
  <conditionalFormatting sqref="AD41:AE41">
    <cfRule type="expression" dxfId="386" priority="3378">
      <formula>$AE$41="ja/nein"</formula>
    </cfRule>
    <cfRule type="expression" dxfId="385" priority="3789">
      <formula>$AE$41="ja"</formula>
    </cfRule>
  </conditionalFormatting>
  <conditionalFormatting sqref="AD42:AE42">
    <cfRule type="expression" dxfId="384" priority="3379">
      <formula>$AE$42="ja/nein"</formula>
    </cfRule>
    <cfRule type="expression" dxfId="383" priority="3788">
      <formula>$AE$42="ja"</formula>
    </cfRule>
  </conditionalFormatting>
  <conditionalFormatting sqref="AD44:AE44">
    <cfRule type="expression" dxfId="382" priority="3370">
      <formula>$AE$44="ja/nein"</formula>
    </cfRule>
    <cfRule type="expression" dxfId="381" priority="3808">
      <formula>$AE$44="ja"</formula>
    </cfRule>
  </conditionalFormatting>
  <conditionalFormatting sqref="AD45:AE45">
    <cfRule type="expression" dxfId="380" priority="3369">
      <formula>$AE$45="ja/nein"</formula>
    </cfRule>
    <cfRule type="expression" dxfId="379" priority="3807">
      <formula>$AE$45="ja"</formula>
    </cfRule>
  </conditionalFormatting>
  <conditionalFormatting sqref="AD47:AE47">
    <cfRule type="expression" dxfId="378" priority="3361">
      <formula>$AE$47="ja/nein"</formula>
    </cfRule>
    <cfRule type="expression" dxfId="377" priority="3827">
      <formula>$AE$47="ja"</formula>
    </cfRule>
  </conditionalFormatting>
  <conditionalFormatting sqref="AD48:AE48">
    <cfRule type="expression" dxfId="376" priority="3360">
      <formula>$AE$48="ja/nein"</formula>
    </cfRule>
    <cfRule type="expression" dxfId="375" priority="3826">
      <formula>$AE$48="ja"</formula>
    </cfRule>
  </conditionalFormatting>
  <conditionalFormatting sqref="AD50:AE50">
    <cfRule type="expression" dxfId="374" priority="3352">
      <formula>$AE$50="ja/nein"</formula>
    </cfRule>
    <cfRule type="expression" dxfId="373" priority="3846">
      <formula>$AE$50="ja"</formula>
    </cfRule>
  </conditionalFormatting>
  <conditionalFormatting sqref="AD51:AE51">
    <cfRule type="expression" dxfId="372" priority="3351">
      <formula>$AE$51="ja/nein"</formula>
    </cfRule>
    <cfRule type="expression" dxfId="371" priority="3845">
      <formula>$AE$51="ja"</formula>
    </cfRule>
  </conditionalFormatting>
  <conditionalFormatting sqref="AD53:AE53">
    <cfRule type="expression" dxfId="370" priority="3342">
      <formula>$AE$53="ja/nein"</formula>
    </cfRule>
    <cfRule type="expression" dxfId="369" priority="3865">
      <formula>$AE$53="ja"</formula>
    </cfRule>
  </conditionalFormatting>
  <conditionalFormatting sqref="AD54:AE54">
    <cfRule type="expression" dxfId="368" priority="3343">
      <formula>$AE$54="ja/nein"</formula>
    </cfRule>
    <cfRule type="expression" dxfId="367" priority="3864">
      <formula>$AE$54="ja"</formula>
    </cfRule>
  </conditionalFormatting>
  <conditionalFormatting sqref="AD56:AE56">
    <cfRule type="expression" dxfId="366" priority="3340">
      <formula>$AE$56="ja/nein"</formula>
    </cfRule>
    <cfRule type="expression" dxfId="365" priority="3884">
      <formula>$AE$56="ja"</formula>
    </cfRule>
  </conditionalFormatting>
  <conditionalFormatting sqref="AD57:AE57">
    <cfRule type="expression" dxfId="364" priority="3341">
      <formula>$AE$57="ja/nein"</formula>
    </cfRule>
    <cfRule type="expression" dxfId="363" priority="3883">
      <formula>$AE$57="ja"</formula>
    </cfRule>
  </conditionalFormatting>
  <conditionalFormatting sqref="AD59:AE59">
    <cfRule type="expression" dxfId="362" priority="3324">
      <formula>$AE$59="ja/nein"</formula>
    </cfRule>
    <cfRule type="expression" dxfId="361" priority="3903">
      <formula>$AE$59="ja"</formula>
    </cfRule>
  </conditionalFormatting>
  <conditionalFormatting sqref="AD60:AE60">
    <cfRule type="expression" dxfId="360" priority="3325">
      <formula>$AE$60="ja/nein"</formula>
    </cfRule>
    <cfRule type="expression" dxfId="359" priority="3902">
      <formula>$AE$60="ja"</formula>
    </cfRule>
  </conditionalFormatting>
  <conditionalFormatting sqref="AD62:AE62">
    <cfRule type="expression" dxfId="358" priority="3315">
      <formula>$AE$62="ja/nein"</formula>
    </cfRule>
    <cfRule type="expression" dxfId="357" priority="3922">
      <formula>$AE$62="ja"</formula>
    </cfRule>
  </conditionalFormatting>
  <conditionalFormatting sqref="AD63:AE63">
    <cfRule type="expression" dxfId="356" priority="3316">
      <formula>$AE$63="ja/nein"</formula>
    </cfRule>
    <cfRule type="expression" dxfId="355" priority="3921">
      <formula>$AE$63="ja"</formula>
    </cfRule>
  </conditionalFormatting>
  <conditionalFormatting sqref="AD65:AE65">
    <cfRule type="expression" dxfId="354" priority="3307">
      <formula>$AE$65="ja/nein"</formula>
    </cfRule>
    <cfRule type="expression" dxfId="353" priority="3941">
      <formula>$AE$65="ja"</formula>
    </cfRule>
  </conditionalFormatting>
  <conditionalFormatting sqref="AD66:AE66">
    <cfRule type="expression" dxfId="352" priority="3306">
      <formula>$AE$66="ja/nein"</formula>
    </cfRule>
    <cfRule type="expression" dxfId="351" priority="3940">
      <formula>$AE$66="ja"</formula>
    </cfRule>
  </conditionalFormatting>
  <conditionalFormatting sqref="AD68:AE68 AD65:AE65 AD62:AE62 AD59:AE59 AD56:AE56 AD53:AE53 AD50:AE50 AD47:AE47 AD44:AE44 AD41:AE41 AD38:AE38 AD35:AE35 AD32:AE32 AD29:AE29 AD26:AE26 AD23:AE23 AD20:AE20 AD17:AE17 AD14:AE14 AD11:AE11">
    <cfRule type="expression" dxfId="350" priority="3981">
      <formula>OR($AE$11="ja",$AE$14="ja",$AE$17="ja",$AE$20="ja",$AE$23="ja",$AE$26="ja",$AE$29="ja",$AE$32="ja",$AE$35="ja",$AE$38="ja",$AE$41="ja",$AE$44="ja",$AE$47="ja",$AE$50="ja",$AE$53="ja",$AE$56="ja",$AE$59="ja",$AE$62="ja",$AE$65="ja",$AE$68="ja")</formula>
    </cfRule>
  </conditionalFormatting>
  <conditionalFormatting sqref="AD68:AE68">
    <cfRule type="expression" dxfId="349" priority="3298">
      <formula>$AE$68="ja/nein"</formula>
    </cfRule>
    <cfRule type="expression" dxfId="348" priority="3960">
      <formula>$AE$68="ja"</formula>
    </cfRule>
  </conditionalFormatting>
  <conditionalFormatting sqref="AD69:AE69">
    <cfRule type="expression" dxfId="347" priority="3297">
      <formula>$AE$69="ja/nein"</formula>
    </cfRule>
    <cfRule type="expression" dxfId="346" priority="3959">
      <formula>$AE$69="ja"</formula>
    </cfRule>
  </conditionalFormatting>
  <conditionalFormatting sqref="AH11:AH12">
    <cfRule type="expression" dxfId="345" priority="3007">
      <formula>$AH$12="ja/nein"</formula>
    </cfRule>
    <cfRule type="expression" dxfId="344" priority="3008">
      <formula>$AH$12="ja"</formula>
    </cfRule>
    <cfRule type="expression" dxfId="343" priority="3009">
      <formula>AND($AH$7&gt;=1,$AH$12="nein")</formula>
    </cfRule>
  </conditionalFormatting>
  <conditionalFormatting sqref="AI11:AI12">
    <cfRule type="expression" dxfId="342" priority="2995">
      <formula>$AI$12="ja/nein"</formula>
    </cfRule>
    <cfRule type="expression" dxfId="341" priority="2996">
      <formula>$AI$12="ja"</formula>
    </cfRule>
    <cfRule type="expression" dxfId="340" priority="2997">
      <formula>AND($AI$7&gt;=1,$AI$12="nein")</formula>
    </cfRule>
  </conditionalFormatting>
  <conditionalFormatting sqref="AJ11:AJ12">
    <cfRule type="expression" dxfId="339" priority="2992">
      <formula>$AJ$12="ja/nein"</formula>
    </cfRule>
    <cfRule type="expression" dxfId="338" priority="2993">
      <formula>$AJ$12="ja"</formula>
    </cfRule>
    <cfRule type="expression" dxfId="337" priority="2994">
      <formula>AND($AJ$7&gt;=1,$AJ$12="nein")</formula>
    </cfRule>
  </conditionalFormatting>
  <conditionalFormatting sqref="AK11:AK12">
    <cfRule type="expression" dxfId="336" priority="2989">
      <formula>$AK$12="ja/nein"</formula>
    </cfRule>
    <cfRule type="expression" dxfId="335" priority="2990">
      <formula>$AK$12="ja"</formula>
    </cfRule>
    <cfRule type="expression" dxfId="334" priority="2991">
      <formula>AND($AK$7&gt;=1,$AK$12="nein")</formula>
    </cfRule>
  </conditionalFormatting>
  <conditionalFormatting sqref="AG11:AG12">
    <cfRule type="expression" dxfId="333" priority="826">
      <formula>$AG$12="ja/nein"</formula>
    </cfRule>
    <cfRule type="expression" dxfId="332" priority="827">
      <formula>$AG$12="ja"</formula>
    </cfRule>
    <cfRule type="expression" dxfId="331" priority="828">
      <formula>AND($AG$7&gt;=1,$AG$12="nein")</formula>
    </cfRule>
  </conditionalFormatting>
  <conditionalFormatting sqref="AH14:AH15">
    <cfRule type="expression" dxfId="330" priority="823">
      <formula>$AH$15="ja/nein"</formula>
    </cfRule>
    <cfRule type="expression" dxfId="329" priority="824">
      <formula>$AH$15="ja"</formula>
    </cfRule>
    <cfRule type="expression" dxfId="328" priority="825">
      <formula>AND($AH$7&gt;=1,$AH$15="nein")</formula>
    </cfRule>
  </conditionalFormatting>
  <conditionalFormatting sqref="AI14:AI15">
    <cfRule type="expression" dxfId="327" priority="820">
      <formula>$AI$15="ja/nein"</formula>
    </cfRule>
    <cfRule type="expression" dxfId="326" priority="821">
      <formula>$AI$15="ja"</formula>
    </cfRule>
    <cfRule type="expression" dxfId="325" priority="822">
      <formula>AND($AI$7&gt;=1,$AI$15="nein")</formula>
    </cfRule>
  </conditionalFormatting>
  <conditionalFormatting sqref="AJ14:AJ15">
    <cfRule type="expression" dxfId="324" priority="817">
      <formula>$AJ$15="ja/nein"</formula>
    </cfRule>
    <cfRule type="expression" dxfId="323" priority="818">
      <formula>$AJ$15="ja"</formula>
    </cfRule>
    <cfRule type="expression" dxfId="322" priority="819">
      <formula>AND($AJ$7&gt;=1,$AJ$15="nein")</formula>
    </cfRule>
  </conditionalFormatting>
  <conditionalFormatting sqref="AK14:AK15">
    <cfRule type="expression" dxfId="321" priority="814">
      <formula>$AK$15="ja/nein"</formula>
    </cfRule>
    <cfRule type="expression" dxfId="320" priority="815">
      <formula>$AK$15="ja"</formula>
    </cfRule>
    <cfRule type="expression" dxfId="319" priority="816">
      <formula>AND($AK$7&gt;=1,$AK$15="nein")</formula>
    </cfRule>
  </conditionalFormatting>
  <conditionalFormatting sqref="AG14:AG15">
    <cfRule type="expression" dxfId="318" priority="811">
      <formula>$AG$15="ja/nein"</formula>
    </cfRule>
    <cfRule type="expression" dxfId="317" priority="812">
      <formula>$AG$15="ja"</formula>
    </cfRule>
    <cfRule type="expression" dxfId="316" priority="813">
      <formula>AND($AG$7&gt;=1,$AG$15="nein")</formula>
    </cfRule>
  </conditionalFormatting>
  <conditionalFormatting sqref="AH17:AH18">
    <cfRule type="expression" dxfId="315" priority="268">
      <formula>$AH$18="ja/nein"</formula>
    </cfRule>
    <cfRule type="expression" dxfId="314" priority="269">
      <formula>$AH$18="ja"</formula>
    </cfRule>
    <cfRule type="expression" dxfId="313" priority="270">
      <formula>AND($AH$7&gt;=1,$AH$18="nein")</formula>
    </cfRule>
  </conditionalFormatting>
  <conditionalFormatting sqref="AI17:AI18">
    <cfRule type="expression" dxfId="312" priority="265">
      <formula>$AI$18="ja/nein"</formula>
    </cfRule>
    <cfRule type="expression" dxfId="311" priority="266">
      <formula>$AI$18="ja"</formula>
    </cfRule>
    <cfRule type="expression" dxfId="310" priority="267">
      <formula>AND($AI$7&gt;=1,$AI$18="nein")</formula>
    </cfRule>
  </conditionalFormatting>
  <conditionalFormatting sqref="AJ17:AJ18">
    <cfRule type="expression" dxfId="309" priority="262">
      <formula>$AJ$18="ja/nein"</formula>
    </cfRule>
    <cfRule type="expression" dxfId="308" priority="263">
      <formula>$AJ$18="ja"</formula>
    </cfRule>
    <cfRule type="expression" dxfId="307" priority="264">
      <formula>AND($AJ$7&gt;=1,$AJ$18="nein")</formula>
    </cfRule>
  </conditionalFormatting>
  <conditionalFormatting sqref="AK17:AK18">
    <cfRule type="expression" dxfId="306" priority="259">
      <formula>$AK$18="ja/nein"</formula>
    </cfRule>
    <cfRule type="expression" dxfId="305" priority="260">
      <formula>$AK$18="ja"</formula>
    </cfRule>
    <cfRule type="expression" dxfId="304" priority="261">
      <formula>AND($AK$7&gt;=1,$AK$18="nein")</formula>
    </cfRule>
  </conditionalFormatting>
  <conditionalFormatting sqref="AG17:AG18">
    <cfRule type="expression" dxfId="303" priority="256">
      <formula>$AG$18="ja/nein"</formula>
    </cfRule>
    <cfRule type="expression" dxfId="302" priority="257">
      <formula>$AG$18="ja"</formula>
    </cfRule>
    <cfRule type="expression" dxfId="301" priority="258">
      <formula>AND($AG$7&gt;=1,$AG$18="nein")</formula>
    </cfRule>
  </conditionalFormatting>
  <conditionalFormatting sqref="AH20:AH21">
    <cfRule type="expression" dxfId="300" priority="253">
      <formula>$AH$21="ja/nein"</formula>
    </cfRule>
    <cfRule type="expression" dxfId="299" priority="254">
      <formula>$AH$21="ja"</formula>
    </cfRule>
    <cfRule type="expression" dxfId="298" priority="255">
      <formula>AND($AH$7&gt;=1,$AH$21="nein")</formula>
    </cfRule>
  </conditionalFormatting>
  <conditionalFormatting sqref="AI20:AI21">
    <cfRule type="expression" dxfId="297" priority="250">
      <formula>$AI$21="ja/nein"</formula>
    </cfRule>
    <cfRule type="expression" dxfId="296" priority="251">
      <formula>$AI$21="ja"</formula>
    </cfRule>
    <cfRule type="expression" dxfId="295" priority="252">
      <formula>AND($AI$7&gt;=1,$AI$21="nein")</formula>
    </cfRule>
  </conditionalFormatting>
  <conditionalFormatting sqref="AJ20:AJ21">
    <cfRule type="expression" dxfId="294" priority="247">
      <formula>$AJ$21="ja/nein"</formula>
    </cfRule>
    <cfRule type="expression" dxfId="293" priority="248">
      <formula>$AJ$21="ja"</formula>
    </cfRule>
    <cfRule type="expression" dxfId="292" priority="249">
      <formula>AND($AJ$7&gt;=1,$AJ$21="nein")</formula>
    </cfRule>
  </conditionalFormatting>
  <conditionalFormatting sqref="AK20:AK21">
    <cfRule type="expression" dxfId="291" priority="244">
      <formula>$AK$21="ja/nein"</formula>
    </cfRule>
    <cfRule type="expression" dxfId="290" priority="245">
      <formula>$AK$21="ja"</formula>
    </cfRule>
    <cfRule type="expression" dxfId="289" priority="246">
      <formula>AND($AK$7&gt;=1,$AK$21="nein")</formula>
    </cfRule>
  </conditionalFormatting>
  <conditionalFormatting sqref="AG20:AG21">
    <cfRule type="expression" dxfId="288" priority="241">
      <formula>$AG$21="ja/nein"</formula>
    </cfRule>
    <cfRule type="expression" dxfId="287" priority="242">
      <formula>$AG$21="ja"</formula>
    </cfRule>
    <cfRule type="expression" dxfId="286" priority="243">
      <formula>AND($AG$7&gt;=1,$AG$21="nein")</formula>
    </cfRule>
  </conditionalFormatting>
  <conditionalFormatting sqref="AH23:AH24">
    <cfRule type="expression" dxfId="285" priority="238">
      <formula>$AH$24="ja/nein"</formula>
    </cfRule>
    <cfRule type="expression" dxfId="284" priority="239">
      <formula>$AH$24="ja"</formula>
    </cfRule>
    <cfRule type="expression" dxfId="283" priority="240">
      <formula>AND($AH$7&gt;=1,$AH$24="nein")</formula>
    </cfRule>
  </conditionalFormatting>
  <conditionalFormatting sqref="AI23:AI24">
    <cfRule type="expression" dxfId="282" priority="235">
      <formula>$AI$24="ja/nein"</formula>
    </cfRule>
    <cfRule type="expression" dxfId="281" priority="236">
      <formula>$AI$24="ja"</formula>
    </cfRule>
    <cfRule type="expression" dxfId="280" priority="237">
      <formula>AND($AI$7&gt;=1,$AI$24="nein")</formula>
    </cfRule>
  </conditionalFormatting>
  <conditionalFormatting sqref="AJ23:AJ24">
    <cfRule type="expression" dxfId="279" priority="232">
      <formula>$AJ$24="ja/nein"</formula>
    </cfRule>
    <cfRule type="expression" dxfId="278" priority="233">
      <formula>$AJ$24="ja"</formula>
    </cfRule>
    <cfRule type="expression" dxfId="277" priority="234">
      <formula>AND($AJ$7&gt;=1,$AJ$24="nein")</formula>
    </cfRule>
  </conditionalFormatting>
  <conditionalFormatting sqref="AK23:AK24">
    <cfRule type="expression" dxfId="276" priority="229">
      <formula>$AK$24="ja/nein"</formula>
    </cfRule>
    <cfRule type="expression" dxfId="275" priority="230">
      <formula>$AK$24="ja"</formula>
    </cfRule>
    <cfRule type="expression" dxfId="274" priority="231">
      <formula>AND($AK$7&gt;=1,$AK$24="nein")</formula>
    </cfRule>
  </conditionalFormatting>
  <conditionalFormatting sqref="AG23:AG24">
    <cfRule type="expression" dxfId="273" priority="226">
      <formula>$AG$24="ja/nein"</formula>
    </cfRule>
    <cfRule type="expression" dxfId="272" priority="227">
      <formula>$AG$24="ja"</formula>
    </cfRule>
    <cfRule type="expression" dxfId="271" priority="228">
      <formula>AND($AG$7&gt;=1,$AG$24="nein")</formula>
    </cfRule>
  </conditionalFormatting>
  <conditionalFormatting sqref="AH26:AH27">
    <cfRule type="expression" dxfId="270" priority="223">
      <formula>$AH$27="ja/nein"</formula>
    </cfRule>
    <cfRule type="expression" dxfId="269" priority="224">
      <formula>$AH$27="ja"</formula>
    </cfRule>
    <cfRule type="expression" dxfId="268" priority="225">
      <formula>AND($AH$7&gt;=1,$AH$27="nein")</formula>
    </cfRule>
  </conditionalFormatting>
  <conditionalFormatting sqref="AI26:AI27">
    <cfRule type="expression" dxfId="267" priority="220">
      <formula>$AI$27="ja/nein"</formula>
    </cfRule>
    <cfRule type="expression" dxfId="266" priority="221">
      <formula>$AI$27="ja"</formula>
    </cfRule>
    <cfRule type="expression" dxfId="265" priority="222">
      <formula>AND($AI$7&gt;=1,$AI$27="nein")</formula>
    </cfRule>
  </conditionalFormatting>
  <conditionalFormatting sqref="AJ26:AJ27">
    <cfRule type="expression" dxfId="264" priority="217">
      <formula>$AJ$27="ja/nein"</formula>
    </cfRule>
    <cfRule type="expression" dxfId="263" priority="218">
      <formula>$AJ$27="ja"</formula>
    </cfRule>
    <cfRule type="expression" dxfId="262" priority="219">
      <formula>AND($AJ$7&gt;=1,$AJ$27="nein")</formula>
    </cfRule>
  </conditionalFormatting>
  <conditionalFormatting sqref="AK26:AK27">
    <cfRule type="expression" dxfId="261" priority="214">
      <formula>$AK$27="ja/nein"</formula>
    </cfRule>
    <cfRule type="expression" dxfId="260" priority="215">
      <formula>$AK$27="ja"</formula>
    </cfRule>
    <cfRule type="expression" dxfId="259" priority="216">
      <formula>AND($AK$7&gt;=1,$AK$27="nein")</formula>
    </cfRule>
  </conditionalFormatting>
  <conditionalFormatting sqref="AG26:AG27">
    <cfRule type="expression" dxfId="258" priority="211">
      <formula>$AG$27="ja/nein"</formula>
    </cfRule>
    <cfRule type="expression" dxfId="257" priority="212">
      <formula>$AG$27="ja"</formula>
    </cfRule>
    <cfRule type="expression" dxfId="256" priority="213">
      <formula>AND($AG$7&gt;=1,$AG$27="nein")</formula>
    </cfRule>
  </conditionalFormatting>
  <conditionalFormatting sqref="AH29:AH30">
    <cfRule type="expression" dxfId="255" priority="208">
      <formula>$AH$30="ja/nein"</formula>
    </cfRule>
    <cfRule type="expression" dxfId="254" priority="209">
      <formula>$AH$30="ja"</formula>
    </cfRule>
    <cfRule type="expression" dxfId="253" priority="210">
      <formula>AND($AH$7&gt;=1,$AH$30="nein")</formula>
    </cfRule>
  </conditionalFormatting>
  <conditionalFormatting sqref="AI29:AI30">
    <cfRule type="expression" dxfId="252" priority="205">
      <formula>$AI$30="ja/nein"</formula>
    </cfRule>
    <cfRule type="expression" dxfId="251" priority="206">
      <formula>$AI$30="ja"</formula>
    </cfRule>
    <cfRule type="expression" dxfId="250" priority="207">
      <formula>AND($AI$7&gt;=1,$AI$30="nein")</formula>
    </cfRule>
  </conditionalFormatting>
  <conditionalFormatting sqref="AJ29:AJ30">
    <cfRule type="expression" dxfId="249" priority="202">
      <formula>$AJ$30="ja/nein"</formula>
    </cfRule>
    <cfRule type="expression" dxfId="248" priority="203">
      <formula>$AJ$30="ja"</formula>
    </cfRule>
    <cfRule type="expression" dxfId="247" priority="204">
      <formula>AND($AJ$7&gt;=1,$AJ$30="nein")</formula>
    </cfRule>
  </conditionalFormatting>
  <conditionalFormatting sqref="AK29:AK30">
    <cfRule type="expression" dxfId="246" priority="199">
      <formula>$AK$30="ja/nein"</formula>
    </cfRule>
    <cfRule type="expression" dxfId="245" priority="200">
      <formula>$AK$30="ja"</formula>
    </cfRule>
    <cfRule type="expression" dxfId="244" priority="201">
      <formula>AND($AK$7&gt;=1,$AK$30="nein")</formula>
    </cfRule>
  </conditionalFormatting>
  <conditionalFormatting sqref="AG29:AG30">
    <cfRule type="expression" dxfId="243" priority="196">
      <formula>$AG$30="ja/nein"</formula>
    </cfRule>
    <cfRule type="expression" dxfId="242" priority="197">
      <formula>$AG$30="ja"</formula>
    </cfRule>
    <cfRule type="expression" dxfId="241" priority="198">
      <formula>AND($AG$7&gt;=1,$AG$30="nein")</formula>
    </cfRule>
  </conditionalFormatting>
  <conditionalFormatting sqref="AH32:AH33">
    <cfRule type="expression" dxfId="240" priority="193">
      <formula>$AH$33="ja/nein"</formula>
    </cfRule>
    <cfRule type="expression" dxfId="239" priority="194">
      <formula>$AH$33="ja"</formula>
    </cfRule>
    <cfRule type="expression" dxfId="238" priority="195">
      <formula>AND($AH$7&gt;=1,$AH$33="nein")</formula>
    </cfRule>
  </conditionalFormatting>
  <conditionalFormatting sqref="AI32:AI33">
    <cfRule type="expression" dxfId="237" priority="190">
      <formula>$AI$33="ja/nein"</formula>
    </cfRule>
    <cfRule type="expression" dxfId="236" priority="191">
      <formula>$AI$33="ja"</formula>
    </cfRule>
    <cfRule type="expression" dxfId="235" priority="192">
      <formula>AND($AI$7&gt;=1,$AI$33="nein")</formula>
    </cfRule>
  </conditionalFormatting>
  <conditionalFormatting sqref="AJ32:AJ33">
    <cfRule type="expression" dxfId="234" priority="187">
      <formula>$AJ$33="ja/nein"</formula>
    </cfRule>
    <cfRule type="expression" dxfId="233" priority="188">
      <formula>$AJ$33="ja"</formula>
    </cfRule>
    <cfRule type="expression" dxfId="232" priority="189">
      <formula>AND($AJ$7&gt;=1,$AJ$33="nein")</formula>
    </cfRule>
  </conditionalFormatting>
  <conditionalFormatting sqref="AK32:AK33">
    <cfRule type="expression" dxfId="231" priority="184">
      <formula>$AK$33="ja/nein"</formula>
    </cfRule>
    <cfRule type="expression" dxfId="230" priority="185">
      <formula>$AK$33="ja"</formula>
    </cfRule>
    <cfRule type="expression" dxfId="229" priority="186">
      <formula>AND($AK$7&gt;=1,$AK$33="nein")</formula>
    </cfRule>
  </conditionalFormatting>
  <conditionalFormatting sqref="AG32:AG33">
    <cfRule type="expression" dxfId="228" priority="181">
      <formula>$AG$33="ja/nein"</formula>
    </cfRule>
    <cfRule type="expression" dxfId="227" priority="182">
      <formula>$AG$33="ja"</formula>
    </cfRule>
    <cfRule type="expression" dxfId="226" priority="183">
      <formula>AND($AG$7&gt;=1,$AG$33="nein")</formula>
    </cfRule>
  </conditionalFormatting>
  <conditionalFormatting sqref="AH35:AH36">
    <cfRule type="expression" dxfId="225" priority="178">
      <formula>$AH$36="ja/nein"</formula>
    </cfRule>
    <cfRule type="expression" dxfId="224" priority="179">
      <formula>$AH$36="ja"</formula>
    </cfRule>
    <cfRule type="expression" dxfId="223" priority="180">
      <formula>AND($AH$7&gt;=1,$AH$36="nein")</formula>
    </cfRule>
  </conditionalFormatting>
  <conditionalFormatting sqref="AI35:AI36">
    <cfRule type="expression" dxfId="222" priority="175">
      <formula>$AI$36="ja/nein"</formula>
    </cfRule>
    <cfRule type="expression" dxfId="221" priority="176">
      <formula>$AI$36="ja"</formula>
    </cfRule>
    <cfRule type="expression" dxfId="220" priority="177">
      <formula>AND($AI$7&gt;=1,$AI$36="nein")</formula>
    </cfRule>
  </conditionalFormatting>
  <conditionalFormatting sqref="AJ35:AJ36">
    <cfRule type="expression" dxfId="219" priority="172">
      <formula>$AJ$36="ja/nein"</formula>
    </cfRule>
    <cfRule type="expression" dxfId="218" priority="173">
      <formula>$AJ$36="ja"</formula>
    </cfRule>
    <cfRule type="expression" dxfId="217" priority="174">
      <formula>AND($AJ$7&gt;=1,$AJ$36="nein")</formula>
    </cfRule>
  </conditionalFormatting>
  <conditionalFormatting sqref="AK35:AK36">
    <cfRule type="expression" dxfId="216" priority="169">
      <formula>$AK$36="ja/nein"</formula>
    </cfRule>
    <cfRule type="expression" dxfId="215" priority="170">
      <formula>$AK$36="ja"</formula>
    </cfRule>
    <cfRule type="expression" dxfId="214" priority="171">
      <formula>AND($AK$7&gt;=1,$AK$36="nein")</formula>
    </cfRule>
  </conditionalFormatting>
  <conditionalFormatting sqref="AG35:AG36">
    <cfRule type="expression" dxfId="213" priority="166">
      <formula>$AG$36="ja/nein"</formula>
    </cfRule>
    <cfRule type="expression" dxfId="212" priority="167">
      <formula>$AG$36="ja"</formula>
    </cfRule>
    <cfRule type="expression" dxfId="211" priority="168">
      <formula>AND($AG$7&gt;=1,$AG$36="nein")</formula>
    </cfRule>
  </conditionalFormatting>
  <conditionalFormatting sqref="AH38:AH39">
    <cfRule type="expression" dxfId="210" priority="163">
      <formula>$AH$39="ja/nein"</formula>
    </cfRule>
    <cfRule type="expression" dxfId="209" priority="164">
      <formula>$AH$39="ja"</formula>
    </cfRule>
    <cfRule type="expression" dxfId="208" priority="165">
      <formula>AND($AH$7&gt;=1,$AH$39="nein")</formula>
    </cfRule>
  </conditionalFormatting>
  <conditionalFormatting sqref="AI38:AI39">
    <cfRule type="expression" dxfId="207" priority="160">
      <formula>$AI$39="ja/nein"</formula>
    </cfRule>
    <cfRule type="expression" dxfId="206" priority="161">
      <formula>$AI$39="ja"</formula>
    </cfRule>
    <cfRule type="expression" dxfId="205" priority="162">
      <formula>AND($AI$7&gt;=1,$AI$39="nein")</formula>
    </cfRule>
  </conditionalFormatting>
  <conditionalFormatting sqref="AJ38:AJ39">
    <cfRule type="expression" dxfId="204" priority="157">
      <formula>$AJ$39="ja/nein"</formula>
    </cfRule>
    <cfRule type="expression" dxfId="203" priority="158">
      <formula>$AJ$39="ja"</formula>
    </cfRule>
    <cfRule type="expression" dxfId="202" priority="159">
      <formula>AND($AJ$7&gt;=1,$AJ$39="nein")</formula>
    </cfRule>
  </conditionalFormatting>
  <conditionalFormatting sqref="AK38:AK39">
    <cfRule type="expression" dxfId="201" priority="154">
      <formula>$AK$39="ja/nein"</formula>
    </cfRule>
    <cfRule type="expression" dxfId="200" priority="155">
      <formula>$AK$39="ja"</formula>
    </cfRule>
    <cfRule type="expression" dxfId="199" priority="156">
      <formula>AND($AK$7&gt;=1,$AK$39="nein")</formula>
    </cfRule>
  </conditionalFormatting>
  <conditionalFormatting sqref="AG38:AG39">
    <cfRule type="expression" dxfId="198" priority="151">
      <formula>$AG$39="ja/nein"</formula>
    </cfRule>
    <cfRule type="expression" dxfId="197" priority="152">
      <formula>$AG$39="ja"</formula>
    </cfRule>
    <cfRule type="expression" dxfId="196" priority="153">
      <formula>AND($AG$7&gt;=1,$AG$39="nein")</formula>
    </cfRule>
  </conditionalFormatting>
  <conditionalFormatting sqref="AH41:AH42">
    <cfRule type="expression" dxfId="195" priority="148">
      <formula>$AH$42="ja/nein"</formula>
    </cfRule>
    <cfRule type="expression" dxfId="194" priority="149">
      <formula>$AH$42="ja"</formula>
    </cfRule>
    <cfRule type="expression" dxfId="193" priority="150">
      <formula>AND($AH$7&gt;=1,$AH$42="nein")</formula>
    </cfRule>
  </conditionalFormatting>
  <conditionalFormatting sqref="AI41:AI42">
    <cfRule type="expression" dxfId="192" priority="145">
      <formula>$AI$42="ja/nein"</formula>
    </cfRule>
    <cfRule type="expression" dxfId="191" priority="146">
      <formula>$AI$42="ja"</formula>
    </cfRule>
    <cfRule type="expression" dxfId="190" priority="147">
      <formula>AND($AI$7&gt;=1,$AI$42="nein")</formula>
    </cfRule>
  </conditionalFormatting>
  <conditionalFormatting sqref="AJ41:AJ42">
    <cfRule type="expression" dxfId="189" priority="142">
      <formula>$AJ$42="ja/nein"</formula>
    </cfRule>
    <cfRule type="expression" dxfId="188" priority="143">
      <formula>$AJ$42="ja"</formula>
    </cfRule>
    <cfRule type="expression" dxfId="187" priority="144">
      <formula>AND($AJ$7&gt;=1,$AJ$42="nein")</formula>
    </cfRule>
  </conditionalFormatting>
  <conditionalFormatting sqref="AK41:AK42">
    <cfRule type="expression" dxfId="186" priority="139">
      <formula>$AK$42="ja/nein"</formula>
    </cfRule>
    <cfRule type="expression" dxfId="185" priority="140">
      <formula>$AK$42="ja"</formula>
    </cfRule>
    <cfRule type="expression" dxfId="184" priority="141">
      <formula>AND($AK$7&gt;=1,$AK$42="nein")</formula>
    </cfRule>
  </conditionalFormatting>
  <conditionalFormatting sqref="AG41:AG42">
    <cfRule type="expression" dxfId="183" priority="136">
      <formula>$AG$42="ja/nein"</formula>
    </cfRule>
    <cfRule type="expression" dxfId="182" priority="137">
      <formula>$AG$42="ja"</formula>
    </cfRule>
    <cfRule type="expression" dxfId="181" priority="138">
      <formula>AND($AG$7&gt;=1,$AG$42="nein")</formula>
    </cfRule>
  </conditionalFormatting>
  <conditionalFormatting sqref="AH44:AH45">
    <cfRule type="expression" dxfId="180" priority="133">
      <formula>$AH$45="ja/nein"</formula>
    </cfRule>
    <cfRule type="expression" dxfId="179" priority="134">
      <formula>$AH$45="ja"</formula>
    </cfRule>
    <cfRule type="expression" dxfId="178" priority="135">
      <formula>AND($AH$7&gt;=1,$AH$45="nein")</formula>
    </cfRule>
  </conditionalFormatting>
  <conditionalFormatting sqref="AI44:AI45">
    <cfRule type="expression" dxfId="177" priority="130">
      <formula>$AI$45="ja/nein"</formula>
    </cfRule>
    <cfRule type="expression" dxfId="176" priority="131">
      <formula>$AI$45="ja"</formula>
    </cfRule>
    <cfRule type="expression" dxfId="175" priority="132">
      <formula>AND($AI$7&gt;=1,$AI$45="nein")</formula>
    </cfRule>
  </conditionalFormatting>
  <conditionalFormatting sqref="AJ44:AJ45">
    <cfRule type="expression" dxfId="174" priority="127">
      <formula>$AJ$45="ja/nein"</formula>
    </cfRule>
    <cfRule type="expression" dxfId="173" priority="128">
      <formula>$AJ$45="ja"</formula>
    </cfRule>
    <cfRule type="expression" dxfId="172" priority="129">
      <formula>AND($AJ$7&gt;=1,$AJ$45="nein")</formula>
    </cfRule>
  </conditionalFormatting>
  <conditionalFormatting sqref="AK44:AK45">
    <cfRule type="expression" dxfId="171" priority="124">
      <formula>$AK$45="ja/nein"</formula>
    </cfRule>
    <cfRule type="expression" dxfId="170" priority="125">
      <formula>$AK$45="ja"</formula>
    </cfRule>
    <cfRule type="expression" dxfId="169" priority="126">
      <formula>AND($AK$7&gt;=1,$AK$45="nein")</formula>
    </cfRule>
  </conditionalFormatting>
  <conditionalFormatting sqref="AG44:AG45">
    <cfRule type="expression" dxfId="168" priority="121">
      <formula>$AG$45="ja/nein"</formula>
    </cfRule>
    <cfRule type="expression" dxfId="167" priority="122">
      <formula>$AG$45="ja"</formula>
    </cfRule>
    <cfRule type="expression" dxfId="166" priority="123">
      <formula>AND($AG$7&gt;=1,$AG$45="nein")</formula>
    </cfRule>
  </conditionalFormatting>
  <conditionalFormatting sqref="AH47:AH48">
    <cfRule type="expression" dxfId="165" priority="118">
      <formula>$AH$48="ja/nein"</formula>
    </cfRule>
    <cfRule type="expression" dxfId="164" priority="119">
      <formula>$AH$48="ja"</formula>
    </cfRule>
    <cfRule type="expression" dxfId="163" priority="120">
      <formula>AND($AH$7&gt;=1,$AH$48="nein")</formula>
    </cfRule>
  </conditionalFormatting>
  <conditionalFormatting sqref="AI47:AI48">
    <cfRule type="expression" dxfId="162" priority="115">
      <formula>$AI$48="ja/nein"</formula>
    </cfRule>
    <cfRule type="expression" dxfId="161" priority="116">
      <formula>$AI$48="ja"</formula>
    </cfRule>
    <cfRule type="expression" dxfId="160" priority="117">
      <formula>AND($AI$7&gt;=1,$AI$48="nein")</formula>
    </cfRule>
  </conditionalFormatting>
  <conditionalFormatting sqref="AJ47:AJ48">
    <cfRule type="expression" dxfId="159" priority="112">
      <formula>$AJ$48="ja/nein"</formula>
    </cfRule>
    <cfRule type="expression" dxfId="158" priority="113">
      <formula>$AJ$48="ja"</formula>
    </cfRule>
    <cfRule type="expression" dxfId="157" priority="114">
      <formula>AND($AJ$7&gt;=1,$AJ$48="nein")</formula>
    </cfRule>
  </conditionalFormatting>
  <conditionalFormatting sqref="AK47:AK48">
    <cfRule type="expression" dxfId="156" priority="109">
      <formula>$AK$48="ja/nein"</formula>
    </cfRule>
    <cfRule type="expression" dxfId="155" priority="110">
      <formula>$AK$48="ja"</formula>
    </cfRule>
    <cfRule type="expression" dxfId="154" priority="111">
      <formula>AND($AK$7&gt;=1,$AK$48="nein")</formula>
    </cfRule>
  </conditionalFormatting>
  <conditionalFormatting sqref="AG47:AG48">
    <cfRule type="expression" dxfId="153" priority="106">
      <formula>$AG$48="ja/nein"</formula>
    </cfRule>
    <cfRule type="expression" dxfId="152" priority="107">
      <formula>$AG$48="ja"</formula>
    </cfRule>
    <cfRule type="expression" dxfId="151" priority="108">
      <formula>AND($AG$7&gt;=1,$AG$48="nein")</formula>
    </cfRule>
  </conditionalFormatting>
  <conditionalFormatting sqref="AH50:AH51">
    <cfRule type="expression" dxfId="150" priority="103">
      <formula>$AH$51="ja/nein"</formula>
    </cfRule>
    <cfRule type="expression" dxfId="149" priority="104">
      <formula>$AH$51="ja"</formula>
    </cfRule>
    <cfRule type="expression" dxfId="148" priority="105">
      <formula>AND($AH$7&gt;=1,$AH$51="nein")</formula>
    </cfRule>
  </conditionalFormatting>
  <conditionalFormatting sqref="AI50:AI51">
    <cfRule type="expression" dxfId="147" priority="100">
      <formula>$AI$51="ja/nein"</formula>
    </cfRule>
    <cfRule type="expression" dxfId="146" priority="101">
      <formula>$AI$51="ja"</formula>
    </cfRule>
    <cfRule type="expression" dxfId="145" priority="102">
      <formula>AND($AI$7&gt;=1,$AI$51="nein")</formula>
    </cfRule>
  </conditionalFormatting>
  <conditionalFormatting sqref="AJ50:AJ51">
    <cfRule type="expression" dxfId="144" priority="97">
      <formula>$AJ$51="ja/nein"</formula>
    </cfRule>
    <cfRule type="expression" dxfId="143" priority="98">
      <formula>$AJ$51="ja"</formula>
    </cfRule>
    <cfRule type="expression" dxfId="142" priority="99">
      <formula>AND($AJ$7&gt;=1,$AJ$51="nein")</formula>
    </cfRule>
  </conditionalFormatting>
  <conditionalFormatting sqref="AK50:AK51">
    <cfRule type="expression" dxfId="141" priority="94">
      <formula>$AK$51="ja/nein"</formula>
    </cfRule>
    <cfRule type="expression" dxfId="140" priority="95">
      <formula>$AK$51="ja"</formula>
    </cfRule>
    <cfRule type="expression" dxfId="139" priority="96">
      <formula>AND($AK$7&gt;=1,$AK$51="nein")</formula>
    </cfRule>
  </conditionalFormatting>
  <conditionalFormatting sqref="AG50:AG51">
    <cfRule type="expression" dxfId="138" priority="91">
      <formula>$AG$51="ja/nein"</formula>
    </cfRule>
    <cfRule type="expression" dxfId="137" priority="92">
      <formula>$AG$51="ja"</formula>
    </cfRule>
    <cfRule type="expression" dxfId="136" priority="93">
      <formula>AND($AG$7&gt;=1,$AG$51="nein")</formula>
    </cfRule>
  </conditionalFormatting>
  <conditionalFormatting sqref="AH53:AH54">
    <cfRule type="expression" dxfId="135" priority="88">
      <formula>$AH$54="ja/nein"</formula>
    </cfRule>
    <cfRule type="expression" dxfId="134" priority="89">
      <formula>$AH$54="ja"</formula>
    </cfRule>
    <cfRule type="expression" dxfId="133" priority="90">
      <formula>AND($AH$7&gt;=1,$AH$54="nein")</formula>
    </cfRule>
  </conditionalFormatting>
  <conditionalFormatting sqref="AI53:AI54">
    <cfRule type="expression" dxfId="132" priority="85">
      <formula>$AI$54="ja/nein"</formula>
    </cfRule>
    <cfRule type="expression" dxfId="131" priority="86">
      <formula>$AI$54="ja"</formula>
    </cfRule>
    <cfRule type="expression" dxfId="130" priority="87">
      <formula>AND($AI$7&gt;=1,$AI$54="nein")</formula>
    </cfRule>
  </conditionalFormatting>
  <conditionalFormatting sqref="AJ53:AJ54">
    <cfRule type="expression" dxfId="129" priority="82">
      <formula>$AJ$54="ja/nein"</formula>
    </cfRule>
    <cfRule type="expression" dxfId="128" priority="83">
      <formula>$AJ$54="ja"</formula>
    </cfRule>
    <cfRule type="expression" dxfId="127" priority="84">
      <formula>AND($AJ$7&gt;=1,$AJ$54="nein")</formula>
    </cfRule>
  </conditionalFormatting>
  <conditionalFormatting sqref="AK53:AK54">
    <cfRule type="expression" dxfId="126" priority="79">
      <formula>$AK$54="ja/nein"</formula>
    </cfRule>
    <cfRule type="expression" dxfId="125" priority="80">
      <formula>$AK$54="ja"</formula>
    </cfRule>
    <cfRule type="expression" dxfId="124" priority="81">
      <formula>AND($AK$7&gt;=1,$AK$54="nein")</formula>
    </cfRule>
  </conditionalFormatting>
  <conditionalFormatting sqref="AG53:AG54">
    <cfRule type="expression" dxfId="123" priority="76">
      <formula>$AG$54="ja/nein"</formula>
    </cfRule>
    <cfRule type="expression" dxfId="122" priority="77">
      <formula>$AG$54="ja"</formula>
    </cfRule>
    <cfRule type="expression" dxfId="121" priority="78">
      <formula>AND($AG$7&gt;=1,$AG$54="nein")</formula>
    </cfRule>
  </conditionalFormatting>
  <conditionalFormatting sqref="AH56:AH57">
    <cfRule type="expression" dxfId="120" priority="73">
      <formula>$AH$57="ja/nein"</formula>
    </cfRule>
    <cfRule type="expression" dxfId="119" priority="74">
      <formula>$AH$57="ja"</formula>
    </cfRule>
    <cfRule type="expression" dxfId="118" priority="75">
      <formula>AND($AH$7&gt;=1,$AH$57="nein")</formula>
    </cfRule>
  </conditionalFormatting>
  <conditionalFormatting sqref="AI56:AI57">
    <cfRule type="expression" dxfId="117" priority="70">
      <formula>$AI$57="ja/nein"</formula>
    </cfRule>
    <cfRule type="expression" dxfId="116" priority="71">
      <formula>$AI$57="ja"</formula>
    </cfRule>
    <cfRule type="expression" dxfId="115" priority="72">
      <formula>AND($AI$7&gt;=1,$AI$57="nein")</formula>
    </cfRule>
  </conditionalFormatting>
  <conditionalFormatting sqref="AJ56:AJ57">
    <cfRule type="expression" dxfId="114" priority="67">
      <formula>$AJ$57="ja/nein"</formula>
    </cfRule>
    <cfRule type="expression" dxfId="113" priority="68">
      <formula>$AJ$57="ja"</formula>
    </cfRule>
    <cfRule type="expression" dxfId="112" priority="69">
      <formula>AND($AJ$7&gt;=1,$AJ$57="nein")</formula>
    </cfRule>
  </conditionalFormatting>
  <conditionalFormatting sqref="AK56:AK57">
    <cfRule type="expression" dxfId="111" priority="64">
      <formula>$AK$57="ja/nein"</formula>
    </cfRule>
    <cfRule type="expression" dxfId="110" priority="65">
      <formula>$AK$57="ja"</formula>
    </cfRule>
    <cfRule type="expression" dxfId="109" priority="66">
      <formula>AND($AK$7&gt;=1,$AK$57="nein")</formula>
    </cfRule>
  </conditionalFormatting>
  <conditionalFormatting sqref="AG56:AG57">
    <cfRule type="expression" dxfId="108" priority="61">
      <formula>$AG$57="ja/nein"</formula>
    </cfRule>
    <cfRule type="expression" dxfId="107" priority="62">
      <formula>$AG$57="ja"</formula>
    </cfRule>
    <cfRule type="expression" dxfId="106" priority="63">
      <formula>AND($AG$7&gt;=1,$AG$57="nein")</formula>
    </cfRule>
  </conditionalFormatting>
  <conditionalFormatting sqref="AH59:AH60">
    <cfRule type="expression" dxfId="105" priority="58">
      <formula>$AH$60="ja/nein"</formula>
    </cfRule>
    <cfRule type="expression" dxfId="104" priority="59">
      <formula>$AH$60="ja"</formula>
    </cfRule>
    <cfRule type="expression" dxfId="103" priority="60">
      <formula>AND($AH$7&gt;=1,$AH$60="nein")</formula>
    </cfRule>
  </conditionalFormatting>
  <conditionalFormatting sqref="AI59:AI60">
    <cfRule type="expression" dxfId="102" priority="55">
      <formula>$AI$60="ja/nein"</formula>
    </cfRule>
    <cfRule type="expression" dxfId="101" priority="56">
      <formula>$AI$60="ja"</formula>
    </cfRule>
    <cfRule type="expression" dxfId="100" priority="57">
      <formula>AND($AI$7&gt;=1,$AI$60="nein")</formula>
    </cfRule>
  </conditionalFormatting>
  <conditionalFormatting sqref="AJ59:AJ60">
    <cfRule type="expression" dxfId="99" priority="52">
      <formula>$AJ$60="ja/nein"</formula>
    </cfRule>
    <cfRule type="expression" dxfId="98" priority="53">
      <formula>$AJ$60="ja"</formula>
    </cfRule>
    <cfRule type="expression" dxfId="97" priority="54">
      <formula>AND($AJ$7&gt;=1,$AJ$60="nein")</formula>
    </cfRule>
  </conditionalFormatting>
  <conditionalFormatting sqref="AK59:AK60">
    <cfRule type="expression" dxfId="96" priority="49">
      <formula>$AK$60="ja/nein"</formula>
    </cfRule>
    <cfRule type="expression" dxfId="95" priority="50">
      <formula>$AK$60="ja"</formula>
    </cfRule>
    <cfRule type="expression" dxfId="94" priority="51">
      <formula>AND($AK$7&gt;=1,$AK$60="nein")</formula>
    </cfRule>
  </conditionalFormatting>
  <conditionalFormatting sqref="AG59:AG60">
    <cfRule type="expression" dxfId="93" priority="46">
      <formula>$AG$60="ja/nein"</formula>
    </cfRule>
    <cfRule type="expression" dxfId="92" priority="47">
      <formula>$AG$60="ja"</formula>
    </cfRule>
    <cfRule type="expression" dxfId="91" priority="48">
      <formula>AND($AG$7&gt;=1,$AG$60="nein")</formula>
    </cfRule>
  </conditionalFormatting>
  <conditionalFormatting sqref="AH62:AH63">
    <cfRule type="expression" dxfId="90" priority="43">
      <formula>$AH$63="ja/nein"</formula>
    </cfRule>
    <cfRule type="expression" dxfId="89" priority="44">
      <formula>$AH$63="ja"</formula>
    </cfRule>
    <cfRule type="expression" dxfId="88" priority="45">
      <formula>AND($AH$7&gt;=1,$AH$63="nein")</formula>
    </cfRule>
  </conditionalFormatting>
  <conditionalFormatting sqref="AI62:AI63">
    <cfRule type="expression" dxfId="87" priority="40">
      <formula>$AI$63="ja/nein"</formula>
    </cfRule>
    <cfRule type="expression" dxfId="86" priority="41">
      <formula>$AI$63="ja"</formula>
    </cfRule>
    <cfRule type="expression" dxfId="85" priority="42">
      <formula>AND($AI$7&gt;=1,$AI$63="nein")</formula>
    </cfRule>
  </conditionalFormatting>
  <conditionalFormatting sqref="AJ62:AJ63">
    <cfRule type="expression" dxfId="84" priority="37">
      <formula>$AJ$63="ja/nein"</formula>
    </cfRule>
    <cfRule type="expression" dxfId="83" priority="38">
      <formula>$AJ$63="ja"</formula>
    </cfRule>
    <cfRule type="expression" dxfId="82" priority="39">
      <formula>AND($AJ$7&gt;=1,$AJ$63="nein")</formula>
    </cfRule>
  </conditionalFormatting>
  <conditionalFormatting sqref="AK62:AK63">
    <cfRule type="expression" dxfId="81" priority="34">
      <formula>$AK$63="ja/nein"</formula>
    </cfRule>
    <cfRule type="expression" dxfId="80" priority="35">
      <formula>$AK$63="ja"</formula>
    </cfRule>
    <cfRule type="expression" dxfId="79" priority="36">
      <formula>AND($AK$7&gt;=1,$AK$63="nein")</formula>
    </cfRule>
  </conditionalFormatting>
  <conditionalFormatting sqref="AG62:AG63">
    <cfRule type="expression" dxfId="78" priority="31">
      <formula>$AG$63="ja/nein"</formula>
    </cfRule>
    <cfRule type="expression" dxfId="77" priority="32">
      <formula>$AG$63="ja"</formula>
    </cfRule>
    <cfRule type="expression" dxfId="76" priority="33">
      <formula>AND($AG$7&gt;=1,$AG$63="nein")</formula>
    </cfRule>
  </conditionalFormatting>
  <conditionalFormatting sqref="AH65:AH66">
    <cfRule type="expression" dxfId="75" priority="28">
      <formula>$AH$66="ja/nein"</formula>
    </cfRule>
    <cfRule type="expression" dxfId="74" priority="29">
      <formula>$AH$66="ja"</formula>
    </cfRule>
    <cfRule type="expression" dxfId="73" priority="30">
      <formula>AND($AH$7&gt;=1,$AH$66="nein")</formula>
    </cfRule>
  </conditionalFormatting>
  <conditionalFormatting sqref="AI65:AI66">
    <cfRule type="expression" dxfId="72" priority="25">
      <formula>$AI$66="ja/nein"</formula>
    </cfRule>
    <cfRule type="expression" dxfId="71" priority="26">
      <formula>$AI$66="ja"</formula>
    </cfRule>
    <cfRule type="expression" dxfId="70" priority="27">
      <formula>AND($AI$7&gt;=1,$AI$66="nein")</formula>
    </cfRule>
  </conditionalFormatting>
  <conditionalFormatting sqref="AJ65:AJ66">
    <cfRule type="expression" dxfId="69" priority="22">
      <formula>$AJ$66="ja/nein"</formula>
    </cfRule>
    <cfRule type="expression" dxfId="68" priority="23">
      <formula>$AJ$66="ja"</formula>
    </cfRule>
    <cfRule type="expression" dxfId="67" priority="24">
      <formula>AND($AJ$7&gt;=1,$AJ$66="nein")</formula>
    </cfRule>
  </conditionalFormatting>
  <conditionalFormatting sqref="AK65:AK66">
    <cfRule type="expression" dxfId="66" priority="19">
      <formula>$AK$66="ja/nein"</formula>
    </cfRule>
    <cfRule type="expression" dxfId="65" priority="20">
      <formula>$AK$66="ja"</formula>
    </cfRule>
    <cfRule type="expression" dxfId="64" priority="21">
      <formula>AND($AK$7&gt;=1,$AK$66="nein")</formula>
    </cfRule>
  </conditionalFormatting>
  <conditionalFormatting sqref="AG65:AG66">
    <cfRule type="expression" dxfId="63" priority="16">
      <formula>$AG$66="ja/nein"</formula>
    </cfRule>
    <cfRule type="expression" dxfId="62" priority="17">
      <formula>$AG$66="ja"</formula>
    </cfRule>
    <cfRule type="expression" dxfId="61" priority="18">
      <formula>AND($AG$7&gt;=1,$AG$66="nein")</formula>
    </cfRule>
  </conditionalFormatting>
  <conditionalFormatting sqref="AH68:AH69">
    <cfRule type="expression" dxfId="60" priority="13">
      <formula>$AH$69="ja/nein"</formula>
    </cfRule>
    <cfRule type="expression" dxfId="59" priority="14">
      <formula>$AH$69="ja"</formula>
    </cfRule>
    <cfRule type="expression" dxfId="58" priority="15">
      <formula>AND($AH$7&gt;=1,$AH$69="nein")</formula>
    </cfRule>
  </conditionalFormatting>
  <conditionalFormatting sqref="AI68:AI69">
    <cfRule type="expression" dxfId="57" priority="10">
      <formula>$AI$69="ja/nein"</formula>
    </cfRule>
    <cfRule type="expression" dxfId="56" priority="11">
      <formula>$AI$69="ja"</formula>
    </cfRule>
    <cfRule type="expression" dxfId="55" priority="12">
      <formula>AND($AI$7&gt;=1,$AI$69="nein")</formula>
    </cfRule>
  </conditionalFormatting>
  <conditionalFormatting sqref="AJ68:AJ69">
    <cfRule type="expression" dxfId="54" priority="7">
      <formula>$AJ$69="ja/nein"</formula>
    </cfRule>
    <cfRule type="expression" dxfId="53" priority="8">
      <formula>$AJ$69="ja"</formula>
    </cfRule>
    <cfRule type="expression" dxfId="52" priority="9">
      <formula>AND($AJ$7&gt;=1,$AJ$69="nein")</formula>
    </cfRule>
  </conditionalFormatting>
  <conditionalFormatting sqref="AK68:AK69">
    <cfRule type="expression" dxfId="51" priority="4">
      <formula>$AK$69="ja/nein"</formula>
    </cfRule>
    <cfRule type="expression" dxfId="50" priority="5">
      <formula>$AK$69="ja"</formula>
    </cfRule>
    <cfRule type="expression" dxfId="49" priority="6">
      <formula>AND($AK$7&gt;=1,$AK$69="nein")</formula>
    </cfRule>
  </conditionalFormatting>
  <conditionalFormatting sqref="AG68:AG69">
    <cfRule type="expression" dxfId="48" priority="1">
      <formula>$AG$69="ja/nein"</formula>
    </cfRule>
    <cfRule type="expression" dxfId="47" priority="2">
      <formula>$AG$69="ja"</formula>
    </cfRule>
    <cfRule type="expression" dxfId="46" priority="3">
      <formula>AND($AG$7&gt;=1,$AG$69="nein")</formula>
    </cfRule>
  </conditionalFormatting>
  <dataValidations count="5">
    <dataValidation type="decimal" allowBlank="1" showInputMessage="1" showErrorMessage="1" error="Bitte geben Sie eine ganze Zahl ohne Währungszeichen und ohne Tausendertrennzeichen ein" sqref="T62:T63 T59:T60 T56:T57 T53:T54 T50:T51 T47:T48 T44:T45 T41:T42 T38:T39 T35:T36 T32:T33 T29:T30 T26:T27 T23:T24 T20:T21 T17:T18 T14:T15 T68:T69 T65:T66 T11:T12" xr:uid="{9C30AB1F-4525-4D86-88C1-9D468B1512D7}">
      <formula1>0</formula1>
      <formula2>10000000000</formula2>
    </dataValidation>
    <dataValidation type="list" allowBlank="1" showInputMessage="1" showErrorMessage="1" error="Es können nur die Werte &quot;ja&quot; oder &quot;nein&quot; eingegeben werden. Sie können dazu das Drop-Dwon-Auswahlfeld nutzen." sqref="V69:AB69 AG45:AK45 Q68 V66:AB66 AG42:AK42 Q65 V63:AB63 AG39:AK39 Q62 V60:AB60 AG36:AK36 Q59 V57:AB57 AG33:AK33 Q56 V54:AB54 AG30:AK30 Q53 V51:AB51 AG27:AK27 Q50 V48:AB48 AG24:AK24 Q47 V45:AB45 AG21:AK21 Q44 V42:AB42 AG18:AK18 Q41 V39:AB39 AG66:AK66 Q38 V36:AB36 AG63:AK63 Q35 V33:AB33 AG15:AK15 Q32 V30:AB30 AG12:AK12 Q29 V27:AB27 AG57:AK57 Q26 V24:AB24 AG54:AK54 Q23 V21:AB21 AG51:AK51 Q20 V18:AB18 AG60:AK60 Q17 V15:AB15 Q14 V12:AB12 Q11 AE11:AE12 AE17:AE18 AE20:AE21 AE23:AE24 AE26:AE27 AE29:AE30 AE32:AE33 AE35:AE36 AE38:AE39 AE41:AE42 AE44:AE45 AE47:AE48 AE50:AE51 AE53:AE54 AE56:AE57 AE59:AE60 AE62:AE63 AE65:AE66 AE68:AE69 AE14:AE15 AG48:AK48 AG69:AK69" xr:uid="{74C87FB6-1345-4C8E-A17C-676B72371361}">
      <formula1>"ja,nein"</formula1>
    </dataValidation>
    <dataValidation type="date" operator="greaterThanOrEqual" allowBlank="1" showInputMessage="1" showErrorMessage="1" error="In diesem Feld wird eine Datumsangabe im nachfolgenden Format gefordert:_x000a__x000a_TT.MM.JJJJ oder MM.JJJJ" sqref="N57 N54 N51 N48 N45 N42 N39 N36 N33 N30 N27 N66 N24 N21 N18 N15 N63 N12 N60 N69" xr:uid="{435C8AB7-4A9E-44D3-B8E3-1A9C063D464B}">
      <formula1>1</formula1>
    </dataValidation>
    <dataValidation type="list" allowBlank="1" showInputMessage="1" showErrorMessage="1" sqref="K62 K59 K56 K53 K50 K47 K44 K41 K38 K35 K32 K29 K26 K23 K20 K17 K14 K11 K65 K68" xr:uid="{B05A443A-29DE-4E08-A913-A2F85760504A}">
      <formula1>"persönliche Referenz,Büroreferenz"</formula1>
    </dataValidation>
    <dataValidation type="date" operator="greaterThanOrEqual" allowBlank="1" showInputMessage="1" showErrorMessage="1" sqref="N67 N64 N61 N58 N55 N52 N49 N46 N43 N40 N37 N34 N31 N28 N25 N22 N19 N16 N13 N10" xr:uid="{90A9D90B-F0A8-4D7C-AC52-310DF9834877}">
      <formula1>43831</formula1>
    </dataValidation>
  </dataValidations>
  <pageMargins left="0.7" right="0.7" top="0.78740157499999996" bottom="0.78740157499999996" header="0.3" footer="0.3"/>
  <pageSetup paperSize="8" scale="36" orientation="landscape" r:id="rId1"/>
  <headerFooter>
    <oddFooter>&amp;RSeite &amp;P von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81822AD-BD17-4307-8E25-43A231CBCA54}">
          <x14:formula1>
            <xm:f>Konfigurationsblatt!$J$12:$J$16</xm:f>
          </x14:formula1>
          <xm:sqref>Q69 Q15 Q18 Q21 Q24 Q27 Q30 Q33 Q36 Q39 Q42 Q45 Q48 Q51 Q54 Q57 Q60 Q63 Q66</xm:sqref>
        </x14:dataValidation>
        <x14:dataValidation type="list" showInputMessage="1" showErrorMessage="1" xr:uid="{D811B2D5-B3BA-4B74-91C8-D43905AF6396}">
          <x14:formula1>
            <xm:f>Konfigurationsblatt!$J$12:$J$16</xm:f>
          </x14:formula1>
          <xm:sqref>Q12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8A5EC-B1DA-4DF6-88B0-1010CC7F61BF}">
  <sheetPr>
    <pageSetUpPr fitToPage="1"/>
  </sheetPr>
  <dimension ref="A1:M297"/>
  <sheetViews>
    <sheetView zoomScaleNormal="100" zoomScaleSheetLayoutView="85" workbookViewId="0">
      <pane ySplit="3" topLeftCell="A4" activePane="bottomLeft" state="frozen"/>
      <selection pane="bottomLeft" activeCell="E33" sqref="E33"/>
    </sheetView>
  </sheetViews>
  <sheetFormatPr baseColWidth="10" defaultColWidth="0" defaultRowHeight="0" customHeight="1" zeroHeight="1" x14ac:dyDescent="0.25"/>
  <cols>
    <col min="1" max="1" width="1.875" style="1" customWidth="1"/>
    <col min="2" max="2" width="3.375" style="1" customWidth="1"/>
    <col min="3" max="3" width="6.5" style="1" customWidth="1"/>
    <col min="4" max="4" width="10.625" style="1" customWidth="1"/>
    <col min="5" max="5" width="29.75" style="1" customWidth="1"/>
    <col min="6" max="6" width="17" style="1" customWidth="1"/>
    <col min="7" max="7" width="15.625" style="1" customWidth="1"/>
    <col min="8" max="8" width="14.5" style="1" customWidth="1"/>
    <col min="9" max="9" width="14" style="1" customWidth="1"/>
    <col min="10" max="10" width="11.125" style="1" customWidth="1"/>
    <col min="11" max="11" width="6.125" style="1" customWidth="1"/>
    <col min="12" max="12" width="13.75" style="1" customWidth="1"/>
    <col min="13" max="13" width="5.875" style="1" customWidth="1"/>
    <col min="14" max="16384" width="11" style="1" hidden="1"/>
  </cols>
  <sheetData>
    <row r="1" spans="2:10" ht="9" customHeight="1" x14ac:dyDescent="0.25">
      <c r="C1" s="2"/>
    </row>
    <row r="2" spans="2:10" ht="39" customHeight="1" x14ac:dyDescent="0.3">
      <c r="B2" s="333" t="str">
        <f>""&amp;Konfigurationsblatt!E6&amp;" – "&amp;Konfigurationsblatt!E8&amp;""</f>
        <v>60-2025-34 – Tragwerksplanung: Sanierung des denkmalgeschützten Ratssaals in C-R</v>
      </c>
      <c r="C2" s="333"/>
      <c r="D2" s="333"/>
      <c r="E2" s="333"/>
      <c r="F2" s="333"/>
      <c r="G2" s="333"/>
      <c r="H2" s="333"/>
      <c r="I2" s="333"/>
    </row>
    <row r="3" spans="2:10" ht="24.75" customHeight="1" x14ac:dyDescent="0.25">
      <c r="B3" s="368" t="s">
        <v>217</v>
      </c>
      <c r="C3" s="368"/>
      <c r="D3" s="368"/>
      <c r="E3" s="368"/>
      <c r="F3" s="368"/>
      <c r="G3" s="368"/>
      <c r="H3" s="368"/>
      <c r="I3" s="368"/>
    </row>
    <row r="4" spans="2:10" s="94" customFormat="1" ht="24.75" customHeight="1" x14ac:dyDescent="0.3">
      <c r="B4" s="159" t="s">
        <v>242</v>
      </c>
      <c r="C4" s="160"/>
      <c r="D4" s="160"/>
      <c r="E4" s="161" t="str">
        <f>'a) Angebots- und Preisblatt'!D9</f>
        <v>bitte eintragen</v>
      </c>
      <c r="F4" s="160"/>
      <c r="G4" s="160"/>
      <c r="H4" s="160"/>
      <c r="I4" s="160"/>
    </row>
    <row r="5" spans="2:10" s="94" customFormat="1" ht="24.75" customHeight="1" x14ac:dyDescent="0.3">
      <c r="B5" s="162"/>
      <c r="C5" s="160"/>
      <c r="D5" s="160"/>
      <c r="E5" s="162"/>
      <c r="F5" s="160"/>
      <c r="G5" s="160"/>
      <c r="H5" s="160"/>
      <c r="I5" s="160"/>
    </row>
    <row r="6" spans="2:10" ht="15.75" x14ac:dyDescent="0.25">
      <c r="C6" s="5"/>
    </row>
    <row r="7" spans="2:10" s="164" customFormat="1" ht="18.75" x14ac:dyDescent="0.3">
      <c r="B7" s="163" t="s">
        <v>218</v>
      </c>
    </row>
    <row r="8" spans="2:10" ht="15.75" x14ac:dyDescent="0.25">
      <c r="B8" s="165"/>
    </row>
    <row r="9" spans="2:10" ht="15.75" x14ac:dyDescent="0.25">
      <c r="B9" s="166" t="s">
        <v>278</v>
      </c>
    </row>
    <row r="10" spans="2:10" ht="16.5" thickBot="1" x14ac:dyDescent="0.3"/>
    <row r="11" spans="2:10" ht="17.25" thickTop="1" thickBot="1" x14ac:dyDescent="0.3">
      <c r="B11" s="1" t="s">
        <v>221</v>
      </c>
      <c r="C11" s="1" t="s">
        <v>220</v>
      </c>
      <c r="I11" s="177" t="s">
        <v>207</v>
      </c>
    </row>
    <row r="12" spans="2:10" ht="3" customHeight="1" thickTop="1" thickBot="1" x14ac:dyDescent="0.3"/>
    <row r="13" spans="2:10" ht="17.25" thickTop="1" thickBot="1" x14ac:dyDescent="0.3">
      <c r="C13" s="19" t="s">
        <v>219</v>
      </c>
      <c r="D13" s="1" t="s">
        <v>258</v>
      </c>
      <c r="J13" s="177" t="s">
        <v>207</v>
      </c>
    </row>
    <row r="14" spans="2:10" ht="17.25" thickTop="1" thickBot="1" x14ac:dyDescent="0.3">
      <c r="C14" s="19" t="s">
        <v>219</v>
      </c>
      <c r="D14" s="1" t="s">
        <v>311</v>
      </c>
      <c r="J14" s="177" t="s">
        <v>207</v>
      </c>
    </row>
    <row r="15" spans="2:10" ht="17.25" thickTop="1" thickBot="1" x14ac:dyDescent="0.3">
      <c r="C15" s="19" t="s">
        <v>219</v>
      </c>
      <c r="D15" s="1" t="str">
        <f>"eine Berufserfahrung von zumindest  "&amp;Konfigurationsblatt!F29&amp;" Jahren der Projektleitung wurde angegeben:"</f>
        <v>eine Berufserfahrung von zumindest  8 Jahren der Projektleitung wurde angegeben:</v>
      </c>
      <c r="J15" s="177" t="s">
        <v>207</v>
      </c>
    </row>
    <row r="16" spans="2:10" ht="17.25" thickTop="1" thickBot="1" x14ac:dyDescent="0.3">
      <c r="C16" s="19" t="s">
        <v>219</v>
      </c>
      <c r="D16" s="1" t="s">
        <v>227</v>
      </c>
      <c r="H16" s="177"/>
      <c r="I16" s="1" t="s">
        <v>236</v>
      </c>
    </row>
    <row r="17" spans="2:10" ht="16.5" thickTop="1" x14ac:dyDescent="0.25"/>
    <row r="18" spans="2:10" ht="16.5" thickBot="1" x14ac:dyDescent="0.3"/>
    <row r="19" spans="2:10" ht="17.25" thickTop="1" thickBot="1" x14ac:dyDescent="0.3">
      <c r="B19" s="1" t="s">
        <v>222</v>
      </c>
      <c r="C19" s="1" t="s">
        <v>276</v>
      </c>
      <c r="I19" s="177" t="s">
        <v>207</v>
      </c>
    </row>
    <row r="20" spans="2:10" ht="3" customHeight="1" thickTop="1" thickBot="1" x14ac:dyDescent="0.3"/>
    <row r="21" spans="2:10" ht="17.25" thickTop="1" thickBot="1" x14ac:dyDescent="0.3">
      <c r="C21" s="19" t="s">
        <v>219</v>
      </c>
      <c r="D21" s="1" t="s">
        <v>258</v>
      </c>
      <c r="J21" s="177" t="s">
        <v>207</v>
      </c>
    </row>
    <row r="22" spans="2:10" ht="17.25" thickTop="1" thickBot="1" x14ac:dyDescent="0.3">
      <c r="C22" s="19" t="s">
        <v>219</v>
      </c>
      <c r="D22" s="1" t="s">
        <v>311</v>
      </c>
      <c r="J22" s="177" t="s">
        <v>207</v>
      </c>
    </row>
    <row r="23" spans="2:10" ht="17.25" thickTop="1" thickBot="1" x14ac:dyDescent="0.3">
      <c r="C23" s="19" t="s">
        <v>219</v>
      </c>
      <c r="D23" s="1" t="str">
        <f>"eine Berufserfahrung von zumindest  "&amp;Konfigurationsblatt!F34&amp;" Jahren der stellvertretenden Projektleitung wurde angegeben:"</f>
        <v>eine Berufserfahrung von zumindest  5 Jahren der stellvertretenden Projektleitung wurde angegeben:</v>
      </c>
      <c r="J23" s="177" t="s">
        <v>207</v>
      </c>
    </row>
    <row r="24" spans="2:10" ht="17.25" thickTop="1" thickBot="1" x14ac:dyDescent="0.3">
      <c r="C24" s="19" t="s">
        <v>219</v>
      </c>
      <c r="D24" s="1" t="s">
        <v>227</v>
      </c>
      <c r="H24" s="177"/>
      <c r="I24" s="1" t="s">
        <v>236</v>
      </c>
    </row>
    <row r="25" spans="2:10" ht="16.5" thickTop="1" x14ac:dyDescent="0.25"/>
    <row r="26" spans="2:10" ht="15.75" x14ac:dyDescent="0.25">
      <c r="B26" s="1" t="s">
        <v>223</v>
      </c>
      <c r="C26" s="1" t="s">
        <v>224</v>
      </c>
      <c r="F26" s="51">
        <f>C151</f>
        <v>3</v>
      </c>
      <c r="G26" s="51" t="str">
        <f>"(aktuell &amp; durchschnittlich ≥ "&amp;F26&amp;")"</f>
        <v>(aktuell &amp; durchschnittlich ≥ 3)</v>
      </c>
      <c r="H26" s="51"/>
    </row>
    <row r="27" spans="2:10" ht="15.75" x14ac:dyDescent="0.25">
      <c r="C27" s="1" t="str">
        <f>"In den letzten fünf Geschäftsjahren und aktuell wurden im Durschnitt mindestens "&amp;Konfigurationsblatt!C69&amp;" Berufsträger als Festangestellte oder Inhaber beschäftigt:"</f>
        <v>In den letzten fünf Geschäftsjahren und aktuell wurden im Durschnitt mindestens 3 Berufsträger als Festangestellte oder Inhaber beschäftigt:</v>
      </c>
    </row>
    <row r="28" spans="2:10" ht="15.75" x14ac:dyDescent="0.25"/>
    <row r="29" spans="2:10" ht="15.75" x14ac:dyDescent="0.25">
      <c r="C29" s="1" t="s">
        <v>225</v>
      </c>
    </row>
    <row r="30" spans="2:10" ht="15.75" x14ac:dyDescent="0.25">
      <c r="F30" s="369" t="s">
        <v>40</v>
      </c>
      <c r="G30" s="370"/>
      <c r="H30" s="371" t="s">
        <v>39</v>
      </c>
      <c r="I30" s="372"/>
    </row>
    <row r="31" spans="2:10" ht="15.75" x14ac:dyDescent="0.25">
      <c r="F31" s="317">
        <f ca="1">DATE(YEAR(TODAY())-5,MONTH(TODAY()),DAY(TODAY()))</f>
        <v>44177</v>
      </c>
      <c r="G31" s="318"/>
      <c r="H31" s="366">
        <f>'a) Angebots- und Preisblatt'!E44</f>
        <v>0</v>
      </c>
      <c r="I31" s="367"/>
    </row>
    <row r="32" spans="2:10" ht="15.75" x14ac:dyDescent="0.25">
      <c r="F32" s="317">
        <f ca="1">DATE(YEAR(TODAY())-4,MONTH(TODAY()),DAY(TODAY()))</f>
        <v>44542</v>
      </c>
      <c r="G32" s="318"/>
      <c r="H32" s="366">
        <f>'a) Angebots- und Preisblatt'!E45</f>
        <v>0</v>
      </c>
      <c r="I32" s="367"/>
    </row>
    <row r="33" spans="2:9" ht="15.75" x14ac:dyDescent="0.25">
      <c r="F33" s="317">
        <f ca="1">DATE(YEAR(TODAY())-3,MONTH(TODAY()),DAY(TODAY()))</f>
        <v>44907</v>
      </c>
      <c r="G33" s="318"/>
      <c r="H33" s="366">
        <f>'a) Angebots- und Preisblatt'!E46</f>
        <v>0</v>
      </c>
      <c r="I33" s="367"/>
    </row>
    <row r="34" spans="2:9" ht="15.75" x14ac:dyDescent="0.25">
      <c r="F34" s="317">
        <f ca="1">DATE(YEAR(TODAY())-2,MONTH(TODAY()),DAY(TODAY()))</f>
        <v>45272</v>
      </c>
      <c r="G34" s="318"/>
      <c r="H34" s="366">
        <f>'a) Angebots- und Preisblatt'!E47</f>
        <v>0</v>
      </c>
      <c r="I34" s="367"/>
    </row>
    <row r="35" spans="2:9" ht="15.75" x14ac:dyDescent="0.25">
      <c r="F35" s="317">
        <f ca="1">DATE(YEAR(TODAY())-1,MONTH(TODAY()),DAY(TODAY()))</f>
        <v>45638</v>
      </c>
      <c r="G35" s="318"/>
      <c r="H35" s="366">
        <f>'a) Angebots- und Preisblatt'!E48</f>
        <v>0</v>
      </c>
      <c r="I35" s="367"/>
    </row>
    <row r="36" spans="2:9" ht="15.75" x14ac:dyDescent="0.25">
      <c r="F36" s="298" t="s">
        <v>38</v>
      </c>
      <c r="G36" s="299"/>
      <c r="H36" s="366">
        <f>'a) Angebots- und Preisblatt'!E49</f>
        <v>0</v>
      </c>
      <c r="I36" s="367"/>
    </row>
    <row r="37" spans="2:9" ht="15.75" x14ac:dyDescent="0.25">
      <c r="F37" s="12"/>
      <c r="G37" s="12"/>
      <c r="H37" s="12"/>
      <c r="I37" s="12"/>
    </row>
    <row r="38" spans="2:9" ht="15.75" x14ac:dyDescent="0.25">
      <c r="F38" s="298" t="s">
        <v>77</v>
      </c>
      <c r="G38" s="299"/>
      <c r="H38" s="298">
        <f>IF(H36&lt;&gt;"",ROUND((H31+H32+H33+H34+H35+H36)/6,2),"")</f>
        <v>0</v>
      </c>
      <c r="I38" s="299"/>
    </row>
    <row r="39" spans="2:9" ht="15.75" x14ac:dyDescent="0.25">
      <c r="F39" s="122"/>
      <c r="G39" s="122"/>
      <c r="H39" s="122"/>
      <c r="I39" s="122"/>
    </row>
    <row r="40" spans="2:9" ht="15.75" x14ac:dyDescent="0.25">
      <c r="C40" s="1" t="str">
        <f>IF(AND(H38&gt;=Konfigurationsblatt!C69,H36&gt;=Konfigurationsblatt!C69),"Die Anforderung über die Anzahl der Berufsträger wird mit aktuell "&amp;H36&amp;" sowie durchschnittlich "&amp;H38&amp;" erfüllt.","Die Anforderung über die Anzahl der Berufsträger wird mit aktuell "&amp;H36&amp;" sowie durchschnittlich "&amp;H38&amp;" nicht erfüllt.")</f>
        <v>Die Anforderung über die Anzahl der Berufsträger wird mit aktuell 0 sowie durchschnittlich 0 nicht erfüllt.</v>
      </c>
      <c r="F40" s="122"/>
      <c r="G40" s="122"/>
      <c r="H40" s="122"/>
      <c r="I40" s="122"/>
    </row>
    <row r="41" spans="2:9" ht="15.75" x14ac:dyDescent="0.25">
      <c r="F41" s="122"/>
      <c r="G41" s="122"/>
      <c r="H41" s="122"/>
      <c r="I41" s="122"/>
    </row>
    <row r="42" spans="2:9" ht="15.75" x14ac:dyDescent="0.25">
      <c r="F42" s="122"/>
      <c r="G42" s="122"/>
      <c r="H42" s="122"/>
      <c r="I42" s="122"/>
    </row>
    <row r="43" spans="2:9" ht="15.75" x14ac:dyDescent="0.25">
      <c r="B43" s="166" t="s">
        <v>226</v>
      </c>
      <c r="F43" s="12"/>
      <c r="G43" s="12"/>
      <c r="H43" s="12"/>
      <c r="I43" s="12"/>
    </row>
    <row r="44" spans="2:9" ht="15.75" x14ac:dyDescent="0.25">
      <c r="F44" s="12"/>
      <c r="G44" s="12"/>
      <c r="H44" s="12"/>
      <c r="I44" s="12"/>
    </row>
    <row r="45" spans="2:9" ht="15.75" x14ac:dyDescent="0.25">
      <c r="B45" s="1" t="s">
        <v>279</v>
      </c>
      <c r="F45" s="51">
        <f>Konfigurationsblatt!E40</f>
        <v>300000</v>
      </c>
      <c r="G45" s="51" t="str">
        <f>"(≥ "&amp;TEXT(F45,"#.##0")&amp;"€)"</f>
        <v>(≥ 300.000€)</v>
      </c>
      <c r="H45" s="12"/>
      <c r="I45" s="12"/>
    </row>
    <row r="46" spans="2:9" ht="15.75" x14ac:dyDescent="0.25">
      <c r="B46" t="str">
        <f>"In den letzten drei abgeschlossenen Geschäftsjahren muss ein Mindestumsatz von im Durchschnitt "&amp;TEXT(F45,"#.##0,00")&amp;" Euro netto p. a. erwirtschaftet worden sein."</f>
        <v>In den letzten drei abgeschlossenen Geschäftsjahren muss ein Mindestumsatz von im Durchschnitt 300.000,00 Euro netto p. a. erwirtschaftet worden sein.</v>
      </c>
      <c r="F46" s="12"/>
      <c r="G46" s="12"/>
      <c r="H46" s="12"/>
      <c r="I46" s="12"/>
    </row>
    <row r="47" spans="2:9" ht="15.75" x14ac:dyDescent="0.25">
      <c r="F47" s="12"/>
      <c r="G47" s="12"/>
      <c r="H47" s="12"/>
      <c r="I47" s="12"/>
    </row>
    <row r="48" spans="2:9" ht="45.75" customHeight="1" x14ac:dyDescent="0.25">
      <c r="B48" s="7"/>
      <c r="C48" s="7" t="s">
        <v>206</v>
      </c>
      <c r="D48" s="7"/>
      <c r="E48" s="7"/>
      <c r="F48" s="362" t="s">
        <v>114</v>
      </c>
      <c r="G48" s="363"/>
      <c r="H48" s="364" t="s">
        <v>70</v>
      </c>
      <c r="I48" s="365"/>
    </row>
    <row r="49" spans="2:9" ht="15.75" x14ac:dyDescent="0.25">
      <c r="F49" s="298">
        <f ca="1">'a) Angebots- und Preisblatt'!C58</f>
        <v>2022</v>
      </c>
      <c r="G49" s="299"/>
      <c r="H49" s="276">
        <f>'a) Angebots- und Preisblatt'!E58</f>
        <v>0</v>
      </c>
      <c r="I49" s="277"/>
    </row>
    <row r="50" spans="2:9" ht="15.75" x14ac:dyDescent="0.25">
      <c r="F50" s="298">
        <f ca="1">'a) Angebots- und Preisblatt'!C59</f>
        <v>2023</v>
      </c>
      <c r="G50" s="299"/>
      <c r="H50" s="276">
        <f>'a) Angebots- und Preisblatt'!E59</f>
        <v>0</v>
      </c>
      <c r="I50" s="277"/>
    </row>
    <row r="51" spans="2:9" ht="15.75" x14ac:dyDescent="0.25">
      <c r="F51" s="298">
        <f ca="1">'a) Angebots- und Preisblatt'!C60</f>
        <v>2024</v>
      </c>
      <c r="G51" s="299"/>
      <c r="H51" s="276">
        <f>'a) Angebots- und Preisblatt'!E60</f>
        <v>0</v>
      </c>
      <c r="I51" s="277"/>
    </row>
    <row r="52" spans="2:9" ht="15.75" x14ac:dyDescent="0.25">
      <c r="F52" s="12"/>
      <c r="G52" s="12"/>
      <c r="H52" s="167"/>
      <c r="I52" s="167"/>
    </row>
    <row r="53" spans="2:9" ht="15.75" x14ac:dyDescent="0.25">
      <c r="F53" s="298" t="s">
        <v>77</v>
      </c>
      <c r="G53" s="299"/>
      <c r="H53" s="276">
        <f>IF(H51&lt;&gt;"",(ROUND((H49+H50+H51)/3,2)),"")</f>
        <v>0</v>
      </c>
      <c r="I53" s="277"/>
    </row>
    <row r="54" spans="2:9" ht="15.75" x14ac:dyDescent="0.25">
      <c r="G54" s="125"/>
    </row>
    <row r="55" spans="2:9" ht="15.75" x14ac:dyDescent="0.25">
      <c r="C55" s="1" t="str">
        <f>IF(H53&gt;=Konfigurationsblatt!E40,"Die Anforderung über den Gesamtmindestumsatz wird mit "&amp;TEXT(H53,"#.##0,00")&amp;" Euro erfüllt.","Die Anforderung über den Gesamtmindestumsatz wird mit "&amp;TEXT(H67,"#.##0,00")&amp;" Euro nicht erfüllt.")</f>
        <v>Die Anforderung über den Gesamtmindestumsatz wird mit 0,00 Euro nicht erfüllt.</v>
      </c>
      <c r="F55" s="122"/>
      <c r="G55" s="122"/>
      <c r="H55" s="122"/>
      <c r="I55" s="122"/>
    </row>
    <row r="56" spans="2:9" ht="15.75" x14ac:dyDescent="0.25"/>
    <row r="57" spans="2:9" ht="15.75" x14ac:dyDescent="0.25"/>
    <row r="58" spans="2:9" ht="15.75" x14ac:dyDescent="0.25">
      <c r="B58" s="1" t="s">
        <v>228</v>
      </c>
      <c r="F58" s="51">
        <f>Konfigurationsblatt!E41</f>
        <v>150000</v>
      </c>
      <c r="G58" s="51" t="str">
        <f>"(≥ "&amp;TEXT(F58,"#.##0")&amp;"€)"</f>
        <v>(≥ 150.000€)</v>
      </c>
      <c r="H58" s="12"/>
      <c r="I58" s="12"/>
    </row>
    <row r="59" spans="2:9" ht="15.75" x14ac:dyDescent="0.25">
      <c r="B59" s="1" t="str">
        <f>"In den letzten drei abgeschlossenen Geschäftsjahren muss ein Mindestumsatz von im Durchschnitt "&amp;TEXT(Konfigurationsblatt!E41,"#.##0,00")&amp;" Euro netto p. a. mit vergleichbaren Leistungen"</f>
        <v>In den letzten drei abgeschlossenen Geschäftsjahren muss ein Mindestumsatz von im Durchschnitt 150.000,00 Euro netto p. a. mit vergleichbaren Leistungen</v>
      </c>
      <c r="F59" s="12"/>
      <c r="G59" s="12"/>
      <c r="H59" s="12"/>
      <c r="I59" s="12"/>
    </row>
    <row r="60" spans="2:9" ht="15.75" x14ac:dyDescent="0.25">
      <c r="B60" s="1" t="s">
        <v>229</v>
      </c>
      <c r="F60" s="12"/>
      <c r="G60" s="12"/>
      <c r="H60" s="12"/>
      <c r="I60" s="12"/>
    </row>
    <row r="61" spans="2:9" ht="15.75" x14ac:dyDescent="0.25">
      <c r="F61" s="12"/>
      <c r="G61" s="12"/>
      <c r="H61" s="12"/>
      <c r="I61" s="12"/>
    </row>
    <row r="62" spans="2:9" ht="45.75" customHeight="1" x14ac:dyDescent="0.25">
      <c r="B62" s="7"/>
      <c r="C62" s="7" t="s">
        <v>206</v>
      </c>
      <c r="D62" s="7"/>
      <c r="E62" s="7"/>
      <c r="F62" s="362" t="s">
        <v>114</v>
      </c>
      <c r="G62" s="363"/>
      <c r="H62" s="364" t="s">
        <v>230</v>
      </c>
      <c r="I62" s="365"/>
    </row>
    <row r="63" spans="2:9" ht="15.75" x14ac:dyDescent="0.25">
      <c r="F63" s="298">
        <f ca="1">F49</f>
        <v>2022</v>
      </c>
      <c r="G63" s="299"/>
      <c r="H63" s="276">
        <f>'a) Angebots- und Preisblatt'!E69</f>
        <v>0</v>
      </c>
      <c r="I63" s="277"/>
    </row>
    <row r="64" spans="2:9" ht="15.75" x14ac:dyDescent="0.25">
      <c r="F64" s="298">
        <f ca="1">F50</f>
        <v>2023</v>
      </c>
      <c r="G64" s="299"/>
      <c r="H64" s="276">
        <f>'a) Angebots- und Preisblatt'!E70</f>
        <v>0</v>
      </c>
      <c r="I64" s="277"/>
    </row>
    <row r="65" spans="2:9" ht="15.75" x14ac:dyDescent="0.25">
      <c r="F65" s="298">
        <f ca="1">F51</f>
        <v>2024</v>
      </c>
      <c r="G65" s="299"/>
      <c r="H65" s="276">
        <f>'a) Angebots- und Preisblatt'!E71</f>
        <v>0</v>
      </c>
      <c r="I65" s="277"/>
    </row>
    <row r="66" spans="2:9" ht="15.75" x14ac:dyDescent="0.25">
      <c r="F66" s="12"/>
      <c r="G66" s="12"/>
      <c r="H66" s="167"/>
      <c r="I66" s="167"/>
    </row>
    <row r="67" spans="2:9" ht="15.75" x14ac:dyDescent="0.25">
      <c r="F67" s="298" t="s">
        <v>77</v>
      </c>
      <c r="G67" s="299"/>
      <c r="H67" s="276">
        <f>IF(H65&lt;&gt;"",(ROUND((H63+H64+H65)/3,2)),"")</f>
        <v>0</v>
      </c>
      <c r="I67" s="277"/>
    </row>
    <row r="68" spans="2:9" ht="15.75" x14ac:dyDescent="0.25">
      <c r="G68" s="125"/>
    </row>
    <row r="69" spans="2:9" ht="15.75" x14ac:dyDescent="0.25">
      <c r="C69" s="1" t="str">
        <f>IF(H67&gt;=Konfigurationsblatt!E41,"Die Anforderung über den Mindestumsatz mit vergleichbaren Leistungen wird mit "&amp;TEXT(H67,"#.##0,00")&amp;" Euro erfüllt.","Die Anforderung über den Mindestumsatz mit vergleichbaren Leistungen wird mit "&amp;TEXT(H67,"#.##0,00")&amp;" Euro nicht erfüllt.")</f>
        <v>Die Anforderung über den Mindestumsatz mit vergleichbaren Leistungen wird mit 0,00 Euro nicht erfüllt.</v>
      </c>
      <c r="F69" s="122"/>
      <c r="G69" s="122"/>
      <c r="H69" s="122"/>
      <c r="I69" s="122"/>
    </row>
    <row r="70" spans="2:9" ht="15.75" x14ac:dyDescent="0.25">
      <c r="F70" s="122"/>
      <c r="G70" s="122"/>
      <c r="H70" s="122"/>
      <c r="I70" s="122"/>
    </row>
    <row r="71" spans="2:9" ht="15.75" x14ac:dyDescent="0.25"/>
    <row r="72" spans="2:9" ht="15.75" x14ac:dyDescent="0.25">
      <c r="B72" s="166" t="s">
        <v>231</v>
      </c>
      <c r="F72" s="12"/>
      <c r="G72" s="12"/>
      <c r="H72" s="12"/>
      <c r="I72" s="12"/>
    </row>
    <row r="73" spans="2:9" ht="8.25" customHeight="1" x14ac:dyDescent="0.25"/>
    <row r="74" spans="2:9" ht="15.75" x14ac:dyDescent="0.25">
      <c r="C74" s="1" t="s">
        <v>232</v>
      </c>
      <c r="I74" s="168" t="str">
        <f>'a) Angebots- und Preisblatt'!C82</f>
        <v>Ja / Nein</v>
      </c>
    </row>
    <row r="75" spans="2:9" ht="15.75" x14ac:dyDescent="0.25"/>
    <row r="76" spans="2:9" ht="15.75" x14ac:dyDescent="0.25"/>
    <row r="77" spans="2:9" ht="15.75" x14ac:dyDescent="0.25">
      <c r="B77" s="166" t="s">
        <v>378</v>
      </c>
      <c r="F77" s="51">
        <f>C175</f>
        <v>120</v>
      </c>
      <c r="G77" s="51" t="str">
        <f>"(≤ "&amp;F77&amp;" Minuten)"</f>
        <v>(≤ 120 Minuten)</v>
      </c>
      <c r="H77" s="12"/>
      <c r="I77" s="12"/>
    </row>
    <row r="78" spans="2:9" ht="23.25" customHeight="1" thickBot="1" x14ac:dyDescent="0.3">
      <c r="C78" s="29"/>
    </row>
    <row r="79" spans="2:9" ht="17.25" thickTop="1" thickBot="1" x14ac:dyDescent="0.3">
      <c r="C79" s="177">
        <v>0</v>
      </c>
      <c r="D79" s="1" t="str">
        <f>IF(C79&gt;=Konfigurationsblatt!C80," Referenzen haben insgesamt die Mindestkriterien erfüllt. Die erforderliche Mindestanzahl wurde nachgewiesen.",IF(C79=1," Referenz hat insgesamt die Mindestkriterien erfüllt. Die erforderliche Mindestanzahl wurde nicht nachgewiesen."," Referenzen haben insgesamt die Mindestkriterien erfüllt. Die erforderliche Mindestanzahl wurde nicht nachgewiesen."))</f>
        <v xml:space="preserve"> Referenzen haben insgesamt die Mindestkriterien erfüllt. Die erforderliche Mindestanzahl wurde nicht nachgewiesen.</v>
      </c>
    </row>
    <row r="80" spans="2:9" ht="16.5" thickTop="1" x14ac:dyDescent="0.25">
      <c r="C80" s="7"/>
      <c r="D80" s="378"/>
      <c r="E80" s="378"/>
      <c r="F80" s="378"/>
      <c r="G80" s="378"/>
    </row>
    <row r="81" spans="2:13" ht="15.75" x14ac:dyDescent="0.25">
      <c r="C81" s="1" t="s">
        <v>381</v>
      </c>
    </row>
    <row r="82" spans="2:13" ht="15.75" x14ac:dyDescent="0.25"/>
    <row r="83" spans="2:13" ht="16.5" thickBot="1" x14ac:dyDescent="0.3">
      <c r="C83" s="7" t="s">
        <v>379</v>
      </c>
    </row>
    <row r="84" spans="2:13" ht="17.25" thickTop="1" thickBot="1" x14ac:dyDescent="0.3">
      <c r="C84" s="376" t="s">
        <v>382</v>
      </c>
      <c r="D84" s="377"/>
      <c r="F84" s="177"/>
      <c r="H84" s="177"/>
      <c r="J84" s="376"/>
      <c r="K84" s="377"/>
    </row>
    <row r="85" spans="2:13" ht="7.5" customHeight="1" thickTop="1" thickBot="1" x14ac:dyDescent="0.3"/>
    <row r="86" spans="2:13" ht="17.25" thickTop="1" thickBot="1" x14ac:dyDescent="0.3">
      <c r="C86" s="376"/>
      <c r="D86" s="377"/>
      <c r="F86" s="177"/>
      <c r="H86" s="177"/>
      <c r="J86" s="376"/>
      <c r="K86" s="377"/>
    </row>
    <row r="87" spans="2:13" ht="42.75" customHeight="1" thickTop="1" thickBot="1" x14ac:dyDescent="0.3">
      <c r="C87" s="7"/>
      <c r="D87" s="7"/>
      <c r="E87" s="7"/>
      <c r="F87" s="7"/>
      <c r="G87" s="7"/>
      <c r="H87" s="7"/>
      <c r="I87" s="7"/>
      <c r="J87" s="7"/>
      <c r="K87" s="7"/>
    </row>
    <row r="88" spans="2:13" ht="17.25" thickTop="1" thickBot="1" x14ac:dyDescent="0.3">
      <c r="C88" s="223" t="str">
        <f>"Das Vergleichbarkeitskriterium "&amp;C128&amp;" wurde mit (u. a.) Referenznummer"</f>
        <v>Das Vergleichbarkeitskriterium Schalentragwerk wurde mit (u. a.) Referenznummer</v>
      </c>
      <c r="J88" s="177"/>
      <c r="K88" s="1" t="s">
        <v>236</v>
      </c>
    </row>
    <row r="89" spans="2:13" ht="17.25" thickTop="1" thickBot="1" x14ac:dyDescent="0.3">
      <c r="C89" s="223" t="str">
        <f>"Das Vergleichbarkeitskriterium "&amp;G128&amp;" wurde mit (u. a.) Referenznummer"</f>
        <v>Das Vergleichbarkeitskriterium Denkmalschutz wurde mit (u. a.) Referenznummer</v>
      </c>
      <c r="J89" s="177"/>
      <c r="K89" s="1" t="s">
        <v>236</v>
      </c>
    </row>
    <row r="90" spans="2:13" ht="30" customHeight="1" thickTop="1" x14ac:dyDescent="0.25">
      <c r="C90" s="7"/>
    </row>
    <row r="91" spans="2:13" ht="15.75" x14ac:dyDescent="0.25">
      <c r="B91" s="166"/>
      <c r="C91" s="166" t="s">
        <v>380</v>
      </c>
      <c r="E91" s="51"/>
      <c r="F91" s="51">
        <f>C163</f>
        <v>2</v>
      </c>
      <c r="G91" s="51" t="str">
        <f>"(≥ "&amp;F91&amp;")"</f>
        <v>(≥ 2)</v>
      </c>
      <c r="H91" s="51"/>
    </row>
    <row r="92" spans="2:13" ht="7.5" customHeight="1" thickBot="1" x14ac:dyDescent="0.3"/>
    <row r="93" spans="2:13" ht="17.25" hidden="1" thickTop="1" thickBot="1" x14ac:dyDescent="0.3">
      <c r="C93" s="177">
        <f>C79</f>
        <v>0</v>
      </c>
      <c r="D93" s="1" t="str">
        <f>IF(C93&gt;=Konfigurationsblatt!C80," Referenzen haben insgesamt die Mindestkriterien erfüllt. Die erforderliche Mindestanzahl wurde nachgewiesen.",IF(C93=1," Referenz hat insgesamt die Mindestkriterien erfüllt. Die erforderliche Mindestanzahl wurde nicht nachgewiesen."," Referenzen haben insgesamt die Mindestkriterien erfüllt. Die erforderliche Mindestanzahl wurde nicht nachgewiesen."))</f>
        <v xml:space="preserve"> Referenzen haben insgesamt die Mindestkriterien erfüllt. Die erforderliche Mindestanzahl wurde nicht nachgewiesen.</v>
      </c>
    </row>
    <row r="94" spans="2:13" ht="17.25" thickTop="1" thickBot="1" x14ac:dyDescent="0.3">
      <c r="C94" s="1" t="str">
        <f>"Das Vergleichbarkeitskriterium 'Seiltragwerk (Hängekonstruktion)' wurde mit (u. a.) Referenznummer"</f>
        <v>Das Vergleichbarkeitskriterium 'Seiltragwerk (Hängekonstruktion)' wurde mit (u. a.) Referenznummer</v>
      </c>
      <c r="J94" s="177"/>
      <c r="K94" s="1" t="s">
        <v>236</v>
      </c>
      <c r="M94" s="51" t="str">
        <f>IF(J94&lt;&gt;"",1,"")</f>
        <v/>
      </c>
    </row>
    <row r="95" spans="2:13" ht="17.25" thickTop="1" thickBot="1" x14ac:dyDescent="0.3">
      <c r="C95" s="1" t="str">
        <f>"Das Vergleichbarkeitskriterium 'Sonderbau (kein Brückenbauwerk)' wurde mit (u. a.) Referenznummer"</f>
        <v>Das Vergleichbarkeitskriterium 'Sonderbau (kein Brückenbauwerk)' wurde mit (u. a.) Referenznummer</v>
      </c>
      <c r="J95" s="177"/>
      <c r="K95" s="1" t="s">
        <v>236</v>
      </c>
      <c r="M95" s="51" t="str">
        <f>IF(J95&lt;&gt;"",1,"")</f>
        <v/>
      </c>
    </row>
    <row r="96" spans="2:13" ht="17.25" thickTop="1" thickBot="1" x14ac:dyDescent="0.3">
      <c r="C96" s="1" t="str">
        <f>"Das Vergleichbarkeitskriterium 'Leichtbaukonstruktion' wurde mit (u. a.) Referenznummer"</f>
        <v>Das Vergleichbarkeitskriterium 'Leichtbaukonstruktion' wurde mit (u. a.) Referenznummer</v>
      </c>
      <c r="J96" s="177"/>
      <c r="K96" s="1" t="s">
        <v>236</v>
      </c>
      <c r="M96" s="51" t="str">
        <f>IF(J96&lt;&gt;"",1,"")</f>
        <v/>
      </c>
    </row>
    <row r="97" spans="3:13" ht="17.25" thickTop="1" thickBot="1" x14ac:dyDescent="0.3">
      <c r="C97" s="1" t="str">
        <f>"Das Vergleichbarkeitskriterium 'Prüfung von Baukonstruktionen' wurde mit (u. a.) Referenznummer"</f>
        <v>Das Vergleichbarkeitskriterium 'Prüfung von Baukonstruktionen' wurde mit (u. a.) Referenznummer</v>
      </c>
      <c r="J97" s="177"/>
      <c r="K97" s="1" t="s">
        <v>236</v>
      </c>
      <c r="M97" s="51" t="str">
        <f>IF(J97&lt;&gt;"",1,"")</f>
        <v/>
      </c>
    </row>
    <row r="98" spans="3:13" ht="17.25" thickTop="1" thickBot="1" x14ac:dyDescent="0.3">
      <c r="C98" s="1" t="str">
        <f>"Das Vergleichbarkeitskriterium 'Schalentragwerk und Denkmalschutz' wurde mit (u. a.) Referenznummer"</f>
        <v>Das Vergleichbarkeitskriterium 'Schalentragwerk und Denkmalschutz' wurde mit (u. a.) Referenznummer</v>
      </c>
      <c r="J98" s="177"/>
      <c r="K98" s="1" t="s">
        <v>236</v>
      </c>
      <c r="M98" s="51" t="str">
        <f>IF(J98&lt;&gt;"",1,"")</f>
        <v/>
      </c>
    </row>
    <row r="99" spans="3:13" ht="16.5" thickTop="1" x14ac:dyDescent="0.25">
      <c r="M99" s="51"/>
    </row>
    <row r="100" spans="3:13" ht="15.75" x14ac:dyDescent="0.25">
      <c r="I100" s="19" t="s">
        <v>384</v>
      </c>
      <c r="J100" s="92">
        <f>SUM(M94:M98)</f>
        <v>0</v>
      </c>
    </row>
    <row r="101" spans="3:13" s="229" customFormat="1" ht="15.75" x14ac:dyDescent="0.25">
      <c r="D101" s="230"/>
      <c r="E101" s="230"/>
      <c r="F101" s="230"/>
      <c r="G101" s="230"/>
      <c r="H101" s="230"/>
    </row>
    <row r="102" spans="3:13" ht="15.75" x14ac:dyDescent="0.25">
      <c r="C102" s="1" t="s">
        <v>233</v>
      </c>
    </row>
    <row r="103" spans="3:13" ht="15.75" x14ac:dyDescent="0.25"/>
    <row r="104" spans="3:13" s="7" customFormat="1" ht="27" customHeight="1" thickBot="1" x14ac:dyDescent="0.3">
      <c r="C104" s="7" t="s">
        <v>234</v>
      </c>
      <c r="E104" s="7" t="s">
        <v>235</v>
      </c>
    </row>
    <row r="105" spans="3:13" ht="17.25" thickTop="1" thickBot="1" x14ac:dyDescent="0.3">
      <c r="C105" s="177"/>
      <c r="D105" s="205" t="str">
        <f t="shared" ref="D105:D124" si="0">IF(C105&gt;0," #"&amp;C105&amp;",","")</f>
        <v/>
      </c>
      <c r="E105" s="373"/>
      <c r="F105" s="374"/>
      <c r="G105" s="374"/>
      <c r="H105" s="374"/>
      <c r="I105" s="374"/>
      <c r="J105" s="374"/>
      <c r="K105" s="374"/>
      <c r="L105" s="375"/>
    </row>
    <row r="106" spans="3:13" ht="17.25" thickTop="1" thickBot="1" x14ac:dyDescent="0.3">
      <c r="C106" s="177"/>
      <c r="D106" s="205" t="str">
        <f t="shared" si="0"/>
        <v/>
      </c>
      <c r="E106" s="373"/>
      <c r="F106" s="374"/>
      <c r="G106" s="374"/>
      <c r="H106" s="374"/>
      <c r="I106" s="374"/>
      <c r="J106" s="374"/>
      <c r="K106" s="374"/>
      <c r="L106" s="375"/>
    </row>
    <row r="107" spans="3:13" ht="17.25" thickTop="1" thickBot="1" x14ac:dyDescent="0.3">
      <c r="C107" s="177"/>
      <c r="D107" s="205" t="str">
        <f t="shared" si="0"/>
        <v/>
      </c>
      <c r="E107" s="373"/>
      <c r="F107" s="374"/>
      <c r="G107" s="374"/>
      <c r="H107" s="374"/>
      <c r="I107" s="374"/>
      <c r="J107" s="374"/>
      <c r="K107" s="374"/>
      <c r="L107" s="375"/>
    </row>
    <row r="108" spans="3:13" ht="17.25" thickTop="1" thickBot="1" x14ac:dyDescent="0.3">
      <c r="C108" s="177"/>
      <c r="D108" s="205" t="str">
        <f t="shared" si="0"/>
        <v/>
      </c>
      <c r="E108" s="373"/>
      <c r="F108" s="374"/>
      <c r="G108" s="374"/>
      <c r="H108" s="374"/>
      <c r="I108" s="374"/>
      <c r="J108" s="374"/>
      <c r="K108" s="374"/>
      <c r="L108" s="375"/>
    </row>
    <row r="109" spans="3:13" ht="17.25" thickTop="1" thickBot="1" x14ac:dyDescent="0.3">
      <c r="C109" s="177"/>
      <c r="D109" s="205" t="str">
        <f t="shared" si="0"/>
        <v/>
      </c>
      <c r="E109" s="373"/>
      <c r="F109" s="374"/>
      <c r="G109" s="374"/>
      <c r="H109" s="374"/>
      <c r="I109" s="374"/>
      <c r="J109" s="374"/>
      <c r="K109" s="374"/>
      <c r="L109" s="375"/>
    </row>
    <row r="110" spans="3:13" ht="17.25" thickTop="1" thickBot="1" x14ac:dyDescent="0.3">
      <c r="C110" s="177"/>
      <c r="D110" s="205" t="str">
        <f t="shared" si="0"/>
        <v/>
      </c>
      <c r="E110" s="373"/>
      <c r="F110" s="374"/>
      <c r="G110" s="374"/>
      <c r="H110" s="374"/>
      <c r="I110" s="374"/>
      <c r="J110" s="374"/>
      <c r="K110" s="374"/>
      <c r="L110" s="375"/>
    </row>
    <row r="111" spans="3:13" ht="17.25" thickTop="1" thickBot="1" x14ac:dyDescent="0.3">
      <c r="C111" s="177"/>
      <c r="D111" s="205" t="str">
        <f t="shared" si="0"/>
        <v/>
      </c>
      <c r="E111" s="373"/>
      <c r="F111" s="374"/>
      <c r="G111" s="374"/>
      <c r="H111" s="374"/>
      <c r="I111" s="374"/>
      <c r="J111" s="374"/>
      <c r="K111" s="374"/>
      <c r="L111" s="375"/>
    </row>
    <row r="112" spans="3:13" ht="17.25" thickTop="1" thickBot="1" x14ac:dyDescent="0.3">
      <c r="C112" s="177"/>
      <c r="D112" s="205" t="str">
        <f t="shared" si="0"/>
        <v/>
      </c>
      <c r="E112" s="373"/>
      <c r="F112" s="374"/>
      <c r="G112" s="374"/>
      <c r="H112" s="374"/>
      <c r="I112" s="374"/>
      <c r="J112" s="374"/>
      <c r="K112" s="374"/>
      <c r="L112" s="375"/>
    </row>
    <row r="113" spans="3:12" ht="17.25" thickTop="1" thickBot="1" x14ac:dyDescent="0.3">
      <c r="C113" s="177"/>
      <c r="D113" s="205" t="str">
        <f t="shared" si="0"/>
        <v/>
      </c>
      <c r="E113" s="373"/>
      <c r="F113" s="374"/>
      <c r="G113" s="374"/>
      <c r="H113" s="374"/>
      <c r="I113" s="374"/>
      <c r="J113" s="374"/>
      <c r="K113" s="374"/>
      <c r="L113" s="375"/>
    </row>
    <row r="114" spans="3:12" ht="17.25" thickTop="1" thickBot="1" x14ac:dyDescent="0.3">
      <c r="C114" s="177"/>
      <c r="D114" s="205" t="str">
        <f t="shared" si="0"/>
        <v/>
      </c>
      <c r="E114" s="373"/>
      <c r="F114" s="374"/>
      <c r="G114" s="374"/>
      <c r="H114" s="374"/>
      <c r="I114" s="374"/>
      <c r="J114" s="374"/>
      <c r="K114" s="374"/>
      <c r="L114" s="375"/>
    </row>
    <row r="115" spans="3:12" ht="17.25" thickTop="1" thickBot="1" x14ac:dyDescent="0.3">
      <c r="C115" s="177"/>
      <c r="D115" s="205" t="str">
        <f t="shared" si="0"/>
        <v/>
      </c>
      <c r="E115" s="373"/>
      <c r="F115" s="374"/>
      <c r="G115" s="374"/>
      <c r="H115" s="374"/>
      <c r="I115" s="374"/>
      <c r="J115" s="374"/>
      <c r="K115" s="374"/>
      <c r="L115" s="375"/>
    </row>
    <row r="116" spans="3:12" ht="17.25" thickTop="1" thickBot="1" x14ac:dyDescent="0.3">
      <c r="C116" s="177"/>
      <c r="D116" s="205" t="str">
        <f t="shared" si="0"/>
        <v/>
      </c>
      <c r="E116" s="373"/>
      <c r="F116" s="374"/>
      <c r="G116" s="374"/>
      <c r="H116" s="374"/>
      <c r="I116" s="374"/>
      <c r="J116" s="374"/>
      <c r="K116" s="374"/>
      <c r="L116" s="375"/>
    </row>
    <row r="117" spans="3:12" ht="17.25" thickTop="1" thickBot="1" x14ac:dyDescent="0.3">
      <c r="C117" s="177"/>
      <c r="D117" s="205" t="str">
        <f t="shared" si="0"/>
        <v/>
      </c>
      <c r="E117" s="373"/>
      <c r="F117" s="374"/>
      <c r="G117" s="374"/>
      <c r="H117" s="374"/>
      <c r="I117" s="374"/>
      <c r="J117" s="374"/>
      <c r="K117" s="374"/>
      <c r="L117" s="375"/>
    </row>
    <row r="118" spans="3:12" ht="17.25" thickTop="1" thickBot="1" x14ac:dyDescent="0.3">
      <c r="C118" s="177"/>
      <c r="D118" s="205" t="str">
        <f t="shared" si="0"/>
        <v/>
      </c>
      <c r="E118" s="373"/>
      <c r="F118" s="374"/>
      <c r="G118" s="374"/>
      <c r="H118" s="374"/>
      <c r="I118" s="374"/>
      <c r="J118" s="374"/>
      <c r="K118" s="374"/>
      <c r="L118" s="375"/>
    </row>
    <row r="119" spans="3:12" ht="17.25" thickTop="1" thickBot="1" x14ac:dyDescent="0.3">
      <c r="C119" s="177"/>
      <c r="D119" s="205" t="str">
        <f t="shared" si="0"/>
        <v/>
      </c>
      <c r="E119" s="373"/>
      <c r="F119" s="374"/>
      <c r="G119" s="374"/>
      <c r="H119" s="374"/>
      <c r="I119" s="374"/>
      <c r="J119" s="374"/>
      <c r="K119" s="374"/>
      <c r="L119" s="375"/>
    </row>
    <row r="120" spans="3:12" ht="17.25" thickTop="1" thickBot="1" x14ac:dyDescent="0.3">
      <c r="C120" s="177"/>
      <c r="D120" s="205" t="str">
        <f t="shared" si="0"/>
        <v/>
      </c>
      <c r="E120" s="373"/>
      <c r="F120" s="374"/>
      <c r="G120" s="374"/>
      <c r="H120" s="374"/>
      <c r="I120" s="374"/>
      <c r="J120" s="374"/>
      <c r="K120" s="374"/>
      <c r="L120" s="375"/>
    </row>
    <row r="121" spans="3:12" ht="17.25" thickTop="1" thickBot="1" x14ac:dyDescent="0.3">
      <c r="C121" s="177"/>
      <c r="D121" s="205" t="str">
        <f t="shared" si="0"/>
        <v/>
      </c>
      <c r="E121" s="373"/>
      <c r="F121" s="374"/>
      <c r="G121" s="374"/>
      <c r="H121" s="374"/>
      <c r="I121" s="374"/>
      <c r="J121" s="374"/>
      <c r="K121" s="374"/>
      <c r="L121" s="375"/>
    </row>
    <row r="122" spans="3:12" ht="17.25" thickTop="1" thickBot="1" x14ac:dyDescent="0.3">
      <c r="C122" s="177"/>
      <c r="D122" s="205" t="str">
        <f t="shared" si="0"/>
        <v/>
      </c>
      <c r="E122" s="373"/>
      <c r="F122" s="374"/>
      <c r="G122" s="374"/>
      <c r="H122" s="374"/>
      <c r="I122" s="374"/>
      <c r="J122" s="374"/>
      <c r="K122" s="374"/>
      <c r="L122" s="375"/>
    </row>
    <row r="123" spans="3:12" ht="17.25" thickTop="1" thickBot="1" x14ac:dyDescent="0.3">
      <c r="C123" s="177"/>
      <c r="D123" s="205" t="str">
        <f t="shared" si="0"/>
        <v/>
      </c>
      <c r="E123" s="373"/>
      <c r="F123" s="374"/>
      <c r="G123" s="374"/>
      <c r="H123" s="374"/>
      <c r="I123" s="374"/>
      <c r="J123" s="374"/>
      <c r="K123" s="374"/>
      <c r="L123" s="375"/>
    </row>
    <row r="124" spans="3:12" ht="17.25" thickTop="1" thickBot="1" x14ac:dyDescent="0.3">
      <c r="C124" s="177"/>
      <c r="D124" s="205" t="str">
        <f t="shared" si="0"/>
        <v/>
      </c>
      <c r="E124" s="373"/>
      <c r="F124" s="374"/>
      <c r="G124" s="374"/>
      <c r="H124" s="374"/>
      <c r="I124" s="374"/>
      <c r="J124" s="374"/>
      <c r="K124" s="374"/>
      <c r="L124" s="375"/>
    </row>
    <row r="125" spans="3:12" ht="17.25" hidden="1" thickTop="1" thickBot="1" x14ac:dyDescent="0.3">
      <c r="C125" s="205">
        <f>SUM(C105:C124)</f>
        <v>0</v>
      </c>
    </row>
    <row r="126" spans="3:12" ht="17.25" hidden="1" thickTop="1" thickBot="1" x14ac:dyDescent="0.3">
      <c r="C126" s="169" t="str">
        <f>"Das Vergleichbarkeitskriterium "&amp;C128&amp;" wurde mit (u. a.) Referenznummer"</f>
        <v>Das Vergleichbarkeitskriterium Schalentragwerk wurde mit (u. a.) Referenznummer</v>
      </c>
      <c r="J126" s="177" t="str">
        <f>IF(J88&lt;&gt;"",J88,"")</f>
        <v/>
      </c>
      <c r="K126" s="1" t="s">
        <v>236</v>
      </c>
    </row>
    <row r="127" spans="3:12" ht="17.25" hidden="1" thickTop="1" thickBot="1" x14ac:dyDescent="0.3">
      <c r="C127" s="169" t="str">
        <f>"Das Vergleichbarkeitskriterium "&amp;G128&amp;" wurde mit (u. a.) Referenznummer"</f>
        <v>Das Vergleichbarkeitskriterium Denkmalschutz wurde mit (u. a.) Referenznummer</v>
      </c>
      <c r="J127" s="177" t="str">
        <f>IF(J89&lt;&gt;"",J89,"")</f>
        <v/>
      </c>
      <c r="K127" s="1" t="s">
        <v>236</v>
      </c>
    </row>
    <row r="128" spans="3:12" s="51" customFormat="1" ht="17.25" thickTop="1" thickBot="1" x14ac:dyDescent="0.3">
      <c r="C128" s="204" t="str">
        <f>Konfigurationsblatt!F62</f>
        <v>Schalentragwerk</v>
      </c>
      <c r="G128" s="51" t="str">
        <f>Konfigurationsblatt!F64</f>
        <v>Denkmalschutz</v>
      </c>
      <c r="J128" s="84"/>
    </row>
    <row r="129" spans="2:12" ht="17.25" thickTop="1" thickBot="1" x14ac:dyDescent="0.3">
      <c r="C129" s="169" t="s">
        <v>277</v>
      </c>
      <c r="J129" s="168"/>
      <c r="L129" s="177" t="s">
        <v>207</v>
      </c>
    </row>
    <row r="130" spans="2:12" ht="16.5" thickTop="1" x14ac:dyDescent="0.25"/>
    <row r="131" spans="2:12" ht="15.75" x14ac:dyDescent="0.25"/>
    <row r="132" spans="2:12" s="164" customFormat="1" ht="18.75" x14ac:dyDescent="0.3">
      <c r="B132" s="163" t="s">
        <v>256</v>
      </c>
    </row>
    <row r="133" spans="2:12" ht="16.5" thickBot="1" x14ac:dyDescent="0.3"/>
    <row r="134" spans="2:12" ht="17.25" thickTop="1" thickBot="1" x14ac:dyDescent="0.3">
      <c r="B134" s="1" t="s">
        <v>257</v>
      </c>
      <c r="L134" s="177" t="s">
        <v>207</v>
      </c>
    </row>
    <row r="135" spans="2:12" ht="16.5" thickTop="1" x14ac:dyDescent="0.25"/>
    <row r="136" spans="2:12" ht="15.75" x14ac:dyDescent="0.25"/>
    <row r="137" spans="2:12" s="164" customFormat="1" ht="18.75" x14ac:dyDescent="0.3">
      <c r="B137" s="163" t="s">
        <v>253</v>
      </c>
    </row>
    <row r="138" spans="2:12" ht="15.75" x14ac:dyDescent="0.25"/>
    <row r="139" spans="2:12" ht="15.75" x14ac:dyDescent="0.25">
      <c r="B139" s="166" t="s">
        <v>237</v>
      </c>
    </row>
    <row r="140" spans="2:12" ht="16.5" thickBot="1" x14ac:dyDescent="0.3">
      <c r="B140" s="166"/>
    </row>
    <row r="141" spans="2:12" ht="17.25" thickTop="1" thickBot="1" x14ac:dyDescent="0.3">
      <c r="B141" s="7" t="s">
        <v>82</v>
      </c>
      <c r="E141" s="1" t="s">
        <v>205</v>
      </c>
      <c r="F141" s="178"/>
      <c r="H141" s="1" t="s">
        <v>204</v>
      </c>
    </row>
    <row r="142" spans="2:12" ht="17.25" thickTop="1" thickBot="1" x14ac:dyDescent="0.3">
      <c r="H142" s="1" t="str">
        <f>"= "&amp; F141 &amp;" / "&amp; F143 &amp;" *100        ="</f>
        <v>=  /  *100        =</v>
      </c>
      <c r="K142" s="179" t="str">
        <f>IF(AND(F141&lt;&gt;"",F143&lt;&gt;"",F141&lt;=F143),""&amp;(F141/F143*100)&amp;" %","")</f>
        <v/>
      </c>
    </row>
    <row r="143" spans="2:12" ht="17.25" thickTop="1" thickBot="1" x14ac:dyDescent="0.3">
      <c r="E143" s="1" t="s">
        <v>203</v>
      </c>
      <c r="F143" s="178"/>
    </row>
    <row r="144" spans="2:12" ht="16.5" thickTop="1" x14ac:dyDescent="0.25">
      <c r="H144" s="1" t="s">
        <v>200</v>
      </c>
    </row>
    <row r="145" spans="2:13" ht="36" customHeight="1" x14ac:dyDescent="0.25">
      <c r="H145" s="382" t="str">
        <f>"= 5 (Maximalpunktzahl) * "&amp; K142 &amp;"
gerundet auf 2 Nachkommastellen"</f>
        <v>= 5 (Maximalpunktzahl) * 
gerundet auf 2 Nachkommastellen</v>
      </c>
      <c r="I145" s="382"/>
      <c r="J145" s="382"/>
      <c r="K145" s="206" t="str">
        <f>IF(AND(F143="",F141&lt;&gt;""),"Ausschluss",IF(K142&lt;&gt;"",ROUND(5*F141/F143,2),""))</f>
        <v/>
      </c>
      <c r="L145" s="171"/>
    </row>
    <row r="146" spans="2:13" ht="15.75" x14ac:dyDescent="0.25">
      <c r="H146" s="382"/>
      <c r="I146" s="382"/>
      <c r="J146" s="382"/>
    </row>
    <row r="147" spans="2:13" ht="15.75" x14ac:dyDescent="0.25">
      <c r="H147" s="382"/>
      <c r="I147" s="382"/>
      <c r="J147" s="382"/>
    </row>
    <row r="148" spans="2:13" ht="15.75" x14ac:dyDescent="0.25">
      <c r="B148" s="166" t="s">
        <v>238</v>
      </c>
    </row>
    <row r="149" spans="2:13" ht="15.75" x14ac:dyDescent="0.25"/>
    <row r="150" spans="2:13" s="7" customFormat="1" ht="30" customHeight="1" x14ac:dyDescent="0.25">
      <c r="B150" s="7" t="s">
        <v>82</v>
      </c>
      <c r="F150" s="7" t="s">
        <v>240</v>
      </c>
      <c r="I150" s="172" t="s">
        <v>200</v>
      </c>
      <c r="J150" s="172"/>
      <c r="K150" s="170" t="str">
        <f>IF(AND(G151&gt;=C154,H36&gt;=C151),"5",IF(AND(G151&gt;=C153,G151&lt;C154,H36&gt;=C151),"4",IF(AND(G151&gt;=C152,G151&lt;C153,H36&gt;=C151),"3",IF(AND(G151&gt;=C151,H36&gt;=C151,G151&lt;C152),"0","Ausschluss"))))</f>
        <v>Ausschluss</v>
      </c>
      <c r="L150" s="171"/>
    </row>
    <row r="151" spans="2:13" ht="15.75" x14ac:dyDescent="0.25">
      <c r="B151" s="1" t="s">
        <v>191</v>
      </c>
      <c r="C151" s="92">
        <f>Konfigurationsblatt!C69</f>
        <v>3</v>
      </c>
      <c r="D151" s="1" t="s">
        <v>75</v>
      </c>
      <c r="E151" s="19"/>
      <c r="F151" s="54" t="s">
        <v>77</v>
      </c>
      <c r="G151" s="168">
        <f>H38</f>
        <v>0</v>
      </c>
      <c r="I151" s="173"/>
      <c r="M151" s="51">
        <f t="shared" ref="M151:M156" si="1">IF(L151&lt;=0,L151,0)</f>
        <v>0</v>
      </c>
    </row>
    <row r="152" spans="2:13" ht="15.75" x14ac:dyDescent="0.25">
      <c r="B152" s="1" t="s">
        <v>191</v>
      </c>
      <c r="C152" s="92">
        <v>9</v>
      </c>
      <c r="D152" s="1" t="s">
        <v>78</v>
      </c>
      <c r="E152" s="19"/>
      <c r="I152" s="173"/>
      <c r="M152" s="51">
        <f t="shared" si="1"/>
        <v>0</v>
      </c>
    </row>
    <row r="153" spans="2:13" ht="15.75" x14ac:dyDescent="0.25">
      <c r="B153" s="1" t="s">
        <v>191</v>
      </c>
      <c r="C153" s="92">
        <v>12</v>
      </c>
      <c r="D153" s="1" t="s">
        <v>79</v>
      </c>
      <c r="E153" s="19"/>
      <c r="G153" s="173"/>
      <c r="I153" s="173"/>
      <c r="M153" s="51">
        <f t="shared" si="1"/>
        <v>0</v>
      </c>
    </row>
    <row r="154" spans="2:13" ht="15.75" x14ac:dyDescent="0.25">
      <c r="B154" s="1" t="s">
        <v>191</v>
      </c>
      <c r="C154" s="92">
        <v>15</v>
      </c>
      <c r="D154" s="1" t="s">
        <v>80</v>
      </c>
      <c r="E154" s="19"/>
      <c r="I154" s="173"/>
      <c r="M154" s="51">
        <f t="shared" si="1"/>
        <v>0</v>
      </c>
    </row>
    <row r="155" spans="2:13" ht="15.75" x14ac:dyDescent="0.25">
      <c r="B155" s="1" t="s">
        <v>76</v>
      </c>
      <c r="C155" s="92">
        <f>Konfigurationsblatt!C73</f>
        <v>15</v>
      </c>
      <c r="D155" s="1" t="s">
        <v>81</v>
      </c>
      <c r="E155" s="19"/>
      <c r="F155" s="169"/>
      <c r="I155" s="173"/>
      <c r="M155" s="51">
        <f t="shared" si="1"/>
        <v>0</v>
      </c>
    </row>
    <row r="156" spans="2:13" ht="15.75" x14ac:dyDescent="0.25">
      <c r="C156" s="92"/>
      <c r="M156" s="51">
        <f t="shared" si="1"/>
        <v>0</v>
      </c>
    </row>
    <row r="157" spans="2:13" ht="15.75" x14ac:dyDescent="0.25">
      <c r="C157" s="92"/>
      <c r="L157" s="173"/>
    </row>
    <row r="158" spans="2:13" ht="15.75" customHeight="1" x14ac:dyDescent="0.25"/>
    <row r="159" spans="2:13" ht="15.75" x14ac:dyDescent="0.25"/>
    <row r="160" spans="2:13" ht="15.75" x14ac:dyDescent="0.25">
      <c r="B160" s="166" t="s">
        <v>239</v>
      </c>
    </row>
    <row r="161" spans="2:13" ht="15.75" x14ac:dyDescent="0.25"/>
    <row r="162" spans="2:13" s="7" customFormat="1" ht="30" customHeight="1" x14ac:dyDescent="0.25">
      <c r="B162" s="7" t="s">
        <v>82</v>
      </c>
      <c r="F162" s="7" t="s">
        <v>240</v>
      </c>
      <c r="I162" s="172" t="s">
        <v>200</v>
      </c>
      <c r="J162" s="172"/>
      <c r="K162" s="170" t="str">
        <f>IF(G163&gt;=C169,"5",IF(AND(G163&gt;=C168,G163&lt;C169),"4",IF(AND(G163&gt;=C167,G163&lt;C168),"3",IF(AND(G163&gt;=C166,G163&lt;C167),"2",IF(AND(G163&gt;=C165,G163&lt;C166),"1",IF(AND(G163&gt;=C164,G163&lt;C165),"0",IF(AND(G163&gt;=C163,G163=C164),"0","Ausschluss")))))))</f>
        <v>Ausschluss</v>
      </c>
      <c r="L162" s="171"/>
    </row>
    <row r="163" spans="2:13" ht="15.75" x14ac:dyDescent="0.25">
      <c r="B163" s="1" t="s">
        <v>191</v>
      </c>
      <c r="C163" s="92">
        <f>Konfigurationsblatt!C80</f>
        <v>2</v>
      </c>
      <c r="D163" s="1" t="s">
        <v>176</v>
      </c>
      <c r="E163" s="19"/>
      <c r="F163" s="54" t="s">
        <v>334</v>
      </c>
      <c r="G163" s="168">
        <f>J100</f>
        <v>0</v>
      </c>
      <c r="I163" s="173"/>
      <c r="M163" s="51">
        <f t="shared" ref="M163:M168" si="2">IF(L163&lt;=0,L163,0)</f>
        <v>0</v>
      </c>
    </row>
    <row r="164" spans="2:13" ht="15.75" x14ac:dyDescent="0.25">
      <c r="B164" s="1" t="s">
        <v>324</v>
      </c>
      <c r="C164" s="92">
        <f>Konfigurationsblatt!C81</f>
        <v>2</v>
      </c>
      <c r="D164" s="131" t="s">
        <v>333</v>
      </c>
      <c r="E164" s="19"/>
      <c r="F164" s="1" t="s">
        <v>335</v>
      </c>
      <c r="I164" s="173"/>
      <c r="M164" s="51">
        <f t="shared" si="2"/>
        <v>0</v>
      </c>
    </row>
    <row r="165" spans="2:13" ht="15.75" x14ac:dyDescent="0.25">
      <c r="B165" s="1" t="s">
        <v>327</v>
      </c>
      <c r="C165" s="92">
        <f>Konfigurationsblatt!C82</f>
        <v>3</v>
      </c>
      <c r="D165" s="131" t="s">
        <v>328</v>
      </c>
      <c r="E165" s="19"/>
      <c r="G165" s="173"/>
      <c r="I165" s="173"/>
      <c r="M165" s="51">
        <f t="shared" si="2"/>
        <v>0</v>
      </c>
    </row>
    <row r="166" spans="2:13" ht="15.75" x14ac:dyDescent="0.25">
      <c r="B166" s="1" t="s">
        <v>327</v>
      </c>
      <c r="C166" s="92">
        <f>Konfigurationsblatt!C83</f>
        <v>4</v>
      </c>
      <c r="D166" s="131" t="s">
        <v>329</v>
      </c>
      <c r="E166" s="19"/>
      <c r="I166" s="173"/>
      <c r="M166" s="51">
        <f t="shared" si="2"/>
        <v>0</v>
      </c>
    </row>
    <row r="167" spans="2:13" ht="15.75" x14ac:dyDescent="0.25">
      <c r="B167" s="1" t="s">
        <v>327</v>
      </c>
      <c r="C167" s="92">
        <f>Konfigurationsblatt!C84</f>
        <v>5</v>
      </c>
      <c r="D167" s="131" t="s">
        <v>330</v>
      </c>
      <c r="F167" s="169"/>
      <c r="I167" s="173"/>
      <c r="M167" s="51">
        <f t="shared" si="2"/>
        <v>0</v>
      </c>
    </row>
    <row r="168" spans="2:13" ht="15.75" x14ac:dyDescent="0.25">
      <c r="B168" s="1" t="s">
        <v>327</v>
      </c>
      <c r="C168" s="92">
        <f>Konfigurationsblatt!C85</f>
        <v>6</v>
      </c>
      <c r="D168" s="131" t="s">
        <v>331</v>
      </c>
      <c r="M168" s="51">
        <f t="shared" si="2"/>
        <v>0</v>
      </c>
    </row>
    <row r="169" spans="2:13" ht="15.75" x14ac:dyDescent="0.25">
      <c r="B169" s="1" t="s">
        <v>327</v>
      </c>
      <c r="C169" s="92">
        <f>Konfigurationsblatt!C86</f>
        <v>7</v>
      </c>
      <c r="D169" s="131" t="s">
        <v>332</v>
      </c>
      <c r="L169" s="173"/>
    </row>
    <row r="170" spans="2:13" ht="15.75" x14ac:dyDescent="0.25"/>
    <row r="171" spans="2:13" ht="15.75" x14ac:dyDescent="0.25"/>
    <row r="172" spans="2:13" ht="15.75" hidden="1" x14ac:dyDescent="0.25">
      <c r="B172" s="166" t="s">
        <v>241</v>
      </c>
    </row>
    <row r="173" spans="2:13" ht="15.75" hidden="1" x14ac:dyDescent="0.25">
      <c r="B173" s="166"/>
    </row>
    <row r="174" spans="2:13" s="7" customFormat="1" ht="29.25" hidden="1" customHeight="1" x14ac:dyDescent="0.25">
      <c r="B174" s="7" t="s">
        <v>82</v>
      </c>
      <c r="F174" s="7" t="s">
        <v>240</v>
      </c>
      <c r="I174" s="172" t="s">
        <v>200</v>
      </c>
      <c r="J174" s="172"/>
      <c r="K174" s="170" t="str">
        <f>IF(AND(G175&lt;=C181,G175&lt;&gt;0),"5",IF(AND(G175&lt;=C180,G175&gt;C181),"4",IF(AND(G175&lt;=C179,G175&gt;C180),"3",IF(AND(G175&lt;=C178,G175&gt;C179),"2",IF(AND(G175&lt;=C177,G175&gt;C178),"1",IF(AND(G175&lt;=C176,G175&gt;C177),"0","Ausschluss"))))))</f>
        <v>Ausschluss</v>
      </c>
      <c r="L174" s="171"/>
    </row>
    <row r="175" spans="2:13" ht="15.75" hidden="1" x14ac:dyDescent="0.25">
      <c r="B175" s="19" t="s">
        <v>202</v>
      </c>
      <c r="C175" s="92">
        <f>Konfigurationsblatt!G69</f>
        <v>120</v>
      </c>
      <c r="D175" s="1" t="s">
        <v>62</v>
      </c>
      <c r="E175" s="19"/>
      <c r="F175" s="174" t="s">
        <v>244</v>
      </c>
      <c r="G175" s="92">
        <f>I87</f>
        <v>0</v>
      </c>
    </row>
    <row r="176" spans="2:13" ht="15.75" hidden="1" x14ac:dyDescent="0.25">
      <c r="B176" s="1" t="s">
        <v>201</v>
      </c>
      <c r="C176" s="92">
        <f>Konfigurationsblatt!G70</f>
        <v>120</v>
      </c>
      <c r="D176" s="1" t="s">
        <v>63</v>
      </c>
      <c r="E176" s="19"/>
      <c r="F176" s="169" t="s">
        <v>60</v>
      </c>
      <c r="G176" s="92" t="s">
        <v>243</v>
      </c>
    </row>
    <row r="177" spans="2:8" ht="15.75" hidden="1" x14ac:dyDescent="0.25">
      <c r="B177" s="1" t="s">
        <v>201</v>
      </c>
      <c r="C177" s="92">
        <f>Konfigurationsblatt!G71</f>
        <v>90</v>
      </c>
      <c r="D177" s="1" t="s">
        <v>64</v>
      </c>
      <c r="E177" s="19"/>
      <c r="F177" s="169"/>
    </row>
    <row r="178" spans="2:8" ht="15.75" hidden="1" x14ac:dyDescent="0.25">
      <c r="B178" s="1" t="s">
        <v>201</v>
      </c>
      <c r="C178" s="92">
        <f>Konfigurationsblatt!G72</f>
        <v>75</v>
      </c>
      <c r="D178" s="1" t="s">
        <v>65</v>
      </c>
      <c r="E178" s="19"/>
      <c r="F178" s="169"/>
    </row>
    <row r="179" spans="2:8" ht="15.75" hidden="1" x14ac:dyDescent="0.25">
      <c r="B179" s="1" t="s">
        <v>201</v>
      </c>
      <c r="C179" s="92">
        <f>Konfigurationsblatt!G73</f>
        <v>60</v>
      </c>
      <c r="D179" s="1" t="s">
        <v>66</v>
      </c>
      <c r="F179" s="169"/>
    </row>
    <row r="180" spans="2:8" ht="15.75" hidden="1" x14ac:dyDescent="0.25">
      <c r="B180" s="1" t="s">
        <v>201</v>
      </c>
      <c r="C180" s="92">
        <f>Konfigurationsblatt!G74</f>
        <v>45</v>
      </c>
      <c r="D180" s="1" t="s">
        <v>67</v>
      </c>
      <c r="F180" s="169"/>
    </row>
    <row r="181" spans="2:8" ht="15.75" hidden="1" x14ac:dyDescent="0.25">
      <c r="B181" s="1" t="s">
        <v>201</v>
      </c>
      <c r="C181" s="92">
        <f>Konfigurationsblatt!G75</f>
        <v>30</v>
      </c>
      <c r="D181" s="1" t="s">
        <v>68</v>
      </c>
    </row>
    <row r="182" spans="2:8" ht="15.75" hidden="1" x14ac:dyDescent="0.25"/>
    <row r="183" spans="2:8" ht="15.75" customHeight="1" x14ac:dyDescent="0.25"/>
    <row r="184" spans="2:8" ht="15.75" customHeight="1" x14ac:dyDescent="0.25"/>
    <row r="185" spans="2:8" s="164" customFormat="1" ht="18.75" x14ac:dyDescent="0.3">
      <c r="B185" s="163" t="s">
        <v>254</v>
      </c>
      <c r="F185" s="181"/>
    </row>
    <row r="186" spans="2:8" ht="15.75" customHeight="1" x14ac:dyDescent="0.25">
      <c r="F186" s="169"/>
    </row>
    <row r="187" spans="2:8" ht="15.75" customHeight="1" x14ac:dyDescent="0.25">
      <c r="D187" s="1" t="s">
        <v>245</v>
      </c>
      <c r="F187" s="169" t="s">
        <v>249</v>
      </c>
      <c r="G187" s="1" t="s">
        <v>251</v>
      </c>
      <c r="H187" s="1" t="s">
        <v>250</v>
      </c>
    </row>
    <row r="188" spans="2:8" ht="26.25" customHeight="1" x14ac:dyDescent="0.25">
      <c r="F188" s="169"/>
      <c r="H188" s="7"/>
    </row>
    <row r="189" spans="2:8" ht="15.75" customHeight="1" x14ac:dyDescent="0.25">
      <c r="D189" s="1" t="s">
        <v>186</v>
      </c>
      <c r="F189" s="210" t="str">
        <f>K145</f>
        <v/>
      </c>
      <c r="G189" s="92">
        <f>Konfigurationsblatt!H80</f>
        <v>50</v>
      </c>
      <c r="H189" s="208" t="e">
        <f>IF(F189="Ausschluss",0,ROUND(F189*G189,2))</f>
        <v>#VALUE!</v>
      </c>
    </row>
    <row r="190" spans="2:8" ht="15.75" customHeight="1" x14ac:dyDescent="0.25">
      <c r="D190" s="1" t="s">
        <v>224</v>
      </c>
      <c r="F190" s="169" t="str">
        <f>K150</f>
        <v>Ausschluss</v>
      </c>
      <c r="G190" s="92">
        <f>Konfigurationsblatt!H81</f>
        <v>10</v>
      </c>
      <c r="H190" s="19">
        <f>IF(F190="Ausschluss",0,ROUND(F190*G190,2))</f>
        <v>0</v>
      </c>
    </row>
    <row r="191" spans="2:8" ht="15.75" customHeight="1" x14ac:dyDescent="0.25">
      <c r="D191" s="1" t="s">
        <v>246</v>
      </c>
      <c r="F191" s="169" t="str">
        <f>K162</f>
        <v>Ausschluss</v>
      </c>
      <c r="G191" s="92">
        <f>Konfigurationsblatt!H82</f>
        <v>40</v>
      </c>
      <c r="H191" s="19">
        <f>IF(F191="Ausschluss",0,ROUND(F191*G191,2))</f>
        <v>0</v>
      </c>
    </row>
    <row r="192" spans="2:8" ht="15.75" hidden="1" customHeight="1" x14ac:dyDescent="0.25">
      <c r="D192" s="1" t="s">
        <v>247</v>
      </c>
      <c r="F192" s="169" t="str">
        <f>K174</f>
        <v>Ausschluss</v>
      </c>
      <c r="G192" s="92">
        <f>Konfigurationsblatt!H83</f>
        <v>0</v>
      </c>
      <c r="H192" s="19">
        <f>IF(F192="Ausschluss",0,ROUND(F192*G192,2))</f>
        <v>0</v>
      </c>
    </row>
    <row r="193" spans="2:12" ht="15.75" customHeight="1" x14ac:dyDescent="0.25">
      <c r="F193" s="169"/>
    </row>
    <row r="194" spans="2:12" s="175" customFormat="1" ht="25.5" customHeight="1" x14ac:dyDescent="0.25">
      <c r="D194" s="175" t="s">
        <v>248</v>
      </c>
      <c r="F194" s="207">
        <f>SUM(F189:F192)</f>
        <v>0</v>
      </c>
      <c r="G194" s="176">
        <f>G192+G191+G190+G189</f>
        <v>100</v>
      </c>
      <c r="H194" s="209" t="e">
        <f>SUM(H189:H191)</f>
        <v>#VALUE!</v>
      </c>
    </row>
    <row r="195" spans="2:12" ht="15.75" customHeight="1" x14ac:dyDescent="0.25"/>
    <row r="196" spans="2:12" ht="15.75" customHeight="1" x14ac:dyDescent="0.25"/>
    <row r="197" spans="2:12" ht="15.75" customHeight="1" x14ac:dyDescent="0.25"/>
    <row r="198" spans="2:12" s="164" customFormat="1" ht="18.75" x14ac:dyDescent="0.3">
      <c r="B198" s="163" t="s">
        <v>255</v>
      </c>
    </row>
    <row r="199" spans="2:12" ht="15.75" customHeight="1" thickBot="1" x14ac:dyDescent="0.3"/>
    <row r="200" spans="2:12" ht="15.75" customHeight="1" thickTop="1" x14ac:dyDescent="0.25">
      <c r="C200" s="379"/>
      <c r="D200" s="380"/>
      <c r="E200" s="380"/>
      <c r="F200" s="380"/>
      <c r="G200" s="380"/>
      <c r="H200" s="380"/>
      <c r="I200" s="380"/>
      <c r="J200" s="380"/>
      <c r="K200" s="380"/>
      <c r="L200" s="381"/>
    </row>
    <row r="201" spans="2:12" ht="15.75" customHeight="1" x14ac:dyDescent="0.25">
      <c r="C201" s="359"/>
      <c r="D201" s="360"/>
      <c r="E201" s="360"/>
      <c r="F201" s="360"/>
      <c r="G201" s="360"/>
      <c r="H201" s="360"/>
      <c r="I201" s="360"/>
      <c r="J201" s="360"/>
      <c r="K201" s="360"/>
      <c r="L201" s="361"/>
    </row>
    <row r="202" spans="2:12" ht="15.75" customHeight="1" x14ac:dyDescent="0.25">
      <c r="C202" s="359"/>
      <c r="D202" s="360"/>
      <c r="E202" s="360"/>
      <c r="F202" s="360"/>
      <c r="G202" s="360"/>
      <c r="H202" s="360"/>
      <c r="I202" s="360"/>
      <c r="J202" s="360"/>
      <c r="K202" s="360"/>
      <c r="L202" s="361"/>
    </row>
    <row r="203" spans="2:12" ht="15.75" customHeight="1" x14ac:dyDescent="0.25">
      <c r="C203" s="359"/>
      <c r="D203" s="360"/>
      <c r="E203" s="360"/>
      <c r="F203" s="360"/>
      <c r="G203" s="360"/>
      <c r="H203" s="360"/>
      <c r="I203" s="360"/>
      <c r="J203" s="360"/>
      <c r="K203" s="360"/>
      <c r="L203" s="361"/>
    </row>
    <row r="204" spans="2:12" ht="15.75" customHeight="1" x14ac:dyDescent="0.25">
      <c r="C204" s="359"/>
      <c r="D204" s="360"/>
      <c r="E204" s="360"/>
      <c r="F204" s="360"/>
      <c r="G204" s="360"/>
      <c r="H204" s="360"/>
      <c r="I204" s="360"/>
      <c r="J204" s="360"/>
      <c r="K204" s="360"/>
      <c r="L204" s="361"/>
    </row>
    <row r="205" spans="2:12" ht="15.75" customHeight="1" x14ac:dyDescent="0.25">
      <c r="C205" s="359"/>
      <c r="D205" s="360"/>
      <c r="E205" s="360"/>
      <c r="F205" s="360"/>
      <c r="G205" s="360"/>
      <c r="H205" s="360"/>
      <c r="I205" s="360"/>
      <c r="J205" s="360"/>
      <c r="K205" s="360"/>
      <c r="L205" s="361"/>
    </row>
    <row r="206" spans="2:12" ht="15.75" customHeight="1" x14ac:dyDescent="0.25">
      <c r="C206" s="359"/>
      <c r="D206" s="360"/>
      <c r="E206" s="360"/>
      <c r="F206" s="360"/>
      <c r="G206" s="360"/>
      <c r="H206" s="360"/>
      <c r="I206" s="360"/>
      <c r="J206" s="360"/>
      <c r="K206" s="360"/>
      <c r="L206" s="361"/>
    </row>
    <row r="207" spans="2:12" ht="15.75" customHeight="1" x14ac:dyDescent="0.25">
      <c r="C207" s="359"/>
      <c r="D207" s="360"/>
      <c r="E207" s="360"/>
      <c r="F207" s="360"/>
      <c r="G207" s="360"/>
      <c r="H207" s="360"/>
      <c r="I207" s="360"/>
      <c r="J207" s="360"/>
      <c r="K207" s="360"/>
      <c r="L207" s="361"/>
    </row>
    <row r="208" spans="2:12" ht="15.75" customHeight="1" x14ac:dyDescent="0.25">
      <c r="C208" s="359"/>
      <c r="D208" s="360"/>
      <c r="E208" s="360"/>
      <c r="F208" s="360"/>
      <c r="G208" s="360"/>
      <c r="H208" s="360"/>
      <c r="I208" s="360"/>
      <c r="J208" s="360"/>
      <c r="K208" s="360"/>
      <c r="L208" s="361"/>
    </row>
    <row r="209" spans="3:12" ht="15.75" customHeight="1" x14ac:dyDescent="0.25">
      <c r="C209" s="359"/>
      <c r="D209" s="360"/>
      <c r="E209" s="360"/>
      <c r="F209" s="360"/>
      <c r="G209" s="360"/>
      <c r="H209" s="360"/>
      <c r="I209" s="360"/>
      <c r="J209" s="360"/>
      <c r="K209" s="360"/>
      <c r="L209" s="361"/>
    </row>
    <row r="210" spans="3:12" ht="15.75" customHeight="1" x14ac:dyDescent="0.25">
      <c r="C210" s="359"/>
      <c r="D210" s="360"/>
      <c r="E210" s="360"/>
      <c r="F210" s="360"/>
      <c r="G210" s="360"/>
      <c r="H210" s="360"/>
      <c r="I210" s="360"/>
      <c r="J210" s="360"/>
      <c r="K210" s="360"/>
      <c r="L210" s="361"/>
    </row>
    <row r="211" spans="3:12" ht="15.75" customHeight="1" x14ac:dyDescent="0.25">
      <c r="C211" s="359"/>
      <c r="D211" s="360"/>
      <c r="E211" s="360"/>
      <c r="F211" s="360"/>
      <c r="G211" s="360"/>
      <c r="H211" s="360"/>
      <c r="I211" s="360"/>
      <c r="J211" s="360"/>
      <c r="K211" s="360"/>
      <c r="L211" s="361"/>
    </row>
    <row r="212" spans="3:12" ht="15.75" customHeight="1" x14ac:dyDescent="0.25">
      <c r="C212" s="359"/>
      <c r="D212" s="360"/>
      <c r="E212" s="360"/>
      <c r="F212" s="360"/>
      <c r="G212" s="360"/>
      <c r="H212" s="360"/>
      <c r="I212" s="360"/>
      <c r="J212" s="360"/>
      <c r="K212" s="360"/>
      <c r="L212" s="361"/>
    </row>
    <row r="213" spans="3:12" ht="15.75" customHeight="1" x14ac:dyDescent="0.25">
      <c r="C213" s="359"/>
      <c r="D213" s="360"/>
      <c r="E213" s="360"/>
      <c r="F213" s="360"/>
      <c r="G213" s="360"/>
      <c r="H213" s="360"/>
      <c r="I213" s="360"/>
      <c r="J213" s="360"/>
      <c r="K213" s="360"/>
      <c r="L213" s="361"/>
    </row>
    <row r="214" spans="3:12" ht="15.75" customHeight="1" x14ac:dyDescent="0.25">
      <c r="C214" s="359"/>
      <c r="D214" s="360"/>
      <c r="E214" s="360"/>
      <c r="F214" s="360"/>
      <c r="G214" s="360"/>
      <c r="H214" s="360"/>
      <c r="I214" s="360"/>
      <c r="J214" s="360"/>
      <c r="K214" s="360"/>
      <c r="L214" s="361"/>
    </row>
    <row r="215" spans="3:12" ht="15.75" customHeight="1" x14ac:dyDescent="0.25">
      <c r="C215" s="359"/>
      <c r="D215" s="360"/>
      <c r="E215" s="360"/>
      <c r="F215" s="360"/>
      <c r="G215" s="360"/>
      <c r="H215" s="360"/>
      <c r="I215" s="360"/>
      <c r="J215" s="360"/>
      <c r="K215" s="360"/>
      <c r="L215" s="361"/>
    </row>
    <row r="216" spans="3:12" ht="15.75" customHeight="1" x14ac:dyDescent="0.25">
      <c r="C216" s="359"/>
      <c r="D216" s="360"/>
      <c r="E216" s="360"/>
      <c r="F216" s="360"/>
      <c r="G216" s="360"/>
      <c r="H216" s="360"/>
      <c r="I216" s="360"/>
      <c r="J216" s="360"/>
      <c r="K216" s="360"/>
      <c r="L216" s="361"/>
    </row>
    <row r="217" spans="3:12" ht="15.75" customHeight="1" x14ac:dyDescent="0.25">
      <c r="C217" s="359"/>
      <c r="D217" s="360"/>
      <c r="E217" s="360"/>
      <c r="F217" s="360"/>
      <c r="G217" s="360"/>
      <c r="H217" s="360"/>
      <c r="I217" s="360"/>
      <c r="J217" s="360"/>
      <c r="K217" s="360"/>
      <c r="L217" s="361"/>
    </row>
    <row r="218" spans="3:12" ht="15.75" customHeight="1" x14ac:dyDescent="0.25">
      <c r="C218" s="359"/>
      <c r="D218" s="360"/>
      <c r="E218" s="360"/>
      <c r="F218" s="360"/>
      <c r="G218" s="360"/>
      <c r="H218" s="360"/>
      <c r="I218" s="360"/>
      <c r="J218" s="360"/>
      <c r="K218" s="360"/>
      <c r="L218" s="361"/>
    </row>
    <row r="219" spans="3:12" ht="15.75" customHeight="1" x14ac:dyDescent="0.25">
      <c r="C219" s="359"/>
      <c r="D219" s="360"/>
      <c r="E219" s="360"/>
      <c r="F219" s="360"/>
      <c r="G219" s="360"/>
      <c r="H219" s="360"/>
      <c r="I219" s="360"/>
      <c r="J219" s="360"/>
      <c r="K219" s="360"/>
      <c r="L219" s="361"/>
    </row>
    <row r="220" spans="3:12" ht="15.75" customHeight="1" x14ac:dyDescent="0.25">
      <c r="C220" s="359"/>
      <c r="D220" s="360"/>
      <c r="E220" s="360"/>
      <c r="F220" s="360"/>
      <c r="G220" s="360"/>
      <c r="H220" s="360"/>
      <c r="I220" s="360"/>
      <c r="J220" s="360"/>
      <c r="K220" s="360"/>
      <c r="L220" s="361"/>
    </row>
    <row r="221" spans="3:12" ht="15.75" customHeight="1" x14ac:dyDescent="0.25">
      <c r="C221" s="359"/>
      <c r="D221" s="360"/>
      <c r="E221" s="360"/>
      <c r="F221" s="360"/>
      <c r="G221" s="360"/>
      <c r="H221" s="360"/>
      <c r="I221" s="360"/>
      <c r="J221" s="360"/>
      <c r="K221" s="360"/>
      <c r="L221" s="361"/>
    </row>
    <row r="222" spans="3:12" ht="15.75" customHeight="1" x14ac:dyDescent="0.25">
      <c r="C222" s="359"/>
      <c r="D222" s="360"/>
      <c r="E222" s="360"/>
      <c r="F222" s="360"/>
      <c r="G222" s="360"/>
      <c r="H222" s="360"/>
      <c r="I222" s="360"/>
      <c r="J222" s="360"/>
      <c r="K222" s="360"/>
      <c r="L222" s="361"/>
    </row>
    <row r="223" spans="3:12" ht="15.75" customHeight="1" x14ac:dyDescent="0.25">
      <c r="C223" s="359"/>
      <c r="D223" s="360"/>
      <c r="E223" s="360"/>
      <c r="F223" s="360"/>
      <c r="G223" s="360"/>
      <c r="H223" s="360"/>
      <c r="I223" s="360"/>
      <c r="J223" s="360"/>
      <c r="K223" s="360"/>
      <c r="L223" s="361"/>
    </row>
    <row r="224" spans="3:12" ht="15.75" customHeight="1" x14ac:dyDescent="0.25">
      <c r="C224" s="359"/>
      <c r="D224" s="360"/>
      <c r="E224" s="360"/>
      <c r="F224" s="360"/>
      <c r="G224" s="360"/>
      <c r="H224" s="360"/>
      <c r="I224" s="360"/>
      <c r="J224" s="360"/>
      <c r="K224" s="360"/>
      <c r="L224" s="361"/>
    </row>
    <row r="225" spans="3:12" ht="15.75" customHeight="1" x14ac:dyDescent="0.25">
      <c r="C225" s="359"/>
      <c r="D225" s="360"/>
      <c r="E225" s="360"/>
      <c r="F225" s="360"/>
      <c r="G225" s="360"/>
      <c r="H225" s="360"/>
      <c r="I225" s="360"/>
      <c r="J225" s="360"/>
      <c r="K225" s="360"/>
      <c r="L225" s="361"/>
    </row>
    <row r="226" spans="3:12" ht="15.75" customHeight="1" x14ac:dyDescent="0.25">
      <c r="C226" s="359"/>
      <c r="D226" s="360"/>
      <c r="E226" s="360"/>
      <c r="F226" s="360"/>
      <c r="G226" s="360"/>
      <c r="H226" s="360"/>
      <c r="I226" s="360"/>
      <c r="J226" s="360"/>
      <c r="K226" s="360"/>
      <c r="L226" s="361"/>
    </row>
    <row r="227" spans="3:12" ht="15.75" customHeight="1" x14ac:dyDescent="0.25"/>
    <row r="228" spans="3:12" ht="15.75" customHeight="1" x14ac:dyDescent="0.25"/>
    <row r="229" spans="3:12" ht="15.75" hidden="1" customHeight="1" x14ac:dyDescent="0.25"/>
    <row r="230" spans="3:12" ht="15.75" hidden="1" customHeight="1" x14ac:dyDescent="0.25"/>
    <row r="231" spans="3:12" ht="15.75" hidden="1" customHeight="1" x14ac:dyDescent="0.25"/>
    <row r="232" spans="3:12" ht="15.75" hidden="1" customHeight="1" x14ac:dyDescent="0.25"/>
    <row r="233" spans="3:12" ht="15.75" hidden="1" customHeight="1" x14ac:dyDescent="0.25"/>
    <row r="234" spans="3:12" ht="15.75" hidden="1" customHeight="1" x14ac:dyDescent="0.25"/>
    <row r="235" spans="3:12" ht="15.75" hidden="1" customHeight="1" x14ac:dyDescent="0.25"/>
    <row r="236" spans="3:12" ht="15.75" hidden="1" customHeight="1" x14ac:dyDescent="0.25"/>
    <row r="237" spans="3:12" ht="15.75" hidden="1" customHeight="1" x14ac:dyDescent="0.25"/>
    <row r="238" spans="3:12" ht="15.75" hidden="1" customHeight="1" x14ac:dyDescent="0.25"/>
    <row r="239" spans="3:12" ht="15.75" hidden="1" customHeight="1" x14ac:dyDescent="0.25"/>
    <row r="240" spans="3:12" ht="15.75" hidden="1" customHeight="1" x14ac:dyDescent="0.25"/>
    <row r="241" ht="15.75" hidden="1" customHeight="1" x14ac:dyDescent="0.25"/>
    <row r="242" ht="15.75" hidden="1" customHeight="1" x14ac:dyDescent="0.25"/>
    <row r="243" ht="15.75" hidden="1" customHeight="1" x14ac:dyDescent="0.25"/>
    <row r="244" ht="15.75" hidden="1" customHeight="1" x14ac:dyDescent="0.25"/>
    <row r="245" ht="15.75" hidden="1" customHeight="1" x14ac:dyDescent="0.25"/>
    <row r="246" ht="15.75" hidden="1" customHeight="1" x14ac:dyDescent="0.25"/>
    <row r="247" ht="15.75" hidden="1" customHeight="1" x14ac:dyDescent="0.25"/>
    <row r="248" ht="15.75" hidden="1" customHeight="1" x14ac:dyDescent="0.25"/>
    <row r="249" ht="15.75" hidden="1" customHeight="1" x14ac:dyDescent="0.25"/>
    <row r="250" ht="15.75" hidden="1" customHeight="1" x14ac:dyDescent="0.25"/>
    <row r="251" ht="15.75" hidden="1" customHeight="1" x14ac:dyDescent="0.25"/>
    <row r="252" ht="15.75" hidden="1" customHeight="1" x14ac:dyDescent="0.25"/>
    <row r="253" ht="15.75" hidden="1" customHeight="1" x14ac:dyDescent="0.25"/>
    <row r="254" ht="15.75" hidden="1" customHeight="1" x14ac:dyDescent="0.25"/>
    <row r="255" ht="15.75" hidden="1" customHeight="1" x14ac:dyDescent="0.25"/>
    <row r="256" ht="15.75" hidden="1" customHeight="1" x14ac:dyDescent="0.25"/>
    <row r="257" ht="15.75" hidden="1" customHeight="1" x14ac:dyDescent="0.25"/>
    <row r="258" ht="15.75" hidden="1" customHeight="1" x14ac:dyDescent="0.25"/>
    <row r="259" ht="15.75" hidden="1" customHeight="1" x14ac:dyDescent="0.25"/>
    <row r="260" ht="15.75" hidden="1" customHeight="1" x14ac:dyDescent="0.25"/>
    <row r="261" ht="15.75" hidden="1" customHeight="1" x14ac:dyDescent="0.25"/>
    <row r="262" ht="15.75" hidden="1" customHeight="1" x14ac:dyDescent="0.25"/>
    <row r="263" ht="15.75" hidden="1" customHeight="1" x14ac:dyDescent="0.25"/>
    <row r="264" ht="15.75" hidden="1" customHeight="1" x14ac:dyDescent="0.25"/>
    <row r="265" ht="15.75" hidden="1" customHeight="1" x14ac:dyDescent="0.25"/>
    <row r="266" ht="15.75" hidden="1" customHeight="1" x14ac:dyDescent="0.25"/>
    <row r="267" ht="15.75" hidden="1" customHeight="1" x14ac:dyDescent="0.25"/>
    <row r="268" ht="15.75" hidden="1" customHeight="1" x14ac:dyDescent="0.25"/>
    <row r="269" ht="15.75" hidden="1" customHeight="1" x14ac:dyDescent="0.25"/>
    <row r="270" ht="15.75" hidden="1" customHeight="1" x14ac:dyDescent="0.25"/>
    <row r="271" ht="15.75" hidden="1" customHeight="1" x14ac:dyDescent="0.25"/>
    <row r="272" ht="15.75" hidden="1" customHeight="1" x14ac:dyDescent="0.25"/>
    <row r="273" ht="15.75" hidden="1" customHeight="1" x14ac:dyDescent="0.25"/>
    <row r="274" ht="15.75" hidden="1" customHeight="1" x14ac:dyDescent="0.25"/>
    <row r="275" ht="15.75" hidden="1" customHeight="1" x14ac:dyDescent="0.25"/>
    <row r="276" ht="15.75" hidden="1" customHeight="1" x14ac:dyDescent="0.25"/>
    <row r="277" ht="15.75" hidden="1" customHeight="1" x14ac:dyDescent="0.25"/>
    <row r="278" ht="15.75" hidden="1" customHeight="1" x14ac:dyDescent="0.25"/>
    <row r="279" ht="15.75" hidden="1" customHeight="1" x14ac:dyDescent="0.25"/>
    <row r="280" ht="15.75" hidden="1" customHeight="1" x14ac:dyDescent="0.25"/>
    <row r="281" ht="15.75" hidden="1" customHeight="1" x14ac:dyDescent="0.25"/>
    <row r="282" ht="15.75" hidden="1" customHeight="1" x14ac:dyDescent="0.25"/>
    <row r="283" ht="15.75" hidden="1" customHeight="1" x14ac:dyDescent="0.25"/>
    <row r="284" ht="15.75" hidden="1" customHeight="1" x14ac:dyDescent="0.25"/>
    <row r="285" ht="15.75" hidden="1" customHeight="1" x14ac:dyDescent="0.25"/>
    <row r="286" ht="15.75" hidden="1" customHeight="1" x14ac:dyDescent="0.25"/>
    <row r="287" ht="15.75" hidden="1" customHeight="1" x14ac:dyDescent="0.25"/>
    <row r="288" ht="15.75" hidden="1" customHeight="1" x14ac:dyDescent="0.25"/>
    <row r="289" ht="15.75" hidden="1" customHeight="1" x14ac:dyDescent="0.25"/>
    <row r="290" ht="15.75" hidden="1" customHeight="1" x14ac:dyDescent="0.25"/>
    <row r="291" ht="15.75" hidden="1" customHeight="1" x14ac:dyDescent="0.25"/>
    <row r="292" ht="15.75" hidden="1" customHeight="1" x14ac:dyDescent="0.25"/>
    <row r="293" ht="15.75" hidden="1" customHeight="1" x14ac:dyDescent="0.25"/>
    <row r="294" ht="15.75" hidden="1" customHeight="1" x14ac:dyDescent="0.25"/>
    <row r="295" ht="15.75" hidden="1" customHeight="1" x14ac:dyDescent="0.25"/>
    <row r="296" ht="15.75" hidden="1" customHeight="1" x14ac:dyDescent="0.25"/>
    <row r="297" ht="15.75" hidden="1" customHeight="1" x14ac:dyDescent="0.25"/>
  </sheetData>
  <sheetProtection selectLockedCells="1"/>
  <mergeCells count="91">
    <mergeCell ref="C206:L206"/>
    <mergeCell ref="C207:L207"/>
    <mergeCell ref="C208:L208"/>
    <mergeCell ref="C209:L209"/>
    <mergeCell ref="C210:L210"/>
    <mergeCell ref="C211:L211"/>
    <mergeCell ref="C212:L212"/>
    <mergeCell ref="C213:L213"/>
    <mergeCell ref="C214:L214"/>
    <mergeCell ref="C215:L215"/>
    <mergeCell ref="C222:L222"/>
    <mergeCell ref="C223:L223"/>
    <mergeCell ref="C224:L224"/>
    <mergeCell ref="C216:L216"/>
    <mergeCell ref="C217:L217"/>
    <mergeCell ref="C218:L218"/>
    <mergeCell ref="C219:L219"/>
    <mergeCell ref="C220:L220"/>
    <mergeCell ref="C221:L221"/>
    <mergeCell ref="C202:L202"/>
    <mergeCell ref="C203:L203"/>
    <mergeCell ref="C204:L204"/>
    <mergeCell ref="C205:L205"/>
    <mergeCell ref="E116:L116"/>
    <mergeCell ref="E117:L117"/>
    <mergeCell ref="E118:L118"/>
    <mergeCell ref="E124:L124"/>
    <mergeCell ref="E119:L119"/>
    <mergeCell ref="E120:L120"/>
    <mergeCell ref="E121:L121"/>
    <mergeCell ref="E122:L122"/>
    <mergeCell ref="E123:L123"/>
    <mergeCell ref="C200:L200"/>
    <mergeCell ref="H145:J147"/>
    <mergeCell ref="C201:L201"/>
    <mergeCell ref="E108:L108"/>
    <mergeCell ref="E113:L113"/>
    <mergeCell ref="E114:L114"/>
    <mergeCell ref="E115:L115"/>
    <mergeCell ref="E109:L109"/>
    <mergeCell ref="E110:L110"/>
    <mergeCell ref="E111:L111"/>
    <mergeCell ref="E112:L112"/>
    <mergeCell ref="E105:L105"/>
    <mergeCell ref="E106:L106"/>
    <mergeCell ref="E107:L107"/>
    <mergeCell ref="C84:D84"/>
    <mergeCell ref="D80:G80"/>
    <mergeCell ref="J84:K84"/>
    <mergeCell ref="C86:D86"/>
    <mergeCell ref="J86:K86"/>
    <mergeCell ref="B2:I2"/>
    <mergeCell ref="B3:I3"/>
    <mergeCell ref="F30:G30"/>
    <mergeCell ref="H30:I30"/>
    <mergeCell ref="F31:G31"/>
    <mergeCell ref="H31:I31"/>
    <mergeCell ref="F32:G32"/>
    <mergeCell ref="H32:I32"/>
    <mergeCell ref="F33:G33"/>
    <mergeCell ref="H33:I33"/>
    <mergeCell ref="F34:G34"/>
    <mergeCell ref="H34:I34"/>
    <mergeCell ref="F62:G62"/>
    <mergeCell ref="H62:I62"/>
    <mergeCell ref="F63:G63"/>
    <mergeCell ref="H63:I63"/>
    <mergeCell ref="F64:G64"/>
    <mergeCell ref="H64:I64"/>
    <mergeCell ref="F35:G35"/>
    <mergeCell ref="H35:I35"/>
    <mergeCell ref="F36:G36"/>
    <mergeCell ref="H36:I36"/>
    <mergeCell ref="F38:G38"/>
    <mergeCell ref="H38:I38"/>
    <mergeCell ref="C226:L226"/>
    <mergeCell ref="C225:L225"/>
    <mergeCell ref="F48:G48"/>
    <mergeCell ref="H48:I48"/>
    <mergeCell ref="F49:G49"/>
    <mergeCell ref="H49:I49"/>
    <mergeCell ref="F50:G50"/>
    <mergeCell ref="H50:I50"/>
    <mergeCell ref="F51:G51"/>
    <mergeCell ref="H51:I51"/>
    <mergeCell ref="F53:G53"/>
    <mergeCell ref="H53:I53"/>
    <mergeCell ref="F65:G65"/>
    <mergeCell ref="H65:I65"/>
    <mergeCell ref="F67:G67"/>
    <mergeCell ref="H67:I67"/>
  </mergeCells>
  <conditionalFormatting sqref="C40">
    <cfRule type="containsText" dxfId="45" priority="43" operator="containsText" text="nicht ">
      <formula>NOT(ISERROR(SEARCH("nicht ",C40)))</formula>
    </cfRule>
  </conditionalFormatting>
  <conditionalFormatting sqref="C55">
    <cfRule type="containsText" dxfId="44" priority="42" operator="containsText" text="nicht ">
      <formula>NOT(ISERROR(SEARCH("nicht ",C55)))</formula>
    </cfRule>
  </conditionalFormatting>
  <conditionalFormatting sqref="C69">
    <cfRule type="containsText" dxfId="43" priority="41" operator="containsText" text="nicht">
      <formula>NOT(ISERROR(SEARCH("nicht",C69)))</formula>
    </cfRule>
  </conditionalFormatting>
  <conditionalFormatting sqref="C24:J24">
    <cfRule type="expression" dxfId="42" priority="44">
      <formula>$H$24=""</formula>
    </cfRule>
  </conditionalFormatting>
  <conditionalFormatting sqref="C16:K16">
    <cfRule type="expression" dxfId="41" priority="49">
      <formula>$H$16=""</formula>
    </cfRule>
  </conditionalFormatting>
  <conditionalFormatting sqref="C126:L126">
    <cfRule type="expression" dxfId="40" priority="37">
      <formula>$J$126=""</formula>
    </cfRule>
  </conditionalFormatting>
  <conditionalFormatting sqref="C127:I127 K127:L127">
    <cfRule type="expression" dxfId="39" priority="36">
      <formula>$J$127=""</formula>
    </cfRule>
  </conditionalFormatting>
  <conditionalFormatting sqref="D93">
    <cfRule type="containsText" dxfId="38" priority="38" operator="containsText" text="nicht">
      <formula>NOT(ISERROR(SEARCH("nicht",D93)))</formula>
    </cfRule>
  </conditionalFormatting>
  <conditionalFormatting sqref="F143">
    <cfRule type="expression" dxfId="37" priority="29">
      <formula>$F$143&lt;$F$141</formula>
    </cfRule>
  </conditionalFormatting>
  <conditionalFormatting sqref="I11">
    <cfRule type="containsText" dxfId="36" priority="53" operator="containsText" text="nein">
      <formula>NOT(ISERROR(SEARCH("nein",I11)))</formula>
    </cfRule>
  </conditionalFormatting>
  <conditionalFormatting sqref="I19">
    <cfRule type="containsText" dxfId="35" priority="48" operator="containsText" text="nein">
      <formula>NOT(ISERROR(SEARCH("nein",I19)))</formula>
    </cfRule>
  </conditionalFormatting>
  <conditionalFormatting sqref="I74">
    <cfRule type="containsText" dxfId="34" priority="40" operator="containsText" text="Nein">
      <formula>NOT(ISERROR(SEARCH("Nein",I74)))</formula>
    </cfRule>
  </conditionalFormatting>
  <conditionalFormatting sqref="J13:J15">
    <cfRule type="containsText" dxfId="33" priority="50" operator="containsText" text="nein">
      <formula>NOT(ISERROR(SEARCH("nein",J13)))</formula>
    </cfRule>
  </conditionalFormatting>
  <conditionalFormatting sqref="J21:J23">
    <cfRule type="containsText" dxfId="32" priority="45" operator="containsText" text="nein">
      <formula>NOT(ISERROR(SEARCH("nein",J21)))</formula>
    </cfRule>
  </conditionalFormatting>
  <conditionalFormatting sqref="K145:L145">
    <cfRule type="expression" dxfId="31" priority="30">
      <formula>$F$143=""</formula>
    </cfRule>
  </conditionalFormatting>
  <conditionalFormatting sqref="K150:L150">
    <cfRule type="expression" dxfId="30" priority="33">
      <formula>$K$150="Ausschluss"</formula>
    </cfRule>
  </conditionalFormatting>
  <conditionalFormatting sqref="K162:L162">
    <cfRule type="expression" dxfId="29" priority="32">
      <formula>$K$162="Ausschluss"</formula>
    </cfRule>
  </conditionalFormatting>
  <conditionalFormatting sqref="K174:L174">
    <cfRule type="expression" dxfId="28" priority="31">
      <formula>$K$174="Ausschluss"</formula>
    </cfRule>
  </conditionalFormatting>
  <conditionalFormatting sqref="L129">
    <cfRule type="containsText" dxfId="27" priority="35" operator="containsText" text="nein">
      <formula>NOT(ISERROR(SEARCH("nein",L129)))</formula>
    </cfRule>
  </conditionalFormatting>
  <conditionalFormatting sqref="L134">
    <cfRule type="containsText" dxfId="26" priority="34" operator="containsText" text="nein">
      <formula>NOT(ISERROR(SEARCH("nein",L134)))</formula>
    </cfRule>
  </conditionalFormatting>
  <conditionalFormatting sqref="D79">
    <cfRule type="containsText" dxfId="25" priority="27" operator="containsText" text="nicht">
      <formula>NOT(ISERROR(SEARCH("nicht",D79)))</formula>
    </cfRule>
  </conditionalFormatting>
  <conditionalFormatting sqref="J127">
    <cfRule type="expression" dxfId="24" priority="24">
      <formula>$J$126=""</formula>
    </cfRule>
  </conditionalFormatting>
  <conditionalFormatting sqref="C88:L88">
    <cfRule type="expression" dxfId="23" priority="23">
      <formula>$J$88=""</formula>
    </cfRule>
  </conditionalFormatting>
  <conditionalFormatting sqref="C89:L89">
    <cfRule type="expression" dxfId="22" priority="22">
      <formula>$J$89=""</formula>
    </cfRule>
  </conditionalFormatting>
  <conditionalFormatting sqref="A94:L94">
    <cfRule type="expression" dxfId="21" priority="21">
      <formula>$J$94=""</formula>
    </cfRule>
  </conditionalFormatting>
  <conditionalFormatting sqref="A95:L95">
    <cfRule type="expression" dxfId="20" priority="20">
      <formula>$J$95=""</formula>
    </cfRule>
  </conditionalFormatting>
  <conditionalFormatting sqref="A96:L96">
    <cfRule type="expression" dxfId="19" priority="19">
      <formula>$J$96=""</formula>
    </cfRule>
  </conditionalFormatting>
  <conditionalFormatting sqref="A97:L97">
    <cfRule type="expression" dxfId="18" priority="17">
      <formula>$J$97=""</formula>
    </cfRule>
  </conditionalFormatting>
  <conditionalFormatting sqref="A98:L98">
    <cfRule type="expression" dxfId="17" priority="16">
      <formula>$J$98=""</formula>
    </cfRule>
  </conditionalFormatting>
  <conditionalFormatting sqref="E101">
    <cfRule type="expression" dxfId="16" priority="13">
      <formula>$AH$12="ja/nein"</formula>
    </cfRule>
    <cfRule type="expression" dxfId="15" priority="14">
      <formula>$AH$12="ja"</formula>
    </cfRule>
    <cfRule type="expression" dxfId="14" priority="15">
      <formula>AND($AH$7&gt;=1,$AH$12="nein")</formula>
    </cfRule>
  </conditionalFormatting>
  <conditionalFormatting sqref="F101">
    <cfRule type="expression" dxfId="13" priority="10">
      <formula>$AI$12="ja/nein"</formula>
    </cfRule>
    <cfRule type="expression" dxfId="12" priority="11">
      <formula>$AI$12="ja"</formula>
    </cfRule>
    <cfRule type="expression" dxfId="11" priority="12">
      <formula>AND($AI$7&gt;=1,$AI$12="nein")</formula>
    </cfRule>
  </conditionalFormatting>
  <conditionalFormatting sqref="G101">
    <cfRule type="expression" dxfId="10" priority="7">
      <formula>$AJ$12="ja/nein"</formula>
    </cfRule>
    <cfRule type="expression" dxfId="9" priority="8">
      <formula>$AJ$12="ja"</formula>
    </cfRule>
    <cfRule type="expression" dxfId="8" priority="9">
      <formula>AND($AJ$7&gt;=1,$AJ$12="nein")</formula>
    </cfRule>
  </conditionalFormatting>
  <conditionalFormatting sqref="H101">
    <cfRule type="expression" dxfId="7" priority="4">
      <formula>$AK$12="ja/nein"</formula>
    </cfRule>
    <cfRule type="expression" dxfId="6" priority="5">
      <formula>$AK$12="ja"</formula>
    </cfRule>
    <cfRule type="expression" dxfId="5" priority="6">
      <formula>AND($AK$7&gt;=1,$AK$12="nein")</formula>
    </cfRule>
  </conditionalFormatting>
  <conditionalFormatting sqref="D101">
    <cfRule type="expression" dxfId="4" priority="1">
      <formula>$AG$12="ja/nein"</formula>
    </cfRule>
    <cfRule type="expression" dxfId="3" priority="2">
      <formula>$AG$12="ja"</formula>
    </cfRule>
    <cfRule type="expression" dxfId="2" priority="3">
      <formula>AND($AG$7&gt;=1,$AG$12="nein")</formula>
    </cfRule>
  </conditionalFormatting>
  <dataValidations count="2">
    <dataValidation type="list" allowBlank="1" showInputMessage="1" showErrorMessage="1" sqref="I11 J13:J15 I19 J21:J23 L129 L134" xr:uid="{73155DA2-D786-4749-AF09-8B0AAAAEE3A9}">
      <formula1>"ja,nein"</formula1>
    </dataValidation>
    <dataValidation type="whole" allowBlank="1" showInputMessage="1" showErrorMessage="1" error="Bitte nur ganze Zahlen eingeben, nur eine Zahl pro Zeile" sqref="C105:C124" xr:uid="{FFC7195E-776B-4138-B57B-91C5C36B53FE}">
      <formula1>1</formula1>
      <formula2>50</formula2>
    </dataValidation>
  </dataValidations>
  <pageMargins left="0.7" right="0.7" top="0.78740157499999996" bottom="0.78740157499999996" header="0.3" footer="0.3"/>
  <pageSetup paperSize="9" scale="60" fitToHeight="0" orientation="portrait" r:id="rId1"/>
  <headerFooter>
    <oddFooter>&amp;RSeite &amp;P von &amp;N</oddFooter>
  </headerFooter>
  <ignoredErrors>
    <ignoredError sqref="H189" evalError="1"/>
    <ignoredError sqref="G19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8410E-C7BE-4538-841C-9E6154813481}">
  <sheetPr>
    <pageSetUpPr fitToPage="1"/>
  </sheetPr>
  <dimension ref="A1:M292"/>
  <sheetViews>
    <sheetView zoomScale="115" zoomScaleNormal="115" zoomScaleSheetLayoutView="85" workbookViewId="0">
      <pane ySplit="4" topLeftCell="A5" activePane="bottomLeft" state="frozen"/>
      <selection pane="bottomLeft" activeCell="E16" sqref="E16:H16"/>
    </sheetView>
  </sheetViews>
  <sheetFormatPr baseColWidth="10" defaultColWidth="0" defaultRowHeight="0" customHeight="1" zeroHeight="1" x14ac:dyDescent="0.25"/>
  <cols>
    <col min="1" max="1" width="1.875" style="1" customWidth="1"/>
    <col min="2" max="2" width="3.375" style="1" customWidth="1"/>
    <col min="3" max="3" width="6.5" style="1" customWidth="1"/>
    <col min="4" max="4" width="10.625" style="1" customWidth="1"/>
    <col min="5" max="5" width="22.25" style="1" customWidth="1"/>
    <col min="6" max="6" width="15.5" style="1" customWidth="1"/>
    <col min="7" max="7" width="23.75" style="1" customWidth="1"/>
    <col min="8" max="8" width="14.5" style="1" customWidth="1"/>
    <col min="9" max="9" width="10.25" style="1" customWidth="1"/>
    <col min="10" max="10" width="11.125" style="1" customWidth="1"/>
    <col min="11" max="11" width="17.125" style="1" customWidth="1"/>
    <col min="12" max="12" width="27.875" style="1" customWidth="1"/>
    <col min="13" max="13" width="5.875" style="1" customWidth="1"/>
    <col min="14" max="16384" width="11" style="1" hidden="1"/>
  </cols>
  <sheetData>
    <row r="1" spans="1:12" ht="9" customHeight="1" x14ac:dyDescent="0.25">
      <c r="C1" s="2"/>
    </row>
    <row r="2" spans="1:12" ht="30.75" customHeight="1" x14ac:dyDescent="0.25">
      <c r="C2" s="2"/>
    </row>
    <row r="3" spans="1:12" s="92" customFormat="1" ht="37.5" customHeight="1" x14ac:dyDescent="0.35">
      <c r="C3" s="389" t="s">
        <v>149</v>
      </c>
      <c r="D3" s="390"/>
      <c r="E3" s="390"/>
      <c r="F3" s="390"/>
      <c r="G3" s="390"/>
      <c r="H3" s="390"/>
    </row>
    <row r="4" spans="1:12" s="54" customFormat="1" ht="40.5" customHeight="1" x14ac:dyDescent="0.25">
      <c r="C4" s="394" t="s">
        <v>280</v>
      </c>
      <c r="D4" s="394"/>
      <c r="E4" s="394"/>
      <c r="F4" s="394"/>
      <c r="G4" s="394"/>
      <c r="H4" s="394"/>
      <c r="I4" s="394"/>
      <c r="J4" s="394"/>
      <c r="L4" s="143" t="s">
        <v>155</v>
      </c>
    </row>
    <row r="5" spans="1:12" ht="16.5" thickBot="1" x14ac:dyDescent="0.3">
      <c r="A5" s="29"/>
      <c r="B5" s="29"/>
      <c r="C5" s="142"/>
      <c r="D5" s="29"/>
      <c r="E5" s="29"/>
      <c r="F5" s="29"/>
      <c r="G5" s="29"/>
      <c r="H5" s="29"/>
      <c r="I5" s="29"/>
      <c r="J5" s="29"/>
      <c r="K5" s="29"/>
      <c r="L5" s="29"/>
    </row>
    <row r="6" spans="1:12" s="29" customFormat="1" ht="21" customHeight="1" thickTop="1" thickBot="1" x14ac:dyDescent="0.3">
      <c r="A6" s="131"/>
      <c r="B6" s="38" t="s">
        <v>58</v>
      </c>
      <c r="C6" s="38"/>
      <c r="D6" s="131"/>
      <c r="E6" s="211" t="s">
        <v>373</v>
      </c>
      <c r="F6" s="136" t="s">
        <v>182</v>
      </c>
      <c r="G6" s="49">
        <v>46084</v>
      </c>
      <c r="H6" s="131"/>
      <c r="I6" s="131"/>
      <c r="J6" s="131"/>
      <c r="K6" s="131"/>
      <c r="L6" s="132" t="s">
        <v>153</v>
      </c>
    </row>
    <row r="7" spans="1:12" s="29" customFormat="1" ht="21" customHeight="1" thickTop="1" thickBot="1" x14ac:dyDescent="0.3">
      <c r="A7" s="131"/>
      <c r="B7" s="131"/>
      <c r="C7" s="38"/>
      <c r="D7" s="131"/>
      <c r="E7" s="131"/>
      <c r="F7" s="131"/>
      <c r="G7" s="131"/>
      <c r="H7" s="131"/>
      <c r="I7" s="398" t="s">
        <v>179</v>
      </c>
      <c r="J7" s="398"/>
      <c r="K7" s="131"/>
      <c r="L7" s="131"/>
    </row>
    <row r="8" spans="1:12" s="29" customFormat="1" ht="50.25" customHeight="1" thickTop="1" thickBot="1" x14ac:dyDescent="0.3">
      <c r="A8" s="131"/>
      <c r="B8" s="38" t="s">
        <v>59</v>
      </c>
      <c r="C8" s="38"/>
      <c r="D8" s="131"/>
      <c r="E8" s="395" t="s">
        <v>388</v>
      </c>
      <c r="F8" s="396"/>
      <c r="G8" s="397"/>
      <c r="H8" s="131"/>
      <c r="I8" s="398"/>
      <c r="J8" s="398"/>
      <c r="K8" s="131"/>
      <c r="L8" s="138" t="s">
        <v>154</v>
      </c>
    </row>
    <row r="9" spans="1:12" s="29" customFormat="1" ht="21" customHeight="1" thickTop="1" thickBot="1" x14ac:dyDescent="0.3">
      <c r="A9" s="131"/>
      <c r="B9" s="131"/>
      <c r="C9" s="38"/>
      <c r="D9" s="131"/>
      <c r="E9" s="131"/>
      <c r="F9" s="131"/>
      <c r="G9" s="131"/>
      <c r="H9" s="131"/>
      <c r="I9" s="398"/>
      <c r="J9" s="398"/>
      <c r="K9" s="131"/>
      <c r="L9" s="131"/>
    </row>
    <row r="10" spans="1:12" s="29" customFormat="1" ht="26.25" customHeight="1" thickTop="1" thickBot="1" x14ac:dyDescent="0.3">
      <c r="A10" s="131"/>
      <c r="B10" s="38" t="s">
        <v>71</v>
      </c>
      <c r="C10" s="38"/>
      <c r="D10" s="131"/>
      <c r="E10" s="391" t="s">
        <v>51</v>
      </c>
      <c r="F10" s="392"/>
      <c r="G10" s="393"/>
      <c r="H10" s="131"/>
      <c r="I10" s="398"/>
      <c r="J10" s="398"/>
      <c r="K10" s="131"/>
      <c r="L10" s="138" t="s">
        <v>154</v>
      </c>
    </row>
    <row r="11" spans="1:12" s="29" customFormat="1" ht="21" customHeight="1" thickTop="1" thickBot="1" x14ac:dyDescent="0.3">
      <c r="A11" s="131"/>
      <c r="B11" s="131"/>
      <c r="C11" s="38"/>
      <c r="D11" s="131"/>
      <c r="E11" s="131"/>
      <c r="F11" s="131"/>
      <c r="G11" s="131"/>
      <c r="H11" s="131"/>
      <c r="I11" s="398"/>
      <c r="J11" s="398"/>
      <c r="K11" s="131"/>
      <c r="L11" s="131"/>
    </row>
    <row r="12" spans="1:12" s="29" customFormat="1" ht="21" customHeight="1" thickTop="1" thickBot="1" x14ac:dyDescent="0.3">
      <c r="A12" s="131"/>
      <c r="B12" s="38" t="s">
        <v>61</v>
      </c>
      <c r="C12" s="38"/>
      <c r="D12" s="131"/>
      <c r="E12" s="391" t="s">
        <v>316</v>
      </c>
      <c r="F12" s="392"/>
      <c r="G12" s="393"/>
      <c r="H12" s="131"/>
      <c r="I12" s="131"/>
      <c r="J12" s="156" t="s">
        <v>269</v>
      </c>
      <c r="K12" s="131"/>
      <c r="L12" s="138" t="s">
        <v>154</v>
      </c>
    </row>
    <row r="13" spans="1:12" s="29" customFormat="1" ht="21" customHeight="1" thickTop="1" x14ac:dyDescent="0.25">
      <c r="A13" s="131"/>
      <c r="B13" s="131"/>
      <c r="C13" s="38"/>
      <c r="D13" s="131"/>
      <c r="E13" s="131"/>
      <c r="F13" s="131"/>
      <c r="G13" s="131"/>
      <c r="H13" s="131"/>
      <c r="I13" s="131"/>
      <c r="J13" s="156" t="s">
        <v>270</v>
      </c>
      <c r="K13" s="131"/>
      <c r="L13" s="131"/>
    </row>
    <row r="14" spans="1:12" s="29" customFormat="1" ht="21" customHeight="1" x14ac:dyDescent="0.25">
      <c r="A14" s="131"/>
      <c r="B14" s="131"/>
      <c r="C14" s="38"/>
      <c r="D14" s="131"/>
      <c r="E14" s="131"/>
      <c r="F14" s="131"/>
      <c r="G14" s="131"/>
      <c r="H14" s="131"/>
      <c r="I14" s="131"/>
      <c r="J14" s="156" t="s">
        <v>55</v>
      </c>
      <c r="K14" s="131"/>
      <c r="L14" s="131"/>
    </row>
    <row r="15" spans="1:12" s="29" customFormat="1" ht="21" customHeight="1" thickBot="1" x14ac:dyDescent="0.3">
      <c r="A15" s="131"/>
      <c r="B15" s="131"/>
      <c r="C15" s="38"/>
      <c r="D15" s="131"/>
      <c r="E15" s="131"/>
      <c r="F15" s="131"/>
      <c r="G15" s="131"/>
      <c r="H15" s="131"/>
      <c r="I15" s="131"/>
      <c r="J15" s="156" t="str">
        <f>IF(E16="Technische Ausrüstung (vgl. § 55 HOAI)","","IV")</f>
        <v>IV</v>
      </c>
      <c r="K15" s="131"/>
      <c r="L15" s="131"/>
    </row>
    <row r="16" spans="1:12" s="29" customFormat="1" ht="21" customHeight="1" thickTop="1" thickBot="1" x14ac:dyDescent="0.3">
      <c r="A16" s="131"/>
      <c r="B16" s="131" t="s">
        <v>69</v>
      </c>
      <c r="C16" s="38"/>
      <c r="D16" s="131"/>
      <c r="E16" s="391" t="s">
        <v>317</v>
      </c>
      <c r="F16" s="392"/>
      <c r="G16" s="392"/>
      <c r="H16" s="393"/>
      <c r="I16" s="131"/>
      <c r="J16" s="156" t="str">
        <f>IF(E16="Technische Ausrüstung (vgl. § 55 HOAI)","","V")</f>
        <v>V</v>
      </c>
      <c r="K16" s="131"/>
      <c r="L16" s="138" t="s">
        <v>150</v>
      </c>
    </row>
    <row r="17" spans="1:12" s="29" customFormat="1" ht="21" customHeight="1" thickTop="1" thickBot="1" x14ac:dyDescent="0.3">
      <c r="A17" s="131"/>
      <c r="B17" s="131"/>
      <c r="C17" s="38"/>
      <c r="D17" s="131"/>
      <c r="E17" s="131"/>
      <c r="F17" s="131"/>
      <c r="G17" s="131"/>
      <c r="H17" s="131"/>
      <c r="I17" s="131"/>
      <c r="J17" s="131"/>
      <c r="K17" s="131"/>
      <c r="L17" s="131"/>
    </row>
    <row r="18" spans="1:12" s="29" customFormat="1" ht="21" customHeight="1" thickTop="1" thickBot="1" x14ac:dyDescent="0.3">
      <c r="A18" s="131"/>
      <c r="B18" s="38" t="s">
        <v>194</v>
      </c>
      <c r="C18" s="38"/>
      <c r="D18" s="131"/>
      <c r="E18" s="46" t="s">
        <v>318</v>
      </c>
      <c r="F18" s="131"/>
      <c r="G18" s="51" t="s">
        <v>269</v>
      </c>
      <c r="H18" s="51" t="s">
        <v>270</v>
      </c>
      <c r="I18" s="51" t="s">
        <v>55</v>
      </c>
      <c r="J18" s="51" t="str">
        <f>IF(E16="Technische Ausrüstung (vgl. § 55 HOAI)","","IV")</f>
        <v>IV</v>
      </c>
      <c r="K18" s="51" t="str">
        <f>IF(E16="Technische Ausrüstung (vgl. § 55 HOAI)","","V")</f>
        <v>V</v>
      </c>
      <c r="L18" s="138" t="s">
        <v>150</v>
      </c>
    </row>
    <row r="19" spans="1:12" s="29" customFormat="1" ht="21" customHeight="1" thickTop="1" thickBot="1" x14ac:dyDescent="0.3">
      <c r="A19" s="131"/>
      <c r="B19" s="131"/>
      <c r="C19" s="38"/>
      <c r="D19" s="131"/>
      <c r="E19" s="131"/>
      <c r="F19" s="131"/>
      <c r="G19" s="131"/>
      <c r="H19" s="131"/>
      <c r="I19" s="131"/>
      <c r="J19" s="131"/>
      <c r="K19" s="131"/>
      <c r="L19" s="131"/>
    </row>
    <row r="20" spans="1:12" s="29" customFormat="1" ht="21" customHeight="1" thickTop="1" thickBot="1" x14ac:dyDescent="0.3">
      <c r="A20" s="131"/>
      <c r="B20" s="38" t="s">
        <v>195</v>
      </c>
      <c r="C20" s="38"/>
      <c r="D20" s="131"/>
      <c r="E20" s="391" t="s">
        <v>319</v>
      </c>
      <c r="F20" s="392"/>
      <c r="G20" s="392"/>
      <c r="H20" s="392"/>
      <c r="I20" s="392"/>
      <c r="J20" s="393"/>
      <c r="K20" s="131"/>
      <c r="L20" s="138" t="s">
        <v>154</v>
      </c>
    </row>
    <row r="21" spans="1:12" s="29" customFormat="1" ht="21" customHeight="1" thickTop="1" thickBot="1" x14ac:dyDescent="0.3">
      <c r="A21" s="131"/>
      <c r="B21" s="131" t="s">
        <v>197</v>
      </c>
      <c r="C21" s="38"/>
      <c r="D21" s="131"/>
      <c r="E21" s="141"/>
      <c r="F21" s="141"/>
      <c r="G21" s="141"/>
      <c r="H21" s="141"/>
      <c r="I21" s="141"/>
      <c r="J21" s="141"/>
      <c r="K21" s="131"/>
      <c r="L21" s="138"/>
    </row>
    <row r="22" spans="1:12" s="29" customFormat="1" ht="21" customHeight="1" thickBot="1" x14ac:dyDescent="0.3">
      <c r="A22" s="131"/>
      <c r="B22" s="131"/>
      <c r="C22" s="38"/>
      <c r="D22" s="131"/>
      <c r="E22" s="399" t="s">
        <v>319</v>
      </c>
      <c r="F22" s="400"/>
      <c r="G22" s="400"/>
      <c r="H22" s="400"/>
      <c r="I22" s="400"/>
      <c r="J22" s="401"/>
      <c r="K22" s="131" t="s">
        <v>196</v>
      </c>
      <c r="L22" s="131"/>
    </row>
    <row r="23" spans="1:12" s="29" customFormat="1" ht="21" customHeight="1" thickBot="1" x14ac:dyDescent="0.3">
      <c r="A23" s="131"/>
      <c r="B23" s="131"/>
      <c r="C23" s="38"/>
      <c r="D23" s="136"/>
      <c r="E23" s="399"/>
      <c r="F23" s="400"/>
      <c r="G23" s="400"/>
      <c r="H23" s="400"/>
      <c r="I23" s="400"/>
      <c r="J23" s="401"/>
      <c r="K23" s="131" t="s">
        <v>196</v>
      </c>
      <c r="L23" s="131"/>
    </row>
    <row r="24" spans="1:12" s="29" customFormat="1" ht="21" customHeight="1" x14ac:dyDescent="0.25">
      <c r="A24" s="131"/>
      <c r="B24" s="131"/>
      <c r="C24" s="38"/>
      <c r="D24" s="131"/>
      <c r="E24" s="131"/>
      <c r="F24" s="131"/>
      <c r="G24" s="131"/>
      <c r="H24" s="131"/>
      <c r="I24" s="131"/>
      <c r="J24" s="131"/>
      <c r="K24" s="131"/>
      <c r="L24" s="131"/>
    </row>
    <row r="25" spans="1:12" ht="21" customHeight="1" x14ac:dyDescent="0.25">
      <c r="A25" s="131"/>
      <c r="B25" s="131"/>
      <c r="C25" s="131"/>
      <c r="D25" s="131"/>
      <c r="E25" s="131"/>
      <c r="F25" s="131"/>
      <c r="G25" s="131"/>
      <c r="H25" s="131"/>
      <c r="I25" s="131"/>
      <c r="J25" s="131"/>
      <c r="K25" s="131"/>
      <c r="L25" s="131"/>
    </row>
    <row r="26" spans="1:12" ht="21" customHeight="1" x14ac:dyDescent="0.25">
      <c r="A26" s="131"/>
      <c r="B26" s="137" t="s">
        <v>72</v>
      </c>
      <c r="C26" s="131"/>
      <c r="D26" s="131"/>
      <c r="E26" s="131"/>
      <c r="F26" s="131"/>
      <c r="G26" s="131"/>
      <c r="H26" s="131"/>
      <c r="I26" s="131"/>
      <c r="J26" s="131"/>
      <c r="K26" s="131"/>
      <c r="L26" s="131"/>
    </row>
    <row r="27" spans="1:12" ht="21" customHeight="1" x14ac:dyDescent="0.25">
      <c r="A27" s="131"/>
      <c r="B27" s="131"/>
      <c r="C27" s="131"/>
      <c r="D27" s="131"/>
      <c r="E27" s="131"/>
      <c r="F27" s="131"/>
      <c r="G27" s="131"/>
      <c r="H27" s="131"/>
      <c r="I27" s="131"/>
      <c r="J27" s="131"/>
      <c r="K27" s="131"/>
      <c r="L27" s="131"/>
    </row>
    <row r="28" spans="1:12" ht="21" customHeight="1" thickBot="1" x14ac:dyDescent="0.3">
      <c r="A28" s="131"/>
      <c r="B28" s="140" t="s">
        <v>14</v>
      </c>
      <c r="C28" s="131"/>
      <c r="D28" s="131"/>
      <c r="E28" s="131"/>
      <c r="F28" s="131"/>
      <c r="G28" s="131"/>
      <c r="H28" s="131"/>
      <c r="I28" s="131"/>
      <c r="J28" s="131"/>
      <c r="K28" s="131"/>
      <c r="L28" s="131"/>
    </row>
    <row r="29" spans="1:12" ht="21" customHeight="1" thickTop="1" thickBot="1" x14ac:dyDescent="0.3">
      <c r="A29" s="131"/>
      <c r="B29" s="131"/>
      <c r="C29" s="131"/>
      <c r="D29" s="131" t="s">
        <v>73</v>
      </c>
      <c r="E29" s="131"/>
      <c r="F29" s="46">
        <v>8</v>
      </c>
      <c r="G29" s="131" t="s">
        <v>151</v>
      </c>
      <c r="H29" s="131"/>
      <c r="I29" s="131"/>
      <c r="J29" s="131"/>
      <c r="K29" s="131"/>
      <c r="L29" s="132" t="s">
        <v>156</v>
      </c>
    </row>
    <row r="30" spans="1:12" ht="21" customHeight="1" thickTop="1" thickBot="1" x14ac:dyDescent="0.3">
      <c r="A30" s="131"/>
      <c r="B30" s="131"/>
      <c r="C30" s="131"/>
      <c r="D30" s="131" t="s">
        <v>175</v>
      </c>
      <c r="E30" s="131"/>
      <c r="F30" s="131"/>
      <c r="G30" s="131"/>
      <c r="H30" s="131"/>
      <c r="I30" s="46">
        <v>1</v>
      </c>
      <c r="J30" s="131"/>
      <c r="K30" s="131"/>
      <c r="L30" s="132" t="s">
        <v>156</v>
      </c>
    </row>
    <row r="31" spans="1:12" ht="21" customHeight="1" thickTop="1" x14ac:dyDescent="0.25">
      <c r="A31" s="131"/>
      <c r="B31" s="131"/>
      <c r="C31" s="131"/>
      <c r="D31" s="131"/>
      <c r="E31" s="131"/>
      <c r="F31" s="131"/>
      <c r="G31" s="131"/>
      <c r="H31" s="131"/>
      <c r="I31" s="131"/>
      <c r="J31" s="135"/>
      <c r="K31" s="131"/>
      <c r="L31" s="131"/>
    </row>
    <row r="32" spans="1:12" ht="21" customHeight="1" x14ac:dyDescent="0.25">
      <c r="A32" s="131"/>
      <c r="B32" s="131"/>
      <c r="C32" s="131"/>
      <c r="D32" s="131"/>
      <c r="E32" s="131"/>
      <c r="F32" s="131"/>
      <c r="G32" s="131"/>
      <c r="H32" s="131"/>
      <c r="I32" s="131"/>
      <c r="J32" s="131"/>
      <c r="K32" s="131"/>
      <c r="L32" s="131"/>
    </row>
    <row r="33" spans="1:12" ht="21" customHeight="1" thickBot="1" x14ac:dyDescent="0.3">
      <c r="A33" s="131"/>
      <c r="B33" s="140" t="s">
        <v>152</v>
      </c>
      <c r="C33" s="131"/>
      <c r="D33" s="131"/>
      <c r="E33" s="131"/>
      <c r="F33" s="131"/>
      <c r="G33" s="131"/>
      <c r="H33" s="131"/>
      <c r="I33" s="131"/>
      <c r="J33" s="131"/>
      <c r="K33" s="131"/>
      <c r="L33" s="131"/>
    </row>
    <row r="34" spans="1:12" ht="21" customHeight="1" thickTop="1" thickBot="1" x14ac:dyDescent="0.3">
      <c r="A34" s="131"/>
      <c r="B34" s="131"/>
      <c r="C34" s="131"/>
      <c r="D34" s="131" t="s">
        <v>73</v>
      </c>
      <c r="E34" s="131"/>
      <c r="F34" s="46">
        <v>5</v>
      </c>
      <c r="G34" s="131" t="s">
        <v>151</v>
      </c>
      <c r="H34" s="131"/>
      <c r="I34" s="131"/>
      <c r="J34" s="131"/>
      <c r="K34" s="131"/>
      <c r="L34" s="132" t="s">
        <v>156</v>
      </c>
    </row>
    <row r="35" spans="1:12" ht="21" customHeight="1" thickTop="1" thickBot="1" x14ac:dyDescent="0.3">
      <c r="A35" s="131"/>
      <c r="B35" s="131"/>
      <c r="C35" s="131"/>
      <c r="D35" s="131" t="s">
        <v>175</v>
      </c>
      <c r="E35" s="131"/>
      <c r="F35" s="131"/>
      <c r="G35" s="131"/>
      <c r="H35" s="131"/>
      <c r="I35" s="46">
        <v>1</v>
      </c>
      <c r="J35" s="131"/>
      <c r="K35" s="131"/>
      <c r="L35" s="132" t="s">
        <v>156</v>
      </c>
    </row>
    <row r="36" spans="1:12" ht="21" customHeight="1" thickTop="1" x14ac:dyDescent="0.25">
      <c r="A36" s="131"/>
      <c r="B36" s="131"/>
      <c r="C36" s="131"/>
      <c r="D36" s="131"/>
      <c r="E36" s="131"/>
      <c r="F36" s="131"/>
      <c r="G36" s="131"/>
      <c r="H36" s="131"/>
      <c r="I36" s="131"/>
      <c r="J36" s="131"/>
      <c r="K36" s="131"/>
      <c r="L36" s="131"/>
    </row>
    <row r="37" spans="1:12" ht="21" customHeight="1" x14ac:dyDescent="0.25">
      <c r="A37" s="131"/>
      <c r="B37" s="131"/>
      <c r="C37" s="131"/>
      <c r="D37" s="131"/>
      <c r="E37" s="131"/>
      <c r="F37" s="131"/>
      <c r="G37" s="131"/>
      <c r="H37" s="131"/>
      <c r="I37" s="131"/>
      <c r="J37" s="131"/>
      <c r="K37" s="131"/>
      <c r="L37" s="131"/>
    </row>
    <row r="38" spans="1:12" ht="21" customHeight="1" x14ac:dyDescent="0.25">
      <c r="A38" s="131"/>
      <c r="B38" s="139" t="s">
        <v>83</v>
      </c>
      <c r="C38" s="131"/>
      <c r="D38" s="131"/>
      <c r="E38" s="131"/>
      <c r="F38" s="131"/>
      <c r="G38" s="131"/>
      <c r="H38" s="131"/>
      <c r="I38" s="131"/>
      <c r="J38" s="131"/>
      <c r="K38" s="131"/>
      <c r="L38" s="131"/>
    </row>
    <row r="39" spans="1:12" ht="21" customHeight="1" thickBot="1" x14ac:dyDescent="0.3">
      <c r="A39" s="131"/>
      <c r="B39" s="131"/>
      <c r="C39" s="131"/>
      <c r="D39" s="131"/>
      <c r="E39" s="131"/>
      <c r="F39" s="131"/>
      <c r="G39" s="131"/>
      <c r="H39" s="131"/>
      <c r="I39" s="131"/>
      <c r="J39" s="131"/>
      <c r="K39" s="131"/>
      <c r="L39" s="131"/>
    </row>
    <row r="40" spans="1:12" ht="21" customHeight="1" thickTop="1" thickBot="1" x14ac:dyDescent="0.3">
      <c r="A40" s="131"/>
      <c r="B40" s="131" t="s">
        <v>52</v>
      </c>
      <c r="C40" s="131"/>
      <c r="D40" s="131"/>
      <c r="E40" s="47">
        <v>300000</v>
      </c>
      <c r="F40" s="131" t="s">
        <v>157</v>
      </c>
      <c r="G40" s="131"/>
      <c r="H40" s="131"/>
      <c r="I40" s="131"/>
      <c r="J40" s="131"/>
      <c r="K40" s="131"/>
      <c r="L40" s="132" t="s">
        <v>156</v>
      </c>
    </row>
    <row r="41" spans="1:12" ht="21" customHeight="1" thickTop="1" thickBot="1" x14ac:dyDescent="0.3">
      <c r="A41" s="131"/>
      <c r="B41" s="131" t="s">
        <v>52</v>
      </c>
      <c r="C41" s="131"/>
      <c r="D41" s="131"/>
      <c r="E41" s="47">
        <v>150000</v>
      </c>
      <c r="F41" s="131" t="str">
        <f>" mit Leistungen nach o. g. Leistungsbild  im Durchschnitt innerhalb der letzten 3 Geschäftsjahre"</f>
        <v xml:space="preserve"> mit Leistungen nach o. g. Leistungsbild  im Durchschnitt innerhalb der letzten 3 Geschäftsjahre</v>
      </c>
      <c r="G41" s="131"/>
      <c r="H41" s="131"/>
      <c r="I41" s="131"/>
      <c r="J41" s="131"/>
      <c r="K41" s="131"/>
      <c r="L41" s="132" t="s">
        <v>156</v>
      </c>
    </row>
    <row r="42" spans="1:12" ht="21" customHeight="1" thickTop="1" x14ac:dyDescent="0.25">
      <c r="A42" s="131"/>
      <c r="B42" s="131"/>
      <c r="C42" s="131"/>
      <c r="D42" s="131"/>
      <c r="E42" s="131"/>
      <c r="F42" s="131"/>
      <c r="G42" s="131"/>
      <c r="H42" s="131"/>
      <c r="I42" s="131"/>
      <c r="J42" s="131"/>
      <c r="K42" s="131"/>
      <c r="L42" s="131"/>
    </row>
    <row r="43" spans="1:12" ht="21" customHeight="1" x14ac:dyDescent="0.25">
      <c r="A43" s="131"/>
      <c r="B43" s="131"/>
      <c r="C43" s="131"/>
      <c r="D43" s="131"/>
      <c r="E43" s="131"/>
      <c r="F43" s="131"/>
      <c r="G43" s="131"/>
      <c r="H43" s="131"/>
      <c r="I43" s="131"/>
      <c r="J43" s="131"/>
      <c r="K43" s="131"/>
      <c r="L43" s="131"/>
    </row>
    <row r="44" spans="1:12" ht="21" customHeight="1" thickBot="1" x14ac:dyDescent="0.3">
      <c r="A44" s="131"/>
      <c r="B44" s="137" t="s">
        <v>161</v>
      </c>
      <c r="C44" s="131"/>
      <c r="D44" s="131"/>
      <c r="E44" s="131"/>
      <c r="F44" s="131"/>
      <c r="G44" s="131"/>
      <c r="H44" s="131"/>
      <c r="I44" s="131"/>
      <c r="J44" s="131"/>
      <c r="K44" s="131"/>
      <c r="L44" s="131"/>
    </row>
    <row r="45" spans="1:12" ht="21" customHeight="1" thickTop="1" thickBot="1" x14ac:dyDescent="0.3">
      <c r="A45" s="131"/>
      <c r="B45" s="137"/>
      <c r="C45" s="131"/>
      <c r="D45" s="131"/>
      <c r="E45" s="131" t="s">
        <v>159</v>
      </c>
      <c r="F45" s="131"/>
      <c r="G45" s="48">
        <v>1</v>
      </c>
      <c r="H45" s="131" t="s">
        <v>158</v>
      </c>
      <c r="I45" s="131"/>
      <c r="J45" s="131"/>
      <c r="K45" s="131"/>
      <c r="L45" s="132" t="s">
        <v>172</v>
      </c>
    </row>
    <row r="46" spans="1:12" ht="21" customHeight="1" thickTop="1" thickBot="1" x14ac:dyDescent="0.3">
      <c r="A46" s="131"/>
      <c r="B46" s="131"/>
      <c r="C46" s="131"/>
      <c r="D46" s="131"/>
      <c r="E46" s="48">
        <v>1.5</v>
      </c>
      <c r="F46" s="131" t="s">
        <v>160</v>
      </c>
      <c r="G46" s="131"/>
      <c r="H46" s="131"/>
      <c r="I46" s="131"/>
      <c r="J46" s="131"/>
      <c r="K46" s="131"/>
      <c r="L46" s="132" t="s">
        <v>172</v>
      </c>
    </row>
    <row r="47" spans="1:12" ht="21" customHeight="1" thickTop="1" x14ac:dyDescent="0.25">
      <c r="A47" s="38"/>
      <c r="B47" s="38"/>
      <c r="C47" s="38"/>
      <c r="D47" s="38"/>
      <c r="E47" s="38"/>
      <c r="F47" s="38"/>
      <c r="G47" s="38"/>
      <c r="H47" s="38"/>
      <c r="I47" s="38"/>
      <c r="J47" s="38"/>
      <c r="K47" s="38"/>
      <c r="L47" s="131"/>
    </row>
    <row r="48" spans="1:12" ht="21" customHeight="1" x14ac:dyDescent="0.25">
      <c r="A48" s="38"/>
      <c r="B48" s="38"/>
      <c r="C48" s="38"/>
      <c r="D48" s="38"/>
      <c r="E48" s="38"/>
      <c r="F48" s="38"/>
      <c r="G48" s="38"/>
      <c r="H48" s="38"/>
      <c r="I48" s="38"/>
      <c r="J48" s="38"/>
      <c r="K48" s="38"/>
      <c r="L48" s="131"/>
    </row>
    <row r="49" spans="1:12" ht="21" customHeight="1" thickBot="1" x14ac:dyDescent="0.3">
      <c r="A49" s="38"/>
      <c r="B49" s="139" t="s">
        <v>162</v>
      </c>
      <c r="C49" s="38"/>
      <c r="D49" s="38"/>
      <c r="E49" s="38"/>
      <c r="F49" s="38"/>
      <c r="G49" s="38"/>
      <c r="H49" s="38"/>
      <c r="I49" s="402" t="s">
        <v>284</v>
      </c>
      <c r="J49" s="403"/>
      <c r="K49" s="403"/>
      <c r="L49" s="131"/>
    </row>
    <row r="50" spans="1:12" ht="21" customHeight="1" thickTop="1" thickBot="1" x14ac:dyDescent="0.3">
      <c r="A50" s="38"/>
      <c r="B50" s="38"/>
      <c r="C50" s="38"/>
      <c r="D50" s="38" t="str">
        <f>IF(E16="Tragwerksplanung (vgl. § 51 HOAI)","Fertigstellung von Leistungsphase 6 nicht vor dem","Fertigstellung von Leistungsphase 7 nicht vor dem")</f>
        <v>Fertigstellung von Leistungsphase 6 nicht vor dem</v>
      </c>
      <c r="E50" s="38"/>
      <c r="F50" s="38"/>
      <c r="G50" s="193">
        <v>42339</v>
      </c>
      <c r="H50" s="38"/>
      <c r="I50" s="403"/>
      <c r="J50" s="403"/>
      <c r="K50" s="403"/>
      <c r="L50" s="138" t="s">
        <v>163</v>
      </c>
    </row>
    <row r="51" spans="1:12" ht="6.75" customHeight="1" thickTop="1" thickBot="1" x14ac:dyDescent="0.3">
      <c r="A51" s="38"/>
      <c r="B51" s="38"/>
      <c r="C51" s="38"/>
      <c r="D51" s="38"/>
      <c r="E51" s="38"/>
      <c r="F51" s="38"/>
      <c r="G51" s="195"/>
      <c r="H51" s="38"/>
      <c r="I51" s="38"/>
      <c r="J51" s="38"/>
      <c r="K51" s="38"/>
      <c r="L51" s="138"/>
    </row>
    <row r="52" spans="1:12" ht="21" customHeight="1" thickTop="1" thickBot="1" x14ac:dyDescent="0.3">
      <c r="A52" s="38"/>
      <c r="B52" s="38"/>
      <c r="C52" s="38"/>
      <c r="D52" s="38" t="s">
        <v>164</v>
      </c>
      <c r="E52" s="38"/>
      <c r="F52" s="38"/>
      <c r="G52" s="194" t="s">
        <v>55</v>
      </c>
      <c r="H52" s="38"/>
      <c r="I52" s="38" t="s">
        <v>21</v>
      </c>
      <c r="J52" s="46" t="s">
        <v>320</v>
      </c>
      <c r="K52" s="38"/>
      <c r="L52" s="138" t="s">
        <v>287</v>
      </c>
    </row>
    <row r="53" spans="1:12" ht="6.75" customHeight="1" thickTop="1" thickBot="1" x14ac:dyDescent="0.3">
      <c r="A53" s="38"/>
      <c r="B53" s="38"/>
      <c r="C53" s="38"/>
      <c r="D53" s="38"/>
      <c r="E53" s="38"/>
      <c r="F53" s="38"/>
      <c r="G53" s="195"/>
      <c r="H53" s="38"/>
      <c r="I53" s="38"/>
      <c r="J53" s="38"/>
      <c r="K53" s="38"/>
      <c r="L53" s="138"/>
    </row>
    <row r="54" spans="1:12" ht="21" customHeight="1" thickTop="1" thickBot="1" x14ac:dyDescent="0.3">
      <c r="A54" s="38"/>
      <c r="B54" s="38"/>
      <c r="C54" s="38"/>
      <c r="D54" s="38" t="s">
        <v>165</v>
      </c>
      <c r="E54" s="38"/>
      <c r="F54" s="196">
        <v>1500000</v>
      </c>
      <c r="G54" s="38" t="s">
        <v>166</v>
      </c>
      <c r="H54" s="38"/>
      <c r="I54" s="38" t="s">
        <v>22</v>
      </c>
      <c r="J54" s="46" t="s">
        <v>320</v>
      </c>
      <c r="K54" s="38"/>
      <c r="L54" s="132" t="s">
        <v>156</v>
      </c>
    </row>
    <row r="55" spans="1:12" ht="6.75" customHeight="1" thickTop="1" thickBot="1" x14ac:dyDescent="0.3">
      <c r="A55" s="38"/>
      <c r="B55" s="38"/>
      <c r="C55" s="38"/>
      <c r="D55" s="38"/>
      <c r="E55" s="38"/>
      <c r="F55" s="38"/>
      <c r="G55" s="195"/>
      <c r="H55" s="38"/>
      <c r="I55" s="38"/>
      <c r="J55" s="38"/>
      <c r="K55" s="38"/>
      <c r="L55" s="138"/>
    </row>
    <row r="56" spans="1:12" ht="21" customHeight="1" thickTop="1" thickBot="1" x14ac:dyDescent="0.3">
      <c r="A56" s="38"/>
      <c r="B56" s="38"/>
      <c r="C56" s="38"/>
      <c r="D56" s="38"/>
      <c r="E56" s="38"/>
      <c r="F56" s="38"/>
      <c r="G56" s="196" t="s">
        <v>168</v>
      </c>
      <c r="H56" s="38"/>
      <c r="I56" s="38" t="s">
        <v>23</v>
      </c>
      <c r="J56" s="46" t="s">
        <v>320</v>
      </c>
      <c r="K56" s="38"/>
      <c r="L56" s="138" t="s">
        <v>167</v>
      </c>
    </row>
    <row r="57" spans="1:12" ht="6.75" customHeight="1" thickTop="1" thickBot="1" x14ac:dyDescent="0.3">
      <c r="A57" s="38"/>
      <c r="B57" s="38"/>
      <c r="C57" s="38"/>
      <c r="D57" s="38"/>
      <c r="E57" s="38"/>
      <c r="F57" s="38"/>
      <c r="G57" s="195"/>
      <c r="H57" s="38"/>
      <c r="I57" s="38"/>
      <c r="J57" s="38"/>
      <c r="K57" s="38"/>
      <c r="L57" s="138"/>
    </row>
    <row r="58" spans="1:12" ht="21" customHeight="1" thickTop="1" thickBot="1" x14ac:dyDescent="0.3">
      <c r="A58" s="38"/>
      <c r="B58" s="38"/>
      <c r="C58" s="38"/>
      <c r="D58" s="38"/>
      <c r="E58" s="38"/>
      <c r="F58" s="38"/>
      <c r="G58" s="197"/>
      <c r="H58" s="38"/>
      <c r="I58" s="38" t="s">
        <v>24</v>
      </c>
      <c r="J58" s="46" t="s">
        <v>320</v>
      </c>
      <c r="K58" s="38"/>
      <c r="L58" s="138"/>
    </row>
    <row r="59" spans="1:12" ht="6.75" customHeight="1" thickTop="1" thickBot="1" x14ac:dyDescent="0.3">
      <c r="A59" s="38"/>
      <c r="B59" s="38"/>
      <c r="C59" s="38"/>
      <c r="D59" s="38"/>
      <c r="E59" s="38"/>
      <c r="F59" s="38"/>
      <c r="G59" s="195"/>
      <c r="H59" s="38"/>
      <c r="I59" s="38"/>
      <c r="J59" s="38"/>
      <c r="K59" s="38"/>
      <c r="L59" s="138"/>
    </row>
    <row r="60" spans="1:12" ht="18.75" customHeight="1" thickTop="1" thickBot="1" x14ac:dyDescent="0.3">
      <c r="A60" s="38"/>
      <c r="B60" s="38"/>
      <c r="C60" s="38"/>
      <c r="D60" s="38"/>
      <c r="E60" s="38"/>
      <c r="F60" s="38"/>
      <c r="G60" s="38"/>
      <c r="H60" s="38"/>
      <c r="I60" s="38" t="s">
        <v>25</v>
      </c>
      <c r="J60" s="46" t="s">
        <v>372</v>
      </c>
      <c r="K60" s="38"/>
      <c r="L60" s="138"/>
    </row>
    <row r="61" spans="1:12" ht="6.75" customHeight="1" thickTop="1" thickBot="1" x14ac:dyDescent="0.3">
      <c r="A61" s="38"/>
      <c r="B61" s="38"/>
      <c r="C61" s="38"/>
      <c r="D61" s="38"/>
      <c r="E61" s="38"/>
      <c r="F61" s="38"/>
      <c r="G61" s="195"/>
      <c r="H61" s="38"/>
      <c r="I61" s="38"/>
      <c r="J61" s="38"/>
      <c r="K61" s="38"/>
      <c r="L61" s="138"/>
    </row>
    <row r="62" spans="1:12" ht="21" customHeight="1" thickTop="1" thickBot="1" x14ac:dyDescent="0.3">
      <c r="A62" s="38"/>
      <c r="B62" s="38"/>
      <c r="C62" s="38"/>
      <c r="D62" s="38" t="s">
        <v>169</v>
      </c>
      <c r="E62" s="38"/>
      <c r="F62" s="386" t="s">
        <v>321</v>
      </c>
      <c r="G62" s="387"/>
      <c r="H62" s="198"/>
      <c r="I62" s="38" t="s">
        <v>26</v>
      </c>
      <c r="J62" s="46" t="s">
        <v>207</v>
      </c>
      <c r="K62" s="38"/>
      <c r="L62" s="138" t="s">
        <v>154</v>
      </c>
    </row>
    <row r="63" spans="1:12" ht="6.75" customHeight="1" thickTop="1" thickBot="1" x14ac:dyDescent="0.3">
      <c r="A63" s="38"/>
      <c r="B63" s="38"/>
      <c r="C63" s="38"/>
      <c r="D63" s="38"/>
      <c r="E63" s="38"/>
      <c r="F63" s="38"/>
      <c r="G63" s="195"/>
      <c r="H63" s="38"/>
      <c r="I63" s="38"/>
      <c r="J63" s="38"/>
      <c r="K63" s="38"/>
      <c r="L63" s="138"/>
    </row>
    <row r="64" spans="1:12" ht="21" customHeight="1" thickTop="1" thickBot="1" x14ac:dyDescent="0.3">
      <c r="A64" s="38"/>
      <c r="B64" s="38"/>
      <c r="C64" s="38"/>
      <c r="D64" s="38"/>
      <c r="E64" s="38"/>
      <c r="F64" s="384" t="s">
        <v>322</v>
      </c>
      <c r="G64" s="385"/>
      <c r="H64" s="38"/>
      <c r="I64" s="38" t="s">
        <v>28</v>
      </c>
      <c r="J64" s="46" t="s">
        <v>207</v>
      </c>
      <c r="K64" s="38"/>
      <c r="L64" s="138" t="s">
        <v>154</v>
      </c>
    </row>
    <row r="65" spans="1:13" ht="21" customHeight="1" thickTop="1" x14ac:dyDescent="0.25">
      <c r="A65" s="38"/>
      <c r="B65" s="38"/>
      <c r="C65" s="38"/>
      <c r="D65" s="38"/>
      <c r="E65" s="38"/>
      <c r="F65" s="38"/>
      <c r="G65" s="38"/>
      <c r="H65" s="38"/>
      <c r="I65" s="38"/>
      <c r="J65" s="38"/>
      <c r="K65" s="38"/>
      <c r="L65" s="138"/>
    </row>
    <row r="66" spans="1:13" ht="21" customHeight="1" x14ac:dyDescent="0.25">
      <c r="A66" s="38"/>
      <c r="B66" s="38"/>
      <c r="C66" s="38"/>
      <c r="D66" s="38"/>
      <c r="E66" s="38"/>
      <c r="F66" s="38"/>
      <c r="G66" s="38"/>
      <c r="H66" s="38"/>
      <c r="I66" s="38"/>
      <c r="J66" s="38"/>
      <c r="K66" s="38"/>
      <c r="L66" s="131"/>
    </row>
    <row r="67" spans="1:13" ht="21" customHeight="1" x14ac:dyDescent="0.25">
      <c r="A67" s="131"/>
      <c r="B67" s="137" t="s">
        <v>74</v>
      </c>
      <c r="C67" s="131"/>
      <c r="D67" s="131"/>
      <c r="E67" s="131"/>
      <c r="F67" s="224" t="s">
        <v>60</v>
      </c>
      <c r="G67" s="225"/>
      <c r="H67" s="225"/>
      <c r="I67" s="225"/>
      <c r="J67" s="225"/>
      <c r="K67" s="225"/>
      <c r="L67" s="225"/>
    </row>
    <row r="68" spans="1:13" s="7" customFormat="1" ht="21" customHeight="1" thickBot="1" x14ac:dyDescent="0.3">
      <c r="A68" s="131"/>
      <c r="B68" s="131" t="s">
        <v>82</v>
      </c>
      <c r="C68" s="131"/>
      <c r="D68" s="131"/>
      <c r="E68" s="131"/>
      <c r="F68" s="226" t="s">
        <v>82</v>
      </c>
      <c r="G68" s="225"/>
      <c r="H68" s="225"/>
      <c r="I68" s="225"/>
      <c r="J68" s="225"/>
      <c r="K68" s="225"/>
      <c r="L68" s="225"/>
    </row>
    <row r="69" spans="1:13" ht="21" customHeight="1" thickTop="1" thickBot="1" x14ac:dyDescent="0.3">
      <c r="A69" s="131"/>
      <c r="B69" s="135" t="s">
        <v>191</v>
      </c>
      <c r="C69" s="46">
        <v>3</v>
      </c>
      <c r="D69" s="131" t="s">
        <v>75</v>
      </c>
      <c r="E69" s="136"/>
      <c r="F69" s="226" t="s">
        <v>170</v>
      </c>
      <c r="G69" s="227">
        <v>120</v>
      </c>
      <c r="H69" s="225" t="s">
        <v>62</v>
      </c>
      <c r="I69" s="226"/>
      <c r="J69" s="226"/>
      <c r="K69" s="225"/>
      <c r="L69" s="228" t="s">
        <v>156</v>
      </c>
      <c r="M69" s="51">
        <f t="shared" ref="M69:M74" si="0">IF(L69&lt;=0,L69,0)</f>
        <v>0</v>
      </c>
    </row>
    <row r="70" spans="1:13" ht="21" customHeight="1" thickTop="1" thickBot="1" x14ac:dyDescent="0.3">
      <c r="A70" s="131"/>
      <c r="B70" s="135" t="s">
        <v>191</v>
      </c>
      <c r="C70" s="46">
        <v>6</v>
      </c>
      <c r="D70" s="131" t="s">
        <v>78</v>
      </c>
      <c r="E70" s="136"/>
      <c r="F70" s="226" t="s">
        <v>171</v>
      </c>
      <c r="G70" s="227">
        <v>120</v>
      </c>
      <c r="H70" s="225" t="s">
        <v>63</v>
      </c>
      <c r="I70" s="226"/>
      <c r="J70" s="226"/>
      <c r="K70" s="225"/>
      <c r="L70" s="228" t="s">
        <v>156</v>
      </c>
      <c r="M70" s="51">
        <f t="shared" si="0"/>
        <v>0</v>
      </c>
    </row>
    <row r="71" spans="1:13" ht="21" customHeight="1" thickTop="1" thickBot="1" x14ac:dyDescent="0.3">
      <c r="A71" s="131"/>
      <c r="B71" s="135" t="s">
        <v>191</v>
      </c>
      <c r="C71" s="46">
        <v>9</v>
      </c>
      <c r="D71" s="131" t="s">
        <v>79</v>
      </c>
      <c r="E71" s="136"/>
      <c r="F71" s="226" t="s">
        <v>171</v>
      </c>
      <c r="G71" s="227">
        <v>90</v>
      </c>
      <c r="H71" s="225" t="s">
        <v>64</v>
      </c>
      <c r="I71" s="226"/>
      <c r="J71" s="226"/>
      <c r="K71" s="225"/>
      <c r="L71" s="228" t="s">
        <v>156</v>
      </c>
      <c r="M71" s="51">
        <f t="shared" si="0"/>
        <v>0</v>
      </c>
    </row>
    <row r="72" spans="1:13" ht="21" customHeight="1" thickTop="1" thickBot="1" x14ac:dyDescent="0.3">
      <c r="A72" s="131"/>
      <c r="B72" s="135" t="s">
        <v>191</v>
      </c>
      <c r="C72" s="46">
        <v>12</v>
      </c>
      <c r="D72" s="131" t="s">
        <v>80</v>
      </c>
      <c r="E72" s="136"/>
      <c r="F72" s="226" t="s">
        <v>171</v>
      </c>
      <c r="G72" s="227">
        <v>75</v>
      </c>
      <c r="H72" s="225" t="s">
        <v>65</v>
      </c>
      <c r="I72" s="226"/>
      <c r="J72" s="226"/>
      <c r="K72" s="225"/>
      <c r="L72" s="228" t="s">
        <v>156</v>
      </c>
      <c r="M72" s="51">
        <f t="shared" si="0"/>
        <v>0</v>
      </c>
    </row>
    <row r="73" spans="1:13" ht="21" customHeight="1" thickTop="1" thickBot="1" x14ac:dyDescent="0.3">
      <c r="A73" s="131"/>
      <c r="B73" s="135" t="s">
        <v>76</v>
      </c>
      <c r="C73" s="46">
        <v>15</v>
      </c>
      <c r="D73" s="131" t="s">
        <v>81</v>
      </c>
      <c r="E73" s="131"/>
      <c r="F73" s="226" t="s">
        <v>171</v>
      </c>
      <c r="G73" s="227">
        <v>60</v>
      </c>
      <c r="H73" s="225" t="s">
        <v>66</v>
      </c>
      <c r="I73" s="225"/>
      <c r="J73" s="225"/>
      <c r="K73" s="225"/>
      <c r="L73" s="228" t="s">
        <v>156</v>
      </c>
      <c r="M73" s="51">
        <f t="shared" si="0"/>
        <v>0</v>
      </c>
    </row>
    <row r="74" spans="1:13" ht="21" customHeight="1" thickTop="1" x14ac:dyDescent="0.25">
      <c r="A74" s="131"/>
      <c r="B74" s="131"/>
      <c r="C74" s="131"/>
      <c r="D74" s="131"/>
      <c r="E74" s="131"/>
      <c r="F74" s="226" t="s">
        <v>171</v>
      </c>
      <c r="G74" s="227">
        <v>45</v>
      </c>
      <c r="H74" s="225" t="s">
        <v>67</v>
      </c>
      <c r="I74" s="225"/>
      <c r="J74" s="225"/>
      <c r="K74" s="225"/>
      <c r="L74" s="228" t="s">
        <v>156</v>
      </c>
      <c r="M74" s="51">
        <f t="shared" si="0"/>
        <v>0</v>
      </c>
    </row>
    <row r="75" spans="1:13" ht="21" customHeight="1" x14ac:dyDescent="0.25">
      <c r="A75" s="131"/>
      <c r="B75" s="131"/>
      <c r="C75" s="131"/>
      <c r="D75" s="131"/>
      <c r="E75" s="131"/>
      <c r="F75" s="226" t="s">
        <v>171</v>
      </c>
      <c r="G75" s="227">
        <v>30</v>
      </c>
      <c r="H75" s="225" t="s">
        <v>68</v>
      </c>
      <c r="I75" s="225"/>
      <c r="J75" s="225"/>
      <c r="K75" s="225"/>
      <c r="L75" s="228" t="s">
        <v>156</v>
      </c>
    </row>
    <row r="76" spans="1:13" ht="21" customHeight="1" x14ac:dyDescent="0.25">
      <c r="A76" s="131"/>
      <c r="B76" s="131"/>
      <c r="C76" s="131"/>
      <c r="D76" s="131"/>
      <c r="E76" s="131"/>
      <c r="F76" s="131"/>
      <c r="G76" s="131"/>
      <c r="H76" s="131"/>
      <c r="I76" s="131"/>
      <c r="J76" s="131"/>
      <c r="K76" s="131"/>
      <c r="L76" s="131"/>
    </row>
    <row r="77" spans="1:13" ht="21" customHeight="1" x14ac:dyDescent="0.25">
      <c r="A77" s="131"/>
      <c r="B77" s="131"/>
      <c r="C77" s="131"/>
      <c r="D77" s="131"/>
      <c r="E77" s="131"/>
      <c r="F77" s="131"/>
      <c r="G77" s="131"/>
      <c r="H77" s="131"/>
      <c r="I77" s="131"/>
      <c r="J77" s="131"/>
      <c r="K77" s="131"/>
      <c r="L77" s="131"/>
    </row>
    <row r="78" spans="1:13" ht="21" customHeight="1" x14ac:dyDescent="0.25">
      <c r="A78" s="131"/>
      <c r="B78" s="137" t="s">
        <v>383</v>
      </c>
      <c r="C78" s="131"/>
      <c r="D78" s="131"/>
      <c r="E78" s="131"/>
      <c r="G78" s="137" t="s">
        <v>183</v>
      </c>
      <c r="H78" s="131"/>
      <c r="I78" s="131"/>
      <c r="J78" s="131"/>
      <c r="K78" s="131"/>
      <c r="L78" s="131"/>
    </row>
    <row r="79" spans="1:13" s="7" customFormat="1" ht="21" customHeight="1" thickBot="1" x14ac:dyDescent="0.3">
      <c r="A79" s="131"/>
      <c r="B79" s="131" t="s">
        <v>82</v>
      </c>
      <c r="C79" s="131"/>
      <c r="D79" s="131"/>
      <c r="E79" s="131"/>
      <c r="F79" s="1"/>
      <c r="G79" s="388" t="s">
        <v>185</v>
      </c>
      <c r="H79" s="388"/>
      <c r="I79" s="131"/>
      <c r="J79" s="131"/>
      <c r="K79" s="131"/>
      <c r="L79" s="132"/>
    </row>
    <row r="80" spans="1:13" ht="21" customHeight="1" thickTop="1" thickBot="1" x14ac:dyDescent="0.3">
      <c r="A80" s="131"/>
      <c r="B80" s="135" t="s">
        <v>191</v>
      </c>
      <c r="C80" s="46">
        <v>2</v>
      </c>
      <c r="D80" s="131" t="s">
        <v>176</v>
      </c>
      <c r="E80" s="136"/>
      <c r="G80" s="131" t="s">
        <v>186</v>
      </c>
      <c r="H80" s="46">
        <v>50</v>
      </c>
      <c r="I80" s="131" t="s">
        <v>184</v>
      </c>
      <c r="J80" s="136"/>
      <c r="K80" s="131"/>
      <c r="L80" s="132" t="s">
        <v>156</v>
      </c>
      <c r="M80" s="51">
        <f t="shared" ref="M80:M85" si="1">IF(L80&lt;=0,L80,0)</f>
        <v>0</v>
      </c>
    </row>
    <row r="81" spans="1:13" ht="21" customHeight="1" thickTop="1" thickBot="1" x14ac:dyDescent="0.3">
      <c r="A81" s="131"/>
      <c r="B81" s="135" t="s">
        <v>324</v>
      </c>
      <c r="C81" s="46">
        <v>2</v>
      </c>
      <c r="D81" s="131" t="s">
        <v>333</v>
      </c>
      <c r="E81" s="136"/>
      <c r="G81" s="131" t="s">
        <v>187</v>
      </c>
      <c r="H81" s="46">
        <v>10</v>
      </c>
      <c r="I81" s="131" t="s">
        <v>184</v>
      </c>
      <c r="J81" s="136"/>
      <c r="K81" s="131"/>
      <c r="L81" s="132" t="s">
        <v>156</v>
      </c>
      <c r="M81" s="51">
        <f t="shared" si="1"/>
        <v>0</v>
      </c>
    </row>
    <row r="82" spans="1:13" ht="21" customHeight="1" thickTop="1" thickBot="1" x14ac:dyDescent="0.3">
      <c r="A82" s="131"/>
      <c r="B82" s="135" t="s">
        <v>327</v>
      </c>
      <c r="C82" s="46">
        <v>3</v>
      </c>
      <c r="D82" s="131" t="s">
        <v>328</v>
      </c>
      <c r="E82" s="136"/>
      <c r="G82" s="131" t="s">
        <v>323</v>
      </c>
      <c r="H82" s="46">
        <v>40</v>
      </c>
      <c r="I82" s="131" t="s">
        <v>184</v>
      </c>
      <c r="J82" s="136"/>
      <c r="K82" s="131"/>
      <c r="L82" s="132" t="s">
        <v>156</v>
      </c>
      <c r="M82" s="51">
        <f t="shared" si="1"/>
        <v>0</v>
      </c>
    </row>
    <row r="83" spans="1:13" ht="21" customHeight="1" thickTop="1" thickBot="1" x14ac:dyDescent="0.3">
      <c r="A83" s="131"/>
      <c r="B83" s="135" t="s">
        <v>327</v>
      </c>
      <c r="C83" s="46">
        <v>4</v>
      </c>
      <c r="D83" s="131" t="s">
        <v>329</v>
      </c>
      <c r="E83" s="136"/>
      <c r="G83" t="s">
        <v>53</v>
      </c>
      <c r="H83" s="46">
        <v>0</v>
      </c>
      <c r="I83" s="131" t="s">
        <v>184</v>
      </c>
      <c r="J83" s="136"/>
      <c r="K83" s="131"/>
      <c r="L83" s="132" t="s">
        <v>156</v>
      </c>
      <c r="M83" s="51">
        <f t="shared" si="1"/>
        <v>0</v>
      </c>
    </row>
    <row r="84" spans="1:13" ht="21" customHeight="1" thickTop="1" thickBot="1" x14ac:dyDescent="0.3">
      <c r="A84" s="131"/>
      <c r="B84" s="135" t="s">
        <v>327</v>
      </c>
      <c r="C84" s="46">
        <v>5</v>
      </c>
      <c r="D84" s="131" t="s">
        <v>330</v>
      </c>
      <c r="E84" s="131"/>
      <c r="G84" s="131"/>
      <c r="I84" s="131"/>
      <c r="J84" s="131"/>
      <c r="K84" s="131"/>
      <c r="L84" s="132" t="s">
        <v>156</v>
      </c>
      <c r="M84" s="51">
        <f t="shared" si="1"/>
        <v>0</v>
      </c>
    </row>
    <row r="85" spans="1:13" ht="21" customHeight="1" thickTop="1" thickBot="1" x14ac:dyDescent="0.3">
      <c r="A85" s="131"/>
      <c r="B85" s="135" t="s">
        <v>327</v>
      </c>
      <c r="C85" s="46">
        <v>6</v>
      </c>
      <c r="D85" s="131" t="s">
        <v>331</v>
      </c>
      <c r="E85" s="131"/>
      <c r="G85" s="136" t="s">
        <v>188</v>
      </c>
      <c r="H85" s="135">
        <f>H83+H82+H81+H80</f>
        <v>100</v>
      </c>
      <c r="I85" s="131" t="s">
        <v>184</v>
      </c>
      <c r="J85" s="131"/>
      <c r="K85" s="131"/>
      <c r="L85" s="132" t="s">
        <v>156</v>
      </c>
      <c r="M85" s="51">
        <f t="shared" si="1"/>
        <v>0</v>
      </c>
    </row>
    <row r="86" spans="1:13" ht="21" customHeight="1" thickTop="1" thickBot="1" x14ac:dyDescent="0.3">
      <c r="A86" s="131"/>
      <c r="B86" s="131" t="s">
        <v>327</v>
      </c>
      <c r="C86" s="46">
        <v>7</v>
      </c>
      <c r="D86" s="131" t="s">
        <v>332</v>
      </c>
      <c r="E86" s="131"/>
      <c r="G86" s="131"/>
      <c r="I86" s="131"/>
      <c r="J86" s="131"/>
      <c r="K86" s="131"/>
      <c r="L86" s="132" t="s">
        <v>156</v>
      </c>
    </row>
    <row r="87" spans="1:13" ht="21" customHeight="1" thickTop="1" x14ac:dyDescent="0.25">
      <c r="A87" s="131"/>
      <c r="B87" s="131"/>
      <c r="C87" s="133"/>
      <c r="D87" s="131"/>
      <c r="E87" s="131"/>
      <c r="G87" s="131"/>
      <c r="I87" s="131"/>
      <c r="J87" s="131"/>
      <c r="K87" s="131"/>
      <c r="L87" s="132"/>
    </row>
    <row r="88" spans="1:13" ht="21" customHeight="1" x14ac:dyDescent="0.25">
      <c r="A88" s="131"/>
      <c r="B88" s="131"/>
      <c r="C88" s="383" t="s">
        <v>325</v>
      </c>
      <c r="D88" s="383"/>
      <c r="E88" s="383"/>
      <c r="F88" s="383"/>
      <c r="G88" s="383"/>
      <c r="H88" s="383"/>
      <c r="I88" s="383"/>
      <c r="J88" s="383"/>
      <c r="K88" s="383"/>
      <c r="L88" s="383"/>
    </row>
    <row r="89" spans="1:13" ht="21" customHeight="1" x14ac:dyDescent="0.25">
      <c r="A89" s="131"/>
      <c r="B89" s="131"/>
      <c r="C89" s="198" t="s">
        <v>326</v>
      </c>
      <c r="D89" s="198"/>
      <c r="E89" s="198"/>
      <c r="F89" s="198"/>
      <c r="G89" s="198"/>
      <c r="H89" s="198"/>
      <c r="I89" s="198"/>
      <c r="J89" s="38"/>
      <c r="K89" s="38"/>
      <c r="L89" s="231"/>
    </row>
    <row r="90" spans="1:13" ht="21" customHeight="1" x14ac:dyDescent="0.25">
      <c r="A90" s="131"/>
      <c r="B90" s="131"/>
      <c r="C90" s="133"/>
      <c r="D90" s="134"/>
      <c r="E90" s="131"/>
      <c r="G90" s="131"/>
      <c r="I90" s="131"/>
      <c r="J90" s="131"/>
      <c r="K90" s="131"/>
      <c r="L90" s="132"/>
    </row>
    <row r="91" spans="1:13" ht="21" customHeight="1" x14ac:dyDescent="0.25">
      <c r="A91" s="131"/>
      <c r="B91" s="131"/>
      <c r="C91" s="133"/>
      <c r="D91" s="134" t="s">
        <v>288</v>
      </c>
      <c r="E91" s="131"/>
      <c r="G91" s="131"/>
      <c r="I91" s="131"/>
      <c r="J91" s="131"/>
      <c r="K91" s="131"/>
      <c r="L91" s="132"/>
    </row>
    <row r="92" spans="1:13" ht="21" customHeight="1" x14ac:dyDescent="0.25">
      <c r="A92" s="131"/>
      <c r="B92" s="131"/>
      <c r="C92" s="133"/>
      <c r="D92" s="131"/>
      <c r="E92" s="131"/>
      <c r="G92" s="131"/>
      <c r="I92" s="131"/>
      <c r="J92" s="131"/>
      <c r="K92" s="131"/>
      <c r="L92" s="132"/>
    </row>
    <row r="93" spans="1:13" ht="21" customHeight="1" x14ac:dyDescent="0.25">
      <c r="A93" s="131"/>
      <c r="B93" s="131"/>
      <c r="C93" s="133"/>
      <c r="D93" s="134" t="s">
        <v>189</v>
      </c>
      <c r="E93" s="131"/>
      <c r="G93" s="131"/>
      <c r="I93" s="131"/>
      <c r="J93" s="131"/>
      <c r="K93" s="131"/>
      <c r="L93" s="132"/>
    </row>
    <row r="94" spans="1:13" ht="21" customHeight="1" x14ac:dyDescent="0.25">
      <c r="A94" s="131"/>
      <c r="B94" s="131"/>
      <c r="C94" s="133"/>
      <c r="D94" s="134" t="s">
        <v>190</v>
      </c>
      <c r="E94" s="131"/>
      <c r="G94" s="131"/>
      <c r="I94" s="131"/>
      <c r="J94" s="131"/>
      <c r="K94" s="131"/>
      <c r="L94" s="132"/>
    </row>
    <row r="95" spans="1:13" ht="21" customHeight="1" x14ac:dyDescent="0.25">
      <c r="A95" s="131"/>
      <c r="B95" s="131"/>
      <c r="C95" s="133"/>
      <c r="D95" s="131"/>
      <c r="E95" s="131"/>
      <c r="G95" s="131"/>
      <c r="I95" s="131"/>
      <c r="J95" s="131"/>
      <c r="K95" s="131"/>
      <c r="L95" s="132"/>
    </row>
    <row r="96" spans="1:13" ht="21" customHeight="1" x14ac:dyDescent="0.25">
      <c r="A96" s="131"/>
      <c r="B96" s="131"/>
      <c r="C96" s="131"/>
      <c r="D96" s="131"/>
      <c r="E96" s="131"/>
      <c r="K96" s="131"/>
      <c r="L96" s="131"/>
    </row>
    <row r="97" spans="1:12" ht="15.75" hidden="1" customHeight="1" x14ac:dyDescent="0.25">
      <c r="A97" s="131"/>
      <c r="B97" s="131"/>
      <c r="C97" s="131"/>
      <c r="D97" s="131"/>
      <c r="E97" s="131"/>
      <c r="K97" s="131"/>
      <c r="L97" s="131"/>
    </row>
    <row r="98" spans="1:12" ht="15.75" hidden="1" customHeight="1" x14ac:dyDescent="0.25">
      <c r="A98" s="130"/>
      <c r="B98" s="130"/>
      <c r="C98" s="130"/>
      <c r="D98" s="130"/>
      <c r="E98" s="130"/>
      <c r="K98" s="130"/>
      <c r="L98" s="130"/>
    </row>
    <row r="99" spans="1:12" ht="15.75" hidden="1" customHeight="1" x14ac:dyDescent="0.25">
      <c r="A99" s="130"/>
      <c r="B99" s="130"/>
      <c r="C99" s="130"/>
      <c r="D99" s="130"/>
      <c r="E99" s="130"/>
      <c r="K99" s="130"/>
      <c r="L99" s="130"/>
    </row>
    <row r="100" spans="1:12" ht="15.75" hidden="1" customHeight="1" x14ac:dyDescent="0.25"/>
    <row r="101" spans="1:12" ht="15.75" hidden="1" customHeight="1" x14ac:dyDescent="0.25"/>
    <row r="102" spans="1:12" ht="15.75" hidden="1" customHeight="1" x14ac:dyDescent="0.25"/>
    <row r="103" spans="1:12" ht="15.75" hidden="1" customHeight="1" x14ac:dyDescent="0.25"/>
    <row r="104" spans="1:12" ht="15.75" hidden="1" customHeight="1" x14ac:dyDescent="0.25"/>
    <row r="105" spans="1:12" ht="15.75" hidden="1" customHeight="1" x14ac:dyDescent="0.25"/>
    <row r="106" spans="1:12" ht="15.75" hidden="1" customHeight="1" x14ac:dyDescent="0.25"/>
    <row r="107" spans="1:12" ht="15.75" hidden="1" customHeight="1" x14ac:dyDescent="0.25"/>
    <row r="108" spans="1:12" ht="15.75" hidden="1" customHeight="1" x14ac:dyDescent="0.25"/>
    <row r="109" spans="1:12" ht="15.75" hidden="1" customHeight="1" x14ac:dyDescent="0.25"/>
    <row r="110" spans="1:12" ht="15.75" hidden="1" customHeight="1" x14ac:dyDescent="0.25"/>
    <row r="111" spans="1:12" ht="15.75" hidden="1" customHeight="1" x14ac:dyDescent="0.25"/>
    <row r="112" spans="1:12" ht="15.75" hidden="1" customHeight="1" x14ac:dyDescent="0.25"/>
    <row r="113" s="1" customFormat="1" ht="15.75" hidden="1" customHeight="1" x14ac:dyDescent="0.25"/>
    <row r="114" s="1" customFormat="1" ht="15.75" hidden="1" customHeight="1" x14ac:dyDescent="0.25"/>
    <row r="115" s="1" customFormat="1" ht="15.75" hidden="1" customHeight="1" x14ac:dyDescent="0.25"/>
    <row r="116" s="1" customFormat="1" ht="15.75" hidden="1" customHeight="1" x14ac:dyDescent="0.25"/>
    <row r="117" s="1" customFormat="1" ht="15.75" hidden="1" customHeight="1" x14ac:dyDescent="0.25"/>
    <row r="118" s="1" customFormat="1" ht="15.75" hidden="1" customHeight="1" x14ac:dyDescent="0.25"/>
    <row r="119" s="1" customFormat="1" ht="15.75" hidden="1" customHeight="1" x14ac:dyDescent="0.25"/>
    <row r="120" s="1" customFormat="1" ht="15.75" hidden="1" customHeight="1" x14ac:dyDescent="0.25"/>
    <row r="121" s="1" customFormat="1" ht="15.75" hidden="1" customHeight="1" x14ac:dyDescent="0.25"/>
    <row r="122" s="1" customFormat="1" ht="15.75" hidden="1" customHeight="1" x14ac:dyDescent="0.25"/>
    <row r="123" s="1" customFormat="1" ht="15.75" hidden="1" customHeight="1" x14ac:dyDescent="0.25"/>
    <row r="124" s="1" customFormat="1" ht="15.75" hidden="1" customHeight="1" x14ac:dyDescent="0.25"/>
    <row r="125" s="1" customFormat="1" ht="15.75" hidden="1" customHeight="1" x14ac:dyDescent="0.25"/>
    <row r="126" s="1" customFormat="1" ht="15.75" hidden="1" customHeight="1" x14ac:dyDescent="0.25"/>
    <row r="127" s="1" customFormat="1" ht="15.75" hidden="1" customHeight="1" x14ac:dyDescent="0.25"/>
    <row r="128" s="1" customFormat="1" ht="15.75" hidden="1" customHeight="1" x14ac:dyDescent="0.25"/>
    <row r="129" s="1" customFormat="1" ht="15.75" hidden="1" customHeight="1" x14ac:dyDescent="0.25"/>
    <row r="130" s="1" customFormat="1" ht="15.75" hidden="1" customHeight="1" x14ac:dyDescent="0.25"/>
    <row r="131" s="1" customFormat="1" ht="15.75" hidden="1" customHeight="1" x14ac:dyDescent="0.25"/>
    <row r="132" s="1" customFormat="1" ht="15.75" hidden="1" customHeight="1" x14ac:dyDescent="0.25"/>
    <row r="133" s="1" customFormat="1" ht="15.75" hidden="1" customHeight="1" x14ac:dyDescent="0.25"/>
    <row r="134" s="1" customFormat="1" ht="15.75" hidden="1" customHeight="1" x14ac:dyDescent="0.25"/>
    <row r="135" s="1" customFormat="1" ht="15.75" hidden="1" customHeight="1" x14ac:dyDescent="0.25"/>
    <row r="136" s="1" customFormat="1" ht="15.75" hidden="1" customHeight="1" x14ac:dyDescent="0.25"/>
    <row r="137" s="1" customFormat="1" ht="15.75" hidden="1" customHeight="1" x14ac:dyDescent="0.25"/>
    <row r="138" s="1" customFormat="1" ht="15.75" hidden="1" customHeight="1" x14ac:dyDescent="0.25"/>
    <row r="139" s="1" customFormat="1" ht="15.75" hidden="1" customHeight="1" x14ac:dyDescent="0.25"/>
    <row r="140" s="1" customFormat="1" ht="15.75" hidden="1" customHeight="1" x14ac:dyDescent="0.25"/>
    <row r="141" s="1" customFormat="1" ht="15.75" hidden="1" customHeight="1" x14ac:dyDescent="0.25"/>
    <row r="142" s="1" customFormat="1" ht="15.75" hidden="1" customHeight="1" x14ac:dyDescent="0.25"/>
    <row r="143" s="1" customFormat="1" ht="15.75" hidden="1" customHeight="1" x14ac:dyDescent="0.25"/>
    <row r="144" s="1" customFormat="1" ht="15.75" hidden="1" customHeight="1" x14ac:dyDescent="0.25"/>
    <row r="145" s="1" customFormat="1" ht="15.75" hidden="1" customHeight="1" x14ac:dyDescent="0.25"/>
    <row r="146" s="1" customFormat="1" ht="15.75" hidden="1" customHeight="1" x14ac:dyDescent="0.25"/>
    <row r="147" s="1" customFormat="1" ht="15.75" hidden="1" customHeight="1" x14ac:dyDescent="0.25"/>
    <row r="148" s="1" customFormat="1" ht="15.75" hidden="1" customHeight="1" x14ac:dyDescent="0.25"/>
    <row r="149" s="1" customFormat="1" ht="15.75" hidden="1" customHeight="1" x14ac:dyDescent="0.25"/>
    <row r="150" s="1" customFormat="1" ht="15.75" hidden="1" customHeight="1" x14ac:dyDescent="0.25"/>
    <row r="151" s="1" customFormat="1" ht="15.75" hidden="1" customHeight="1" x14ac:dyDescent="0.25"/>
    <row r="152" s="1" customFormat="1" ht="15.75" hidden="1" customHeight="1" x14ac:dyDescent="0.25"/>
    <row r="153" s="1" customFormat="1" ht="15.75" hidden="1" customHeight="1" x14ac:dyDescent="0.25"/>
    <row r="154" s="1" customFormat="1" ht="15.75" hidden="1" customHeight="1" x14ac:dyDescent="0.25"/>
    <row r="155" s="1" customFormat="1" ht="15.75" hidden="1" customHeight="1" x14ac:dyDescent="0.25"/>
    <row r="156" s="1" customFormat="1" ht="15.75" hidden="1" customHeight="1" x14ac:dyDescent="0.25"/>
    <row r="157" s="1" customFormat="1" ht="15.75" hidden="1" customHeight="1" x14ac:dyDescent="0.25"/>
    <row r="158" s="1" customFormat="1" ht="15.75" hidden="1" customHeight="1" x14ac:dyDescent="0.25"/>
    <row r="159" s="1" customFormat="1" ht="15.75" hidden="1" customHeight="1" x14ac:dyDescent="0.25"/>
    <row r="160" s="1" customFormat="1" ht="15.75" hidden="1" customHeight="1" x14ac:dyDescent="0.25"/>
    <row r="161" s="1" customFormat="1" ht="15.75" hidden="1" customHeight="1" x14ac:dyDescent="0.25"/>
    <row r="162" s="1" customFormat="1" ht="15.75" hidden="1" customHeight="1" x14ac:dyDescent="0.25"/>
    <row r="163" s="1" customFormat="1" ht="15.75" hidden="1" customHeight="1" x14ac:dyDescent="0.25"/>
    <row r="164" s="1" customFormat="1" ht="15.75" hidden="1" customHeight="1" x14ac:dyDescent="0.25"/>
    <row r="165" s="1" customFormat="1" ht="15.75" hidden="1" customHeight="1" x14ac:dyDescent="0.25"/>
    <row r="166" s="1" customFormat="1" ht="15.75" hidden="1" customHeight="1" x14ac:dyDescent="0.25"/>
    <row r="167" s="1" customFormat="1" ht="15.75" hidden="1" customHeight="1" x14ac:dyDescent="0.25"/>
    <row r="168" s="1" customFormat="1" ht="15.75" hidden="1" customHeight="1" x14ac:dyDescent="0.25"/>
    <row r="169" s="1" customFormat="1" ht="15.75" hidden="1" customHeight="1" x14ac:dyDescent="0.25"/>
    <row r="170" s="1" customFormat="1" ht="15.75" hidden="1" customHeight="1" x14ac:dyDescent="0.25"/>
    <row r="171" s="1" customFormat="1" ht="15.75" hidden="1" customHeight="1" x14ac:dyDescent="0.25"/>
    <row r="172" s="1" customFormat="1" ht="15.75" hidden="1" customHeight="1" x14ac:dyDescent="0.25"/>
    <row r="173" s="1" customFormat="1" ht="15.75" hidden="1" customHeight="1" x14ac:dyDescent="0.25"/>
    <row r="174" s="1" customFormat="1" ht="15.75" hidden="1" customHeight="1" x14ac:dyDescent="0.25"/>
    <row r="175" s="1" customFormat="1" ht="15.75" hidden="1" customHeight="1" x14ac:dyDescent="0.25"/>
    <row r="176" s="1" customFormat="1" ht="15.75" hidden="1" customHeight="1" x14ac:dyDescent="0.25"/>
    <row r="177" s="1" customFormat="1" ht="15.75" hidden="1" customHeight="1" x14ac:dyDescent="0.25"/>
    <row r="178" s="1" customFormat="1" ht="15.75" hidden="1" customHeight="1" x14ac:dyDescent="0.25"/>
    <row r="179" s="1" customFormat="1" ht="15.75" hidden="1" customHeight="1" x14ac:dyDescent="0.25"/>
    <row r="180" s="1" customFormat="1" ht="15.75" hidden="1" customHeight="1" x14ac:dyDescent="0.25"/>
    <row r="181" s="1" customFormat="1" ht="15.75" hidden="1" customHeight="1" x14ac:dyDescent="0.25"/>
    <row r="182" s="1" customFormat="1" ht="15.75" hidden="1" customHeight="1" x14ac:dyDescent="0.25"/>
    <row r="183" s="1" customFormat="1" ht="15.75" hidden="1" customHeight="1" x14ac:dyDescent="0.25"/>
    <row r="184" s="1" customFormat="1" ht="15.75" hidden="1" customHeight="1" x14ac:dyDescent="0.25"/>
    <row r="185" s="1" customFormat="1" ht="15.75" hidden="1" customHeight="1" x14ac:dyDescent="0.25"/>
    <row r="186" s="1" customFormat="1" ht="15.75" hidden="1" customHeight="1" x14ac:dyDescent="0.25"/>
    <row r="187" s="1" customFormat="1" ht="15.75" hidden="1" customHeight="1" x14ac:dyDescent="0.25"/>
    <row r="188" s="1" customFormat="1" ht="15.75" hidden="1" customHeight="1" x14ac:dyDescent="0.25"/>
    <row r="189" s="1" customFormat="1" ht="15.75" hidden="1" customHeight="1" x14ac:dyDescent="0.25"/>
    <row r="190" s="1" customFormat="1" ht="15.75" hidden="1" customHeight="1" x14ac:dyDescent="0.25"/>
    <row r="191" s="1" customFormat="1" ht="15.75" hidden="1" customHeight="1" x14ac:dyDescent="0.25"/>
    <row r="192" s="1" customFormat="1" ht="15.75" hidden="1" customHeight="1" x14ac:dyDescent="0.25"/>
    <row r="193" s="1" customFormat="1" ht="15.75" hidden="1" customHeight="1" x14ac:dyDescent="0.25"/>
    <row r="194" s="1" customFormat="1" ht="15.75" hidden="1" customHeight="1" x14ac:dyDescent="0.25"/>
    <row r="195" s="1" customFormat="1" ht="15.75" hidden="1" customHeight="1" x14ac:dyDescent="0.25"/>
    <row r="196" s="1" customFormat="1" ht="15.75" hidden="1" customHeight="1" x14ac:dyDescent="0.25"/>
    <row r="197" s="1" customFormat="1" ht="15.75" hidden="1" customHeight="1" x14ac:dyDescent="0.25"/>
    <row r="198" s="1" customFormat="1" ht="15.75" hidden="1" customHeight="1" x14ac:dyDescent="0.25"/>
    <row r="199" s="1" customFormat="1" ht="15.75" hidden="1" customHeight="1" x14ac:dyDescent="0.25"/>
    <row r="200" s="1" customFormat="1" ht="15.75" hidden="1" customHeight="1" x14ac:dyDescent="0.25"/>
    <row r="201" s="1" customFormat="1" ht="15.75" hidden="1" customHeight="1" x14ac:dyDescent="0.25"/>
    <row r="202" s="1" customFormat="1" ht="15.75" hidden="1" customHeight="1" x14ac:dyDescent="0.25"/>
    <row r="203" s="1" customFormat="1" ht="15.75" hidden="1" customHeight="1" x14ac:dyDescent="0.25"/>
    <row r="204" s="1" customFormat="1" ht="15.75" hidden="1" customHeight="1" x14ac:dyDescent="0.25"/>
    <row r="205" s="1" customFormat="1" ht="15.75" hidden="1" customHeight="1" x14ac:dyDescent="0.25"/>
    <row r="206" s="1" customFormat="1" ht="15.75" hidden="1" customHeight="1" x14ac:dyDescent="0.25"/>
    <row r="207" s="1" customFormat="1" ht="15.75" hidden="1" customHeight="1" x14ac:dyDescent="0.25"/>
    <row r="208" s="1" customFormat="1" ht="15.75" hidden="1" customHeight="1" x14ac:dyDescent="0.25"/>
    <row r="209" s="1" customFormat="1" ht="15.75" hidden="1" customHeight="1" x14ac:dyDescent="0.25"/>
    <row r="210" s="1" customFormat="1" ht="15.75" hidden="1" customHeight="1" x14ac:dyDescent="0.25"/>
    <row r="211" s="1" customFormat="1" ht="15.75" hidden="1" customHeight="1" x14ac:dyDescent="0.25"/>
    <row r="212" s="1" customFormat="1" ht="15.75" hidden="1" customHeight="1" x14ac:dyDescent="0.25"/>
    <row r="213" s="1" customFormat="1" ht="15.75" hidden="1" customHeight="1" x14ac:dyDescent="0.25"/>
    <row r="214" s="1" customFormat="1" ht="15.75" hidden="1" customHeight="1" x14ac:dyDescent="0.25"/>
    <row r="215" s="1" customFormat="1" ht="15.75" hidden="1" customHeight="1" x14ac:dyDescent="0.25"/>
    <row r="216" s="1" customFormat="1" ht="15.75" hidden="1" customHeight="1" x14ac:dyDescent="0.25"/>
    <row r="217" s="1" customFormat="1" ht="15.75" hidden="1" customHeight="1" x14ac:dyDescent="0.25"/>
    <row r="218" s="1" customFormat="1" ht="15.75" hidden="1" customHeight="1" x14ac:dyDescent="0.25"/>
    <row r="219" s="1" customFormat="1" ht="15.75" hidden="1" customHeight="1" x14ac:dyDescent="0.25"/>
    <row r="220" s="1" customFormat="1" ht="15.75" hidden="1" customHeight="1" x14ac:dyDescent="0.25"/>
    <row r="221" s="1" customFormat="1" ht="15.75" hidden="1" customHeight="1" x14ac:dyDescent="0.25"/>
    <row r="222" s="1" customFormat="1" ht="15.75" hidden="1" customHeight="1" x14ac:dyDescent="0.25"/>
    <row r="223" s="1" customFormat="1" ht="15.75" hidden="1" customHeight="1" x14ac:dyDescent="0.25"/>
    <row r="224" s="1" customFormat="1" ht="15.75" hidden="1" customHeight="1" x14ac:dyDescent="0.25"/>
    <row r="225" s="1" customFormat="1" ht="15.75" hidden="1" customHeight="1" x14ac:dyDescent="0.25"/>
    <row r="226" s="1" customFormat="1" ht="15.75" hidden="1" customHeight="1" x14ac:dyDescent="0.25"/>
    <row r="227" s="1" customFormat="1" ht="15.75" hidden="1" customHeight="1" x14ac:dyDescent="0.25"/>
    <row r="228" s="1" customFormat="1" ht="15.75" hidden="1" customHeight="1" x14ac:dyDescent="0.25"/>
    <row r="229" s="1" customFormat="1" ht="15.75" hidden="1" customHeight="1" x14ac:dyDescent="0.25"/>
    <row r="230" s="1" customFormat="1" ht="15.75" hidden="1" customHeight="1" x14ac:dyDescent="0.25"/>
    <row r="231" s="1" customFormat="1" ht="15.75" hidden="1" customHeight="1" x14ac:dyDescent="0.25"/>
    <row r="232" s="1" customFormat="1" ht="15.75" hidden="1" customHeight="1" x14ac:dyDescent="0.25"/>
    <row r="233" s="1" customFormat="1" ht="15.75" hidden="1" customHeight="1" x14ac:dyDescent="0.25"/>
    <row r="234" s="1" customFormat="1" ht="15.75" hidden="1" customHeight="1" x14ac:dyDescent="0.25"/>
    <row r="235" s="1" customFormat="1" ht="15.75" hidden="1" customHeight="1" x14ac:dyDescent="0.25"/>
    <row r="236" s="1" customFormat="1" ht="15.75" hidden="1" customHeight="1" x14ac:dyDescent="0.25"/>
    <row r="237" s="1" customFormat="1" ht="15.75" hidden="1" customHeight="1" x14ac:dyDescent="0.25"/>
    <row r="238" s="1" customFormat="1" ht="15.75" hidden="1" customHeight="1" x14ac:dyDescent="0.25"/>
    <row r="239" s="1" customFormat="1" ht="15.75" hidden="1" customHeight="1" x14ac:dyDescent="0.25"/>
    <row r="240" s="1" customFormat="1" ht="15.75" hidden="1" customHeight="1" x14ac:dyDescent="0.25"/>
    <row r="241" s="1" customFormat="1" ht="15.75" hidden="1" customHeight="1" x14ac:dyDescent="0.25"/>
    <row r="242" s="1" customFormat="1" ht="15.75" hidden="1" customHeight="1" x14ac:dyDescent="0.25"/>
    <row r="243" s="1" customFormat="1" ht="15.75" hidden="1" customHeight="1" x14ac:dyDescent="0.25"/>
    <row r="244" s="1" customFormat="1" ht="15.75" hidden="1" customHeight="1" x14ac:dyDescent="0.25"/>
    <row r="245" s="1" customFormat="1" ht="15.75" hidden="1" customHeight="1" x14ac:dyDescent="0.25"/>
    <row r="246" s="1" customFormat="1" ht="15.75" hidden="1" customHeight="1" x14ac:dyDescent="0.25"/>
    <row r="247" s="1" customFormat="1" ht="15.75" hidden="1" customHeight="1" x14ac:dyDescent="0.25"/>
    <row r="248" s="1" customFormat="1" ht="15.75" hidden="1" customHeight="1" x14ac:dyDescent="0.25"/>
    <row r="249" s="1" customFormat="1" ht="15.75" hidden="1" customHeight="1" x14ac:dyDescent="0.25"/>
    <row r="250" s="1" customFormat="1" ht="15.75" hidden="1" customHeight="1" x14ac:dyDescent="0.25"/>
    <row r="251" s="1" customFormat="1" ht="15.75" hidden="1" customHeight="1" x14ac:dyDescent="0.25"/>
    <row r="252" s="1" customFormat="1" ht="15.75" hidden="1" customHeight="1" x14ac:dyDescent="0.25"/>
    <row r="253" s="1" customFormat="1" ht="15.75" hidden="1" customHeight="1" x14ac:dyDescent="0.25"/>
    <row r="254" s="1" customFormat="1" ht="15.75" hidden="1" customHeight="1" x14ac:dyDescent="0.25"/>
    <row r="255" s="1" customFormat="1" ht="15.75" hidden="1" customHeight="1" x14ac:dyDescent="0.25"/>
    <row r="256" s="1" customFormat="1" ht="15.75" hidden="1" customHeight="1" x14ac:dyDescent="0.25"/>
    <row r="257" s="1" customFormat="1" ht="15.75" hidden="1" customHeight="1" x14ac:dyDescent="0.25"/>
    <row r="258" s="1" customFormat="1" ht="15.75" hidden="1" customHeight="1" x14ac:dyDescent="0.25"/>
    <row r="259" s="1" customFormat="1" ht="15.75" hidden="1" customHeight="1" x14ac:dyDescent="0.25"/>
    <row r="260" s="1" customFormat="1" ht="15.75" hidden="1" customHeight="1" x14ac:dyDescent="0.25"/>
    <row r="261" s="1" customFormat="1" ht="15.75" hidden="1" customHeight="1" x14ac:dyDescent="0.25"/>
    <row r="262" s="1" customFormat="1" ht="15.75" hidden="1" customHeight="1" x14ac:dyDescent="0.25"/>
    <row r="263" s="1" customFormat="1" ht="15.75" hidden="1" customHeight="1" x14ac:dyDescent="0.25"/>
    <row r="264" s="1" customFormat="1" ht="15.75" hidden="1" customHeight="1" x14ac:dyDescent="0.25"/>
    <row r="265" s="1" customFormat="1" ht="15.75" hidden="1" customHeight="1" x14ac:dyDescent="0.25"/>
    <row r="266" s="1" customFormat="1" ht="15.75" hidden="1" customHeight="1" x14ac:dyDescent="0.25"/>
    <row r="267" s="1" customFormat="1" ht="15.75" hidden="1" customHeight="1" x14ac:dyDescent="0.25"/>
    <row r="268" s="1" customFormat="1" ht="15.75" hidden="1" customHeight="1" x14ac:dyDescent="0.25"/>
    <row r="269" s="1" customFormat="1" ht="15.75" hidden="1" customHeight="1" x14ac:dyDescent="0.25"/>
    <row r="270" s="1" customFormat="1" ht="15.75" hidden="1" customHeight="1" x14ac:dyDescent="0.25"/>
    <row r="271" s="1" customFormat="1" ht="15.75" hidden="1" customHeight="1" x14ac:dyDescent="0.25"/>
    <row r="272" s="1" customFormat="1" ht="15.75" hidden="1" customHeight="1" x14ac:dyDescent="0.25"/>
    <row r="273" s="1" customFormat="1" ht="15.75" hidden="1" customHeight="1" x14ac:dyDescent="0.25"/>
    <row r="274" s="1" customFormat="1" ht="15.75" hidden="1" customHeight="1" x14ac:dyDescent="0.25"/>
    <row r="275" s="1" customFormat="1" ht="15.75" hidden="1" customHeight="1" x14ac:dyDescent="0.25"/>
    <row r="276" s="1" customFormat="1" ht="15.75" hidden="1" customHeight="1" x14ac:dyDescent="0.25"/>
    <row r="277" s="1" customFormat="1" ht="15.75" hidden="1" customHeight="1" x14ac:dyDescent="0.25"/>
    <row r="278" s="1" customFormat="1" ht="15.75" hidden="1" customHeight="1" x14ac:dyDescent="0.25"/>
    <row r="279" s="1" customFormat="1" ht="15.75" hidden="1" customHeight="1" x14ac:dyDescent="0.25"/>
    <row r="280" s="1" customFormat="1" ht="15.75" hidden="1" customHeight="1" x14ac:dyDescent="0.25"/>
    <row r="281" s="1" customFormat="1" ht="15.75" hidden="1" customHeight="1" x14ac:dyDescent="0.25"/>
    <row r="282" s="1" customFormat="1" ht="15.75" hidden="1" customHeight="1" x14ac:dyDescent="0.25"/>
    <row r="283" s="1" customFormat="1" ht="15.75" hidden="1" customHeight="1" x14ac:dyDescent="0.25"/>
    <row r="284" s="1" customFormat="1" ht="15.75" hidden="1" customHeight="1" x14ac:dyDescent="0.25"/>
    <row r="285" s="1" customFormat="1" ht="15.75" hidden="1" customHeight="1" x14ac:dyDescent="0.25"/>
    <row r="286" s="1" customFormat="1" ht="15.75" hidden="1" customHeight="1" x14ac:dyDescent="0.25"/>
    <row r="287" s="1" customFormat="1" ht="0" hidden="1" customHeight="1" x14ac:dyDescent="0.25"/>
    <row r="288" s="1" customFormat="1" ht="0" hidden="1" customHeight="1" x14ac:dyDescent="0.25"/>
    <row r="289" s="1" customFormat="1" ht="0" hidden="1" customHeight="1" x14ac:dyDescent="0.25"/>
    <row r="290" s="1" customFormat="1" ht="0" hidden="1" customHeight="1" x14ac:dyDescent="0.25"/>
    <row r="291" s="1" customFormat="1" ht="0" hidden="1" customHeight="1" x14ac:dyDescent="0.25"/>
    <row r="292" s="1" customFormat="1" ht="0" hidden="1" customHeight="1" x14ac:dyDescent="0.25"/>
  </sheetData>
  <sheetProtection selectLockedCells="1"/>
  <mergeCells count="15">
    <mergeCell ref="C88:L88"/>
    <mergeCell ref="F64:G64"/>
    <mergeCell ref="F62:G62"/>
    <mergeCell ref="G79:H79"/>
    <mergeCell ref="C3:H3"/>
    <mergeCell ref="E16:H16"/>
    <mergeCell ref="C4:J4"/>
    <mergeCell ref="E8:G8"/>
    <mergeCell ref="E10:G10"/>
    <mergeCell ref="I7:J11"/>
    <mergeCell ref="E12:G12"/>
    <mergeCell ref="E20:J20"/>
    <mergeCell ref="E22:J22"/>
    <mergeCell ref="E23:J23"/>
    <mergeCell ref="I49:K50"/>
  </mergeCells>
  <conditionalFormatting sqref="H80:H85">
    <cfRule type="expression" dxfId="1" priority="1">
      <formula>$H$85&lt;&gt;100</formula>
    </cfRule>
  </conditionalFormatting>
  <conditionalFormatting sqref="I62:J64">
    <cfRule type="expression" dxfId="0" priority="2">
      <formula>$E$16="Tragwerksplanung (vgl. § 51 HOAI)"</formula>
    </cfRule>
  </conditionalFormatting>
  <dataValidations count="5">
    <dataValidation type="list" allowBlank="1" showInputMessage="1" showErrorMessage="1" sqref="E18" xr:uid="{0CF46B61-E986-48D9-9EF1-0710A24D4F13}">
      <formula1>"Architekt/-in,Ingenieur/-in,Tragwerksplaner/in"</formula1>
    </dataValidation>
    <dataValidation type="list" allowBlank="1" showInputMessage="1" showErrorMessage="1" sqref="G53 G51 G55 G57 G59 G61 G63" xr:uid="{FCCB7AA0-27EE-4C25-AFC2-16417AF84071}">
      <formula1>"I,II,III,IV,V"</formula1>
    </dataValidation>
    <dataValidation type="list" allowBlank="1" showInputMessage="1" showErrorMessage="1" sqref="E16:H16" xr:uid="{7DF09A22-3114-4573-BA26-5EBB17E702D8}">
      <formula1>"Gebäude und Innenräume (vgl. § 34 HOAI),Freianlagen (vgl. § 39 HOAI),Ingenieurbauwerke (vgl. § 43 HOAI),Tragwerksplanung (vgl. § 51 HOAI),Technische Ausrüstung (vgl. § 55 HOAI)"</formula1>
    </dataValidation>
    <dataValidation type="list" allowBlank="1" showInputMessage="1" showErrorMessage="1" sqref="G52" xr:uid="{60E95B50-4C6C-42F6-94E9-27425EE7AD0F}">
      <formula1>$G$18:$K$18</formula1>
    </dataValidation>
    <dataValidation type="list" allowBlank="1" showInputMessage="1" showErrorMessage="1" sqref="J52 J54 J56 J58 J60 J62 J64" xr:uid="{4B1897E8-58B0-4380-A65C-9EB31C2F59B5}">
      <formula1>"ja,nein"</formula1>
    </dataValidation>
  </dataValidations>
  <pageMargins left="0.7" right="0.7" top="0.78740157499999996" bottom="0.78740157499999996" header="0.3" footer="0.3"/>
  <pageSetup paperSize="9" scale="60" fitToHeight="0" orientation="portrait" r:id="rId1"/>
  <headerFooter>
    <oddFooter>&amp;RSeite &amp;P von &amp;N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a) Angebots- und Preisblatt</vt:lpstr>
      <vt:lpstr>b) Referenzangaben</vt:lpstr>
      <vt:lpstr>Auswertungsblatt</vt:lpstr>
      <vt:lpstr>Konfigurationsblatt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 Kai</dc:creator>
  <cp:lastModifiedBy>Rose, Kai</cp:lastModifiedBy>
  <cp:lastPrinted>2025-05-20T11:19:48Z</cp:lastPrinted>
  <dcterms:created xsi:type="dcterms:W3CDTF">2024-03-18T14:10:43Z</dcterms:created>
  <dcterms:modified xsi:type="dcterms:W3CDTF">2025-12-12T14:10:35Z</dcterms:modified>
</cp:coreProperties>
</file>