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pivotTables/pivotTable2.xml" ContentType="application/vnd.openxmlformats-officedocument.spreadsheetml.pivotTable+xml"/>
  <Override PartName="/xl/tables/table4.xml" ContentType="application/vnd.openxmlformats-officedocument.spreadsheetml.tab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Vergabe\A Vergabeverfahren\Amt für Gebäudewirtschaft\2026\152001 Gebäude-, Inventar- und Elektronikversicherung für den Kreis HS\"/>
    </mc:Choice>
  </mc:AlternateContent>
  <xr:revisionPtr revIDLastSave="0" documentId="13_ncr:1_{F523A806-0991-486D-A576-4741145E020F}" xr6:coauthVersionLast="47" xr6:coauthVersionMax="47" xr10:uidLastSave="{00000000-0000-0000-0000-000000000000}"/>
  <bookViews>
    <workbookView xWindow="28680" yWindow="-120" windowWidth="29040" windowHeight="15720" tabRatio="860" firstSheet="2" activeTab="8" xr2:uid="{00000000-000D-0000-FFFF-FFFF00000000}"/>
  </bookViews>
  <sheets>
    <sheet name="Auswertung" sheetId="30" state="hidden" r:id="rId1"/>
    <sheet name="SB-Alternativen" sheetId="47" state="hidden" r:id="rId2"/>
    <sheet name="Anlage 04 ohne Passwort" sheetId="55" r:id="rId3"/>
    <sheet name="Anlage 05 ohne Passwort" sheetId="56" r:id="rId4"/>
    <sheet name="Anlage 04 mit Passwort" sheetId="53" r:id="rId5"/>
    <sheet name="Schadenauswertung" sheetId="54" state="hidden" r:id="rId6"/>
    <sheet name="Anlage 05 mit Passwort" sheetId="52" r:id="rId7"/>
    <sheet name="Sach-Kalkulation" sheetId="4" r:id="rId8"/>
    <sheet name="Anlage 06" sheetId="20" r:id="rId9"/>
    <sheet name="Vorschlag1" sheetId="35" state="hidden" r:id="rId10"/>
  </sheets>
  <definedNames>
    <definedName name="_xlnm._FilterDatabase" localSheetId="4" hidden="1">'Anlage 04 mit Passwort'!$A$1:$C$46</definedName>
    <definedName name="_xlnm._FilterDatabase" localSheetId="2" hidden="1">'Anlage 04 ohne Passwort'!$A$1:$C$46</definedName>
    <definedName name="_xlnm._FilterDatabase" localSheetId="6" hidden="1">'Anlage 05 mit Passwort'!$A$2:$E$2</definedName>
    <definedName name="_xlnm._FilterDatabase" localSheetId="3" hidden="1">'Anlage 05 ohne Passwort'!$A$2:$E$2</definedName>
    <definedName name="_xlnm.Print_Titles" localSheetId="4">'Anlage 04 mit Passwort'!$1:$1</definedName>
    <definedName name="_xlnm.Print_Titles" localSheetId="2">'Anlage 04 ohne Passwort'!$1:$1</definedName>
    <definedName name="qry_VZ_EXTRACT_S_GRKD">#REF!</definedName>
  </definedNames>
  <calcPr calcId="191029"/>
  <pivotCaches>
    <pivotCache cacheId="0" r:id="rId11"/>
    <pivotCache cacheId="1" r:id="rId12"/>
    <pivotCache cacheId="2" r:id="rId1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7" i="56" l="1"/>
  <c r="F17" i="56"/>
  <c r="G16" i="56"/>
  <c r="F16" i="56"/>
  <c r="G15" i="56"/>
  <c r="F15" i="56"/>
  <c r="G14" i="56"/>
  <c r="F14" i="56"/>
  <c r="G13" i="56"/>
  <c r="F13" i="56"/>
  <c r="G12" i="56"/>
  <c r="F12" i="56"/>
  <c r="G11" i="56"/>
  <c r="F11" i="56"/>
  <c r="G10" i="56"/>
  <c r="F10" i="56"/>
  <c r="G9" i="56"/>
  <c r="F9" i="56"/>
  <c r="G8" i="56"/>
  <c r="F8" i="56"/>
  <c r="G7" i="56"/>
  <c r="F7" i="56"/>
  <c r="G6" i="56"/>
  <c r="F6" i="56"/>
  <c r="G5" i="56"/>
  <c r="F5" i="56"/>
  <c r="G4" i="56"/>
  <c r="F4" i="56"/>
  <c r="G3" i="56"/>
  <c r="F3" i="56"/>
  <c r="K47" i="55"/>
  <c r="J47" i="55"/>
  <c r="I47" i="55"/>
  <c r="H47" i="55"/>
  <c r="G47" i="55"/>
  <c r="F47" i="55"/>
  <c r="E47" i="55"/>
  <c r="O46" i="55"/>
  <c r="N46" i="55"/>
  <c r="O45" i="55"/>
  <c r="N45" i="55"/>
  <c r="O44" i="55"/>
  <c r="N44" i="55"/>
  <c r="O43" i="55"/>
  <c r="N43" i="55"/>
  <c r="O42" i="55"/>
  <c r="N42" i="55"/>
  <c r="O41" i="55"/>
  <c r="N41" i="55"/>
  <c r="O40" i="55"/>
  <c r="N40" i="55"/>
  <c r="O39" i="55"/>
  <c r="N39" i="55"/>
  <c r="O38" i="55"/>
  <c r="N38" i="55"/>
  <c r="O37" i="55"/>
  <c r="N37" i="55"/>
  <c r="O36" i="55"/>
  <c r="N36" i="55"/>
  <c r="O35" i="55"/>
  <c r="N35" i="55"/>
  <c r="O34" i="55"/>
  <c r="N34" i="55"/>
  <c r="O33" i="55"/>
  <c r="N33" i="55"/>
  <c r="O32" i="55"/>
  <c r="N32" i="55"/>
  <c r="O31" i="55"/>
  <c r="N31" i="55"/>
  <c r="O30" i="55"/>
  <c r="N30" i="55"/>
  <c r="O29" i="55"/>
  <c r="N29" i="55"/>
  <c r="O28" i="55"/>
  <c r="N28" i="55"/>
  <c r="O27" i="55"/>
  <c r="N27" i="55"/>
  <c r="O26" i="55"/>
  <c r="N26" i="55"/>
  <c r="O25" i="55"/>
  <c r="N25" i="55"/>
  <c r="O24" i="55"/>
  <c r="N24" i="55"/>
  <c r="O23" i="55"/>
  <c r="N23" i="55"/>
  <c r="O22" i="55"/>
  <c r="N22" i="55"/>
  <c r="O21" i="55"/>
  <c r="N21" i="55"/>
  <c r="O20" i="55"/>
  <c r="N20" i="55"/>
  <c r="O19" i="55"/>
  <c r="N19" i="55"/>
  <c r="O18" i="55"/>
  <c r="N18" i="55"/>
  <c r="O17" i="55"/>
  <c r="N17" i="55"/>
  <c r="O16" i="55"/>
  <c r="N16" i="55"/>
  <c r="O15" i="55"/>
  <c r="N15" i="55"/>
  <c r="O14" i="55"/>
  <c r="N14" i="55"/>
  <c r="O13" i="55"/>
  <c r="N13" i="55"/>
  <c r="O12" i="55"/>
  <c r="N12" i="55"/>
  <c r="O11" i="55"/>
  <c r="N11" i="55"/>
  <c r="O10" i="55"/>
  <c r="N10" i="55"/>
  <c r="O9" i="55"/>
  <c r="N9" i="55"/>
  <c r="O8" i="55"/>
  <c r="N8" i="55"/>
  <c r="O7" i="55"/>
  <c r="N7" i="55"/>
  <c r="O6" i="55"/>
  <c r="N6" i="55"/>
  <c r="O5" i="55"/>
  <c r="N5" i="55"/>
  <c r="O4" i="55"/>
  <c r="N4" i="55"/>
  <c r="O3" i="55"/>
  <c r="N3" i="55"/>
  <c r="O2" i="55"/>
  <c r="O47" i="55" s="1"/>
  <c r="N2" i="55"/>
  <c r="N47" i="55" s="1"/>
  <c r="O46" i="53"/>
  <c r="N46" i="53"/>
  <c r="O45" i="53"/>
  <c r="N45" i="53"/>
  <c r="O44" i="53"/>
  <c r="N44" i="53"/>
  <c r="O43" i="53"/>
  <c r="N43" i="53"/>
  <c r="O42" i="53"/>
  <c r="N42" i="53"/>
  <c r="O41" i="53"/>
  <c r="N41" i="53"/>
  <c r="O40" i="53"/>
  <c r="N40" i="53"/>
  <c r="O39" i="53"/>
  <c r="N39" i="53"/>
  <c r="O38" i="53"/>
  <c r="N38" i="53"/>
  <c r="O37" i="53"/>
  <c r="N37" i="53"/>
  <c r="O36" i="53"/>
  <c r="N36" i="53"/>
  <c r="O35" i="53"/>
  <c r="N35" i="53"/>
  <c r="O34" i="53"/>
  <c r="N34" i="53"/>
  <c r="O33" i="53"/>
  <c r="N33" i="53"/>
  <c r="O32" i="53"/>
  <c r="N32" i="53"/>
  <c r="O31" i="53"/>
  <c r="N31" i="53"/>
  <c r="O30" i="53"/>
  <c r="N30" i="53"/>
  <c r="O29" i="53"/>
  <c r="N29" i="53"/>
  <c r="O28" i="53"/>
  <c r="N28" i="53"/>
  <c r="O27" i="53"/>
  <c r="N27" i="53"/>
  <c r="O26" i="53"/>
  <c r="N26" i="53"/>
  <c r="O25" i="53"/>
  <c r="N25" i="53"/>
  <c r="O24" i="53"/>
  <c r="N24" i="53"/>
  <c r="O23" i="53"/>
  <c r="N23" i="53"/>
  <c r="O22" i="53"/>
  <c r="N22" i="53"/>
  <c r="O21" i="53"/>
  <c r="N21" i="53"/>
  <c r="O20" i="53"/>
  <c r="N20" i="53"/>
  <c r="O19" i="53"/>
  <c r="N19" i="53"/>
  <c r="O18" i="53"/>
  <c r="N18" i="53"/>
  <c r="O17" i="53"/>
  <c r="N17" i="53"/>
  <c r="O16" i="53"/>
  <c r="N16" i="53"/>
  <c r="O15" i="53"/>
  <c r="N15" i="53"/>
  <c r="O14" i="53"/>
  <c r="N14" i="53"/>
  <c r="O13" i="53"/>
  <c r="N13" i="53"/>
  <c r="O12" i="53"/>
  <c r="N12" i="53"/>
  <c r="O11" i="53"/>
  <c r="N11" i="53"/>
  <c r="O10" i="53"/>
  <c r="N10" i="53"/>
  <c r="O9" i="53"/>
  <c r="N9" i="53"/>
  <c r="O8" i="53"/>
  <c r="N8" i="53"/>
  <c r="O7" i="53"/>
  <c r="N7" i="53"/>
  <c r="O6" i="53"/>
  <c r="N6" i="53"/>
  <c r="O5" i="53"/>
  <c r="N5" i="53"/>
  <c r="O4" i="53"/>
  <c r="N4" i="53"/>
  <c r="O3" i="53"/>
  <c r="N3" i="53"/>
  <c r="O2" i="53"/>
  <c r="N2" i="53"/>
  <c r="N47" i="53" s="1"/>
  <c r="J6" i="4" s="1"/>
  <c r="D33" i="20"/>
  <c r="E33" i="20" s="1"/>
  <c r="C7" i="4"/>
  <c r="B7" i="4"/>
  <c r="C6" i="4"/>
  <c r="B6" i="4"/>
  <c r="C5" i="4"/>
  <c r="B5" i="4"/>
  <c r="C4" i="4"/>
  <c r="B4" i="4"/>
  <c r="G47" i="53"/>
  <c r="K3" i="4" s="1"/>
  <c r="H47" i="53"/>
  <c r="J4" i="4" s="1"/>
  <c r="J47" i="53"/>
  <c r="J5" i="4" s="1"/>
  <c r="E47" i="53"/>
  <c r="K7" i="4" s="1"/>
  <c r="K47" i="53"/>
  <c r="K5" i="4" s="1"/>
  <c r="I47" i="53"/>
  <c r="K4" i="4" s="1"/>
  <c r="F47" i="53"/>
  <c r="J3" i="4" s="1"/>
  <c r="G17" i="52"/>
  <c r="F17" i="52"/>
  <c r="G16" i="52"/>
  <c r="F16" i="52"/>
  <c r="G15" i="52"/>
  <c r="F15" i="52"/>
  <c r="G14" i="52"/>
  <c r="F14" i="52"/>
  <c r="G13" i="52"/>
  <c r="F13" i="52"/>
  <c r="G12" i="52"/>
  <c r="F12" i="52"/>
  <c r="G11" i="52"/>
  <c r="F11" i="52"/>
  <c r="G10" i="52"/>
  <c r="F10" i="52"/>
  <c r="G9" i="52"/>
  <c r="F9" i="52"/>
  <c r="G8" i="52"/>
  <c r="F8" i="52"/>
  <c r="G7" i="52"/>
  <c r="F7" i="52"/>
  <c r="G6" i="52"/>
  <c r="F6" i="52"/>
  <c r="G5" i="52"/>
  <c r="F5" i="52"/>
  <c r="G4" i="52"/>
  <c r="F4" i="52"/>
  <c r="G3" i="52"/>
  <c r="F3" i="52"/>
  <c r="E7" i="47"/>
  <c r="E9" i="47"/>
  <c r="E8" i="47"/>
  <c r="E5" i="47"/>
  <c r="E6" i="47"/>
  <c r="E4" i="47"/>
  <c r="F9" i="47"/>
  <c r="F8" i="47"/>
  <c r="F7" i="47"/>
  <c r="F6" i="47"/>
  <c r="F5" i="47"/>
  <c r="F4" i="47"/>
  <c r="F10" i="47" l="1"/>
  <c r="E10" i="47"/>
  <c r="I49" i="30" l="1"/>
  <c r="I48" i="30"/>
  <c r="I47" i="30"/>
  <c r="I46" i="30"/>
  <c r="I45" i="30"/>
  <c r="G49" i="30"/>
  <c r="O49" i="30" s="1"/>
  <c r="P49" i="30" s="1"/>
  <c r="G48" i="30"/>
  <c r="O48" i="30" s="1"/>
  <c r="P48" i="30" s="1"/>
  <c r="G47" i="30"/>
  <c r="G46" i="30"/>
  <c r="O46" i="30" s="1"/>
  <c r="P46" i="30" s="1"/>
  <c r="G45" i="30"/>
  <c r="O45" i="30" s="1"/>
  <c r="P45" i="30" s="1"/>
  <c r="K6" i="30"/>
  <c r="K5" i="30"/>
  <c r="J5" i="30"/>
  <c r="K4" i="30"/>
  <c r="K3" i="30"/>
  <c r="J3" i="30"/>
  <c r="C3" i="30"/>
  <c r="C5" i="30"/>
  <c r="H21" i="30"/>
  <c r="H22" i="30"/>
  <c r="H19" i="30"/>
  <c r="H20" i="30"/>
  <c r="H18" i="30"/>
  <c r="B3" i="30"/>
  <c r="B7" i="30"/>
  <c r="B4" i="30"/>
  <c r="C4" i="30"/>
  <c r="C7" i="30"/>
  <c r="B5" i="30"/>
  <c r="N47" i="30" l="1"/>
  <c r="N45" i="30"/>
  <c r="H45" i="30"/>
  <c r="H49" i="30"/>
  <c r="H46" i="30"/>
  <c r="H48" i="30"/>
  <c r="H47" i="30"/>
  <c r="O47" i="30"/>
  <c r="P47" i="30" s="1"/>
  <c r="N48" i="30"/>
  <c r="N46" i="30"/>
  <c r="N49" i="30"/>
  <c r="J4" i="30"/>
  <c r="J6" i="30"/>
  <c r="K7" i="30" l="1"/>
  <c r="N7" i="4"/>
  <c r="F7" i="30"/>
  <c r="F6" i="30"/>
  <c r="G6" i="30" s="1"/>
  <c r="F5" i="30"/>
  <c r="F4" i="30"/>
  <c r="F3" i="30"/>
  <c r="E3" i="30" l="1"/>
  <c r="D3" i="30"/>
  <c r="G19" i="30" s="1"/>
  <c r="F46" i="30" s="1"/>
  <c r="B9" i="30"/>
  <c r="E4" i="30"/>
  <c r="D4" i="30"/>
  <c r="G20" i="30" s="1"/>
  <c r="F47" i="30" s="1"/>
  <c r="E5" i="30"/>
  <c r="D5" i="30"/>
  <c r="G21" i="30" s="1"/>
  <c r="F48" i="30" s="1"/>
  <c r="C9" i="30"/>
  <c r="E7" i="30"/>
  <c r="D7" i="30"/>
  <c r="G22" i="30" s="1"/>
  <c r="F49" i="30" s="1"/>
  <c r="H6" i="30"/>
  <c r="I6" i="30" s="1"/>
  <c r="K49" i="30" l="1"/>
  <c r="L49" i="30"/>
  <c r="M49" i="30" s="1"/>
  <c r="L47" i="30"/>
  <c r="M47" i="30" s="1"/>
  <c r="K47" i="30"/>
  <c r="K46" i="30"/>
  <c r="L46" i="30"/>
  <c r="M46" i="30" s="1"/>
  <c r="K48" i="30"/>
  <c r="L48" i="30"/>
  <c r="M48" i="30" s="1"/>
  <c r="N7" i="30"/>
  <c r="O7" i="30" s="1"/>
  <c r="G5" i="30"/>
  <c r="G7" i="30"/>
  <c r="G4" i="30"/>
  <c r="E9" i="30"/>
  <c r="D9" i="30"/>
  <c r="G18" i="30" s="1"/>
  <c r="F45" i="30" s="1"/>
  <c r="G3" i="30"/>
  <c r="D5" i="4"/>
  <c r="K45" i="30" l="1"/>
  <c r="L45" i="30"/>
  <c r="M45" i="30" s="1"/>
  <c r="C9" i="4"/>
  <c r="B9" i="4"/>
  <c r="N6" i="30"/>
  <c r="O6" i="30" s="1"/>
  <c r="N3" i="30"/>
  <c r="O3" i="30" s="1"/>
  <c r="F22" i="30"/>
  <c r="N4" i="30"/>
  <c r="N5" i="30"/>
  <c r="H5" i="30"/>
  <c r="I5" i="30" s="1"/>
  <c r="H4" i="30"/>
  <c r="I4" i="30" s="1"/>
  <c r="G9" i="30"/>
  <c r="H3" i="30"/>
  <c r="H7" i="30"/>
  <c r="I7" i="30" s="1"/>
  <c r="D7" i="4"/>
  <c r="D4" i="4"/>
  <c r="F6" i="4"/>
  <c r="G6" i="4" s="1"/>
  <c r="B9" i="20"/>
  <c r="F19" i="30" l="1"/>
  <c r="O4" i="30"/>
  <c r="F20" i="30"/>
  <c r="O5" i="30"/>
  <c r="F21" i="30"/>
  <c r="N9" i="30"/>
  <c r="F18" i="30" s="1"/>
  <c r="H9" i="30"/>
  <c r="I3" i="30"/>
  <c r="I9" i="30" s="1"/>
  <c r="H6" i="4"/>
  <c r="I6" i="4" s="1"/>
  <c r="C8" i="20"/>
  <c r="B8" i="20"/>
  <c r="C7" i="20"/>
  <c r="B7" i="20"/>
  <c r="D34" i="20" s="1"/>
  <c r="C6" i="20"/>
  <c r="B6" i="20"/>
  <c r="C10" i="20"/>
  <c r="E34" i="20" l="1"/>
  <c r="F10" i="20"/>
  <c r="O9" i="30"/>
  <c r="F36" i="20" l="1"/>
  <c r="J36" i="20"/>
  <c r="G10" i="20" l="1"/>
  <c r="F3" i="4"/>
  <c r="F4" i="4"/>
  <c r="F5" i="4"/>
  <c r="F7" i="4"/>
  <c r="F7" i="20" l="1"/>
  <c r="G7" i="20" s="1"/>
  <c r="F6" i="20"/>
  <c r="E3" i="4"/>
  <c r="E4" i="4"/>
  <c r="E5" i="4"/>
  <c r="E7" i="4"/>
  <c r="O7" i="4"/>
  <c r="N3" i="4"/>
  <c r="N4" i="4"/>
  <c r="O4" i="4" s="1"/>
  <c r="G6" i="20" l="1"/>
  <c r="G4" i="4"/>
  <c r="H4" i="4" s="1"/>
  <c r="I4" i="4" s="1"/>
  <c r="G3" i="4"/>
  <c r="G7" i="4"/>
  <c r="H7" i="4" s="1"/>
  <c r="I7" i="4" s="1"/>
  <c r="G5" i="4"/>
  <c r="H5" i="4" s="1"/>
  <c r="I5" i="4" s="1"/>
  <c r="F8" i="20"/>
  <c r="G8" i="20" s="1"/>
  <c r="N5" i="4"/>
  <c r="O5" i="4" s="1"/>
  <c r="O3" i="4"/>
  <c r="E9" i="4"/>
  <c r="D9" i="4"/>
  <c r="G9" i="4" l="1"/>
  <c r="H3" i="4"/>
  <c r="I3" i="4" l="1"/>
  <c r="I9" i="4" s="1"/>
  <c r="H9" i="4"/>
  <c r="O47" i="53"/>
  <c r="K6" i="4" s="1"/>
  <c r="C9" i="20" l="1"/>
  <c r="F9" i="20" s="1"/>
  <c r="N6" i="4"/>
  <c r="F12" i="20" l="1"/>
  <c r="G9" i="20"/>
  <c r="J12" i="20" s="1"/>
  <c r="N9" i="4"/>
  <c r="O6" i="4"/>
  <c r="O9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kutschera</author>
  </authors>
  <commentList>
    <comment ref="G1" authorId="0" shapeId="0" xr:uid="{00000000-0006-0000-0000-000001000000}">
      <text>
        <r>
          <rPr>
            <b/>
            <sz val="10"/>
            <color indexed="81"/>
            <rFont val="Tahoma"/>
            <family val="2"/>
          </rPr>
          <t>aus Schadenquote errechnet!</t>
        </r>
      </text>
    </comment>
  </commentList>
</comments>
</file>

<file path=xl/sharedStrings.xml><?xml version="1.0" encoding="utf-8"?>
<sst xmlns="http://schemas.openxmlformats.org/spreadsheetml/2006/main" count="403" uniqueCount="166">
  <si>
    <t>Sonstige Informationen</t>
  </si>
  <si>
    <t>BJMW soweit nicht zu Wohnzwecken genutzt / EUR</t>
  </si>
  <si>
    <t>Einbruchdiebstahl</t>
  </si>
  <si>
    <t>Feuer</t>
  </si>
  <si>
    <t>Leitungswasser</t>
  </si>
  <si>
    <t>Sturm</t>
  </si>
  <si>
    <t>Überschwemmung</t>
  </si>
  <si>
    <t>Gebäude</t>
  </si>
  <si>
    <t>Summe</t>
  </si>
  <si>
    <t>Spaltenbeschriftungen</t>
  </si>
  <si>
    <t>Zeilenbeschriftungen</t>
  </si>
  <si>
    <t>Gesamtergebnis</t>
  </si>
  <si>
    <t>Sparte</t>
  </si>
  <si>
    <t>Schaden-aufwand / EUR</t>
  </si>
  <si>
    <t>Anzahl</t>
  </si>
  <si>
    <t>Durchschnitt</t>
  </si>
  <si>
    <t>Schadenbedarf p.a. / EUR</t>
  </si>
  <si>
    <t>Kostenquote / %</t>
  </si>
  <si>
    <t>Nettoprämie / EUR</t>
  </si>
  <si>
    <t>Versicherungs-steuer</t>
  </si>
  <si>
    <t>Bruttoprämie</t>
  </si>
  <si>
    <t>Versicherungssummen</t>
  </si>
  <si>
    <t>Prämiensätze / o/oo</t>
  </si>
  <si>
    <t>Inhalt</t>
  </si>
  <si>
    <t>Kostenquote / % Bieter</t>
  </si>
  <si>
    <t>Kostenquote / % nur für Beispiel</t>
  </si>
  <si>
    <t>a) ab einem wahrscheinlichen Höchstschaden von 100.000 EUR</t>
  </si>
  <si>
    <t>b) für jeden Schaden</t>
  </si>
  <si>
    <t>Gemittelt</t>
  </si>
  <si>
    <t>Quote</t>
  </si>
  <si>
    <t>Glas</t>
  </si>
  <si>
    <t>STABW von Entschädigung</t>
  </si>
  <si>
    <t>Benchmark</t>
  </si>
  <si>
    <t>Standart-abweichung</t>
  </si>
  <si>
    <t>Schaden-durch-schnitt</t>
  </si>
  <si>
    <t>Kreisstadt Bergheim</t>
  </si>
  <si>
    <t>Schadendurchschnitt</t>
  </si>
  <si>
    <t>Standartabweichung</t>
  </si>
  <si>
    <t xml:space="preserve"> Kreisstadt Bergheim Niedrigster Wert</t>
  </si>
  <si>
    <t>Kreisstadt Bergheim Durchschnitt</t>
  </si>
  <si>
    <t>Kreisstadt Bergheim Durchschnitt inkl Standartabweichung</t>
  </si>
  <si>
    <t>Benchmark Niedrigster Wert</t>
  </si>
  <si>
    <t>Benchmark Durchschnitt</t>
  </si>
  <si>
    <t>Benchmark Durchschnitt inkl Standartabweichung</t>
  </si>
  <si>
    <t>Überschwemmung/
Rückstau/Erdbeben</t>
  </si>
  <si>
    <t>Überschwemmung, Rückstau, Erdbeben</t>
  </si>
  <si>
    <t>Jahr</t>
  </si>
  <si>
    <t>Anschrift (falls vorhanden)</t>
  </si>
  <si>
    <t>Schadenursache</t>
  </si>
  <si>
    <t>Bemerkungen</t>
  </si>
  <si>
    <t>Pos. Nr.</t>
  </si>
  <si>
    <t>Aufwand</t>
  </si>
  <si>
    <t>Davon Reserve</t>
  </si>
  <si>
    <t>Summe von Aufwand</t>
  </si>
  <si>
    <t>Gesamt: Summe von Aufwand</t>
  </si>
  <si>
    <t>Gesamt: Anzahl von Aufwand2</t>
  </si>
  <si>
    <t>Anzahl von Aufwand2</t>
  </si>
  <si>
    <t>Selbstbeteiligungen / Schadenaufwand</t>
  </si>
  <si>
    <t>2000</t>
  </si>
  <si>
    <t>5000</t>
  </si>
  <si>
    <t>Summe von 2000</t>
  </si>
  <si>
    <t>Summe von 5000</t>
  </si>
  <si>
    <t>Differenzen p.a.</t>
  </si>
  <si>
    <t>Zürs-
Zone</t>
  </si>
  <si>
    <t>Denkmalschutz</t>
  </si>
  <si>
    <t>GPS Daten</t>
  </si>
  <si>
    <t>Versicherungssumme Gebäude Leitungswasser</t>
  </si>
  <si>
    <t>Versicherungssumme Gebäude Sturm</t>
  </si>
  <si>
    <t>Versicherungssumme Gebäude Feuer</t>
  </si>
  <si>
    <t xml:space="preserve">Versicherungssumme Inventar Feuer </t>
  </si>
  <si>
    <t>Versicherungssumme Inventar Leitungswasser</t>
  </si>
  <si>
    <t xml:space="preserve">Versicherungssumme Inventar Sturm </t>
  </si>
  <si>
    <t>Versicherungssumme Inventar Einbruchdiebstahl</t>
  </si>
  <si>
    <t>Versicherungssumme Inventar Überschwemmung</t>
  </si>
  <si>
    <t xml:space="preserve">bitte kreuzen Sie nur eine Alternative an, wenn Sie diese Leistungserhöhungen anbieten! </t>
  </si>
  <si>
    <t>bitte kreuzen Sie nur eine Alternative an, wenn Sie diese Leistung anbieten!</t>
  </si>
  <si>
    <t>Rurtal-Schule,Parkstr. 21u. 23, 52525 Heinsberg</t>
  </si>
  <si>
    <t>VHS-Gebäude, Westpromenade 9, 52525 Heinsberg</t>
  </si>
  <si>
    <t>Kreisgymansium Heinsberg, Linderner Str. 30,Klevchen  52525 Heinsberg inkl. Neubau Forum</t>
  </si>
  <si>
    <t>Berufskolleg Erkelenz, Westpromenade 2/Am Schulring 41812 Erkelenz</t>
  </si>
  <si>
    <t>Berufskolleg Erkelenz, Westpromenade 2/Aachener Str. Parkhaus 41812 Erkelenz</t>
  </si>
  <si>
    <t>Berufskolleg Erkelenz, Westpromenade 2/Am Schulring Sporthalle</t>
  </si>
  <si>
    <t>Kreisverwaltung Heinsberg, Valkenburger Str. 45, 52525 Heinsberg</t>
  </si>
  <si>
    <t>Berufskolleg Geilenkirchen, Berliner Ring, Parkhaus</t>
  </si>
  <si>
    <t>Janusz-Korczak-Schule, Siemenstr. 2, 52525 Heinsberg</t>
  </si>
  <si>
    <t>Mercator-Schule (ehem. Jakob-Muth-Schule) Gangelt, Frankenstraße 41, 52538 Gangelt</t>
  </si>
  <si>
    <t>Jugendzeltplatz Selfkant Süsterseel, Waldstraße 55</t>
  </si>
  <si>
    <t>Jugendzeltplatz Hückelhoven, Brachelen, Annastr.</t>
  </si>
  <si>
    <t>Bildungshaus des Kreises Heinsberg, Oberbrucher Str. 1, 52525 Heinsberg</t>
  </si>
  <si>
    <t>Haus der Musik, Aachener Str 49, 41812 Erkelenz</t>
  </si>
  <si>
    <t>Kreisbauhof, Scheifendahl 25, 52525 Heinsberg</t>
  </si>
  <si>
    <t>Kreisbauhof, Scheifendahl 25, 52525 Heinsberg, Wohnhaus mit Garage</t>
  </si>
  <si>
    <t>Rettungswache Erkelenz, Zur Feuewache 8, 41812 Erkelenz</t>
  </si>
  <si>
    <t>Rettungswache Geilenkirchen, Kreuzstraße 33, 52511 Geilenkirchen</t>
  </si>
  <si>
    <t>Abfallumschlaganlage Hanbusch, Am Hanbusch 52538 Gangelt</t>
  </si>
  <si>
    <t>Abfallumschlaganlage Hanbusch, Am Hanbusch 52538 Gangelt, Sickerwasseraufbereitung</t>
  </si>
  <si>
    <t>Abfallumschlaganlage Hanbusch, Am Hanbusch 52538 Gangelt, Sonderabfallzwischenlager</t>
  </si>
  <si>
    <t>Abfallumschlaganlage Rothenbach, 41849 Wassenberg</t>
  </si>
  <si>
    <t>Wohnhaus, Valkenburger Straße 43, 52525 Heinsberg</t>
  </si>
  <si>
    <t>2 Verwaltungsgebäude,1 Parkhaus,  Mühlenstraße 30, 41812 Erkelenz</t>
  </si>
  <si>
    <t>Nutzung / Anschrift</t>
  </si>
  <si>
    <t>Feuerschutzzentrum, Zur Feuerwache 2 bis 6, 41812 Erkelenz</t>
  </si>
  <si>
    <t>voraussichtlicher Kauf Mitte 2026</t>
  </si>
  <si>
    <t>Containerklassen, Floßbachschule Parkstraße 20, 52525 Heinsberg</t>
  </si>
  <si>
    <t>Containerklassen, Parkstraße 23, Rurtal-Schule, 52525 Heinsberg</t>
  </si>
  <si>
    <t>Gebäude I. u. K. und ABC-Trupp der Feuerwehr, Rheinstraße 107, 41836 Hückelhoven</t>
  </si>
  <si>
    <t>Sittarder Str. 23, 52538 Gangelt, Nebenstelle Jugendamt</t>
  </si>
  <si>
    <t>Rathausplatz 12, 52531 Übach-Palenberg, Nebenstelle Jugendamt</t>
  </si>
  <si>
    <t>Ekelenzer Str. 123, 41849 Wassenberg, Nebenstelle Jugendamt</t>
  </si>
  <si>
    <t>Borsigstraße 80, 52525 Heinsberg, Verwaltungsgebäude Katasteramt</t>
  </si>
  <si>
    <t>Verwaltungsgebäude Oberbrucher Str. 70-72, 52525 Heinsberg</t>
  </si>
  <si>
    <t>Verwaltungsgebäude Oberbrucher Str. 74-76, 52525 Heinsberg</t>
  </si>
  <si>
    <t>Rurtal-Schule Nebenstelle, Boos-Fremery-Str. 62, 52525 Heinsberg</t>
  </si>
  <si>
    <t>Schulpsychologische Beratungsstelle, Siemensstraße 3, 52525 Heinsberg</t>
  </si>
  <si>
    <t>Nebenstelle, Gesundheitsamt Erkelenz, Atelierstraße 5, 41812 Erkelenz</t>
  </si>
  <si>
    <t>Nebenstelle, Gesundheitsamt Geilenkirchen, Vogteistraße 16, 52511 Geilenkirchen</t>
  </si>
  <si>
    <t>Alarmanlage ohne Aufschaltung vorhanden</t>
  </si>
  <si>
    <t>Berufskolleg Geilenkirchen, Berliner Ring 56, Hausmeisterwohnhaus</t>
  </si>
  <si>
    <t>Berufskolleg Geilenkirchen, Bauchemer Gracht 42, 2 Turnhallen</t>
  </si>
  <si>
    <t>Berufskolleg Geilenkirchen Berliner Ring 44-54 sowie Erlenweg 2</t>
  </si>
  <si>
    <t>Berufskolleg Geilenkirchen, Berliner Ring 44 - 54, 2 Sporthallen</t>
  </si>
  <si>
    <t>50°58'05.8"N 6°06'40.8"E</t>
  </si>
  <si>
    <t>51°06'55.6"N 6°09'50.6"E</t>
  </si>
  <si>
    <t>Jugendzeltplatz Wassenberg, Entenpfuhl 2</t>
  </si>
  <si>
    <t>51°00'57.4"N 6°12'48.2"E</t>
  </si>
  <si>
    <t>50°59'36.3"N 6°04'14.3"E</t>
  </si>
  <si>
    <t>50°59'38.1"N 6°04'14.2"E</t>
  </si>
  <si>
    <t>50°59'36.8"N 6°04'13.1"E</t>
  </si>
  <si>
    <t>50°59'37.2"N 6°04'14.2"E</t>
  </si>
  <si>
    <t>Containerklassen, Peter-Jordan-Schule, In der Schlee  101 Hückelhoven</t>
  </si>
  <si>
    <t>Containerklassen, Mercator-Schule, frankenstraße 41,  Gangelt</t>
  </si>
  <si>
    <t>Berufskolleg Geilenkirchen, Berliner Ring 44-54</t>
  </si>
  <si>
    <t>Kreisverwaltung, Valkenburger Str. 45</t>
  </si>
  <si>
    <t>Berufskolleg Erkelenz Westpromenade 2</t>
  </si>
  <si>
    <t>Jugendzeltplatz Brachelen, Annastr.</t>
  </si>
  <si>
    <t>Rurtal-Schule , Parkstraße  21 u. 23</t>
  </si>
  <si>
    <t>Haus der Musik, Erkelenz, Aachener Str. 49</t>
  </si>
  <si>
    <t>Kreisverwaltung Heinsberg, Valkenburger Str. 45</t>
  </si>
  <si>
    <t>Versicherungssumme Gebäude Überschwemmung</t>
  </si>
  <si>
    <t>PV-Anlage 9,88 kWp</t>
  </si>
  <si>
    <t>PV-Anlage 6,175 kWp</t>
  </si>
  <si>
    <t>PV-Anlage 80,925 kWp</t>
  </si>
  <si>
    <t>PV-Anlage 25,35 kWp</t>
  </si>
  <si>
    <t>PV-Anlage 99,9 kWp</t>
  </si>
  <si>
    <t>PV-Anlage 16,6 kWp</t>
  </si>
  <si>
    <t>PV-Anlage 9,96 kWp</t>
  </si>
  <si>
    <t>PV-Anlage 69,305 kWp</t>
  </si>
  <si>
    <t>PV-Anlage 99,63 kWp</t>
  </si>
  <si>
    <t>PV-Anlagen 17,75 kWp</t>
  </si>
  <si>
    <t>PV-Anlagen 67,06 kWp</t>
  </si>
  <si>
    <t>PV-Anlage 55,8 kWp</t>
  </si>
  <si>
    <t>Los 1</t>
  </si>
  <si>
    <t>Los 2</t>
  </si>
  <si>
    <t>Katasteramt</t>
  </si>
  <si>
    <t>Versicherungssummen 3/71 / EUR</t>
  </si>
  <si>
    <t>Amt / Art der versicherten Anlagen</t>
  </si>
  <si>
    <t>Geschwindigkeitsmessgeräte</t>
  </si>
  <si>
    <t>Naturalersatz gem. 1.17 der Allgemeine Vertragsbedingungen 2026 wird angeboten:</t>
  </si>
  <si>
    <t>Mehrkosten infolge eines Sachschadens gem. 1.27.8 der Allgemeine Vertragsbedingungen 2026</t>
  </si>
  <si>
    <t>Schiedsgerichtsklausel gem. 1.26 der Allgemeine Vertragsbedingungen 2026 wird angeboten</t>
  </si>
  <si>
    <t>a) mit 100.000 EUR je Monat oder</t>
  </si>
  <si>
    <t>b) mit unbegrenzter Summe je Monat</t>
  </si>
  <si>
    <t>mit Kostentragung durch den Versicherer nach 2.26.1</t>
  </si>
  <si>
    <t>Versicherungssumme Inventar Überschwemmung Prüfung</t>
  </si>
  <si>
    <t>Versicherungssumme Gebäude Überschwemmung Prüfung</t>
  </si>
  <si>
    <t>Schiedsgerichtsklausel gem. 1.22.1 des Versicherungsvertrages zur Elektronikversicherung (Los 2) wird angeboten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</si>
</sst>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-* #,##0.00\ [$€-1]_-;\-* #,##0.00\ [$€-1]_-;_-* &quot;-&quot;??\ [$€-1]_-"/>
    <numFmt numFmtId="165" formatCode="000"/>
    <numFmt numFmtId="166" formatCode="#,##0\ &quot;€&quot;"/>
    <numFmt numFmtId="167" formatCode="0.0000"/>
    <numFmt numFmtId="168" formatCode="#,##0_ ;\-#,##0\ "/>
    <numFmt numFmtId="169" formatCode="#,##0.00_ ;\-#,##0.00\ "/>
  </numFmts>
  <fonts count="44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MS Sans Serif"/>
      <family val="2"/>
    </font>
    <font>
      <sz val="10"/>
      <name val="Arial"/>
      <family val="2"/>
    </font>
    <font>
      <b/>
      <sz val="10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sz val="10"/>
      <name val="MS Sans Serif"/>
      <family val="2"/>
    </font>
    <font>
      <sz val="11"/>
      <color theme="1"/>
      <name val="Verdana"/>
      <family val="2"/>
    </font>
    <font>
      <u/>
      <sz val="7.5"/>
      <color indexed="12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MS Sans Serif"/>
    </font>
    <font>
      <sz val="8"/>
      <color rgb="FF000000"/>
      <name val="Tahoma"/>
      <family val="2"/>
    </font>
    <font>
      <sz val="10"/>
      <color theme="1"/>
      <name val="Tahoma"/>
      <family val="2"/>
    </font>
    <font>
      <sz val="10"/>
      <name val="Arial"/>
    </font>
    <font>
      <sz val="11"/>
      <name val="Calibri"/>
      <family val="2"/>
      <scheme val="minor"/>
    </font>
    <font>
      <sz val="14"/>
      <name val="Bebas Neue"/>
      <family val="2"/>
    </font>
    <font>
      <sz val="10"/>
      <name val="MS Sans Serif"/>
    </font>
    <font>
      <sz val="8"/>
      <name val="MS Sans Serif"/>
    </font>
    <font>
      <sz val="11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81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20" borderId="1" applyNumberFormat="0" applyAlignment="0" applyProtection="0"/>
    <xf numFmtId="0" fontId="15" fillId="20" borderId="2" applyNumberFormat="0" applyAlignment="0" applyProtection="0"/>
    <xf numFmtId="0" fontId="16" fillId="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164" fontId="10" fillId="0" borderId="0" applyFont="0" applyFill="0" applyBorder="0" applyAlignment="0" applyProtection="0"/>
    <xf numFmtId="0" fontId="19" fillId="4" borderId="0" applyNumberFormat="0" applyBorder="0" applyAlignment="0" applyProtection="0"/>
    <xf numFmtId="0" fontId="20" fillId="21" borderId="0" applyNumberFormat="0" applyBorder="0" applyAlignment="0" applyProtection="0"/>
    <xf numFmtId="0" fontId="10" fillId="22" borderId="4" applyNumberFormat="0" applyFont="0" applyAlignment="0" applyProtection="0"/>
    <xf numFmtId="0" fontId="21" fillId="3" borderId="0" applyNumberFormat="0" applyBorder="0" applyAlignment="0" applyProtection="0"/>
    <xf numFmtId="0" fontId="10" fillId="0" borderId="0"/>
    <xf numFmtId="0" fontId="22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8" applyNumberFormat="0" applyFill="0" applyAlignment="0" applyProtection="0"/>
    <xf numFmtId="0" fontId="27" fillId="0" borderId="0" applyNumberFormat="0" applyFill="0" applyBorder="0" applyAlignment="0" applyProtection="0"/>
    <xf numFmtId="0" fontId="28" fillId="23" borderId="9" applyNumberFormat="0" applyAlignment="0" applyProtection="0"/>
    <xf numFmtId="0" fontId="8" fillId="0" borderId="0"/>
    <xf numFmtId="0" fontId="8" fillId="0" borderId="0"/>
    <xf numFmtId="0" fontId="7" fillId="0" borderId="0"/>
    <xf numFmtId="0" fontId="32" fillId="0" borderId="0"/>
    <xf numFmtId="0" fontId="6" fillId="0" borderId="0"/>
    <xf numFmtId="0" fontId="31" fillId="0" borderId="0"/>
    <xf numFmtId="0" fontId="5" fillId="0" borderId="0"/>
    <xf numFmtId="0" fontId="8" fillId="0" borderId="0"/>
    <xf numFmtId="164" fontId="8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37" fillId="0" borderId="0"/>
    <xf numFmtId="0" fontId="4" fillId="0" borderId="0"/>
    <xf numFmtId="0" fontId="38" fillId="0" borderId="0"/>
    <xf numFmtId="0" fontId="3" fillId="0" borderId="0"/>
    <xf numFmtId="0" fontId="2" fillId="0" borderId="0"/>
    <xf numFmtId="0" fontId="1" fillId="0" borderId="0"/>
    <xf numFmtId="44" fontId="1" fillId="0" borderId="0" applyFont="0" applyFill="0" applyBorder="0" applyAlignment="0" applyProtection="0"/>
    <xf numFmtId="44" fontId="41" fillId="0" borderId="0" applyFont="0" applyFill="0" applyBorder="0" applyAlignment="0" applyProtection="0"/>
  </cellStyleXfs>
  <cellXfs count="113">
    <xf numFmtId="0" fontId="0" fillId="0" borderId="0" xfId="0"/>
    <xf numFmtId="0" fontId="0" fillId="0" borderId="0" xfId="0" applyProtection="1">
      <protection hidden="1"/>
    </xf>
    <xf numFmtId="0" fontId="0" fillId="24" borderId="10" xfId="0" applyFill="1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0" fillId="25" borderId="10" xfId="0" applyFill="1" applyBorder="1" applyProtection="1">
      <protection hidden="1"/>
    </xf>
    <xf numFmtId="4" fontId="0" fillId="25" borderId="10" xfId="0" applyNumberFormat="1" applyFill="1" applyBorder="1" applyProtection="1">
      <protection hidden="1"/>
    </xf>
    <xf numFmtId="3" fontId="0" fillId="25" borderId="10" xfId="0" applyNumberFormat="1" applyFill="1" applyBorder="1" applyProtection="1">
      <protection hidden="1"/>
    </xf>
    <xf numFmtId="0" fontId="0" fillId="0" borderId="10" xfId="0" applyBorder="1" applyProtection="1">
      <protection locked="0"/>
    </xf>
    <xf numFmtId="4" fontId="0" fillId="0" borderId="0" xfId="0" applyNumberFormat="1" applyProtection="1">
      <protection hidden="1"/>
    </xf>
    <xf numFmtId="0" fontId="10" fillId="0" borderId="0" xfId="53"/>
    <xf numFmtId="4" fontId="0" fillId="0" borderId="0" xfId="0" applyNumberFormat="1"/>
    <xf numFmtId="0" fontId="30" fillId="0" borderId="0" xfId="0" applyFont="1" applyProtection="1">
      <protection hidden="1"/>
    </xf>
    <xf numFmtId="4" fontId="29" fillId="25" borderId="10" xfId="0" applyNumberFormat="1" applyFont="1" applyFill="1" applyBorder="1" applyProtection="1">
      <protection hidden="1"/>
    </xf>
    <xf numFmtId="0" fontId="9" fillId="25" borderId="15" xfId="0" applyFont="1" applyFill="1" applyBorder="1" applyProtection="1">
      <protection hidden="1"/>
    </xf>
    <xf numFmtId="0" fontId="9" fillId="25" borderId="12" xfId="0" applyFont="1" applyFill="1" applyBorder="1" applyProtection="1">
      <protection hidden="1"/>
    </xf>
    <xf numFmtId="2" fontId="0" fillId="0" borderId="0" xfId="0" applyNumberFormat="1" applyProtection="1">
      <protection hidden="1"/>
    </xf>
    <xf numFmtId="0" fontId="31" fillId="25" borderId="10" xfId="0" applyFont="1" applyFill="1" applyBorder="1" applyAlignment="1" applyProtection="1">
      <alignment wrapText="1"/>
      <protection hidden="1"/>
    </xf>
    <xf numFmtId="4" fontId="0" fillId="0" borderId="0" xfId="0" applyNumberFormat="1" applyAlignment="1">
      <alignment horizontal="center"/>
    </xf>
    <xf numFmtId="0" fontId="0" fillId="0" borderId="11" xfId="0" applyBorder="1" applyProtection="1">
      <protection hidden="1"/>
    </xf>
    <xf numFmtId="1" fontId="0" fillId="25" borderId="10" xfId="0" applyNumberFormat="1" applyFill="1" applyBorder="1" applyProtection="1">
      <protection hidden="1"/>
    </xf>
    <xf numFmtId="0" fontId="0" fillId="0" borderId="0" xfId="0" pivotButton="1"/>
    <xf numFmtId="0" fontId="0" fillId="0" borderId="0" xfId="0" applyAlignment="1">
      <alignment horizontal="left"/>
    </xf>
    <xf numFmtId="0" fontId="31" fillId="25" borderId="11" xfId="0" applyFont="1" applyFill="1" applyBorder="1" applyProtection="1">
      <protection hidden="1"/>
    </xf>
    <xf numFmtId="0" fontId="31" fillId="25" borderId="20" xfId="0" applyFont="1" applyFill="1" applyBorder="1" applyProtection="1">
      <protection hidden="1"/>
    </xf>
    <xf numFmtId="0" fontId="31" fillId="25" borderId="0" xfId="0" applyFont="1" applyFill="1" applyProtection="1">
      <protection hidden="1"/>
    </xf>
    <xf numFmtId="0" fontId="31" fillId="25" borderId="21" xfId="0" applyFont="1" applyFill="1" applyBorder="1" applyProtection="1">
      <protection hidden="1"/>
    </xf>
    <xf numFmtId="0" fontId="31" fillId="25" borderId="13" xfId="0" applyFont="1" applyFill="1" applyBorder="1" applyProtection="1">
      <protection hidden="1"/>
    </xf>
    <xf numFmtId="0" fontId="31" fillId="25" borderId="14" xfId="0" applyFont="1" applyFill="1" applyBorder="1" applyProtection="1">
      <protection hidden="1"/>
    </xf>
    <xf numFmtId="0" fontId="31" fillId="25" borderId="19" xfId="0" applyFont="1" applyFill="1" applyBorder="1" applyProtection="1">
      <protection hidden="1"/>
    </xf>
    <xf numFmtId="0" fontId="35" fillId="26" borderId="15" xfId="0" applyFont="1" applyFill="1" applyBorder="1" applyProtection="1">
      <protection hidden="1"/>
    </xf>
    <xf numFmtId="0" fontId="35" fillId="26" borderId="11" xfId="0" applyFont="1" applyFill="1" applyBorder="1" applyProtection="1">
      <protection hidden="1"/>
    </xf>
    <xf numFmtId="0" fontId="35" fillId="26" borderId="20" xfId="0" applyFont="1" applyFill="1" applyBorder="1" applyProtection="1">
      <protection hidden="1"/>
    </xf>
    <xf numFmtId="0" fontId="35" fillId="26" borderId="12" xfId="0" applyFont="1" applyFill="1" applyBorder="1" applyProtection="1">
      <protection hidden="1"/>
    </xf>
    <xf numFmtId="0" fontId="35" fillId="26" borderId="0" xfId="0" applyFont="1" applyFill="1" applyProtection="1">
      <protection hidden="1"/>
    </xf>
    <xf numFmtId="0" fontId="35" fillId="26" borderId="21" xfId="0" applyFont="1" applyFill="1" applyBorder="1" applyProtection="1">
      <protection hidden="1"/>
    </xf>
    <xf numFmtId="0" fontId="35" fillId="26" borderId="13" xfId="0" applyFont="1" applyFill="1" applyBorder="1" applyProtection="1">
      <protection hidden="1"/>
    </xf>
    <xf numFmtId="0" fontId="35" fillId="26" borderId="14" xfId="0" applyFont="1" applyFill="1" applyBorder="1" applyProtection="1">
      <protection hidden="1"/>
    </xf>
    <xf numFmtId="0" fontId="35" fillId="26" borderId="19" xfId="0" applyFont="1" applyFill="1" applyBorder="1" applyProtection="1">
      <protection hidden="1"/>
    </xf>
    <xf numFmtId="0" fontId="35" fillId="27" borderId="15" xfId="0" applyFont="1" applyFill="1" applyBorder="1" applyProtection="1">
      <protection hidden="1"/>
    </xf>
    <xf numFmtId="0" fontId="35" fillId="27" borderId="11" xfId="0" applyFont="1" applyFill="1" applyBorder="1" applyProtection="1">
      <protection hidden="1"/>
    </xf>
    <xf numFmtId="4" fontId="35" fillId="27" borderId="11" xfId="0" applyNumberFormat="1" applyFont="1" applyFill="1" applyBorder="1" applyProtection="1">
      <protection hidden="1"/>
    </xf>
    <xf numFmtId="0" fontId="35" fillId="27" borderId="20" xfId="0" applyFont="1" applyFill="1" applyBorder="1" applyProtection="1">
      <protection hidden="1"/>
    </xf>
    <xf numFmtId="0" fontId="35" fillId="27" borderId="12" xfId="0" applyFont="1" applyFill="1" applyBorder="1" applyProtection="1">
      <protection hidden="1"/>
    </xf>
    <xf numFmtId="4" fontId="35" fillId="27" borderId="0" xfId="0" applyNumberFormat="1" applyFont="1" applyFill="1" applyProtection="1">
      <protection hidden="1"/>
    </xf>
    <xf numFmtId="0" fontId="35" fillId="27" borderId="0" xfId="0" applyFont="1" applyFill="1" applyProtection="1">
      <protection hidden="1"/>
    </xf>
    <xf numFmtId="0" fontId="35" fillId="27" borderId="21" xfId="0" applyFont="1" applyFill="1" applyBorder="1" applyProtection="1">
      <protection hidden="1"/>
    </xf>
    <xf numFmtId="0" fontId="35" fillId="27" borderId="13" xfId="0" applyFont="1" applyFill="1" applyBorder="1" applyProtection="1">
      <protection hidden="1"/>
    </xf>
    <xf numFmtId="0" fontId="35" fillId="27" borderId="14" xfId="0" applyFont="1" applyFill="1" applyBorder="1" applyProtection="1">
      <protection hidden="1"/>
    </xf>
    <xf numFmtId="4" fontId="35" fillId="27" borderId="14" xfId="0" applyNumberFormat="1" applyFont="1" applyFill="1" applyBorder="1" applyProtection="1">
      <protection hidden="1"/>
    </xf>
    <xf numFmtId="0" fontId="35" fillId="27" borderId="19" xfId="0" applyFont="1" applyFill="1" applyBorder="1" applyProtection="1">
      <protection hidden="1"/>
    </xf>
    <xf numFmtId="1" fontId="0" fillId="0" borderId="0" xfId="0" applyNumberFormat="1" applyAlignment="1">
      <alignment horizontal="left"/>
    </xf>
    <xf numFmtId="0" fontId="35" fillId="26" borderId="10" xfId="0" applyFont="1" applyFill="1" applyBorder="1" applyProtection="1">
      <protection hidden="1"/>
    </xf>
    <xf numFmtId="4" fontId="35" fillId="26" borderId="10" xfId="0" applyNumberFormat="1" applyFont="1" applyFill="1" applyBorder="1" applyProtection="1">
      <protection hidden="1"/>
    </xf>
    <xf numFmtId="4" fontId="35" fillId="27" borderId="10" xfId="0" applyNumberFormat="1" applyFont="1" applyFill="1" applyBorder="1" applyProtection="1">
      <protection hidden="1"/>
    </xf>
    <xf numFmtId="0" fontId="35" fillId="26" borderId="16" xfId="0" applyFont="1" applyFill="1" applyBorder="1" applyProtection="1">
      <protection hidden="1"/>
    </xf>
    <xf numFmtId="0" fontId="35" fillId="26" borderId="18" xfId="0" applyFont="1" applyFill="1" applyBorder="1" applyProtection="1">
      <protection hidden="1"/>
    </xf>
    <xf numFmtId="0" fontId="35" fillId="26" borderId="17" xfId="0" applyFont="1" applyFill="1" applyBorder="1" applyProtection="1">
      <protection hidden="1"/>
    </xf>
    <xf numFmtId="0" fontId="35" fillId="26" borderId="10" xfId="0" applyFont="1" applyFill="1" applyBorder="1" applyAlignment="1" applyProtection="1">
      <alignment horizontal="right" wrapText="1"/>
      <protection hidden="1"/>
    </xf>
    <xf numFmtId="4" fontId="35" fillId="27" borderId="10" xfId="0" applyNumberFormat="1" applyFont="1" applyFill="1" applyBorder="1" applyAlignment="1" applyProtection="1">
      <alignment horizontal="right" wrapText="1"/>
      <protection hidden="1"/>
    </xf>
    <xf numFmtId="0" fontId="35" fillId="27" borderId="10" xfId="0" applyFont="1" applyFill="1" applyBorder="1" applyAlignment="1" applyProtection="1">
      <alignment horizontal="right" wrapText="1"/>
      <protection hidden="1"/>
    </xf>
    <xf numFmtId="4" fontId="35" fillId="27" borderId="18" xfId="0" applyNumberFormat="1" applyFont="1" applyFill="1" applyBorder="1" applyProtection="1">
      <protection hidden="1"/>
    </xf>
    <xf numFmtId="0" fontId="35" fillId="27" borderId="18" xfId="0" applyFont="1" applyFill="1" applyBorder="1" applyProtection="1">
      <protection hidden="1"/>
    </xf>
    <xf numFmtId="0" fontId="0" fillId="25" borderId="10" xfId="0" applyFill="1" applyBorder="1" applyAlignment="1" applyProtection="1">
      <alignment wrapText="1"/>
      <protection hidden="1"/>
    </xf>
    <xf numFmtId="0" fontId="34" fillId="0" borderId="22" xfId="0" applyFont="1" applyBorder="1"/>
    <xf numFmtId="0" fontId="34" fillId="0" borderId="22" xfId="0" applyFont="1" applyBorder="1" applyAlignment="1">
      <alignment horizontal="right"/>
    </xf>
    <xf numFmtId="0" fontId="0" fillId="0" borderId="10" xfId="0" applyBorder="1"/>
    <xf numFmtId="0" fontId="8" fillId="0" borderId="0" xfId="53" applyFont="1"/>
    <xf numFmtId="0" fontId="34" fillId="0" borderId="22" xfId="53" applyFont="1" applyBorder="1" applyAlignment="1">
      <alignment horizontal="right"/>
    </xf>
    <xf numFmtId="4" fontId="10" fillId="0" borderId="0" xfId="53" applyNumberFormat="1"/>
    <xf numFmtId="0" fontId="39" fillId="28" borderId="10" xfId="77" applyFont="1" applyFill="1" applyBorder="1" applyAlignment="1">
      <alignment wrapText="1"/>
    </xf>
    <xf numFmtId="0" fontId="39" fillId="28" borderId="0" xfId="77" applyFont="1" applyFill="1"/>
    <xf numFmtId="167" fontId="39" fillId="28" borderId="0" xfId="77" applyNumberFormat="1" applyFont="1" applyFill="1" applyAlignment="1">
      <alignment wrapText="1"/>
    </xf>
    <xf numFmtId="167" fontId="39" fillId="28" borderId="0" xfId="77" applyNumberFormat="1" applyFont="1" applyFill="1"/>
    <xf numFmtId="0" fontId="39" fillId="28" borderId="0" xfId="77" applyFont="1" applyFill="1" applyAlignment="1">
      <alignment wrapText="1"/>
    </xf>
    <xf numFmtId="0" fontId="39" fillId="28" borderId="0" xfId="77" applyFont="1" applyFill="1" applyAlignment="1">
      <alignment horizontal="right"/>
    </xf>
    <xf numFmtId="0" fontId="40" fillId="28" borderId="0" xfId="77" applyFont="1" applyFill="1"/>
    <xf numFmtId="166" fontId="39" fillId="28" borderId="0" xfId="77" applyNumberFormat="1" applyFont="1" applyFill="1"/>
    <xf numFmtId="0" fontId="39" fillId="28" borderId="16" xfId="77" applyFont="1" applyFill="1" applyBorder="1" applyAlignment="1">
      <alignment wrapText="1"/>
    </xf>
    <xf numFmtId="0" fontId="39" fillId="28" borderId="24" xfId="77" applyFont="1" applyFill="1" applyBorder="1" applyAlignment="1">
      <alignment wrapText="1"/>
    </xf>
    <xf numFmtId="166" fontId="39" fillId="28" borderId="24" xfId="77" applyNumberFormat="1" applyFont="1" applyFill="1" applyBorder="1" applyAlignment="1">
      <alignment wrapText="1"/>
    </xf>
    <xf numFmtId="0" fontId="39" fillId="28" borderId="13" xfId="77" applyFont="1" applyFill="1" applyBorder="1" applyAlignment="1">
      <alignment wrapText="1"/>
    </xf>
    <xf numFmtId="0" fontId="39" fillId="28" borderId="23" xfId="0" applyFont="1" applyFill="1" applyBorder="1"/>
    <xf numFmtId="0" fontId="39" fillId="28" borderId="23" xfId="0" applyFont="1" applyFill="1" applyBorder="1" applyAlignment="1">
      <alignment wrapText="1"/>
    </xf>
    <xf numFmtId="0" fontId="39" fillId="28" borderId="15" xfId="0" applyFont="1" applyFill="1" applyBorder="1" applyAlignment="1">
      <alignment wrapText="1"/>
    </xf>
    <xf numFmtId="0" fontId="0" fillId="0" borderId="23" xfId="0" applyBorder="1"/>
    <xf numFmtId="44" fontId="0" fillId="0" borderId="10" xfId="80" applyFont="1" applyBorder="1"/>
    <xf numFmtId="0" fontId="0" fillId="24" borderId="10" xfId="0" applyFill="1" applyBorder="1" applyAlignment="1" applyProtection="1">
      <alignment vertical="center" wrapText="1"/>
      <protection hidden="1"/>
    </xf>
    <xf numFmtId="0" fontId="0" fillId="24" borderId="10" xfId="0" applyFill="1" applyBorder="1" applyAlignment="1" applyProtection="1">
      <alignment horizontal="center"/>
      <protection hidden="1"/>
    </xf>
    <xf numFmtId="4" fontId="0" fillId="24" borderId="10" xfId="0" applyNumberFormat="1" applyFill="1" applyBorder="1" applyAlignment="1" applyProtection="1">
      <alignment vertical="center" wrapText="1"/>
      <protection hidden="1"/>
    </xf>
    <xf numFmtId="168" fontId="0" fillId="0" borderId="0" xfId="0" applyNumberFormat="1"/>
    <xf numFmtId="169" fontId="0" fillId="0" borderId="0" xfId="0" applyNumberFormat="1"/>
    <xf numFmtId="0" fontId="43" fillId="29" borderId="10" xfId="77" applyFont="1" applyFill="1" applyBorder="1" applyAlignment="1">
      <alignment wrapText="1"/>
    </xf>
    <xf numFmtId="0" fontId="43" fillId="29" borderId="24" xfId="77" applyFont="1" applyFill="1" applyBorder="1" applyAlignment="1">
      <alignment wrapText="1"/>
    </xf>
    <xf numFmtId="0" fontId="43" fillId="29" borderId="23" xfId="77" applyFont="1" applyFill="1" applyBorder="1" applyAlignment="1">
      <alignment wrapText="1"/>
    </xf>
    <xf numFmtId="0" fontId="39" fillId="28" borderId="25" xfId="77" applyFont="1" applyFill="1" applyBorder="1" applyAlignment="1">
      <alignment wrapText="1"/>
    </xf>
    <xf numFmtId="0" fontId="39" fillId="28" borderId="26" xfId="0" applyFont="1" applyFill="1" applyBorder="1" applyAlignment="1">
      <alignment wrapText="1"/>
    </xf>
    <xf numFmtId="3" fontId="39" fillId="28" borderId="10" xfId="77" applyNumberFormat="1" applyFont="1" applyFill="1" applyBorder="1"/>
    <xf numFmtId="3" fontId="39" fillId="28" borderId="23" xfId="0" applyNumberFormat="1" applyFont="1" applyFill="1" applyBorder="1"/>
    <xf numFmtId="0" fontId="39" fillId="30" borderId="24" xfId="77" applyFont="1" applyFill="1" applyBorder="1" applyAlignment="1" applyProtection="1">
      <alignment wrapText="1"/>
      <protection locked="0"/>
    </xf>
    <xf numFmtId="0" fontId="39" fillId="30" borderId="10" xfId="77" applyFont="1" applyFill="1" applyBorder="1" applyProtection="1">
      <protection locked="0"/>
    </xf>
    <xf numFmtId="0" fontId="0" fillId="0" borderId="0" xfId="0" applyProtection="1">
      <protection hidden="1"/>
    </xf>
    <xf numFmtId="0" fontId="0" fillId="0" borderId="0" xfId="0"/>
    <xf numFmtId="4" fontId="0" fillId="0" borderId="0" xfId="0" applyNumberFormat="1" applyProtection="1">
      <protection hidden="1"/>
    </xf>
    <xf numFmtId="0" fontId="0" fillId="24" borderId="10" xfId="0" applyFill="1" applyBorder="1" applyAlignment="1" applyProtection="1">
      <alignment vertical="center" wrapText="1"/>
      <protection hidden="1"/>
    </xf>
    <xf numFmtId="0" fontId="0" fillId="24" borderId="10" xfId="0" applyFill="1" applyBorder="1" applyAlignment="1">
      <alignment vertical="center"/>
    </xf>
    <xf numFmtId="0" fontId="0" fillId="24" borderId="10" xfId="0" applyFill="1" applyBorder="1" applyAlignment="1" applyProtection="1">
      <alignment horizontal="center"/>
      <protection hidden="1"/>
    </xf>
    <xf numFmtId="4" fontId="0" fillId="24" borderId="10" xfId="0" applyNumberFormat="1" applyFill="1" applyBorder="1" applyAlignment="1" applyProtection="1">
      <alignment vertical="center" wrapText="1"/>
      <protection hidden="1"/>
    </xf>
    <xf numFmtId="4" fontId="0" fillId="24" borderId="10" xfId="0" applyNumberFormat="1" applyFill="1" applyBorder="1" applyAlignment="1">
      <alignment vertical="center"/>
    </xf>
    <xf numFmtId="0" fontId="0" fillId="25" borderId="16" xfId="0" applyFill="1" applyBorder="1" applyProtection="1">
      <protection hidden="1"/>
    </xf>
    <xf numFmtId="0" fontId="0" fillId="25" borderId="18" xfId="0" applyFill="1" applyBorder="1" applyProtection="1">
      <protection hidden="1"/>
    </xf>
    <xf numFmtId="0" fontId="0" fillId="25" borderId="17" xfId="0" applyFill="1" applyBorder="1" applyProtection="1">
      <protection hidden="1"/>
    </xf>
    <xf numFmtId="4" fontId="0" fillId="24" borderId="10" xfId="0" applyNumberFormat="1" applyFill="1" applyBorder="1" applyAlignment="1" applyProtection="1">
      <alignment vertical="center"/>
      <protection hidden="1"/>
    </xf>
    <xf numFmtId="0" fontId="0" fillId="24" borderId="10" xfId="0" applyFill="1" applyBorder="1" applyAlignment="1" applyProtection="1">
      <alignment vertical="center"/>
      <protection hidden="1"/>
    </xf>
  </cellXfs>
  <cellStyles count="81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20% - Akzent1" xfId="7" xr:uid="{00000000-0005-0000-0000-000006000000}"/>
    <cellStyle name="20% - Akzent2" xfId="8" xr:uid="{00000000-0005-0000-0000-000007000000}"/>
    <cellStyle name="20% - Akzent3" xfId="9" xr:uid="{00000000-0005-0000-0000-000008000000}"/>
    <cellStyle name="20% - Akzent4" xfId="10" xr:uid="{00000000-0005-0000-0000-000009000000}"/>
    <cellStyle name="20% - Akzent5" xfId="11" xr:uid="{00000000-0005-0000-0000-00000A000000}"/>
    <cellStyle name="20% - Akzent6" xfId="12" xr:uid="{00000000-0005-0000-0000-00000B000000}"/>
    <cellStyle name="40 % - Akzent1" xfId="13" builtinId="31" customBuiltin="1"/>
    <cellStyle name="40 % - Akzent2" xfId="14" builtinId="35" customBuiltin="1"/>
    <cellStyle name="40 % - Akzent3" xfId="15" builtinId="39" customBuiltin="1"/>
    <cellStyle name="40 % - Akzent4" xfId="16" builtinId="43" customBuiltin="1"/>
    <cellStyle name="40 % - Akzent5" xfId="17" builtinId="47" customBuiltin="1"/>
    <cellStyle name="40 % - Akzent6" xfId="18" builtinId="51" customBuiltin="1"/>
    <cellStyle name="40% - Akzent1" xfId="19" xr:uid="{00000000-0005-0000-0000-000012000000}"/>
    <cellStyle name="40% - Akzent2" xfId="20" xr:uid="{00000000-0005-0000-0000-000013000000}"/>
    <cellStyle name="40% - Akzent3" xfId="21" xr:uid="{00000000-0005-0000-0000-000014000000}"/>
    <cellStyle name="40% - Akzent4" xfId="22" xr:uid="{00000000-0005-0000-0000-000015000000}"/>
    <cellStyle name="40% - Akzent5" xfId="23" xr:uid="{00000000-0005-0000-0000-000016000000}"/>
    <cellStyle name="40% - Akzent6" xfId="24" xr:uid="{00000000-0005-0000-0000-000017000000}"/>
    <cellStyle name="60 % - Akzent1" xfId="25" builtinId="32" customBuiltin="1"/>
    <cellStyle name="60 % - Akzent2" xfId="26" builtinId="36" customBuiltin="1"/>
    <cellStyle name="60 % - Akzent3" xfId="27" builtinId="40" customBuiltin="1"/>
    <cellStyle name="60 % - Akzent4" xfId="28" builtinId="44" customBuiltin="1"/>
    <cellStyle name="60 % - Akzent5" xfId="29" builtinId="48" customBuiltin="1"/>
    <cellStyle name="60 % - Akzent6" xfId="30" builtinId="52" customBuiltin="1"/>
    <cellStyle name="60% - Akzent1" xfId="31" xr:uid="{00000000-0005-0000-0000-00001E000000}"/>
    <cellStyle name="60% - Akzent2" xfId="32" xr:uid="{00000000-0005-0000-0000-00001F000000}"/>
    <cellStyle name="60% - Akzent3" xfId="33" xr:uid="{00000000-0005-0000-0000-000020000000}"/>
    <cellStyle name="60% - Akzent4" xfId="34" xr:uid="{00000000-0005-0000-0000-000021000000}"/>
    <cellStyle name="60% - Akzent5" xfId="35" xr:uid="{00000000-0005-0000-0000-000022000000}"/>
    <cellStyle name="60% - Akzent6" xfId="36" xr:uid="{00000000-0005-0000-0000-000023000000}"/>
    <cellStyle name="Akzent1" xfId="37" builtinId="29" customBuiltin="1"/>
    <cellStyle name="Akzent2" xfId="38" builtinId="33" customBuiltin="1"/>
    <cellStyle name="Akzent3" xfId="39" builtinId="37" customBuiltin="1"/>
    <cellStyle name="Akzent4" xfId="40" builtinId="41" customBuiltin="1"/>
    <cellStyle name="Akzent5" xfId="41" builtinId="45" customBuiltin="1"/>
    <cellStyle name="Akzent6" xfId="42" builtinId="49" customBuiltin="1"/>
    <cellStyle name="Ausgabe" xfId="43" builtinId="21" customBuiltin="1"/>
    <cellStyle name="Berechnung" xfId="44" builtinId="22" customBuiltin="1"/>
    <cellStyle name="Eingabe" xfId="45" builtinId="20" customBuiltin="1"/>
    <cellStyle name="Ergebnis" xfId="46" builtinId="25" customBuiltin="1"/>
    <cellStyle name="Erklärender Text" xfId="47" builtinId="53" customBuiltin="1"/>
    <cellStyle name="Euro" xfId="48" xr:uid="{00000000-0005-0000-0000-00002F000000}"/>
    <cellStyle name="Euro 2" xfId="70" xr:uid="{00000000-0005-0000-0000-000030000000}"/>
    <cellStyle name="Gut" xfId="49" builtinId="26" customBuiltin="1"/>
    <cellStyle name="Hyperlink 2" xfId="71" xr:uid="{00000000-0005-0000-0000-000032000000}"/>
    <cellStyle name="Neutral" xfId="50" builtinId="28" customBuiltin="1"/>
    <cellStyle name="Notiz" xfId="51" builtinId="10" customBuiltin="1"/>
    <cellStyle name="Prozent 2" xfId="72" xr:uid="{00000000-0005-0000-0000-000035000000}"/>
    <cellStyle name="Schlecht" xfId="52" builtinId="27" customBuiltin="1"/>
    <cellStyle name="Standard" xfId="0" builtinId="0"/>
    <cellStyle name="Standard 10" xfId="75" xr:uid="{292EF398-6A14-4EAB-BE34-1BFE621B6F4D}"/>
    <cellStyle name="Standard 11" xfId="76" xr:uid="{9E495C7A-EB0A-4AAA-B227-465735C5B16E}"/>
    <cellStyle name="Standard 12" xfId="77" xr:uid="{A82B0208-AC4C-4351-BBA8-8FF3BB9F1770}"/>
    <cellStyle name="Standard 13" xfId="78" xr:uid="{BD4803AF-2BD3-4765-B714-FA37272B226B}"/>
    <cellStyle name="Standard 2" xfId="62" xr:uid="{00000000-0005-0000-0000-000038000000}"/>
    <cellStyle name="Standard 2 2" xfId="63" xr:uid="{00000000-0005-0000-0000-000039000000}"/>
    <cellStyle name="Standard 3" xfId="64" xr:uid="{00000000-0005-0000-0000-00003A000000}"/>
    <cellStyle name="Standard 3 2" xfId="69" xr:uid="{00000000-0005-0000-0000-00003B000000}"/>
    <cellStyle name="Standard 4" xfId="65" xr:uid="{00000000-0005-0000-0000-00003C000000}"/>
    <cellStyle name="Standard 5" xfId="66" xr:uid="{00000000-0005-0000-0000-00003D000000}"/>
    <cellStyle name="Standard 6" xfId="67" xr:uid="{00000000-0005-0000-0000-00003E000000}"/>
    <cellStyle name="Standard 7" xfId="68" xr:uid="{00000000-0005-0000-0000-00003F000000}"/>
    <cellStyle name="Standard 8" xfId="73" xr:uid="{FF2307E2-482B-4DC5-AA4F-357B54AA8D47}"/>
    <cellStyle name="Standard 9" xfId="74" xr:uid="{8E11F837-92D0-4B0E-BD49-5EF9251F9D21}"/>
    <cellStyle name="Standard_Einzelschadenliste Elsdorf" xfId="53" xr:uid="{00000000-0005-0000-0000-000041000000}"/>
    <cellStyle name="Überschrift" xfId="54" builtinId="15" customBuiltin="1"/>
    <cellStyle name="Überschrift 1" xfId="55" builtinId="16" customBuiltin="1"/>
    <cellStyle name="Überschrift 2" xfId="56" builtinId="17" customBuiltin="1"/>
    <cellStyle name="Überschrift 3" xfId="57" builtinId="18" customBuiltin="1"/>
    <cellStyle name="Überschrift 4" xfId="58" builtinId="19" customBuiltin="1"/>
    <cellStyle name="Verknüpfte Zelle" xfId="59" builtinId="24" customBuiltin="1"/>
    <cellStyle name="Währung" xfId="80" builtinId="4"/>
    <cellStyle name="Währung 2" xfId="79" xr:uid="{DB08F980-E689-431B-A456-E4348C99ED19}"/>
    <cellStyle name="Warnender Text" xfId="60" builtinId="11" customBuiltin="1"/>
    <cellStyle name="Zelle überprüfen" xfId="61" builtinId="23" customBuiltin="1"/>
  </cellStyles>
  <dxfs count="106">
    <dxf>
      <numFmt numFmtId="4" formatCode="#,##0.00"/>
    </dxf>
    <dxf>
      <numFmt numFmtId="4" formatCode="#,##0.00"/>
    </dxf>
    <dxf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4" formatCode="#,##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rgb="FF000000"/>
        </right>
        <top style="thin">
          <color rgb="FF000000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</dxf>
    <dxf>
      <numFmt numFmtId="4" formatCode="#,##0.00"/>
    </dxf>
    <dxf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4" formatCode="#,##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rgb="FF000000"/>
        </right>
        <top style="thin">
          <color rgb="FF000000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FFC0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000000"/>
          <bgColor rgb="FFFFFFFF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000000"/>
          <bgColor rgb="FFFFFFFF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000000"/>
          <bgColor rgb="FFFFFFFF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font>
        <outline val="0"/>
        <shadow val="0"/>
        <u val="none"/>
        <vertAlign val="baseline"/>
        <color auto="1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000000"/>
          <bgColor rgb="FFFFFFFF"/>
        </patternFill>
      </fill>
      <alignment horizontal="general" vertical="bottom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FFC0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000000"/>
          <bgColor rgb="FFFFFFFF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000000"/>
          <bgColor rgb="FFFFFFFF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000000"/>
          <bgColor rgb="FFFFFFFF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font>
        <outline val="0"/>
        <shadow val="0"/>
        <u val="none"/>
        <vertAlign val="baseline"/>
        <color auto="1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000000"/>
          <bgColor rgb="FFFFFFFF"/>
        </patternFill>
      </fill>
      <alignment horizontal="general" vertical="bottom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Standartabweichung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23838713910761156"/>
          <c:y val="0.15782407407407409"/>
          <c:w val="0.69434208223972005"/>
          <c:h val="0.61498432487605714"/>
        </c:manualLayout>
      </c:layout>
      <c:barChart>
        <c:barDir val="bar"/>
        <c:grouping val="clustered"/>
        <c:varyColors val="0"/>
        <c:ser>
          <c:idx val="0"/>
          <c:order val="0"/>
          <c:tx>
            <c:v>Kreisstadt Bergheim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Auswertung!$D$18:$D$22</c:f>
              <c:strCache>
                <c:ptCount val="5"/>
                <c:pt idx="0">
                  <c:v>Gemittelt</c:v>
                </c:pt>
                <c:pt idx="1">
                  <c:v>Feuer</c:v>
                </c:pt>
                <c:pt idx="2">
                  <c:v>Leitungswasser</c:v>
                </c:pt>
                <c:pt idx="3">
                  <c:v>Sturm</c:v>
                </c:pt>
                <c:pt idx="4">
                  <c:v>Einbruchdiebstahl</c:v>
                </c:pt>
              </c:strCache>
            </c:strRef>
          </c:cat>
          <c:val>
            <c:numRef>
              <c:f>Auswertung!$H$18:$H$22</c:f>
              <c:numCache>
                <c:formatCode>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2C-4BBB-BB35-9412986563DF}"/>
            </c:ext>
          </c:extLst>
        </c:ser>
        <c:ser>
          <c:idx val="1"/>
          <c:order val="1"/>
          <c:tx>
            <c:v>Benchmark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Auswertung!$D$18:$D$22</c:f>
              <c:strCache>
                <c:ptCount val="5"/>
                <c:pt idx="0">
                  <c:v>Gemittelt</c:v>
                </c:pt>
                <c:pt idx="1">
                  <c:v>Feuer</c:v>
                </c:pt>
                <c:pt idx="2">
                  <c:v>Leitungswasser</c:v>
                </c:pt>
                <c:pt idx="3">
                  <c:v>Sturm</c:v>
                </c:pt>
                <c:pt idx="4">
                  <c:v>Einbruchdiebstahl</c:v>
                </c:pt>
              </c:strCache>
            </c:strRef>
          </c:cat>
          <c:val>
            <c:numRef>
              <c:f>Auswertung!$N$18:$N$22</c:f>
              <c:numCache>
                <c:formatCode>#,##0.00</c:formatCode>
                <c:ptCount val="5"/>
                <c:pt idx="0">
                  <c:v>141590.60999999999</c:v>
                </c:pt>
                <c:pt idx="1">
                  <c:v>489565.19</c:v>
                </c:pt>
                <c:pt idx="2">
                  <c:v>6083.09</c:v>
                </c:pt>
                <c:pt idx="3">
                  <c:v>6420.17</c:v>
                </c:pt>
                <c:pt idx="4">
                  <c:v>3952.84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2C-4BBB-BB35-9412986563D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88445256"/>
        <c:axId val="688442960"/>
      </c:barChart>
      <c:catAx>
        <c:axId val="6884452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88442960"/>
        <c:crosses val="autoZero"/>
        <c:auto val="1"/>
        <c:lblAlgn val="ctr"/>
        <c:lblOffset val="100"/>
        <c:noMultiLvlLbl val="0"/>
      </c:catAx>
      <c:valAx>
        <c:axId val="688442960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88445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Schadendurchschnitt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23838713910761156"/>
          <c:y val="0.15782407407407409"/>
          <c:w val="0.69434208223972005"/>
          <c:h val="0.61498432487605714"/>
        </c:manualLayout>
      </c:layout>
      <c:barChart>
        <c:barDir val="bar"/>
        <c:grouping val="clustered"/>
        <c:varyColors val="0"/>
        <c:ser>
          <c:idx val="0"/>
          <c:order val="0"/>
          <c:tx>
            <c:v>Kreisstadt Bergheim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Auswertung!$D$18:$D$22</c:f>
              <c:strCache>
                <c:ptCount val="5"/>
                <c:pt idx="0">
                  <c:v>Gemittelt</c:v>
                </c:pt>
                <c:pt idx="1">
                  <c:v>Feuer</c:v>
                </c:pt>
                <c:pt idx="2">
                  <c:v>Leitungswasser</c:v>
                </c:pt>
                <c:pt idx="3">
                  <c:v>Sturm</c:v>
                </c:pt>
                <c:pt idx="4">
                  <c:v>Einbruchdiebstahl</c:v>
                </c:pt>
              </c:strCache>
            </c:strRef>
          </c:cat>
          <c:val>
            <c:numRef>
              <c:f>Auswertung!$G$18:$G$22</c:f>
              <c:numCache>
                <c:formatCode>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6F-417D-B070-EBA42621E0B5}"/>
            </c:ext>
          </c:extLst>
        </c:ser>
        <c:ser>
          <c:idx val="1"/>
          <c:order val="1"/>
          <c:tx>
            <c:v>Benchmark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Auswertung!$D$18:$D$22</c:f>
              <c:strCache>
                <c:ptCount val="5"/>
                <c:pt idx="0">
                  <c:v>Gemittelt</c:v>
                </c:pt>
                <c:pt idx="1">
                  <c:v>Feuer</c:v>
                </c:pt>
                <c:pt idx="2">
                  <c:v>Leitungswasser</c:v>
                </c:pt>
                <c:pt idx="3">
                  <c:v>Sturm</c:v>
                </c:pt>
                <c:pt idx="4">
                  <c:v>Einbruchdiebstahl</c:v>
                </c:pt>
              </c:strCache>
            </c:strRef>
          </c:cat>
          <c:val>
            <c:numRef>
              <c:f>Auswertung!$M$18:$M$22</c:f>
              <c:numCache>
                <c:formatCode>#,##0.00</c:formatCode>
                <c:ptCount val="5"/>
                <c:pt idx="0">
                  <c:v>6094.73</c:v>
                </c:pt>
                <c:pt idx="1">
                  <c:v>48231.35</c:v>
                </c:pt>
                <c:pt idx="2">
                  <c:v>2243.4299999999998</c:v>
                </c:pt>
                <c:pt idx="3">
                  <c:v>1486.31</c:v>
                </c:pt>
                <c:pt idx="4">
                  <c:v>2158.4299999999998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6F-417D-B070-EBA42621E0B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88445256"/>
        <c:axId val="688442960"/>
      </c:barChart>
      <c:catAx>
        <c:axId val="6884452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88442960"/>
        <c:crosses val="autoZero"/>
        <c:auto val="1"/>
        <c:lblAlgn val="ctr"/>
        <c:lblOffset val="100"/>
        <c:noMultiLvlLbl val="0"/>
      </c:catAx>
      <c:valAx>
        <c:axId val="688442960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88445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339725</xdr:colOff>
      <xdr:row>23</xdr:row>
      <xdr:rowOff>161925</xdr:rowOff>
    </xdr:from>
    <xdr:to>
      <xdr:col>15</xdr:col>
      <xdr:colOff>663575</xdr:colOff>
      <xdr:row>41</xdr:row>
      <xdr:rowOff>101600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742950</xdr:colOff>
      <xdr:row>24</xdr:row>
      <xdr:rowOff>0</xdr:rowOff>
    </xdr:from>
    <xdr:to>
      <xdr:col>9</xdr:col>
      <xdr:colOff>171450</xdr:colOff>
      <xdr:row>41</xdr:row>
      <xdr:rowOff>104775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142875</xdr:colOff>
      <xdr:row>15</xdr:row>
      <xdr:rowOff>0</xdr:rowOff>
    </xdr:from>
    <xdr:to>
      <xdr:col>6</xdr:col>
      <xdr:colOff>504825</xdr:colOff>
      <xdr:row>16</xdr:row>
      <xdr:rowOff>57151</xdr:rowOff>
    </xdr:to>
    <xdr:sp macro="" textlink="">
      <xdr:nvSpPr>
        <xdr:cNvPr id="10246" name="Check Box 6" hidden="1">
          <a:extLst>
            <a:ext uri="{63B3BB69-23CF-44E3-9099-C40C66FF867C}">
              <a14:compatExt xmlns:a14="http://schemas.microsoft.com/office/drawing/2010/main" spid="_x0000_s10246"/>
            </a:ext>
            <a:ext uri="{FF2B5EF4-FFF2-40B4-BE49-F238E27FC236}">
              <a16:creationId xmlns:a16="http://schemas.microsoft.com/office/drawing/2014/main" id="{00000000-0008-0000-0700-0000062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Ja</a:t>
          </a:r>
        </a:p>
      </xdr:txBody>
    </xdr:sp>
    <xdr:clientData/>
  </xdr:twoCellAnchor>
  <xdr:twoCellAnchor editAs="oneCell">
    <xdr:from>
      <xdr:col>6</xdr:col>
      <xdr:colOff>733425</xdr:colOff>
      <xdr:row>14</xdr:row>
      <xdr:rowOff>0</xdr:rowOff>
    </xdr:from>
    <xdr:to>
      <xdr:col>7</xdr:col>
      <xdr:colOff>409575</xdr:colOff>
      <xdr:row>15</xdr:row>
      <xdr:rowOff>57150</xdr:rowOff>
    </xdr:to>
    <xdr:sp macro="" textlink="">
      <xdr:nvSpPr>
        <xdr:cNvPr id="10247" name="Check Box 7" hidden="1">
          <a:extLst>
            <a:ext uri="{63B3BB69-23CF-44E3-9099-C40C66FF867C}">
              <a14:compatExt xmlns:a14="http://schemas.microsoft.com/office/drawing/2010/main" spid="_x0000_s10247"/>
            </a:ext>
            <a:ext uri="{FF2B5EF4-FFF2-40B4-BE49-F238E27FC236}">
              <a16:creationId xmlns:a16="http://schemas.microsoft.com/office/drawing/2014/main" id="{00000000-0008-0000-0700-0000072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Nein</a:t>
          </a:r>
        </a:p>
      </xdr:txBody>
    </xdr:sp>
    <xdr:clientData/>
  </xdr:twoCellAnchor>
  <xdr:twoCellAnchor editAs="oneCell">
    <xdr:from>
      <xdr:col>6</xdr:col>
      <xdr:colOff>733425</xdr:colOff>
      <xdr:row>18</xdr:row>
      <xdr:rowOff>123825</xdr:rowOff>
    </xdr:from>
    <xdr:to>
      <xdr:col>7</xdr:col>
      <xdr:colOff>409575</xdr:colOff>
      <xdr:row>20</xdr:row>
      <xdr:rowOff>19050</xdr:rowOff>
    </xdr:to>
    <xdr:sp macro="" textlink="">
      <xdr:nvSpPr>
        <xdr:cNvPr id="10249" name="Check Box 9" hidden="1">
          <a:extLst>
            <a:ext uri="{63B3BB69-23CF-44E3-9099-C40C66FF867C}">
              <a14:compatExt xmlns:a14="http://schemas.microsoft.com/office/drawing/2010/main" spid="_x0000_s10249"/>
            </a:ext>
            <a:ext uri="{FF2B5EF4-FFF2-40B4-BE49-F238E27FC236}">
              <a16:creationId xmlns:a16="http://schemas.microsoft.com/office/drawing/2014/main" id="{00000000-0008-0000-0700-0000092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Nein</a:t>
          </a:r>
        </a:p>
      </xdr:txBody>
    </xdr:sp>
    <xdr:clientData/>
  </xdr:twoCellAnchor>
  <xdr:twoCellAnchor editAs="oneCell">
    <xdr:from>
      <xdr:col>6</xdr:col>
      <xdr:colOff>142875</xdr:colOff>
      <xdr:row>20</xdr:row>
      <xdr:rowOff>9525</xdr:rowOff>
    </xdr:from>
    <xdr:to>
      <xdr:col>6</xdr:col>
      <xdr:colOff>504825</xdr:colOff>
      <xdr:row>21</xdr:row>
      <xdr:rowOff>66675</xdr:rowOff>
    </xdr:to>
    <xdr:sp macro="" textlink="">
      <xdr:nvSpPr>
        <xdr:cNvPr id="10254" name="Check Box 10" hidden="1">
          <a:extLst>
            <a:ext uri="{63B3BB69-23CF-44E3-9099-C40C66FF867C}">
              <a14:compatExt xmlns:a14="http://schemas.microsoft.com/office/drawing/2010/main" spid="_x0000_s10254"/>
            </a:ext>
            <a:ext uri="{FF2B5EF4-FFF2-40B4-BE49-F238E27FC236}">
              <a16:creationId xmlns:a16="http://schemas.microsoft.com/office/drawing/2014/main" id="{00000000-0008-0000-0700-00000E2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Ja</a:t>
          </a:r>
        </a:p>
      </xdr:txBody>
    </xdr:sp>
    <xdr:clientData/>
  </xdr:twoCellAnchor>
  <xdr:twoCellAnchor editAs="oneCell">
    <xdr:from>
      <xdr:col>6</xdr:col>
      <xdr:colOff>142875</xdr:colOff>
      <xdr:row>21</xdr:row>
      <xdr:rowOff>47625</xdr:rowOff>
    </xdr:from>
    <xdr:to>
      <xdr:col>6</xdr:col>
      <xdr:colOff>504825</xdr:colOff>
      <xdr:row>22</xdr:row>
      <xdr:rowOff>104775</xdr:rowOff>
    </xdr:to>
    <xdr:sp macro="" textlink="">
      <xdr:nvSpPr>
        <xdr:cNvPr id="10255" name="Check Box 11" hidden="1">
          <a:extLst>
            <a:ext uri="{63B3BB69-23CF-44E3-9099-C40C66FF867C}">
              <a14:compatExt xmlns:a14="http://schemas.microsoft.com/office/drawing/2010/main" spid="_x0000_s10255"/>
            </a:ext>
            <a:ext uri="{FF2B5EF4-FFF2-40B4-BE49-F238E27FC236}">
              <a16:creationId xmlns:a16="http://schemas.microsoft.com/office/drawing/2014/main" id="{00000000-0008-0000-0700-00000F2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Ja</a:t>
          </a:r>
        </a:p>
      </xdr:txBody>
    </xdr:sp>
    <xdr:clientData/>
  </xdr:twoCellAnchor>
  <xdr:twoCellAnchor editAs="oneCell">
    <xdr:from>
      <xdr:col>6</xdr:col>
      <xdr:colOff>733425</xdr:colOff>
      <xdr:row>23</xdr:row>
      <xdr:rowOff>152400</xdr:rowOff>
    </xdr:from>
    <xdr:to>
      <xdr:col>7</xdr:col>
      <xdr:colOff>409575</xdr:colOff>
      <xdr:row>25</xdr:row>
      <xdr:rowOff>47625</xdr:rowOff>
    </xdr:to>
    <xdr:sp macro="" textlink="">
      <xdr:nvSpPr>
        <xdr:cNvPr id="10259" name="Check Box 9" hidden="1">
          <a:extLst>
            <a:ext uri="{63B3BB69-23CF-44E3-9099-C40C66FF867C}">
              <a14:compatExt xmlns:a14="http://schemas.microsoft.com/office/drawing/2010/main" spid="_x0000_s10259"/>
            </a:ext>
            <a:ext uri="{FF2B5EF4-FFF2-40B4-BE49-F238E27FC236}">
              <a16:creationId xmlns:a16="http://schemas.microsoft.com/office/drawing/2014/main" id="{00000000-0008-0000-0700-0000132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Nein</a:t>
          </a:r>
        </a:p>
      </xdr:txBody>
    </xdr:sp>
    <xdr:clientData/>
  </xdr:twoCellAnchor>
  <xdr:twoCellAnchor editAs="oneCell">
    <xdr:from>
      <xdr:col>6</xdr:col>
      <xdr:colOff>142875</xdr:colOff>
      <xdr:row>25</xdr:row>
      <xdr:rowOff>0</xdr:rowOff>
    </xdr:from>
    <xdr:to>
      <xdr:col>6</xdr:col>
      <xdr:colOff>504825</xdr:colOff>
      <xdr:row>26</xdr:row>
      <xdr:rowOff>57149</xdr:rowOff>
    </xdr:to>
    <xdr:sp macro="" textlink="">
      <xdr:nvSpPr>
        <xdr:cNvPr id="10260" name="Check Box 10" hidden="1">
          <a:extLst>
            <a:ext uri="{63B3BB69-23CF-44E3-9099-C40C66FF867C}">
              <a14:compatExt xmlns:a14="http://schemas.microsoft.com/office/drawing/2010/main" spid="_x0000_s10260"/>
            </a:ext>
            <a:ext uri="{FF2B5EF4-FFF2-40B4-BE49-F238E27FC236}">
              <a16:creationId xmlns:a16="http://schemas.microsoft.com/office/drawing/2014/main" id="{00000000-0008-0000-0700-0000142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Ja</a:t>
          </a:r>
        </a:p>
      </xdr:txBody>
    </xdr:sp>
    <xdr:clientData/>
  </xdr:twoCellAnchor>
  <xdr:twoCellAnchor editAs="oneCell">
    <xdr:from>
      <xdr:col>6</xdr:col>
      <xdr:colOff>142875</xdr:colOff>
      <xdr:row>25</xdr:row>
      <xdr:rowOff>47625</xdr:rowOff>
    </xdr:from>
    <xdr:to>
      <xdr:col>6</xdr:col>
      <xdr:colOff>504825</xdr:colOff>
      <xdr:row>26</xdr:row>
      <xdr:rowOff>104775</xdr:rowOff>
    </xdr:to>
    <xdr:sp macro="" textlink="">
      <xdr:nvSpPr>
        <xdr:cNvPr id="10261" name="Check Box 11" hidden="1">
          <a:extLst>
            <a:ext uri="{63B3BB69-23CF-44E3-9099-C40C66FF867C}">
              <a14:compatExt xmlns:a14="http://schemas.microsoft.com/office/drawing/2010/main" spid="_x0000_s10261"/>
            </a:ext>
            <a:ext uri="{FF2B5EF4-FFF2-40B4-BE49-F238E27FC236}">
              <a16:creationId xmlns:a16="http://schemas.microsoft.com/office/drawing/2014/main" id="{00000000-0008-0000-0700-0000152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Ja</a:t>
          </a:r>
        </a:p>
      </xdr:txBody>
    </xdr:sp>
    <xdr:clientData/>
  </xdr:twoCellAnchor>
  <xdr:twoCellAnchor editAs="oneCell">
    <xdr:from>
      <xdr:col>6</xdr:col>
      <xdr:colOff>142875</xdr:colOff>
      <xdr:row>15</xdr:row>
      <xdr:rowOff>66675</xdr:rowOff>
    </xdr:from>
    <xdr:to>
      <xdr:col>6</xdr:col>
      <xdr:colOff>504825</xdr:colOff>
      <xdr:row>16</xdr:row>
      <xdr:rowOff>123826</xdr:rowOff>
    </xdr:to>
    <xdr:sp macro="" textlink="">
      <xdr:nvSpPr>
        <xdr:cNvPr id="10264" name="Check Box 24" hidden="1">
          <a:extLst>
            <a:ext uri="{63B3BB69-23CF-44E3-9099-C40C66FF867C}">
              <a14:compatExt xmlns:a14="http://schemas.microsoft.com/office/drawing/2010/main" spid="_x0000_s10264"/>
            </a:ext>
            <a:ext uri="{FF2B5EF4-FFF2-40B4-BE49-F238E27FC236}">
              <a16:creationId xmlns:a16="http://schemas.microsoft.com/office/drawing/2014/main" id="{00000000-0008-0000-0700-0000182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Ja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15</xdr:row>
          <xdr:rowOff>0</xdr:rowOff>
        </xdr:from>
        <xdr:to>
          <xdr:col>6</xdr:col>
          <xdr:colOff>504825</xdr:colOff>
          <xdr:row>16</xdr:row>
          <xdr:rowOff>57150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8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733425</xdr:colOff>
          <xdr:row>14</xdr:row>
          <xdr:rowOff>0</xdr:rowOff>
        </xdr:from>
        <xdr:to>
          <xdr:col>7</xdr:col>
          <xdr:colOff>409575</xdr:colOff>
          <xdr:row>15</xdr:row>
          <xdr:rowOff>57150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8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20</xdr:row>
          <xdr:rowOff>9525</xdr:rowOff>
        </xdr:from>
        <xdr:to>
          <xdr:col>6</xdr:col>
          <xdr:colOff>504825</xdr:colOff>
          <xdr:row>21</xdr:row>
          <xdr:rowOff>66675</xdr:rowOff>
        </xdr:to>
        <xdr:sp macro="" textlink="">
          <xdr:nvSpPr>
            <xdr:cNvPr id="9220" name="Check Box 10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8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20</xdr:row>
          <xdr:rowOff>152400</xdr:rowOff>
        </xdr:from>
        <xdr:to>
          <xdr:col>6</xdr:col>
          <xdr:colOff>504825</xdr:colOff>
          <xdr:row>22</xdr:row>
          <xdr:rowOff>47625</xdr:rowOff>
        </xdr:to>
        <xdr:sp macro="" textlink="">
          <xdr:nvSpPr>
            <xdr:cNvPr id="9221" name="Check Box 11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8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24</xdr:row>
          <xdr:rowOff>142875</xdr:rowOff>
        </xdr:from>
        <xdr:to>
          <xdr:col>6</xdr:col>
          <xdr:colOff>504825</xdr:colOff>
          <xdr:row>26</xdr:row>
          <xdr:rowOff>38100</xdr:rowOff>
        </xdr:to>
        <xdr:sp macro="" textlink="">
          <xdr:nvSpPr>
            <xdr:cNvPr id="9223" name="Check Box 10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8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15</xdr:row>
          <xdr:rowOff>133350</xdr:rowOff>
        </xdr:from>
        <xdr:to>
          <xdr:col>6</xdr:col>
          <xdr:colOff>504825</xdr:colOff>
          <xdr:row>17</xdr:row>
          <xdr:rowOff>28575</xdr:rowOff>
        </xdr:to>
        <xdr:sp macro="" textlink="">
          <xdr:nvSpPr>
            <xdr:cNvPr id="9225" name="Check Box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8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142875</xdr:colOff>
      <xdr:row>37</xdr:row>
      <xdr:rowOff>0</xdr:rowOff>
    </xdr:from>
    <xdr:ext cx="361950" cy="222803"/>
    <xdr:sp macro="" textlink="">
      <xdr:nvSpPr>
        <xdr:cNvPr id="2" name="Check Box 6" hidden="1">
          <a:extLst>
            <a:ext uri="{63B3BB69-23CF-44E3-9099-C40C66FF867C}">
              <a14:compatExt xmlns:a14="http://schemas.microsoft.com/office/drawing/2010/main" spid="_x0000_s10246"/>
            </a:ext>
            <a:ext uri="{FF2B5EF4-FFF2-40B4-BE49-F238E27FC236}">
              <a16:creationId xmlns:a16="http://schemas.microsoft.com/office/drawing/2014/main" id="{D442C87B-5F45-46E9-AAFA-1E3E60A60207}"/>
            </a:ext>
          </a:extLst>
        </xdr:cNvPr>
        <xdr:cNvSpPr/>
      </xdr:nvSpPr>
      <xdr:spPr bwMode="auto">
        <a:xfrm>
          <a:off x="5302940" y="3072848"/>
          <a:ext cx="361950" cy="2228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Ja</a:t>
          </a:r>
        </a:p>
      </xdr:txBody>
    </xdr:sp>
    <xdr:clientData/>
  </xdr:oneCellAnchor>
  <xdr:oneCellAnchor>
    <xdr:from>
      <xdr:col>6</xdr:col>
      <xdr:colOff>733425</xdr:colOff>
      <xdr:row>37</xdr:row>
      <xdr:rowOff>0</xdr:rowOff>
    </xdr:from>
    <xdr:ext cx="504411" cy="222803"/>
    <xdr:sp macro="" textlink="">
      <xdr:nvSpPr>
        <xdr:cNvPr id="3" name="Check Box 7" hidden="1">
          <a:extLst>
            <a:ext uri="{63B3BB69-23CF-44E3-9099-C40C66FF867C}">
              <a14:compatExt xmlns:a14="http://schemas.microsoft.com/office/drawing/2010/main" spid="_x0000_s10247"/>
            </a:ext>
            <a:ext uri="{FF2B5EF4-FFF2-40B4-BE49-F238E27FC236}">
              <a16:creationId xmlns:a16="http://schemas.microsoft.com/office/drawing/2014/main" id="{E3C31340-90CE-45A8-B37B-DB5A6CB12243}"/>
            </a:ext>
          </a:extLst>
        </xdr:cNvPr>
        <xdr:cNvSpPr/>
      </xdr:nvSpPr>
      <xdr:spPr bwMode="auto">
        <a:xfrm>
          <a:off x="5893490" y="2907196"/>
          <a:ext cx="504411" cy="2228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Nein</a:t>
          </a:r>
        </a:p>
      </xdr:txBody>
    </xdr:sp>
    <xdr:clientData/>
  </xdr:oneCellAnchor>
  <xdr:oneCellAnchor>
    <xdr:from>
      <xdr:col>6</xdr:col>
      <xdr:colOff>733425</xdr:colOff>
      <xdr:row>37</xdr:row>
      <xdr:rowOff>0</xdr:rowOff>
    </xdr:from>
    <xdr:ext cx="504411" cy="226529"/>
    <xdr:sp macro="" textlink="">
      <xdr:nvSpPr>
        <xdr:cNvPr id="4" name="Check Box 9" hidden="1">
          <a:extLst>
            <a:ext uri="{63B3BB69-23CF-44E3-9099-C40C66FF867C}">
              <a14:compatExt xmlns:a14="http://schemas.microsoft.com/office/drawing/2010/main" spid="_x0000_s10249"/>
            </a:ext>
            <a:ext uri="{FF2B5EF4-FFF2-40B4-BE49-F238E27FC236}">
              <a16:creationId xmlns:a16="http://schemas.microsoft.com/office/drawing/2014/main" id="{523CB90B-FD1C-4FBC-AB99-BC5A1B9B9917}"/>
            </a:ext>
          </a:extLst>
        </xdr:cNvPr>
        <xdr:cNvSpPr/>
      </xdr:nvSpPr>
      <xdr:spPr bwMode="auto">
        <a:xfrm>
          <a:off x="5893490" y="3693629"/>
          <a:ext cx="504411" cy="2265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Nein</a:t>
          </a:r>
        </a:p>
      </xdr:txBody>
    </xdr:sp>
    <xdr:clientData/>
  </xdr:oneCellAnchor>
  <xdr:oneCellAnchor>
    <xdr:from>
      <xdr:col>6</xdr:col>
      <xdr:colOff>142875</xdr:colOff>
      <xdr:row>37</xdr:row>
      <xdr:rowOff>0</xdr:rowOff>
    </xdr:from>
    <xdr:ext cx="361950" cy="222803"/>
    <xdr:sp macro="" textlink="">
      <xdr:nvSpPr>
        <xdr:cNvPr id="5" name="Check Box 10" hidden="1">
          <a:extLst>
            <a:ext uri="{63B3BB69-23CF-44E3-9099-C40C66FF867C}">
              <a14:compatExt xmlns:a14="http://schemas.microsoft.com/office/drawing/2010/main" spid="_x0000_s10254"/>
            </a:ext>
            <a:ext uri="{FF2B5EF4-FFF2-40B4-BE49-F238E27FC236}">
              <a16:creationId xmlns:a16="http://schemas.microsoft.com/office/drawing/2014/main" id="{DC88EBB1-EC19-4E68-97FD-12EB8539A4E3}"/>
            </a:ext>
          </a:extLst>
        </xdr:cNvPr>
        <xdr:cNvSpPr/>
      </xdr:nvSpPr>
      <xdr:spPr bwMode="auto">
        <a:xfrm>
          <a:off x="5302940" y="3910634"/>
          <a:ext cx="361950" cy="2228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Ja</a:t>
          </a:r>
        </a:p>
      </xdr:txBody>
    </xdr:sp>
    <xdr:clientData/>
  </xdr:oneCellAnchor>
  <xdr:oneCellAnchor>
    <xdr:from>
      <xdr:col>6</xdr:col>
      <xdr:colOff>142875</xdr:colOff>
      <xdr:row>37</xdr:row>
      <xdr:rowOff>0</xdr:rowOff>
    </xdr:from>
    <xdr:ext cx="361950" cy="222802"/>
    <xdr:sp macro="" textlink="">
      <xdr:nvSpPr>
        <xdr:cNvPr id="6" name="Check Box 11" hidden="1">
          <a:extLst>
            <a:ext uri="{63B3BB69-23CF-44E3-9099-C40C66FF867C}">
              <a14:compatExt xmlns:a14="http://schemas.microsoft.com/office/drawing/2010/main" spid="_x0000_s10255"/>
            </a:ext>
            <a:ext uri="{FF2B5EF4-FFF2-40B4-BE49-F238E27FC236}">
              <a16:creationId xmlns:a16="http://schemas.microsoft.com/office/drawing/2014/main" id="{9302FF99-DC9D-4159-8A5E-770807BAD490}"/>
            </a:ext>
          </a:extLst>
        </xdr:cNvPr>
        <xdr:cNvSpPr/>
      </xdr:nvSpPr>
      <xdr:spPr bwMode="auto">
        <a:xfrm>
          <a:off x="5302940" y="4114386"/>
          <a:ext cx="361950" cy="2228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Ja</a:t>
          </a:r>
        </a:p>
      </xdr:txBody>
    </xdr:sp>
    <xdr:clientData/>
  </xdr:oneCellAnchor>
  <xdr:oneCellAnchor>
    <xdr:from>
      <xdr:col>6</xdr:col>
      <xdr:colOff>733425</xdr:colOff>
      <xdr:row>37</xdr:row>
      <xdr:rowOff>0</xdr:rowOff>
    </xdr:from>
    <xdr:ext cx="504411" cy="226529"/>
    <xdr:sp macro="" textlink="">
      <xdr:nvSpPr>
        <xdr:cNvPr id="7" name="Check Box 9" hidden="1">
          <a:extLst>
            <a:ext uri="{63B3BB69-23CF-44E3-9099-C40C66FF867C}">
              <a14:compatExt xmlns:a14="http://schemas.microsoft.com/office/drawing/2010/main" spid="_x0000_s10259"/>
            </a:ext>
            <a:ext uri="{FF2B5EF4-FFF2-40B4-BE49-F238E27FC236}">
              <a16:creationId xmlns:a16="http://schemas.microsoft.com/office/drawing/2014/main" id="{33CFF3BC-9F69-4AC1-8AE1-3566E44BD66B}"/>
            </a:ext>
          </a:extLst>
        </xdr:cNvPr>
        <xdr:cNvSpPr/>
      </xdr:nvSpPr>
      <xdr:spPr bwMode="auto">
        <a:xfrm>
          <a:off x="5893490" y="4550465"/>
          <a:ext cx="504411" cy="2265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Nein</a:t>
          </a:r>
        </a:p>
      </xdr:txBody>
    </xdr:sp>
    <xdr:clientData/>
  </xdr:oneCellAnchor>
  <xdr:oneCellAnchor>
    <xdr:from>
      <xdr:col>6</xdr:col>
      <xdr:colOff>142875</xdr:colOff>
      <xdr:row>37</xdr:row>
      <xdr:rowOff>0</xdr:rowOff>
    </xdr:from>
    <xdr:ext cx="361950" cy="222802"/>
    <xdr:sp macro="" textlink="">
      <xdr:nvSpPr>
        <xdr:cNvPr id="8" name="Check Box 10" hidden="1">
          <a:extLst>
            <a:ext uri="{63B3BB69-23CF-44E3-9099-C40C66FF867C}">
              <a14:compatExt xmlns:a14="http://schemas.microsoft.com/office/drawing/2010/main" spid="_x0000_s10260"/>
            </a:ext>
            <a:ext uri="{FF2B5EF4-FFF2-40B4-BE49-F238E27FC236}">
              <a16:creationId xmlns:a16="http://schemas.microsoft.com/office/drawing/2014/main" id="{C1F48575-5407-4BAB-95E9-D120653A8308}"/>
            </a:ext>
          </a:extLst>
        </xdr:cNvPr>
        <xdr:cNvSpPr/>
      </xdr:nvSpPr>
      <xdr:spPr bwMode="auto">
        <a:xfrm>
          <a:off x="5302940" y="4738895"/>
          <a:ext cx="361950" cy="2228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Ja</a:t>
          </a:r>
        </a:p>
      </xdr:txBody>
    </xdr:sp>
    <xdr:clientData/>
  </xdr:oneCellAnchor>
  <xdr:oneCellAnchor>
    <xdr:from>
      <xdr:col>6</xdr:col>
      <xdr:colOff>142875</xdr:colOff>
      <xdr:row>37</xdr:row>
      <xdr:rowOff>0</xdr:rowOff>
    </xdr:from>
    <xdr:ext cx="361950" cy="222803"/>
    <xdr:sp macro="" textlink="">
      <xdr:nvSpPr>
        <xdr:cNvPr id="9" name="Check Box 11" hidden="1">
          <a:extLst>
            <a:ext uri="{63B3BB69-23CF-44E3-9099-C40C66FF867C}">
              <a14:compatExt xmlns:a14="http://schemas.microsoft.com/office/drawing/2010/main" spid="_x0000_s10261"/>
            </a:ext>
            <a:ext uri="{FF2B5EF4-FFF2-40B4-BE49-F238E27FC236}">
              <a16:creationId xmlns:a16="http://schemas.microsoft.com/office/drawing/2014/main" id="{2ADEB6A4-2C1B-49BF-951F-BE24364B94D1}"/>
            </a:ext>
          </a:extLst>
        </xdr:cNvPr>
        <xdr:cNvSpPr/>
      </xdr:nvSpPr>
      <xdr:spPr bwMode="auto">
        <a:xfrm>
          <a:off x="5302940" y="4942647"/>
          <a:ext cx="361950" cy="2228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Ja</a:t>
          </a:r>
        </a:p>
      </xdr:txBody>
    </xdr:sp>
    <xdr:clientData/>
  </xdr:oneCellAnchor>
  <xdr:oneCellAnchor>
    <xdr:from>
      <xdr:col>6</xdr:col>
      <xdr:colOff>142875</xdr:colOff>
      <xdr:row>37</xdr:row>
      <xdr:rowOff>0</xdr:rowOff>
    </xdr:from>
    <xdr:ext cx="361950" cy="222803"/>
    <xdr:sp macro="" textlink="">
      <xdr:nvSpPr>
        <xdr:cNvPr id="10" name="Check Box 24" hidden="1">
          <a:extLst>
            <a:ext uri="{63B3BB69-23CF-44E3-9099-C40C66FF867C}">
              <a14:compatExt xmlns:a14="http://schemas.microsoft.com/office/drawing/2010/main" spid="_x0000_s10264"/>
            </a:ext>
            <a:ext uri="{FF2B5EF4-FFF2-40B4-BE49-F238E27FC236}">
              <a16:creationId xmlns:a16="http://schemas.microsoft.com/office/drawing/2014/main" id="{7A386049-AE74-4BA4-8E5F-802FCD29835F}"/>
            </a:ext>
          </a:extLst>
        </xdr:cNvPr>
        <xdr:cNvSpPr/>
      </xdr:nvSpPr>
      <xdr:spPr bwMode="auto">
        <a:xfrm>
          <a:off x="5302940" y="3139523"/>
          <a:ext cx="361950" cy="2228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Ja</a:t>
          </a:r>
        </a:p>
      </xdr:txBody>
    </xdr:sp>
    <xdr:clientData/>
  </xdr:oneCellAnchor>
  <xdr:oneCellAnchor>
    <xdr:from>
      <xdr:col>6</xdr:col>
      <xdr:colOff>733425</xdr:colOff>
      <xdr:row>37</xdr:row>
      <xdr:rowOff>152400</xdr:rowOff>
    </xdr:from>
    <xdr:ext cx="504411" cy="226529"/>
    <xdr:sp macro="" textlink="">
      <xdr:nvSpPr>
        <xdr:cNvPr id="11" name="Check Box 9" hidden="1">
          <a:extLst>
            <a:ext uri="{63B3BB69-23CF-44E3-9099-C40C66FF867C}">
              <a14:compatExt xmlns:a14="http://schemas.microsoft.com/office/drawing/2010/main" spid="_x0000_s10259"/>
            </a:ext>
            <a:ext uri="{FF2B5EF4-FFF2-40B4-BE49-F238E27FC236}">
              <a16:creationId xmlns:a16="http://schemas.microsoft.com/office/drawing/2014/main" id="{5CD3142A-FF3A-4EA3-963D-88DF9EE7926D}"/>
            </a:ext>
          </a:extLst>
        </xdr:cNvPr>
        <xdr:cNvSpPr/>
      </xdr:nvSpPr>
      <xdr:spPr bwMode="auto">
        <a:xfrm>
          <a:off x="6017729" y="4152900"/>
          <a:ext cx="504411" cy="2265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Nein</a:t>
          </a:r>
        </a:p>
      </xdr:txBody>
    </xdr:sp>
    <xdr:clientData/>
  </xdr:oneCellAnchor>
  <xdr:oneCellAnchor>
    <xdr:from>
      <xdr:col>6</xdr:col>
      <xdr:colOff>142875</xdr:colOff>
      <xdr:row>39</xdr:row>
      <xdr:rowOff>0</xdr:rowOff>
    </xdr:from>
    <xdr:ext cx="361950" cy="222802"/>
    <xdr:sp macro="" textlink="">
      <xdr:nvSpPr>
        <xdr:cNvPr id="12" name="Check Box 10" hidden="1">
          <a:extLst>
            <a:ext uri="{63B3BB69-23CF-44E3-9099-C40C66FF867C}">
              <a14:compatExt xmlns:a14="http://schemas.microsoft.com/office/drawing/2010/main" spid="_x0000_s10260"/>
            </a:ext>
            <a:ext uri="{FF2B5EF4-FFF2-40B4-BE49-F238E27FC236}">
              <a16:creationId xmlns:a16="http://schemas.microsoft.com/office/drawing/2014/main" id="{53BAA29D-9AE3-4F22-B71E-19F1342EE4DA}"/>
            </a:ext>
          </a:extLst>
        </xdr:cNvPr>
        <xdr:cNvSpPr/>
      </xdr:nvSpPr>
      <xdr:spPr bwMode="auto">
        <a:xfrm>
          <a:off x="5427179" y="4331804"/>
          <a:ext cx="361950" cy="2228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Ja</a:t>
          </a:r>
        </a:p>
      </xdr:txBody>
    </xdr:sp>
    <xdr:clientData/>
  </xdr:oneCellAnchor>
  <xdr:oneCellAnchor>
    <xdr:from>
      <xdr:col>6</xdr:col>
      <xdr:colOff>142875</xdr:colOff>
      <xdr:row>39</xdr:row>
      <xdr:rowOff>47625</xdr:rowOff>
    </xdr:from>
    <xdr:ext cx="361950" cy="222803"/>
    <xdr:sp macro="" textlink="">
      <xdr:nvSpPr>
        <xdr:cNvPr id="13" name="Check Box 11" hidden="1">
          <a:extLst>
            <a:ext uri="{63B3BB69-23CF-44E3-9099-C40C66FF867C}">
              <a14:compatExt xmlns:a14="http://schemas.microsoft.com/office/drawing/2010/main" spid="_x0000_s10261"/>
            </a:ext>
            <a:ext uri="{FF2B5EF4-FFF2-40B4-BE49-F238E27FC236}">
              <a16:creationId xmlns:a16="http://schemas.microsoft.com/office/drawing/2014/main" id="{164888ED-0CD1-4F4B-AF4E-0B27DF383544}"/>
            </a:ext>
          </a:extLst>
        </xdr:cNvPr>
        <xdr:cNvSpPr/>
      </xdr:nvSpPr>
      <xdr:spPr bwMode="auto">
        <a:xfrm>
          <a:off x="5427179" y="4379429"/>
          <a:ext cx="361950" cy="2228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Ja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38</xdr:row>
          <xdr:rowOff>142875</xdr:rowOff>
        </xdr:from>
        <xdr:to>
          <xdr:col>6</xdr:col>
          <xdr:colOff>504825</xdr:colOff>
          <xdr:row>40</xdr:row>
          <xdr:rowOff>38100</xdr:rowOff>
        </xdr:to>
        <xdr:sp macro="" textlink="">
          <xdr:nvSpPr>
            <xdr:cNvPr id="9226" name="Check Box 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id="{00000000-0008-0000-0800-00000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2.%20Auftr&#228;ge\2.%20Aktive%20Auftr&#228;ge\Verbandsgemeindeverwaltung%20Bad%20Marienberg_2022-006\D.%20Projekte\Ausschreibungs-Modul\Kalkulationsdatei%20Stand%2028.03.2022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reas Kutschera" refreshedDate="44323.774029166663" createdVersion="7" refreshedVersion="7" minRefreshableVersion="3" recordCount="127" xr:uid="{00000000-000A-0000-FFFF-FFFF00000000}">
  <cacheSource type="worksheet">
    <worksheetSource ref="A1:H128" sheet="Schadenliste ohne Passwort" r:id="rId2"/>
  </cacheSource>
  <cacheFields count="8">
    <cacheField name="Schadendatum" numFmtId="14">
      <sharedItems containsSemiMixedTypes="0" containsNonDate="0" containsDate="1" containsString="0" minDate="2016-01-12T00:00:00" maxDate="2021-02-17T00:00:00"/>
    </cacheField>
    <cacheField name="Schadenjahr" numFmtId="1">
      <sharedItems containsSemiMixedTypes="0" containsString="0" containsNumber="1" containsInteger="1" minValue="2016" maxValue="2021" count="6">
        <n v="2016"/>
        <n v="2019"/>
        <n v="2017"/>
        <n v="2018"/>
        <n v="2020"/>
        <n v="2021"/>
      </sharedItems>
    </cacheField>
    <cacheField name="Schadenort" numFmtId="1">
      <sharedItems/>
    </cacheField>
    <cacheField name="Gefahr " numFmtId="165">
      <sharedItems count="7">
        <s v="Glas"/>
        <s v="Feuer-Gebäude"/>
        <s v="Feuer-Inhalt"/>
        <s v="Leitungswasser-_x000a_Gebäude"/>
        <s v="Sturm-Gebäude"/>
        <s v="Einbruchdiebstahl"/>
        <s v="Leitungswasser-_x000a_Inhalt"/>
      </sharedItems>
    </cacheField>
    <cacheField name="Risiko" numFmtId="165">
      <sharedItems count="5">
        <s v="Glas"/>
        <s v="Feuer"/>
        <s v="Leitungswasser"/>
        <s v="Sturm"/>
        <s v="Einbruchdiebstahl"/>
      </sharedItems>
    </cacheField>
    <cacheField name="Zahlung" numFmtId="4">
      <sharedItems containsSemiMixedTypes="0" containsString="0" containsNumber="1" minValue="0" maxValue="19868.009999999998"/>
    </cacheField>
    <cacheField name="Reserve" numFmtId="4">
      <sharedItems containsSemiMixedTypes="0" containsString="0" containsNumber="1" containsInteger="1" minValue="0" maxValue="5000"/>
    </cacheField>
    <cacheField name="Entschädigung" numFmtId="4">
      <sharedItems containsSemiMixedTypes="0" containsString="0" containsNumber="1" minValue="0" maxValue="19868.0099999999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reas Kutschera" refreshedDate="46108.484847106483" createdVersion="8" refreshedVersion="8" minRefreshableVersion="3" recordCount="154" xr:uid="{005FB6F3-F914-4B1D-9BBA-73C3072E941C}">
  <cacheSource type="worksheet">
    <worksheetSource name="Schadenliste"/>
  </cacheSource>
  <cacheFields count="9">
    <cacheField name="Jahr" numFmtId="0">
      <sharedItems containsSemiMixedTypes="0" containsString="0" containsNumber="1" containsInteger="1" minValue="2020" maxValue="2026" count="7">
        <n v="2020"/>
        <n v="2021"/>
        <n v="2022"/>
        <n v="2023"/>
        <n v="2024"/>
        <n v="2025"/>
        <n v="2026"/>
      </sharedItems>
    </cacheField>
    <cacheField name="Anschrift (falls vorhanden)" numFmtId="0">
      <sharedItems/>
    </cacheField>
    <cacheField name="Spalte1" numFmtId="0">
      <sharedItems containsNonDate="0" containsString="0" containsBlank="1"/>
    </cacheField>
    <cacheField name="Auszahlung" numFmtId="0">
      <sharedItems containsString="0" containsBlank="1" containsNumber="1" minValue="0" maxValue="121.38"/>
    </cacheField>
    <cacheField name="Schadenursache" numFmtId="0">
      <sharedItems count="5">
        <s v="Feuer"/>
        <s v="Einbruchdiebstahl"/>
        <s v="Leitungswasser"/>
        <s v="Sturm"/>
        <s v="Überschwemmung/Rückstau"/>
      </sharedItems>
    </cacheField>
    <cacheField name="Aufwand" numFmtId="0">
      <sharedItems containsSemiMixedTypes="0" containsString="0" containsNumber="1" minValue="156.49" maxValue="1086005.6000000001"/>
    </cacheField>
    <cacheField name="Davon Reserve" numFmtId="0">
      <sharedItems containsSemiMixedTypes="0" containsString="0" containsNumber="1" containsInteger="1" minValue="0" maxValue="40000"/>
    </cacheField>
    <cacheField name="2000" numFmtId="4">
      <sharedItems containsSemiMixedTypes="0" containsString="0" containsNumber="1" minValue="0" maxValue="1084005.6000000001"/>
    </cacheField>
    <cacheField name="5000" numFmtId="4">
      <sharedItems containsSemiMixedTypes="0" containsString="0" containsNumber="1" minValue="1.3699999999998909" maxValue="1081005.600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reas Kutschera" refreshedDate="46203.680809143516" createdVersion="8" refreshedVersion="8" minRefreshableVersion="3" recordCount="15" xr:uid="{D15B2E95-2F9C-4AF4-A07C-A30271CB47AB}">
  <cacheSource type="worksheet">
    <worksheetSource name="Schadenliste8"/>
  </cacheSource>
  <cacheFields count="7">
    <cacheField name="Jahr" numFmtId="0">
      <sharedItems containsSemiMixedTypes="0" containsString="0" containsNumber="1" containsInteger="1" minValue="2020" maxValue="2026" count="7">
        <n v="2020"/>
        <n v="2021"/>
        <n v="2022"/>
        <n v="2023"/>
        <n v="2024"/>
        <n v="2025"/>
        <n v="2026"/>
      </sharedItems>
    </cacheField>
    <cacheField name="Anschrift (falls vorhanden)" numFmtId="0">
      <sharedItems/>
    </cacheField>
    <cacheField name="Schadenursache" numFmtId="0">
      <sharedItems count="4">
        <s v="Leitungswasser"/>
        <s v="Überschwemmung"/>
        <s v="Sturm"/>
        <s v="Einbruchdiebstahl"/>
      </sharedItems>
    </cacheField>
    <cacheField name="Aufwand" numFmtId="44">
      <sharedItems containsSemiMixedTypes="0" containsString="0" containsNumber="1" minValue="949.78" maxValue="68619.509999999995"/>
    </cacheField>
    <cacheField name="Davon Reserve" numFmtId="44">
      <sharedItems containsSemiMixedTypes="0" containsString="0" containsNumber="1" minValue="0" maxValue="7440.48"/>
    </cacheField>
    <cacheField name="2000" numFmtId="4">
      <sharedItems containsSemiMixedTypes="0" containsString="0" containsNumber="1" minValue="497.51000000000022" maxValue="66619.509999999995"/>
    </cacheField>
    <cacheField name="5000" numFmtId="4">
      <sharedItems containsSemiMixedTypes="0" containsString="0" containsNumber="1" minValue="84.920000000000073" maxValue="63619.50999999999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7">
  <r>
    <d v="2016-03-21T00:00:00"/>
    <x v="0"/>
    <s v="Zum Herzberg , 57610  Gieleroth "/>
    <x v="0"/>
    <x v="0"/>
    <n v="306.31"/>
    <n v="0"/>
    <n v="306.31"/>
  </r>
  <r>
    <d v="2016-09-03T00:00:00"/>
    <x v="0"/>
    <s v="Helmerother Mühle , 57612  Helmeroth "/>
    <x v="1"/>
    <x v="1"/>
    <n v="1540.28"/>
    <n v="0"/>
    <n v="1540.28"/>
  </r>
  <r>
    <d v="2019-12-23T00:00:00"/>
    <x v="1"/>
    <s v="  ,      "/>
    <x v="1"/>
    <x v="1"/>
    <n v="2582.9499999999998"/>
    <n v="0"/>
    <n v="2582.9499999999998"/>
  </r>
  <r>
    <d v="2016-06-13T00:00:00"/>
    <x v="0"/>
    <s v="Bachstr. , 57612  Busenhausen "/>
    <x v="2"/>
    <x v="1"/>
    <n v="93.33"/>
    <n v="0"/>
    <n v="93.33"/>
  </r>
  <r>
    <d v="2017-05-14T00:00:00"/>
    <x v="2"/>
    <s v="  ,      "/>
    <x v="2"/>
    <x v="1"/>
    <n v="199"/>
    <n v="0"/>
    <n v="199"/>
  </r>
  <r>
    <d v="2017-06-03T00:00:00"/>
    <x v="2"/>
    <s v="Waldstr.12 , 57612  Busenhausen "/>
    <x v="2"/>
    <x v="1"/>
    <n v="388.27"/>
    <n v="0"/>
    <n v="388.27"/>
  </r>
  <r>
    <d v="2018-02-20T00:00:00"/>
    <x v="3"/>
    <s v="  ,      "/>
    <x v="2"/>
    <x v="1"/>
    <n v="139.4"/>
    <n v="0"/>
    <n v="139.4"/>
  </r>
  <r>
    <d v="2018-08-09T00:00:00"/>
    <x v="3"/>
    <s v="Bachstraße 5, 57612 Busenhausen "/>
    <x v="2"/>
    <x v="1"/>
    <n v="99.99"/>
    <n v="0"/>
    <n v="99.99"/>
  </r>
  <r>
    <d v="2019-06-22T00:00:00"/>
    <x v="1"/>
    <s v="Kastanienweg 9a , 57610  Ingelbach "/>
    <x v="2"/>
    <x v="1"/>
    <n v="924.78"/>
    <n v="0"/>
    <n v="924.78"/>
  </r>
  <r>
    <d v="2020-06-21T00:00:00"/>
    <x v="4"/>
    <s v="Am Friedhof , 57610  Ingelbach "/>
    <x v="2"/>
    <x v="1"/>
    <n v="0"/>
    <n v="0"/>
    <n v="0"/>
  </r>
  <r>
    <d v="2020-08-09T00:00:00"/>
    <x v="4"/>
    <s v="Im Seifengarten , 57610  Ingelbach "/>
    <x v="2"/>
    <x v="1"/>
    <n v="318.62"/>
    <n v="0"/>
    <n v="318.62"/>
  </r>
  <r>
    <d v="2016-01-12T00:00:00"/>
    <x v="0"/>
    <s v="Am Lauterberg , 57614  Berod bei Hachenburg "/>
    <x v="3"/>
    <x v="2"/>
    <n v="1681.28"/>
    <n v="0"/>
    <n v="1681.28"/>
  </r>
  <r>
    <d v="2016-07-07T00:00:00"/>
    <x v="0"/>
    <s v="Friedhof , 57610  Altenkirchen "/>
    <x v="3"/>
    <x v="2"/>
    <n v="366.92"/>
    <n v="0"/>
    <n v="366.92"/>
  </r>
  <r>
    <d v="2017-01-28T00:00:00"/>
    <x v="2"/>
    <s v="Im Winkel , 57612  Helmeroth "/>
    <x v="3"/>
    <x v="2"/>
    <n v="1334.58"/>
    <n v="0"/>
    <n v="1334.58"/>
  </r>
  <r>
    <d v="2017-02-21T00:00:00"/>
    <x v="2"/>
    <s v="Glockenspitze , 57610  Altenkirchen "/>
    <x v="3"/>
    <x v="2"/>
    <n v="4394.8100000000004"/>
    <n v="0"/>
    <n v="4394.8100000000004"/>
  </r>
  <r>
    <d v="2017-02-23T00:00:00"/>
    <x v="2"/>
    <s v="Koblenzer Str.41 , 57614  Fluterschen "/>
    <x v="3"/>
    <x v="2"/>
    <n v="8664.9599999999991"/>
    <n v="0"/>
    <n v="8664.9599999999991"/>
  </r>
  <r>
    <d v="2017-03-13T00:00:00"/>
    <x v="2"/>
    <s v="Ziegelweg 4 , 57610  Altenkirchen "/>
    <x v="3"/>
    <x v="2"/>
    <n v="3110.05"/>
    <n v="0"/>
    <n v="3110.05"/>
  </r>
  <r>
    <d v="2017-05-18T00:00:00"/>
    <x v="2"/>
    <s v="Koblenzer Str.2 , 57610  Altenkirchen "/>
    <x v="3"/>
    <x v="2"/>
    <n v="0"/>
    <n v="0"/>
    <n v="0"/>
  </r>
  <r>
    <d v="2017-11-09T00:00:00"/>
    <x v="2"/>
    <s v="Kumpstr.032) , 57610  Altenkirchen "/>
    <x v="3"/>
    <x v="2"/>
    <n v="2199.7199999999998"/>
    <n v="0"/>
    <n v="2199.7199999999998"/>
  </r>
  <r>
    <d v="2018-01-02T00:00:00"/>
    <x v="3"/>
    <s v="  ,      "/>
    <x v="3"/>
    <x v="2"/>
    <n v="7421.78"/>
    <n v="0"/>
    <n v="7421.78"/>
  </r>
  <r>
    <d v="2018-04-11T00:00:00"/>
    <x v="3"/>
    <s v="Sportplatz, 57610 Ingelbach "/>
    <x v="3"/>
    <x v="2"/>
    <n v="1080.76"/>
    <n v="0"/>
    <n v="1080.76"/>
  </r>
  <r>
    <d v="2018-07-09T00:00:00"/>
    <x v="3"/>
    <s v="  ,      "/>
    <x v="3"/>
    <x v="2"/>
    <n v="307.45"/>
    <n v="0"/>
    <n v="307.45"/>
  </r>
  <r>
    <d v="2019-03-25T00:00:00"/>
    <x v="1"/>
    <s v="  ,      "/>
    <x v="3"/>
    <x v="2"/>
    <n v="8384.8799999999992"/>
    <n v="0"/>
    <n v="8384.8799999999992"/>
  </r>
  <r>
    <d v="2019-08-07T00:00:00"/>
    <x v="1"/>
    <s v="  ,      "/>
    <x v="3"/>
    <x v="2"/>
    <n v="486.09"/>
    <n v="0"/>
    <n v="486.09"/>
  </r>
  <r>
    <d v="2019-09-13T00:00:00"/>
    <x v="1"/>
    <s v="Glockenspitze , 57610 Altenkirchen "/>
    <x v="3"/>
    <x v="2"/>
    <n v="3000"/>
    <n v="3000"/>
    <n v="6000"/>
  </r>
  <r>
    <d v="2019-12-11T00:00:00"/>
    <x v="1"/>
    <s v="Rathausstraße 1, 57610 Altenkirchen "/>
    <x v="3"/>
    <x v="2"/>
    <n v="1000"/>
    <n v="1000"/>
    <n v="2000"/>
  </r>
  <r>
    <d v="2020-08-18T00:00:00"/>
    <x v="4"/>
    <s v="  ,      "/>
    <x v="3"/>
    <x v="2"/>
    <n v="2761.12"/>
    <n v="0"/>
    <n v="2761.12"/>
  </r>
  <r>
    <d v="2020-09-18T00:00:00"/>
    <x v="4"/>
    <s v="  ,      "/>
    <x v="3"/>
    <x v="2"/>
    <n v="590.83000000000004"/>
    <n v="0"/>
    <n v="590.83000000000004"/>
  </r>
  <r>
    <d v="2020-11-11T00:00:00"/>
    <x v="4"/>
    <s v="  ,      "/>
    <x v="3"/>
    <x v="2"/>
    <n v="3987.28"/>
    <n v="0"/>
    <n v="3987.28"/>
  </r>
  <r>
    <d v="2020-11-26T00:00:00"/>
    <x v="4"/>
    <s v="  ,      "/>
    <x v="3"/>
    <x v="2"/>
    <n v="1426.82"/>
    <n v="0"/>
    <n v="1426.82"/>
  </r>
  <r>
    <d v="2018-01-18T00:00:00"/>
    <x v="3"/>
    <s v="  ,      "/>
    <x v="4"/>
    <x v="3"/>
    <n v="1555.78"/>
    <n v="0"/>
    <n v="1555.78"/>
  </r>
  <r>
    <d v="2018-01-18T00:00:00"/>
    <x v="3"/>
    <s v="Gartenstr.13 , 57638  Schöneberg "/>
    <x v="4"/>
    <x v="3"/>
    <n v="165.2"/>
    <n v="0"/>
    <n v="165.2"/>
  </r>
  <r>
    <d v="2018-01-18T00:00:00"/>
    <x v="3"/>
    <s v="  ,      "/>
    <x v="4"/>
    <x v="3"/>
    <n v="5067.63"/>
    <n v="0"/>
    <n v="5067.63"/>
  </r>
  <r>
    <d v="2018-01-18T00:00:00"/>
    <x v="3"/>
    <s v="  ,      "/>
    <x v="4"/>
    <x v="3"/>
    <n v="116.62"/>
    <n v="0"/>
    <n v="116.62"/>
  </r>
  <r>
    <d v="2018-01-18T00:00:00"/>
    <x v="3"/>
    <s v="  ,      "/>
    <x v="4"/>
    <x v="3"/>
    <n v="550.71"/>
    <n v="0"/>
    <n v="550.71"/>
  </r>
  <r>
    <d v="2018-01-18T00:00:00"/>
    <x v="3"/>
    <s v="Waldstr.4 , 57614  Berod bei Hachenburg "/>
    <x v="4"/>
    <x v="3"/>
    <n v="372.37"/>
    <n v="0"/>
    <n v="372.37"/>
  </r>
  <r>
    <d v="2019-01-14T00:00:00"/>
    <x v="1"/>
    <s v="  ,      "/>
    <x v="4"/>
    <x v="3"/>
    <n v="2743.65"/>
    <n v="0"/>
    <n v="2743.65"/>
  </r>
  <r>
    <d v="2019-03-10T00:00:00"/>
    <x v="1"/>
    <s v="Siegener Straße 26, 57610 Altenkirchen "/>
    <x v="4"/>
    <x v="3"/>
    <n v="500"/>
    <n v="0"/>
    <n v="500"/>
  </r>
  <r>
    <d v="2019-03-15T00:00:00"/>
    <x v="1"/>
    <s v="  ,      "/>
    <x v="4"/>
    <x v="3"/>
    <n v="201.59"/>
    <n v="0"/>
    <n v="201.59"/>
  </r>
  <r>
    <d v="2019-03-10T00:00:00"/>
    <x v="1"/>
    <s v="  ,      "/>
    <x v="4"/>
    <x v="3"/>
    <n v="199.68"/>
    <n v="0"/>
    <n v="199.68"/>
  </r>
  <r>
    <d v="2019-03-14T00:00:00"/>
    <x v="1"/>
    <s v="  ,      "/>
    <x v="4"/>
    <x v="3"/>
    <n v="1339.94"/>
    <n v="0"/>
    <n v="1339.94"/>
  </r>
  <r>
    <d v="2019-03-10T00:00:00"/>
    <x v="1"/>
    <s v="  ,      "/>
    <x v="4"/>
    <x v="3"/>
    <n v="211.23"/>
    <n v="0"/>
    <n v="211.23"/>
  </r>
  <r>
    <d v="2020-01-28T00:00:00"/>
    <x v="4"/>
    <s v="Friedhof , 57610 Almersbach"/>
    <x v="4"/>
    <x v="3"/>
    <n v="500"/>
    <n v="0"/>
    <n v="500"/>
  </r>
  <r>
    <d v="2020-02-10T00:00:00"/>
    <x v="4"/>
    <s v="  ,      "/>
    <x v="4"/>
    <x v="3"/>
    <n v="560.74"/>
    <n v="0"/>
    <n v="560.74"/>
  </r>
  <r>
    <d v="2020-02-10T00:00:00"/>
    <x v="4"/>
    <s v="  ,      "/>
    <x v="4"/>
    <x v="3"/>
    <n v="161.66"/>
    <n v="0"/>
    <n v="161.66"/>
  </r>
  <r>
    <d v="2016-03-22T00:00:00"/>
    <x v="0"/>
    <s v="Schloßplatz , 57610  Altenkirchen "/>
    <x v="5"/>
    <x v="4"/>
    <n v="0"/>
    <n v="0"/>
    <n v="0"/>
  </r>
  <r>
    <d v="2016-09-27T00:00:00"/>
    <x v="0"/>
    <s v="  ,      "/>
    <x v="5"/>
    <x v="4"/>
    <n v="1556.24"/>
    <n v="0"/>
    <n v="1556.24"/>
  </r>
  <r>
    <d v="2017-03-11T00:00:00"/>
    <x v="2"/>
    <s v="Hauptstr.32 , 57614  Oberwambach "/>
    <x v="5"/>
    <x v="4"/>
    <n v="1500"/>
    <n v="0"/>
    <n v="1500"/>
  </r>
  <r>
    <d v="2018-04-16T00:00:00"/>
    <x v="3"/>
    <s v="Bachstraße 5, 57612 Busenhausen "/>
    <x v="5"/>
    <x v="4"/>
    <n v="2093.34"/>
    <n v="0"/>
    <n v="2093.34"/>
  </r>
  <r>
    <d v="2019-03-02T00:00:00"/>
    <x v="1"/>
    <s v="  ,      "/>
    <x v="5"/>
    <x v="4"/>
    <n v="255.85"/>
    <n v="0"/>
    <n v="255.85"/>
  </r>
  <r>
    <d v="2019-11-29T00:00:00"/>
    <x v="1"/>
    <s v="Schloßplatz , 57610  Altenkirchen "/>
    <x v="5"/>
    <x v="4"/>
    <n v="19868.009999999998"/>
    <n v="0"/>
    <n v="19868.009999999998"/>
  </r>
  <r>
    <d v="2019-12-20T00:00:00"/>
    <x v="1"/>
    <s v="  ,      "/>
    <x v="5"/>
    <x v="4"/>
    <n v="813.25"/>
    <n v="0"/>
    <n v="813.25"/>
  </r>
  <r>
    <d v="2019-12-20T00:00:00"/>
    <x v="1"/>
    <s v="  ,      "/>
    <x v="5"/>
    <x v="4"/>
    <n v="443.57"/>
    <n v="0"/>
    <n v="443.57"/>
  </r>
  <r>
    <d v="2019-12-20T00:00:00"/>
    <x v="1"/>
    <s v="  ,      "/>
    <x v="5"/>
    <x v="4"/>
    <n v="1300"/>
    <n v="0"/>
    <n v="1300"/>
  </r>
  <r>
    <d v="2020-05-08T00:00:00"/>
    <x v="4"/>
    <s v="  ,      "/>
    <x v="0"/>
    <x v="0"/>
    <n v="317.67"/>
    <n v="0"/>
    <n v="317.67"/>
  </r>
  <r>
    <d v="2016-02-10T00:00:00"/>
    <x v="0"/>
    <s v="  ,      "/>
    <x v="1"/>
    <x v="1"/>
    <n v="194.81"/>
    <n v="0"/>
    <n v="194.81"/>
  </r>
  <r>
    <d v="2019-05-06T00:00:00"/>
    <x v="1"/>
    <s v="Wölmerser Str. , 57635  Oberirsen "/>
    <x v="1"/>
    <x v="1"/>
    <n v="971.32"/>
    <n v="0"/>
    <n v="971.32"/>
  </r>
  <r>
    <d v="2019-05-06T00:00:00"/>
    <x v="1"/>
    <s v="Wölmenser Str. , 57635  Oberirsen "/>
    <x v="1"/>
    <x v="1"/>
    <n v="3344.32"/>
    <n v="0"/>
    <n v="3344.32"/>
  </r>
  <r>
    <d v="2020-08-16T00:00:00"/>
    <x v="4"/>
    <s v="  ,      "/>
    <x v="1"/>
    <x v="1"/>
    <n v="2128.64"/>
    <n v="0"/>
    <n v="2128.64"/>
  </r>
  <r>
    <d v="2018-05-31T00:00:00"/>
    <x v="3"/>
    <s v="Hauptstr.12 , 57635  Kircheib "/>
    <x v="2"/>
    <x v="1"/>
    <n v="89"/>
    <n v="0"/>
    <n v="89"/>
  </r>
  <r>
    <d v="2020-08-16T00:00:00"/>
    <x v="4"/>
    <s v="  ,      "/>
    <x v="2"/>
    <x v="1"/>
    <n v="115.03"/>
    <n v="0"/>
    <n v="115.03"/>
  </r>
  <r>
    <d v="2016-06-12T00:00:00"/>
    <x v="0"/>
    <s v="Kölner Str. , 57635  Weyerbusch "/>
    <x v="3"/>
    <x v="2"/>
    <n v="143.85"/>
    <n v="0"/>
    <n v="143.85"/>
  </r>
  <r>
    <d v="2017-11-21T00:00:00"/>
    <x v="2"/>
    <s v="Kölner Str. 33 , 57635  Weyerbusch "/>
    <x v="3"/>
    <x v="2"/>
    <n v="4467.6499999999996"/>
    <n v="0"/>
    <n v="4467.6499999999996"/>
  </r>
  <r>
    <d v="2018-03-04T00:00:00"/>
    <x v="3"/>
    <s v="  ,      "/>
    <x v="3"/>
    <x v="2"/>
    <n v="640.24"/>
    <n v="0"/>
    <n v="640.24"/>
  </r>
  <r>
    <d v="2018-08-06T00:00:00"/>
    <x v="3"/>
    <s v="Raiffeisenstr. , 57635  Weyerbusch "/>
    <x v="3"/>
    <x v="2"/>
    <n v="3982"/>
    <n v="0"/>
    <n v="3982"/>
  </r>
  <r>
    <d v="2020-03-07T00:00:00"/>
    <x v="4"/>
    <s v="Kölner-Straße 33, 57635 Weyerbusch "/>
    <x v="3"/>
    <x v="2"/>
    <n v="3000"/>
    <n v="3000"/>
    <n v="6000"/>
  </r>
  <r>
    <d v="2016-05-30T00:00:00"/>
    <x v="0"/>
    <s v="  ,      "/>
    <x v="6"/>
    <x v="2"/>
    <n v="729.7"/>
    <n v="0"/>
    <n v="729.7"/>
  </r>
  <r>
    <d v="2021-02-16T00:00:00"/>
    <x v="5"/>
    <s v="Weiherstra0e,    Hemmelzen"/>
    <x v="6"/>
    <x v="2"/>
    <n v="2000"/>
    <n v="0"/>
    <n v="2000"/>
  </r>
  <r>
    <d v="2016-11-20T00:00:00"/>
    <x v="0"/>
    <s v="  ,      "/>
    <x v="4"/>
    <x v="3"/>
    <n v="560.49"/>
    <n v="0"/>
    <n v="560.49"/>
  </r>
  <r>
    <d v="2017-02-24T00:00:00"/>
    <x v="2"/>
    <s v="  ,      "/>
    <x v="4"/>
    <x v="3"/>
    <n v="1051.1600000000001"/>
    <n v="0"/>
    <n v="1051.1600000000001"/>
  </r>
  <r>
    <d v="2018-01-03T00:00:00"/>
    <x v="3"/>
    <s v="Kölner Str. 33 , 57635  Weyerbusch "/>
    <x v="4"/>
    <x v="3"/>
    <n v="622"/>
    <n v="0"/>
    <n v="622"/>
  </r>
  <r>
    <d v="2018-01-03T00:00:00"/>
    <x v="3"/>
    <s v="Kirchstr.33 , 57612  Birnbach "/>
    <x v="4"/>
    <x v="3"/>
    <n v="224.39"/>
    <n v="0"/>
    <n v="224.39"/>
  </r>
  <r>
    <d v="2019-03-10T00:00:00"/>
    <x v="1"/>
    <s v="Limbacher Str. , 57635  Kircheib "/>
    <x v="4"/>
    <x v="3"/>
    <n v="190.14"/>
    <n v="0"/>
    <n v="190.14"/>
  </r>
  <r>
    <d v="2019-03-10T00:00:00"/>
    <x v="1"/>
    <s v="  ,      "/>
    <x v="4"/>
    <x v="3"/>
    <n v="0"/>
    <n v="0"/>
    <n v="0"/>
  </r>
  <r>
    <d v="2019-03-10T00:00:00"/>
    <x v="1"/>
    <s v="  ,      "/>
    <x v="4"/>
    <x v="3"/>
    <n v="1316.7"/>
    <n v="0"/>
    <n v="1316.7"/>
  </r>
  <r>
    <d v="2020-02-10T00:00:00"/>
    <x v="4"/>
    <s v="  ,      "/>
    <x v="4"/>
    <x v="3"/>
    <n v="416"/>
    <n v="0"/>
    <n v="416"/>
  </r>
  <r>
    <d v="2020-02-10T00:00:00"/>
    <x v="4"/>
    <s v="  ,      "/>
    <x v="4"/>
    <x v="3"/>
    <n v="622.32000000000005"/>
    <n v="0"/>
    <n v="622.32000000000005"/>
  </r>
  <r>
    <d v="2020-02-09T00:00:00"/>
    <x v="4"/>
    <s v="Bachstr. 5 , 57612  Busenhausen "/>
    <x v="4"/>
    <x v="3"/>
    <n v="900"/>
    <n v="0"/>
    <n v="900"/>
  </r>
  <r>
    <d v="2017-03-14T00:00:00"/>
    <x v="2"/>
    <s v="Kölner Str. 33 , 57635  Weyerbusch "/>
    <x v="5"/>
    <x v="4"/>
    <n v="1246.71"/>
    <n v="0"/>
    <n v="1246.71"/>
  </r>
  <r>
    <d v="2018-04-20T00:00:00"/>
    <x v="3"/>
    <s v="  ,      "/>
    <x v="5"/>
    <x v="4"/>
    <n v="2571.29"/>
    <n v="0"/>
    <n v="2571.29"/>
  </r>
  <r>
    <d v="2019-06-14T00:00:00"/>
    <x v="1"/>
    <s v="  ,      "/>
    <x v="5"/>
    <x v="4"/>
    <n v="2477.06"/>
    <n v="0"/>
    <n v="2477.06"/>
  </r>
  <r>
    <d v="2019-12-24T00:00:00"/>
    <x v="1"/>
    <s v="  ,      "/>
    <x v="5"/>
    <x v="4"/>
    <n v="369.08"/>
    <n v="0"/>
    <n v="369.08"/>
  </r>
  <r>
    <d v="2020-01-09T00:00:00"/>
    <x v="4"/>
    <s v="Siegstr. , 57635  Oberirsen "/>
    <x v="5"/>
    <x v="4"/>
    <n v="1000"/>
    <n v="0"/>
    <n v="1000"/>
  </r>
  <r>
    <d v="2018-05-27T00:00:00"/>
    <x v="3"/>
    <s v="Auf der Burg , 56593  Krunkel "/>
    <x v="1"/>
    <x v="1"/>
    <n v="2647.75"/>
    <n v="0"/>
    <n v="2647.75"/>
  </r>
  <r>
    <d v="2018-06-01T00:00:00"/>
    <x v="3"/>
    <s v="Floriansweg 2 , 56593  Horhausen Westerwald "/>
    <x v="1"/>
    <x v="1"/>
    <n v="2094.29"/>
    <n v="0"/>
    <n v="2094.29"/>
  </r>
  <r>
    <d v="2019-07-12T00:00:00"/>
    <x v="1"/>
    <s v="Eiderbachstr. , 56593  Pleckhausen "/>
    <x v="1"/>
    <x v="1"/>
    <n v="4296.26"/>
    <n v="0"/>
    <n v="4296.26"/>
  </r>
  <r>
    <d v="2019-08-27T00:00:00"/>
    <x v="1"/>
    <s v="Neuwieder Str. 3 , 57632  Rott "/>
    <x v="1"/>
    <x v="1"/>
    <n v="1000"/>
    <n v="0"/>
    <n v="1000"/>
  </r>
  <r>
    <d v="2016-06-07T00:00:00"/>
    <x v="0"/>
    <s v="Rheinstr.17 , 57632  Flammersfeld "/>
    <x v="2"/>
    <x v="1"/>
    <n v="1966.3"/>
    <n v="0"/>
    <n v="1966.3"/>
  </r>
  <r>
    <d v="2016-02-18T00:00:00"/>
    <x v="0"/>
    <s v="Raiffeisenstr.40 , 57632  Flammersfeld "/>
    <x v="3"/>
    <x v="2"/>
    <n v="1991.23"/>
    <n v="0"/>
    <n v="1991.23"/>
  </r>
  <r>
    <d v="2016-05-03T00:00:00"/>
    <x v="0"/>
    <s v="Langenauer Str.1 , 57641  Oberlahr "/>
    <x v="3"/>
    <x v="2"/>
    <n v="1729.11"/>
    <n v="0"/>
    <n v="1729.11"/>
  </r>
  <r>
    <d v="2016-10-18T00:00:00"/>
    <x v="0"/>
    <s v="Kaplan-Dasbach-Str.3 , 56593  Horhausen Westerwald "/>
    <x v="3"/>
    <x v="2"/>
    <n v="28.56"/>
    <n v="0"/>
    <n v="28.56"/>
  </r>
  <r>
    <d v="2017-02-08T00:00:00"/>
    <x v="2"/>
    <s v="  ,      "/>
    <x v="3"/>
    <x v="2"/>
    <n v="80.28"/>
    <n v="0"/>
    <n v="80.28"/>
  </r>
  <r>
    <d v="2017-03-16T00:00:00"/>
    <x v="2"/>
    <s v="  ,      "/>
    <x v="3"/>
    <x v="2"/>
    <n v="237.4"/>
    <n v="0"/>
    <n v="237.4"/>
  </r>
  <r>
    <d v="2017-05-08T00:00:00"/>
    <x v="2"/>
    <s v="Südstr.2 , 57632  Flammersfeld "/>
    <x v="3"/>
    <x v="2"/>
    <n v="1677.03"/>
    <n v="0"/>
    <n v="1677.03"/>
  </r>
  <r>
    <d v="2017-02-18T00:00:00"/>
    <x v="2"/>
    <s v="  ,      "/>
    <x v="3"/>
    <x v="2"/>
    <n v="666.4"/>
    <n v="0"/>
    <n v="666.4"/>
  </r>
  <r>
    <d v="2018-01-25T00:00:00"/>
    <x v="3"/>
    <s v="Dorfstr. , 56594  Willroth "/>
    <x v="3"/>
    <x v="2"/>
    <n v="1850.45"/>
    <n v="0"/>
    <n v="1850.45"/>
  </r>
  <r>
    <d v="2018-03-05T00:00:00"/>
    <x v="3"/>
    <s v="  ,      "/>
    <x v="3"/>
    <x v="2"/>
    <n v="38.159999999999997"/>
    <n v="0"/>
    <n v="38.159999999999997"/>
  </r>
  <r>
    <d v="2018-03-06T00:00:00"/>
    <x v="3"/>
    <s v="  ,      "/>
    <x v="3"/>
    <x v="2"/>
    <n v="677.11"/>
    <n v="0"/>
    <n v="677.11"/>
  </r>
  <r>
    <d v="2018-04-04T00:00:00"/>
    <x v="3"/>
    <s v="  ,      "/>
    <x v="3"/>
    <x v="2"/>
    <n v="5525"/>
    <n v="0"/>
    <n v="5525"/>
  </r>
  <r>
    <d v="2019-01-07T00:00:00"/>
    <x v="1"/>
    <s v="Dorfstr.23 , 56594  Willroth "/>
    <x v="3"/>
    <x v="2"/>
    <n v="2268.77"/>
    <n v="0"/>
    <n v="2268.77"/>
  </r>
  <r>
    <d v="2019-08-27T00:00:00"/>
    <x v="1"/>
    <s v="Schulstr. 11 , 57632  Flammersfeld "/>
    <x v="3"/>
    <x v="2"/>
    <n v="999.67"/>
    <n v="0"/>
    <n v="999.67"/>
  </r>
  <r>
    <d v="2019-12-17T00:00:00"/>
    <x v="1"/>
    <s v="Jahnwiese , 56593 Horhausen Westerwald "/>
    <x v="3"/>
    <x v="2"/>
    <n v="1000"/>
    <n v="0"/>
    <n v="1000"/>
  </r>
  <r>
    <d v="2020-08-24T00:00:00"/>
    <x v="4"/>
    <s v="  ,      "/>
    <x v="3"/>
    <x v="2"/>
    <n v="7863.12"/>
    <n v="0"/>
    <n v="7863.12"/>
  </r>
  <r>
    <d v="2021-02-11T00:00:00"/>
    <x v="5"/>
    <s v="Burgstraße,    Burglahr"/>
    <x v="3"/>
    <x v="2"/>
    <n v="5000"/>
    <n v="5000"/>
    <n v="10000"/>
  </r>
  <r>
    <d v="2016-02-02T00:00:00"/>
    <x v="0"/>
    <s v="Dorfstr.23 , 56594  Willroth "/>
    <x v="4"/>
    <x v="3"/>
    <n v="500"/>
    <n v="0"/>
    <n v="500"/>
  </r>
  <r>
    <d v="2016-04-06T00:00:00"/>
    <x v="0"/>
    <s v="Dorfstr.23 , 56594  Willroth "/>
    <x v="4"/>
    <x v="3"/>
    <n v="340.03"/>
    <n v="0"/>
    <n v="340.03"/>
  </r>
  <r>
    <d v="2016-05-29T00:00:00"/>
    <x v="0"/>
    <s v="Rheinstr.17 , 57632  Flammersfeld "/>
    <x v="4"/>
    <x v="3"/>
    <n v="1000"/>
    <n v="0"/>
    <n v="1000"/>
  </r>
  <r>
    <d v="2019-03-10T00:00:00"/>
    <x v="1"/>
    <s v="Südstr.2 , 57632  Flammersfeld "/>
    <x v="4"/>
    <x v="3"/>
    <n v="1000"/>
    <n v="0"/>
    <n v="1000"/>
  </r>
  <r>
    <d v="2019-03-10T00:00:00"/>
    <x v="1"/>
    <s v="Ahlbacher Str. , 57632 Flammersfeld "/>
    <x v="4"/>
    <x v="3"/>
    <n v="4000"/>
    <n v="0"/>
    <n v="4000"/>
  </r>
  <r>
    <d v="2019-03-10T00:00:00"/>
    <x v="1"/>
    <s v="Raiffeisenstr.40 , 57632  Flammersfeld "/>
    <x v="4"/>
    <x v="3"/>
    <n v="500"/>
    <n v="0"/>
    <n v="500"/>
  </r>
  <r>
    <d v="2019-03-10T00:00:00"/>
    <x v="1"/>
    <s v="Ahlbacher Str. , 57632  Flammersfeld "/>
    <x v="4"/>
    <x v="3"/>
    <n v="411.76"/>
    <n v="0"/>
    <n v="411.76"/>
  </r>
  <r>
    <d v="2019-07-28T00:00:00"/>
    <x v="1"/>
    <s v="Schulstraße 5, 57632 Flammersfeld "/>
    <x v="4"/>
    <x v="3"/>
    <n v="1000"/>
    <n v="0"/>
    <n v="1000"/>
  </r>
  <r>
    <d v="2019-03-10T00:00:00"/>
    <x v="1"/>
    <s v="Rheinstr. 39 , 57632  Flammersfeld "/>
    <x v="4"/>
    <x v="3"/>
    <n v="0"/>
    <n v="0"/>
    <n v="0"/>
  </r>
  <r>
    <d v="2020-02-11T00:00:00"/>
    <x v="4"/>
    <s v="  ,      "/>
    <x v="4"/>
    <x v="3"/>
    <n v="6500"/>
    <n v="0"/>
    <n v="6500"/>
  </r>
  <r>
    <d v="2020-02-11T00:00:00"/>
    <x v="4"/>
    <s v="Schulstr. 5 , 57632  Flammersfeld "/>
    <x v="4"/>
    <x v="3"/>
    <n v="458.61"/>
    <n v="0"/>
    <n v="458.61"/>
  </r>
  <r>
    <d v="2020-02-11T00:00:00"/>
    <x v="4"/>
    <s v="Friedhofstr. 6 , 56593  Horhausen Westerwald "/>
    <x v="4"/>
    <x v="3"/>
    <n v="2000"/>
    <n v="0"/>
    <n v="2000"/>
  </r>
  <r>
    <d v="2020-02-11T00:00:00"/>
    <x v="4"/>
    <s v="  ,      "/>
    <x v="4"/>
    <x v="3"/>
    <n v="147.65"/>
    <n v="0"/>
    <n v="147.65"/>
  </r>
  <r>
    <d v="2016-06-18T00:00:00"/>
    <x v="0"/>
    <s v="Camppl Lahr Herrlichkt. , 57641  Oberlahr "/>
    <x v="5"/>
    <x v="4"/>
    <n v="680.01"/>
    <n v="0"/>
    <n v="680.01"/>
  </r>
  <r>
    <d v="2017-05-23T00:00:00"/>
    <x v="2"/>
    <s v="Camppl Lahr Herrlichkt. , 57641  Oberlahr "/>
    <x v="5"/>
    <x v="4"/>
    <n v="375"/>
    <n v="0"/>
    <n v="375"/>
  </r>
  <r>
    <d v="2017-06-01T00:00:00"/>
    <x v="2"/>
    <s v="  ,      "/>
    <x v="5"/>
    <x v="4"/>
    <n v="1594.6"/>
    <n v="0"/>
    <n v="1594.6"/>
  </r>
  <r>
    <d v="2017-06-05T00:00:00"/>
    <x v="2"/>
    <s v="Rheinstr.39 , 57632  Flammersfeld "/>
    <x v="5"/>
    <x v="4"/>
    <n v="1000"/>
    <n v="0"/>
    <n v="1000"/>
  </r>
  <r>
    <d v="2018-06-29T00:00:00"/>
    <x v="3"/>
    <s v="Hubertussteig , 57632  Flammersfeld "/>
    <x v="5"/>
    <x v="4"/>
    <n v="939.63"/>
    <n v="0"/>
    <n v="939.63"/>
  </r>
  <r>
    <d v="2018-08-09T00:00:00"/>
    <x v="3"/>
    <s v="  ,      "/>
    <x v="5"/>
    <x v="4"/>
    <n v="1633.58"/>
    <n v="0"/>
    <n v="1633.58"/>
  </r>
  <r>
    <d v="2018-07-06T00:00:00"/>
    <x v="3"/>
    <s v="Walter Bartels Weg 1 , 57632  Rott "/>
    <x v="5"/>
    <x v="4"/>
    <n v="0"/>
    <n v="0"/>
    <n v="0"/>
  </r>
  <r>
    <d v="2018-07-23T00:00:00"/>
    <x v="3"/>
    <s v="Walter Bartels Weg 1 , 57632  Rott "/>
    <x v="5"/>
    <x v="4"/>
    <n v="0"/>
    <n v="0"/>
    <n v="0"/>
  </r>
  <r>
    <d v="2018-09-29T00:00:00"/>
    <x v="3"/>
    <s v="  ,      "/>
    <x v="5"/>
    <x v="4"/>
    <n v="525.02"/>
    <n v="0"/>
    <n v="525.02"/>
  </r>
  <r>
    <d v="2020-12-12T00:00:00"/>
    <x v="4"/>
    <s v="Hauptstr. 36 , 56593  Niedersteinebach "/>
    <x v="5"/>
    <x v="4"/>
    <n v="1000"/>
    <n v="0"/>
    <n v="100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4">
  <r>
    <x v="0"/>
    <s v="KENTENER HEIDE"/>
    <m/>
    <m/>
    <x v="0"/>
    <n v="208188.88888888888"/>
    <n v="0"/>
    <n v="206188.88888888888"/>
    <n v="203188.88888888888"/>
  </r>
  <r>
    <x v="0"/>
    <s v="NIKOLAIUS-ADAMS-STR"/>
    <m/>
    <m/>
    <x v="1"/>
    <n v="6166.666666666667"/>
    <n v="0"/>
    <n v="4166.666666666667"/>
    <n v="1166.666666666667"/>
  </r>
  <r>
    <x v="0"/>
    <s v="BRIEYSTR. 28"/>
    <m/>
    <m/>
    <x v="1"/>
    <n v="1648.8888888888889"/>
    <n v="0"/>
    <n v="1648.8888888888889"/>
    <n v="1648.8888888888889"/>
  </r>
  <r>
    <x v="0"/>
    <s v="AM SIEBERATH 6"/>
    <m/>
    <m/>
    <x v="1"/>
    <n v="4660"/>
    <n v="0"/>
    <n v="2660"/>
    <n v="4660"/>
  </r>
  <r>
    <x v="0"/>
    <s v="AM WIERICHSKAMP 5"/>
    <m/>
    <m/>
    <x v="1"/>
    <n v="566.66666666666663"/>
    <n v="0"/>
    <n v="566.66666666666663"/>
    <n v="566.66666666666663"/>
  </r>
  <r>
    <x v="0"/>
    <s v="BRIEYSTR. 25"/>
    <m/>
    <m/>
    <x v="1"/>
    <n v="1188.8888888888889"/>
    <n v="0"/>
    <n v="1188.8888888888889"/>
    <n v="1188.8888888888889"/>
  </r>
  <r>
    <x v="0"/>
    <s v="SPORTPARKSTR."/>
    <m/>
    <m/>
    <x v="1"/>
    <n v="2771.1111111111113"/>
    <n v="0"/>
    <n v="771.11111111111131"/>
    <n v="2771.1111111111113"/>
  </r>
  <r>
    <x v="0"/>
    <s v="BRIEYSTR.25 HEIZUNGS"/>
    <m/>
    <m/>
    <x v="2"/>
    <n v="788.88888888888891"/>
    <n v="0"/>
    <n v="788.88888888888891"/>
    <n v="788.88888888888891"/>
  </r>
  <r>
    <x v="0"/>
    <s v="AUF DEN SPRÜNGEN 41"/>
    <m/>
    <m/>
    <x v="2"/>
    <n v="713.33333333333337"/>
    <n v="0"/>
    <n v="713.33333333333337"/>
    <n v="713.33333333333337"/>
  </r>
  <r>
    <x v="0"/>
    <s v="DORMAGENER STR. 11"/>
    <m/>
    <m/>
    <x v="2"/>
    <n v="1284.4444444444443"/>
    <n v="0"/>
    <n v="1284.4444444444443"/>
    <n v="1284.4444444444443"/>
  </r>
  <r>
    <x v="0"/>
    <s v="IM BROICH 5"/>
    <m/>
    <m/>
    <x v="1"/>
    <n v="1751.1111111111111"/>
    <n v="0"/>
    <n v="1751.1111111111111"/>
    <n v="1751.1111111111111"/>
  </r>
  <r>
    <x v="0"/>
    <s v="DOMACKERSTR."/>
    <m/>
    <m/>
    <x v="2"/>
    <n v="2055.5555555555557"/>
    <n v="0"/>
    <n v="55.555555555555657"/>
    <n v="2055.5555555555557"/>
  </r>
  <r>
    <x v="0"/>
    <s v="AHORNWEG 2"/>
    <m/>
    <m/>
    <x v="1"/>
    <n v="156.49"/>
    <n v="0"/>
    <n v="156.49"/>
    <n v="156.49"/>
  </r>
  <r>
    <x v="0"/>
    <s v="AN DER PFARRKIRCHE"/>
    <m/>
    <m/>
    <x v="1"/>
    <n v="13060"/>
    <n v="0"/>
    <n v="11060"/>
    <n v="8060"/>
  </r>
  <r>
    <x v="0"/>
    <s v="GLESCHER STR. 63"/>
    <m/>
    <m/>
    <x v="2"/>
    <n v="1764.4444444444443"/>
    <n v="0"/>
    <n v="1764.4444444444443"/>
    <n v="1764.4444444444443"/>
  </r>
  <r>
    <x v="0"/>
    <s v="KÖLN-AACHENER STR.95"/>
    <m/>
    <m/>
    <x v="1"/>
    <n v="1948.8888888888889"/>
    <n v="0"/>
    <n v="1948.8888888888889"/>
    <n v="1948.8888888888889"/>
  </r>
  <r>
    <x v="0"/>
    <s v="GUTENBERGSTR. 2-6"/>
    <m/>
    <m/>
    <x v="1"/>
    <n v="1835.5555555555557"/>
    <n v="0"/>
    <n v="1835.5555555555557"/>
    <n v="1835.5555555555557"/>
  </r>
  <r>
    <x v="0"/>
    <s v="ZUM RÖMERTURM 18"/>
    <m/>
    <m/>
    <x v="1"/>
    <n v="804.44444444444446"/>
    <n v="0"/>
    <n v="804.44444444444446"/>
    <n v="804.44444444444446"/>
  </r>
  <r>
    <x v="0"/>
    <s v="GREVENBROICHER STR."/>
    <m/>
    <m/>
    <x v="1"/>
    <n v="7011.24"/>
    <n v="0"/>
    <n v="5011.24"/>
    <n v="2011.2399999999998"/>
  </r>
  <r>
    <x v="0"/>
    <s v="CARL-SONNENSCHEIN-ST"/>
    <m/>
    <m/>
    <x v="2"/>
    <n v="544.44444444444446"/>
    <n v="0"/>
    <n v="544.44444444444446"/>
    <n v="544.44444444444446"/>
  </r>
  <r>
    <x v="0"/>
    <s v="BRIEYSTR. FORTUNABAD"/>
    <m/>
    <m/>
    <x v="1"/>
    <n v="775.55555555555554"/>
    <n v="0"/>
    <n v="775.55555555555554"/>
    <n v="775.55555555555554"/>
  </r>
  <r>
    <x v="0"/>
    <s v="GREVENBROICHER STR."/>
    <m/>
    <m/>
    <x v="2"/>
    <n v="415.55555555555554"/>
    <n v="0"/>
    <n v="415.55555555555554"/>
    <n v="415.55555555555554"/>
  </r>
  <r>
    <x v="0"/>
    <s v="GREVENBROICHER STR."/>
    <m/>
    <m/>
    <x v="2"/>
    <n v="1326.6666666666667"/>
    <n v="0"/>
    <n v="1326.6666666666667"/>
    <n v="1326.6666666666667"/>
  </r>
  <r>
    <x v="0"/>
    <s v="HERBERGERSTR 5"/>
    <m/>
    <m/>
    <x v="2"/>
    <n v="2357.7777777777778"/>
    <n v="0"/>
    <n v="357.77777777777783"/>
    <n v="2357.7777777777778"/>
  </r>
  <r>
    <x v="0"/>
    <s v="PFARRER RÖHRIG STR"/>
    <m/>
    <m/>
    <x v="2"/>
    <n v="213.33333333333334"/>
    <n v="0"/>
    <n v="213.33333333333334"/>
    <n v="213.33333333333334"/>
  </r>
  <r>
    <x v="0"/>
    <s v="PFAFFENDORFER WEG"/>
    <m/>
    <m/>
    <x v="2"/>
    <n v="977.77777777777783"/>
    <n v="0"/>
    <n v="977.77777777777783"/>
    <n v="977.77777777777783"/>
  </r>
  <r>
    <x v="0"/>
    <s v="ZEPPELINSTR. 21"/>
    <m/>
    <m/>
    <x v="2"/>
    <n v="2826.6666666666665"/>
    <n v="0"/>
    <n v="826.66666666666652"/>
    <n v="2826.6666666666665"/>
  </r>
  <r>
    <x v="0"/>
    <s v="ASPERSCHLAGSTR. 18"/>
    <m/>
    <m/>
    <x v="2"/>
    <n v="1124.4444444444443"/>
    <n v="0"/>
    <n v="1124.4444444444443"/>
    <n v="1124.4444444444443"/>
  </r>
  <r>
    <x v="0"/>
    <s v="MARIE-JUCHACZ-STR. 2"/>
    <m/>
    <m/>
    <x v="1"/>
    <n v="462.22222222222223"/>
    <n v="0"/>
    <n v="462.22222222222223"/>
    <n v="462.22222222222223"/>
  </r>
  <r>
    <x v="0"/>
    <s v="ALBRECHT-DÜRER-ALLEE"/>
    <m/>
    <m/>
    <x v="2"/>
    <n v="1795.5555555555557"/>
    <n v="0"/>
    <n v="1795.5555555555557"/>
    <n v="1795.5555555555557"/>
  </r>
  <r>
    <x v="0"/>
    <s v="AM WIERICHSKAMP 5"/>
    <m/>
    <m/>
    <x v="1"/>
    <n v="6360"/>
    <n v="0"/>
    <n v="4360"/>
    <n v="1360"/>
  </r>
  <r>
    <x v="0"/>
    <s v="AM WIERICHSKAMP 5"/>
    <m/>
    <m/>
    <x v="2"/>
    <n v="2700"/>
    <n v="0"/>
    <n v="700"/>
    <n v="2700"/>
  </r>
  <r>
    <x v="1"/>
    <s v="AHORNWEG 2"/>
    <m/>
    <m/>
    <x v="0"/>
    <n v="1086005.6000000001"/>
    <n v="0"/>
    <n v="1084005.6000000001"/>
    <n v="1081005.6000000001"/>
  </r>
  <r>
    <x v="1"/>
    <s v="CHAUNYRING 11-13"/>
    <m/>
    <m/>
    <x v="0"/>
    <n v="3682.55"/>
    <n v="0"/>
    <n v="1682.5500000000002"/>
    <n v="3682.55"/>
  </r>
  <r>
    <x v="1"/>
    <s v="KENTENER HEIDE 17"/>
    <m/>
    <m/>
    <x v="1"/>
    <n v="937.77777777777783"/>
    <n v="0"/>
    <n v="937.77777777777783"/>
    <n v="937.77777777777783"/>
  </r>
  <r>
    <x v="1"/>
    <s v="IM EUEL 1"/>
    <m/>
    <m/>
    <x v="2"/>
    <n v="3675.5555555555557"/>
    <n v="0"/>
    <n v="1675.5555555555557"/>
    <n v="3675.5555555555557"/>
  </r>
  <r>
    <x v="1"/>
    <s v="IM EUEL 2"/>
    <m/>
    <m/>
    <x v="2"/>
    <n v="3468.8888888888887"/>
    <n v="0"/>
    <n v="1468.8888888888887"/>
    <n v="3468.8888888888887"/>
  </r>
  <r>
    <x v="1"/>
    <s v="LUTHER STR. 5"/>
    <m/>
    <m/>
    <x v="2"/>
    <n v="1806.6666666666667"/>
    <n v="0"/>
    <n v="1806.6666666666667"/>
    <n v="1806.6666666666667"/>
  </r>
  <r>
    <x v="1"/>
    <s v="IM EUEL 4"/>
    <m/>
    <m/>
    <x v="1"/>
    <n v="677.77777777777783"/>
    <n v="0"/>
    <n v="677.77777777777783"/>
    <n v="677.77777777777783"/>
  </r>
  <r>
    <x v="1"/>
    <s v="AN DER PFARRKIRCHE 7"/>
    <m/>
    <m/>
    <x v="2"/>
    <n v="1433.3333333333333"/>
    <n v="0"/>
    <n v="1433.3333333333333"/>
    <n v="1433.3333333333333"/>
  </r>
  <r>
    <x v="1"/>
    <s v="SPORTPARK 5"/>
    <m/>
    <m/>
    <x v="2"/>
    <n v="1951.1111111111111"/>
    <n v="0"/>
    <n v="1951.1111111111111"/>
    <n v="1951.1111111111111"/>
  </r>
  <r>
    <x v="1"/>
    <s v="AN DER BROICHEICHE 6"/>
    <m/>
    <m/>
    <x v="3"/>
    <n v="695.55555555555554"/>
    <n v="0"/>
    <n v="695.55555555555554"/>
    <n v="695.55555555555554"/>
  </r>
  <r>
    <x v="1"/>
    <s v="SCHÜTZENSTR. 20"/>
    <m/>
    <m/>
    <x v="2"/>
    <n v="1393.3333333333333"/>
    <n v="0"/>
    <n v="1393.3333333333333"/>
    <n v="1393.3333333333333"/>
  </r>
  <r>
    <x v="1"/>
    <s v="AUF DER HELLE 30-34"/>
    <m/>
    <m/>
    <x v="2"/>
    <n v="7337.7777777777774"/>
    <n v="0"/>
    <n v="5337.7777777777774"/>
    <n v="2337.7777777777774"/>
  </r>
  <r>
    <x v="1"/>
    <s v="AUF DER HELLE 34"/>
    <m/>
    <m/>
    <x v="2"/>
    <n v="2261.71"/>
    <n v="0"/>
    <n v="261.71000000000004"/>
    <n v="2261.71"/>
  </r>
  <r>
    <x v="1"/>
    <s v="AM WIERICHSKAMP 5"/>
    <m/>
    <m/>
    <x v="2"/>
    <n v="4781.76"/>
    <n v="0"/>
    <n v="2781.76"/>
    <n v="4781.76"/>
  </r>
  <r>
    <x v="1"/>
    <s v="ALBRECHT-DÜRER ALLEE"/>
    <m/>
    <m/>
    <x v="2"/>
    <n v="5694.27"/>
    <n v="0"/>
    <n v="3694.2700000000004"/>
    <n v="694.27000000000044"/>
  </r>
  <r>
    <x v="1"/>
    <s v="ASPERSCHLAGSTR. 18"/>
    <m/>
    <m/>
    <x v="2"/>
    <n v="1131.1111111111111"/>
    <n v="0"/>
    <n v="1131.1111111111111"/>
    <n v="1131.1111111111111"/>
  </r>
  <r>
    <x v="1"/>
    <s v="BRIEYSTR."/>
    <m/>
    <m/>
    <x v="2"/>
    <n v="5288.98"/>
    <n v="0"/>
    <n v="3288.9799999999996"/>
    <n v="288.97999999999956"/>
  </r>
  <r>
    <x v="1"/>
    <s v="AM SCHWARZWASSER 7"/>
    <m/>
    <m/>
    <x v="1"/>
    <n v="3490.63"/>
    <n v="0"/>
    <n v="1490.63"/>
    <n v="3490.63"/>
  </r>
  <r>
    <x v="1"/>
    <s v="DOMACKERSTR. 1-3"/>
    <m/>
    <m/>
    <x v="1"/>
    <n v="4474.8500000000004"/>
    <n v="0"/>
    <n v="2474.8500000000004"/>
    <n v="4474.8500000000004"/>
  </r>
  <r>
    <x v="1"/>
    <s v="HESSGASSE 8"/>
    <m/>
    <m/>
    <x v="2"/>
    <n v="1055.97"/>
    <n v="0"/>
    <n v="1055.97"/>
    <n v="1055.97"/>
  </r>
  <r>
    <x v="1"/>
    <s v="DÜRBAUMSTR."/>
    <m/>
    <m/>
    <x v="1"/>
    <n v="962.22222222222217"/>
    <n v="0"/>
    <n v="962.22222222222217"/>
    <n v="962.22222222222217"/>
  </r>
  <r>
    <x v="1"/>
    <s v="ZUM FORTUNABAD 1-27"/>
    <m/>
    <m/>
    <x v="2"/>
    <n v="995.82"/>
    <n v="0"/>
    <n v="995.82"/>
    <n v="995.82"/>
  </r>
  <r>
    <x v="1"/>
    <s v="FRENSER STR. 11"/>
    <m/>
    <m/>
    <x v="1"/>
    <n v="510.89"/>
    <n v="0"/>
    <n v="510.89"/>
    <n v="510.89"/>
  </r>
  <r>
    <x v="2"/>
    <s v="MEIßENER STR. 7"/>
    <m/>
    <m/>
    <x v="1"/>
    <n v="1031.1111111111111"/>
    <n v="0"/>
    <n v="1031.1111111111111"/>
    <n v="1031.1111111111111"/>
  </r>
  <r>
    <x v="2"/>
    <s v="AM TONNENBERG 13"/>
    <m/>
    <m/>
    <x v="3"/>
    <n v="1068.8888888888889"/>
    <n v="0"/>
    <n v="1068.8888888888889"/>
    <n v="1068.8888888888889"/>
  </r>
  <r>
    <x v="2"/>
    <s v="FÜSSENICHSTR. 21"/>
    <m/>
    <m/>
    <x v="3"/>
    <n v="644.44444444444446"/>
    <n v="0"/>
    <n v="644.44444444444446"/>
    <n v="644.44444444444446"/>
  </r>
  <r>
    <x v="2"/>
    <s v="SCHÜTZENSTR. 20"/>
    <m/>
    <m/>
    <x v="3"/>
    <n v="2960"/>
    <n v="0"/>
    <n v="960"/>
    <n v="2960"/>
  </r>
  <r>
    <x v="2"/>
    <s v="PRIAMOSSTR. 22"/>
    <m/>
    <m/>
    <x v="3"/>
    <n v="2979.76"/>
    <n v="0"/>
    <n v="979.76000000000022"/>
    <n v="2979.76"/>
  </r>
  <r>
    <x v="2"/>
    <s v="JAHNSTR. 10A"/>
    <m/>
    <m/>
    <x v="3"/>
    <n v="724.44444444444446"/>
    <n v="0"/>
    <n v="724.44444444444446"/>
    <n v="724.44444444444446"/>
  </r>
  <r>
    <x v="2"/>
    <s v="EDISONSTR."/>
    <m/>
    <m/>
    <x v="2"/>
    <n v="605.69000000000005"/>
    <n v="0"/>
    <n v="605.69000000000005"/>
    <n v="605.69000000000005"/>
  </r>
  <r>
    <x v="2"/>
    <s v="ZUM FORTUNABAD 20"/>
    <m/>
    <m/>
    <x v="2"/>
    <n v="1106.7"/>
    <n v="0"/>
    <n v="1106.7"/>
    <n v="1106.7"/>
  </r>
  <r>
    <x v="2"/>
    <s v="DOMACKERSTR. 1-5"/>
    <m/>
    <m/>
    <x v="1"/>
    <n v="399.83"/>
    <n v="0"/>
    <n v="399.83"/>
    <n v="399.83"/>
  </r>
  <r>
    <x v="2"/>
    <s v="NIKOLAUS ADAMS STR"/>
    <m/>
    <m/>
    <x v="1"/>
    <n v="1251.23"/>
    <n v="0"/>
    <n v="1251.23"/>
    <n v="1251.23"/>
  </r>
  <r>
    <x v="3"/>
    <s v="Gutenbergstr. 2-6"/>
    <m/>
    <m/>
    <x v="2"/>
    <n v="751.5"/>
    <n v="0"/>
    <n v="751.5"/>
    <n v="751.5"/>
  </r>
  <r>
    <x v="3"/>
    <s v="Albrecht-Dürer-Allee 6"/>
    <m/>
    <m/>
    <x v="2"/>
    <n v="10156.629999999999"/>
    <n v="0"/>
    <n v="8156.6299999999992"/>
    <n v="5156.6299999999992"/>
  </r>
  <r>
    <x v="3"/>
    <s v="Irisweg 34"/>
    <m/>
    <m/>
    <x v="2"/>
    <n v="1423.17"/>
    <n v="0"/>
    <n v="1423.17"/>
    <n v="1423.17"/>
  </r>
  <r>
    <x v="3"/>
    <s v="Am Sieberath 6"/>
    <m/>
    <m/>
    <x v="1"/>
    <n v="922.4"/>
    <n v="0"/>
    <n v="922.4"/>
    <n v="922.4"/>
  </r>
  <r>
    <x v="3"/>
    <s v="Im Euel 2"/>
    <m/>
    <m/>
    <x v="1"/>
    <n v="4633.83"/>
    <n v="0"/>
    <n v="2633.83"/>
    <n v="4633.83"/>
  </r>
  <r>
    <x v="3"/>
    <s v="Erftgymnasium "/>
    <m/>
    <n v="121.38"/>
    <x v="2"/>
    <n v="404.6"/>
    <n v="0"/>
    <n v="404.6"/>
    <n v="404.6"/>
  </r>
  <r>
    <x v="3"/>
    <s v="Im Euel 2"/>
    <m/>
    <m/>
    <x v="1"/>
    <n v="5001.37"/>
    <n v="0"/>
    <n v="3001.37"/>
    <n v="1.3699999999998909"/>
  </r>
  <r>
    <x v="3"/>
    <s v="Zweifachsporthalle Quadtrat"/>
    <m/>
    <m/>
    <x v="0"/>
    <n v="3969.37"/>
    <n v="0"/>
    <n v="1969.37"/>
    <n v="3969.37"/>
  </r>
  <r>
    <x v="3"/>
    <s v="Am Schwarzwasser 2"/>
    <m/>
    <m/>
    <x v="2"/>
    <n v="333.63"/>
    <n v="0"/>
    <n v="333.63"/>
    <n v="333.63"/>
  </r>
  <r>
    <x v="3"/>
    <s v="Auf den Sprüngen 41"/>
    <m/>
    <m/>
    <x v="2"/>
    <n v="567.83000000000004"/>
    <n v="0"/>
    <n v="567.83000000000004"/>
    <n v="567.83000000000004"/>
  </r>
  <r>
    <x v="3"/>
    <s v="Rilkestraße 7"/>
    <m/>
    <m/>
    <x v="1"/>
    <n v="2406.9"/>
    <n v="0"/>
    <n v="406.90000000000009"/>
    <n v="2406.9"/>
  </r>
  <r>
    <x v="3"/>
    <s v="Am Wildwechsel 16"/>
    <m/>
    <m/>
    <x v="1"/>
    <n v="878.5"/>
    <n v="0"/>
    <n v="878.5"/>
    <n v="878.5"/>
  </r>
  <r>
    <x v="3"/>
    <s v="Auf der Helle 32"/>
    <m/>
    <m/>
    <x v="1"/>
    <n v="7577.33"/>
    <n v="0"/>
    <n v="5577.33"/>
    <n v="2577.33"/>
  </r>
  <r>
    <x v="3"/>
    <s v="Brieystraße 1"/>
    <m/>
    <m/>
    <x v="1"/>
    <n v="4000"/>
    <n v="1200"/>
    <n v="2000"/>
    <n v="4000"/>
  </r>
  <r>
    <x v="3"/>
    <s v="In den Benden 7"/>
    <m/>
    <m/>
    <x v="1"/>
    <n v="3968.33"/>
    <n v="0"/>
    <n v="1968.33"/>
    <n v="3968.33"/>
  </r>
  <r>
    <x v="3"/>
    <s v="Carl-Sonnenschein-Str. 34"/>
    <m/>
    <m/>
    <x v="2"/>
    <n v="408"/>
    <n v="0"/>
    <n v="408"/>
    <n v="408"/>
  </r>
  <r>
    <x v="3"/>
    <s v="Dormagener Str. 11"/>
    <m/>
    <m/>
    <x v="2"/>
    <n v="1464.2"/>
    <n v="0"/>
    <n v="1464.2"/>
    <n v="1464.2"/>
  </r>
  <r>
    <x v="3"/>
    <s v="Auf der Helle 32"/>
    <m/>
    <m/>
    <x v="2"/>
    <n v="10000.1"/>
    <n v="0"/>
    <n v="8000.1"/>
    <n v="5000.1000000000004"/>
  </r>
  <r>
    <x v="3"/>
    <s v="Gesamtschule"/>
    <m/>
    <m/>
    <x v="1"/>
    <n v="467324.93"/>
    <n v="0"/>
    <n v="465324.93"/>
    <n v="462324.93"/>
  </r>
  <r>
    <x v="3"/>
    <s v="Kindergartenweg 6"/>
    <m/>
    <m/>
    <x v="1"/>
    <n v="3498.3"/>
    <n v="0"/>
    <n v="1498.3000000000002"/>
    <n v="3498.3"/>
  </r>
  <r>
    <x v="3"/>
    <s v="Nikolaus-Adams-Str. 75"/>
    <m/>
    <m/>
    <x v="1"/>
    <n v="11450.93"/>
    <n v="0"/>
    <n v="9450.93"/>
    <n v="6450.93"/>
  </r>
  <r>
    <x v="3"/>
    <s v="Nikolaus-Adams-Str. 75"/>
    <m/>
    <m/>
    <x v="1"/>
    <n v="4000"/>
    <n v="0"/>
    <n v="2000"/>
    <n v="4000"/>
  </r>
  <r>
    <x v="3"/>
    <s v="Silverbergstr. 28"/>
    <m/>
    <m/>
    <x v="1"/>
    <n v="531.5"/>
    <n v="0"/>
    <n v="531.5"/>
    <n v="531.5"/>
  </r>
  <r>
    <x v="4"/>
    <s v="Nikolaus-Adams-Str. 3"/>
    <m/>
    <m/>
    <x v="1"/>
    <n v="500"/>
    <n v="150"/>
    <n v="500"/>
    <n v="500"/>
  </r>
  <r>
    <x v="3"/>
    <s v="Silverbergstraße"/>
    <m/>
    <m/>
    <x v="1"/>
    <n v="398.63"/>
    <n v="0"/>
    <n v="398.63"/>
    <n v="398.63"/>
  </r>
  <r>
    <x v="4"/>
    <s v="Grünewaldstr. 2"/>
    <m/>
    <m/>
    <x v="2"/>
    <n v="1309.67"/>
    <n v="0"/>
    <n v="1309.67"/>
    <n v="1309.67"/>
  </r>
  <r>
    <x v="4"/>
    <s v="Am Kirchacker 26"/>
    <m/>
    <m/>
    <x v="2"/>
    <n v="7324.83"/>
    <n v="0"/>
    <n v="5324.83"/>
    <n v="2324.83"/>
  </r>
  <r>
    <x v="4"/>
    <s v="Erftgymnasium "/>
    <m/>
    <m/>
    <x v="2"/>
    <n v="6743.03"/>
    <n v="0"/>
    <n v="4743.03"/>
    <n v="1743.0299999999997"/>
  </r>
  <r>
    <x v="4"/>
    <s v="Jahnstraße"/>
    <m/>
    <m/>
    <x v="2"/>
    <n v="66452.600000000006"/>
    <n v="0"/>
    <n v="64452.600000000006"/>
    <n v="61452.600000000006"/>
  </r>
  <r>
    <x v="4"/>
    <s v="Herbergerstr. 6-8"/>
    <m/>
    <m/>
    <x v="2"/>
    <n v="2500"/>
    <n v="750"/>
    <n v="500"/>
    <n v="2500"/>
  </r>
  <r>
    <x v="4"/>
    <s v="Astrid-Lindgren-Grundschule"/>
    <m/>
    <m/>
    <x v="2"/>
    <n v="8305.33"/>
    <n v="0"/>
    <n v="6305.33"/>
    <n v="3305.33"/>
  </r>
  <r>
    <x v="4"/>
    <s v="Im Euel 1"/>
    <m/>
    <m/>
    <x v="1"/>
    <n v="4999.33"/>
    <n v="1357"/>
    <n v="2999.33"/>
    <n v="4999.33"/>
  </r>
  <r>
    <x v="4"/>
    <s v="Auf der Helle 32"/>
    <m/>
    <m/>
    <x v="2"/>
    <n v="3671.8"/>
    <n v="0"/>
    <n v="1671.8000000000002"/>
    <n v="3671.8"/>
  </r>
  <r>
    <x v="4"/>
    <s v="Gutenbergstr. 10"/>
    <m/>
    <m/>
    <x v="2"/>
    <n v="1590.73"/>
    <n v="0"/>
    <n v="1590.73"/>
    <n v="1590.73"/>
  </r>
  <r>
    <x v="4"/>
    <s v="Am Wierichskamp 5"/>
    <m/>
    <m/>
    <x v="1"/>
    <n v="9302.43"/>
    <n v="0"/>
    <n v="7302.43"/>
    <n v="4302.43"/>
  </r>
  <r>
    <x v="4"/>
    <s v="Nikolaus-Adams-Straße*3"/>
    <m/>
    <m/>
    <x v="1"/>
    <n v="10000"/>
    <n v="3000"/>
    <n v="8000"/>
    <n v="5000"/>
  </r>
  <r>
    <x v="4"/>
    <s v="Sportbarkbad Zieverich"/>
    <m/>
    <n v="0"/>
    <x v="4"/>
    <n v="2143.73"/>
    <n v="0"/>
    <n v="143.73000000000002"/>
    <n v="2143.73"/>
  </r>
  <r>
    <x v="4"/>
    <s v="Edisonstrasse"/>
    <m/>
    <m/>
    <x v="1"/>
    <n v="5854.8"/>
    <n v="0"/>
    <n v="3854.8"/>
    <n v="854.80000000000018"/>
  </r>
  <r>
    <x v="4"/>
    <s v="Asperschlagstrasse 18"/>
    <m/>
    <m/>
    <x v="1"/>
    <n v="1542.43"/>
    <n v="0"/>
    <n v="1542.43"/>
    <n v="1542.43"/>
  </r>
  <r>
    <x v="4"/>
    <s v="Grundschule Am Schwarzwasser"/>
    <m/>
    <m/>
    <x v="2"/>
    <n v="500"/>
    <n v="0"/>
    <n v="500"/>
    <n v="500"/>
  </r>
  <r>
    <x v="4"/>
    <s v="Alte Schule Büsdorf"/>
    <m/>
    <m/>
    <x v="2"/>
    <n v="5998.9"/>
    <n v="0"/>
    <n v="3998.8999999999996"/>
    <n v="998.89999999999964"/>
  </r>
  <r>
    <x v="4"/>
    <s v="Herbergerstr. 6-8"/>
    <m/>
    <m/>
    <x v="2"/>
    <n v="28135.4"/>
    <n v="0"/>
    <n v="26135.4"/>
    <n v="23135.4"/>
  </r>
  <r>
    <x v="4"/>
    <s v="Brieystr. 28"/>
    <m/>
    <m/>
    <x v="1"/>
    <n v="2000"/>
    <n v="0"/>
    <n v="0"/>
    <n v="2000"/>
  </r>
  <r>
    <x v="4"/>
    <s v="Erich-Kästner-Hauptschule"/>
    <m/>
    <m/>
    <x v="1"/>
    <n v="5998.9"/>
    <n v="0"/>
    <n v="3998.8999999999996"/>
    <n v="998.89999999999964"/>
  </r>
  <r>
    <x v="5"/>
    <s v="BM Cultura / Medio"/>
    <m/>
    <m/>
    <x v="2"/>
    <n v="578.92999999999995"/>
    <n v="0"/>
    <n v="578.92999999999995"/>
    <n v="578.92999999999995"/>
  </r>
  <r>
    <x v="4"/>
    <s v="Alte Schule Büsdorf"/>
    <m/>
    <m/>
    <x v="2"/>
    <n v="6481.9"/>
    <n v="0"/>
    <n v="4481.8999999999996"/>
    <n v="1481.8999999999996"/>
  </r>
  <r>
    <x v="4"/>
    <s v="Grundschule Am Schwarzwasser"/>
    <m/>
    <m/>
    <x v="2"/>
    <n v="90736.9"/>
    <n v="0"/>
    <n v="88736.9"/>
    <n v="85736.9"/>
  </r>
  <r>
    <x v="4"/>
    <s v="Sportparkstr. 5"/>
    <m/>
    <m/>
    <x v="2"/>
    <n v="14998.67"/>
    <n v="0"/>
    <n v="12998.67"/>
    <n v="9998.67"/>
  </r>
  <r>
    <x v="4"/>
    <s v="Alte Schule, Im Katzenbungert"/>
    <m/>
    <m/>
    <x v="2"/>
    <n v="2058.8000000000002"/>
    <n v="0"/>
    <n v="58.800000000000182"/>
    <n v="2058.8000000000002"/>
  </r>
  <r>
    <x v="5"/>
    <s v="Im Katzenbunger*14"/>
    <m/>
    <m/>
    <x v="1"/>
    <n v="1500"/>
    <n v="450"/>
    <n v="1500"/>
    <n v="1500"/>
  </r>
  <r>
    <x v="4"/>
    <s v="Lukas-Podolski-Sportpark"/>
    <m/>
    <m/>
    <x v="2"/>
    <n v="5265.7"/>
    <n v="0"/>
    <n v="3265.7"/>
    <n v="265.69999999999982"/>
  </r>
  <r>
    <x v="4"/>
    <s v="Gutenbergstr.*10"/>
    <m/>
    <m/>
    <x v="1"/>
    <n v="10531.6"/>
    <n v="0"/>
    <n v="8531.6"/>
    <n v="5531.6"/>
  </r>
  <r>
    <x v="4"/>
    <s v="Alte Schule Büsdorf"/>
    <m/>
    <m/>
    <x v="2"/>
    <n v="5509.64"/>
    <n v="0"/>
    <n v="3509.6400000000003"/>
    <n v="509.64000000000033"/>
  </r>
  <r>
    <x v="5"/>
    <s v="Tennisclubhaus Niederaußem"/>
    <m/>
    <m/>
    <x v="1"/>
    <n v="22740.47"/>
    <n v="0"/>
    <n v="20740.47"/>
    <n v="17740.47"/>
  </r>
  <r>
    <x v="4"/>
    <s v="Am Schwarzwasser 7"/>
    <m/>
    <m/>
    <x v="0"/>
    <n v="10945.2"/>
    <n v="0"/>
    <n v="8945.2000000000007"/>
    <n v="5945.2000000000007"/>
  </r>
  <r>
    <x v="5"/>
    <s v="Förderschule Helen-Keller-Schule"/>
    <m/>
    <m/>
    <x v="1"/>
    <n v="5241.53"/>
    <n v="0"/>
    <n v="3241.5299999999997"/>
    <n v="241.52999999999975"/>
  </r>
  <r>
    <x v="5"/>
    <s v="Erich-Kästner-Schule"/>
    <m/>
    <m/>
    <x v="1"/>
    <n v="17402.53"/>
    <n v="0"/>
    <n v="15402.529999999999"/>
    <n v="12402.529999999999"/>
  </r>
  <r>
    <x v="6"/>
    <s v="Gesamtschule Quadrath"/>
    <m/>
    <m/>
    <x v="1"/>
    <n v="3760.7"/>
    <n v="0"/>
    <n v="1760.6999999999998"/>
    <n v="3760.7"/>
  </r>
  <r>
    <x v="5"/>
    <s v="Grundschule Gudrun-Pausewang-Schule"/>
    <m/>
    <m/>
    <x v="2"/>
    <n v="329"/>
    <n v="0"/>
    <n v="329"/>
    <n v="329"/>
  </r>
  <r>
    <x v="5"/>
    <s v="Domackerstr. 1-5 Pos. 100"/>
    <m/>
    <m/>
    <x v="2"/>
    <n v="5013.2299999999996"/>
    <n v="0"/>
    <n v="3013.2299999999996"/>
    <n v="13.229999999999563"/>
  </r>
  <r>
    <x v="6"/>
    <s v="Brieystr. 28"/>
    <m/>
    <m/>
    <x v="2"/>
    <n v="1286.23"/>
    <n v="0"/>
    <n v="1286.23"/>
    <n v="1286.23"/>
  </r>
  <r>
    <x v="5"/>
    <s v="Carl-Sonnenschein-Schule"/>
    <m/>
    <m/>
    <x v="1"/>
    <n v="1735.97"/>
    <n v="0"/>
    <n v="1735.97"/>
    <n v="1735.97"/>
  </r>
  <r>
    <x v="5"/>
    <s v="Zum Römerturm 18"/>
    <m/>
    <m/>
    <x v="2"/>
    <n v="22484.33"/>
    <n v="0"/>
    <n v="20484.330000000002"/>
    <n v="17484.330000000002"/>
  </r>
  <r>
    <x v="6"/>
    <s v="Nikolaus-Adams-Str."/>
    <m/>
    <m/>
    <x v="1"/>
    <n v="750"/>
    <n v="225"/>
    <n v="750"/>
    <n v="750"/>
  </r>
  <r>
    <x v="6"/>
    <s v="Sandstr. 106"/>
    <m/>
    <m/>
    <x v="1"/>
    <n v="1000"/>
    <n v="300"/>
    <n v="1000"/>
    <n v="1000"/>
  </r>
  <r>
    <x v="5"/>
    <s v="Kita Regenbogen, Jahnstr. 10"/>
    <m/>
    <m/>
    <x v="1"/>
    <n v="15001.97"/>
    <n v="2264"/>
    <n v="13001.97"/>
    <n v="10001.969999999999"/>
  </r>
  <r>
    <x v="5"/>
    <s v="Am Wierichskamp 5"/>
    <m/>
    <m/>
    <x v="1"/>
    <n v="565.83000000000004"/>
    <n v="0"/>
    <n v="565.83000000000004"/>
    <n v="565.83000000000004"/>
  </r>
  <r>
    <x v="5"/>
    <s v="Gesamtschule Quadrath"/>
    <m/>
    <m/>
    <x v="1"/>
    <n v="8908.57"/>
    <n v="0"/>
    <n v="6908.57"/>
    <n v="3908.5699999999997"/>
  </r>
  <r>
    <x v="5"/>
    <s v="Paulusstr. 5a"/>
    <m/>
    <m/>
    <x v="0"/>
    <n v="16000"/>
    <n v="4800"/>
    <n v="14000"/>
    <n v="11000"/>
  </r>
  <r>
    <x v="5"/>
    <s v="Alte Schule Fliesteden"/>
    <m/>
    <m/>
    <x v="1"/>
    <n v="1642.7"/>
    <n v="0"/>
    <n v="1642.7"/>
    <n v="1642.7"/>
  </r>
  <r>
    <x v="5"/>
    <s v="Am Schwarzwasser 2"/>
    <m/>
    <m/>
    <x v="1"/>
    <n v="886.7"/>
    <n v="0"/>
    <n v="886.7"/>
    <n v="886.7"/>
  </r>
  <r>
    <x v="5"/>
    <s v="Nikolaus-Adams-Str. 75 "/>
    <m/>
    <m/>
    <x v="0"/>
    <n v="2558.4499999999998"/>
    <n v="0"/>
    <n v="558.44999999999982"/>
    <n v="2558.4499999999998"/>
  </r>
  <r>
    <x v="5"/>
    <s v="Dormagener Str. 13-15 "/>
    <m/>
    <m/>
    <x v="1"/>
    <n v="4413.76"/>
    <n v="0"/>
    <n v="2413.7600000000002"/>
    <n v="4413.76"/>
  </r>
  <r>
    <x v="5"/>
    <s v="Im Euel 4 "/>
    <m/>
    <m/>
    <x v="1"/>
    <n v="966.57"/>
    <n v="0"/>
    <n v="966.57"/>
    <n v="966.57"/>
  </r>
  <r>
    <x v="5"/>
    <s v="Am Wierichskamp 5a "/>
    <m/>
    <m/>
    <x v="1"/>
    <n v="3000"/>
    <n v="3000"/>
    <n v="1000"/>
    <n v="3000"/>
  </r>
  <r>
    <x v="5"/>
    <s v="An der Abtsmühle 12 "/>
    <m/>
    <m/>
    <x v="1"/>
    <n v="6034.32"/>
    <n v="6000"/>
    <n v="4034.3199999999997"/>
    <n v="1034.3199999999997"/>
  </r>
  <r>
    <x v="6"/>
    <s v="Lombardring 8 "/>
    <m/>
    <m/>
    <x v="1"/>
    <n v="2000"/>
    <n v="2000"/>
    <n v="0"/>
    <n v="2000"/>
  </r>
  <r>
    <x v="6"/>
    <s v="Knappschaftsallee 2 "/>
    <m/>
    <m/>
    <x v="1"/>
    <n v="3000"/>
    <n v="3000"/>
    <n v="1000"/>
    <n v="3000"/>
  </r>
  <r>
    <x v="5"/>
    <s v="Zum Fortunabad 8 "/>
    <m/>
    <m/>
    <x v="2"/>
    <n v="3000"/>
    <n v="3000"/>
    <n v="1000"/>
    <n v="3000"/>
  </r>
  <r>
    <x v="5"/>
    <s v="Annemarie-Renger-Str. 7 a "/>
    <m/>
    <m/>
    <x v="2"/>
    <n v="40000"/>
    <n v="40000"/>
    <n v="38000"/>
    <n v="35000"/>
  </r>
  <r>
    <x v="5"/>
    <s v="Nikolaus-Adams-Str. 75 "/>
    <m/>
    <m/>
    <x v="2"/>
    <n v="4527.71"/>
    <n v="0"/>
    <n v="2527.71"/>
    <n v="4527.71"/>
  </r>
  <r>
    <x v="5"/>
    <s v="Zeppelinstr. 21 "/>
    <m/>
    <m/>
    <x v="2"/>
    <n v="3000"/>
    <n v="3000"/>
    <n v="1000"/>
    <n v="3000"/>
  </r>
  <r>
    <x v="5"/>
    <s v="Im Katzenbungert 14-16 "/>
    <m/>
    <m/>
    <x v="2"/>
    <n v="4000"/>
    <n v="4000"/>
    <n v="2000"/>
    <n v="4000"/>
  </r>
  <r>
    <x v="5"/>
    <s v="Im Euel 1 "/>
    <m/>
    <m/>
    <x v="2"/>
    <n v="1732.32"/>
    <n v="0"/>
    <n v="1732.32"/>
    <n v="1732.32"/>
  </r>
  <r>
    <x v="5"/>
    <s v="Irisweg 34 "/>
    <m/>
    <m/>
    <x v="2"/>
    <n v="30000"/>
    <n v="30000"/>
    <n v="28000"/>
    <n v="25000"/>
  </r>
  <r>
    <x v="6"/>
    <s v="Heerstr. 2a "/>
    <m/>
    <m/>
    <x v="2"/>
    <n v="9500"/>
    <n v="9500"/>
    <n v="7500"/>
    <n v="4500"/>
  </r>
  <r>
    <x v="6"/>
    <s v="Im Euel 1 "/>
    <m/>
    <m/>
    <x v="2"/>
    <n v="2000"/>
    <n v="2000"/>
    <n v="0"/>
    <n v="2000"/>
  </r>
  <r>
    <x v="5"/>
    <s v="Silverbergstr. 28 "/>
    <m/>
    <m/>
    <x v="3"/>
    <n v="1000"/>
    <n v="1000"/>
    <n v="1000"/>
    <n v="1000"/>
  </r>
  <r>
    <x v="5"/>
    <s v="Alte Landstr. "/>
    <m/>
    <m/>
    <x v="3"/>
    <n v="1000"/>
    <n v="1000"/>
    <n v="1000"/>
    <n v="100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">
  <r>
    <x v="0"/>
    <s v="Berufskolleg Geilenkirchen, Berliner Ring 44-54"/>
    <x v="0"/>
    <n v="1506.9"/>
    <n v="0"/>
    <n v="1506.9"/>
    <n v="1506.9"/>
  </r>
  <r>
    <x v="0"/>
    <s v="Berufskolleg Geilenkirchen, Berliner Ring 44-54"/>
    <x v="0"/>
    <n v="4853.26"/>
    <n v="0"/>
    <n v="2853.26"/>
    <n v="4853.26"/>
  </r>
  <r>
    <x v="1"/>
    <s v="Kreisverwaltung, Valkenburger Str. 45"/>
    <x v="0"/>
    <n v="5187.92"/>
    <n v="0"/>
    <n v="3187.92"/>
    <n v="187.92000000000007"/>
  </r>
  <r>
    <x v="1"/>
    <s v="Berufskolleg Geilenkirchen, Berliner Ring 44-54"/>
    <x v="0"/>
    <n v="1350.22"/>
    <n v="0"/>
    <n v="1350.22"/>
    <n v="1350.22"/>
  </r>
  <r>
    <x v="1"/>
    <s v="Berufskolleg Erkelenz Westpromenade 2"/>
    <x v="0"/>
    <n v="16529.18"/>
    <n v="0"/>
    <n v="14529.18"/>
    <n v="11529.18"/>
  </r>
  <r>
    <x v="2"/>
    <s v="Berufskolleg Geilenkirchen, Berliner Ring 44-54"/>
    <x v="0"/>
    <n v="4579.91"/>
    <n v="0"/>
    <n v="2579.91"/>
    <n v="4579.91"/>
  </r>
  <r>
    <x v="2"/>
    <s v="Berufskolleg Geilenkirchen, Berliner Ring 44-54"/>
    <x v="0"/>
    <n v="949.78"/>
    <n v="0"/>
    <n v="949.78"/>
    <n v="949.78"/>
  </r>
  <r>
    <x v="2"/>
    <s v="Berufskolleg Geilenkirchen, Berliner Ring 44-54"/>
    <x v="0"/>
    <n v="10000"/>
    <n v="0"/>
    <n v="8000"/>
    <n v="5000"/>
  </r>
  <r>
    <x v="3"/>
    <s v="Berufskolleg Geilenkirchen, Berliner Ring 44-54"/>
    <x v="0"/>
    <n v="5084.92"/>
    <n v="0"/>
    <n v="3084.92"/>
    <n v="84.920000000000073"/>
  </r>
  <r>
    <x v="4"/>
    <s v="Berufskolleg Geilenkirchen, Berliner Ring 44-54"/>
    <x v="1"/>
    <n v="2497.5100000000002"/>
    <n v="0"/>
    <n v="497.51000000000022"/>
    <n v="2497.5100000000002"/>
  </r>
  <r>
    <x v="4"/>
    <s v="Jugendzeltplatz Brachelen, Annastr."/>
    <x v="0"/>
    <n v="5247.04"/>
    <n v="0"/>
    <n v="3247.04"/>
    <n v="247.03999999999996"/>
  </r>
  <r>
    <x v="5"/>
    <s v="Rurtal-Schule , Parkstraße  21 u. 23"/>
    <x v="2"/>
    <n v="68619.509999999995"/>
    <n v="0"/>
    <n v="66619.509999999995"/>
    <n v="63619.509999999995"/>
  </r>
  <r>
    <x v="5"/>
    <s v="Berufskolleg Erkelenz Westpromenade 2"/>
    <x v="0"/>
    <n v="5545.16"/>
    <n v="0"/>
    <n v="3545.16"/>
    <n v="545.15999999999985"/>
  </r>
  <r>
    <x v="6"/>
    <s v="Haus der Musik, Erkelenz, Aachener Str. 49"/>
    <x v="3"/>
    <n v="5609.87"/>
    <n v="5609.87"/>
    <n v="3609.87"/>
    <n v="609.86999999999989"/>
  </r>
  <r>
    <x v="6"/>
    <s v="Kreisverwaltung Heinsberg, Valkenburger Str. 45"/>
    <x v="3"/>
    <n v="7440.48"/>
    <n v="7440.48"/>
    <n v="5440.48"/>
    <n v="2440.47999999999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35B1DD4-D18F-4175-81CA-269316BFCEA9}" name="PivotTable1" cacheId="1" applyNumberFormats="0" applyBorderFormats="0" applyFontFormats="0" applyPatternFormats="0" applyAlignmentFormats="0" applyWidthHeightFormats="1" dataCaption="Werte" updatedVersion="8" minRefreshableVersion="3" useAutoFormatting="1" itemPrintTitles="1" createdVersion="8" indent="0" outline="1" outlineData="1" multipleFieldFilters="0">
  <location ref="A3:D10" firstHeaderRow="0" firstDataRow="1" firstDataCol="1"/>
  <pivotFields count="9">
    <pivotField axis="axisRow" showAll="0">
      <items count="8">
        <item x="0"/>
        <item x="1"/>
        <item x="2"/>
        <item x="3"/>
        <item x="4"/>
        <item x="5"/>
        <item h="1" x="6"/>
        <item t="default"/>
      </items>
    </pivotField>
    <pivotField showAll="0"/>
    <pivotField showAll="0"/>
    <pivotField showAll="0"/>
    <pivotField showAll="0"/>
    <pivotField dataField="1" showAll="0"/>
    <pivotField showAll="0"/>
    <pivotField dataField="1" numFmtId="4" showAll="0"/>
    <pivotField dataField="1" numFmtId="4" showAl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me von Aufwand" fld="5" baseField="0" baseItem="0" numFmtId="4"/>
    <dataField name="Summe von 2000" fld="7" baseField="0" baseItem="0" numFmtId="4"/>
    <dataField name="Summe von 5000" fld="8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57E2F2F-D0EB-4CF8-B378-16FDDA94A9CE}" name="PivotTable1" cacheId="2" applyNumberFormats="0" applyBorderFormats="0" applyFontFormats="0" applyPatternFormats="0" applyAlignmentFormats="0" applyWidthHeightFormats="1" dataCaption="Werte" updatedVersion="8" minRefreshableVersion="3" useAutoFormatting="1" itemPrintTitles="1" createdVersion="8" indent="0" outline="1" outlineData="1" multipleFieldFilters="0">
  <location ref="A3:K13" firstHeaderRow="1" firstDataRow="3" firstDataCol="1"/>
  <pivotFields count="7"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axis="axisCol" showAll="0">
      <items count="5">
        <item x="3"/>
        <item x="0"/>
        <item x="2"/>
        <item x="1"/>
        <item t="default"/>
      </items>
    </pivotField>
    <pivotField dataField="1" numFmtId="44" showAll="0"/>
    <pivotField numFmtId="44" showAll="0"/>
    <pivotField numFmtId="4" showAll="0"/>
    <pivotField numFmtId="4"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2">
    <field x="2"/>
    <field x="-2"/>
  </colFields>
  <colItems count="10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 t="grand">
      <x/>
    </i>
    <i t="grand" i="1">
      <x/>
    </i>
  </colItems>
  <dataFields count="2">
    <dataField name="Summe von Aufwand" fld="3" baseField="0" baseItem="0" numFmtId="169"/>
    <dataField name="Anzahl von Aufwand2" fld="3" subtotal="count" baseField="0" baseItem="0" numFmtId="16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0000000}" name="PivotTable2" cacheId="0" applyNumberFormats="0" applyBorderFormats="0" applyFontFormats="0" applyPatternFormats="0" applyAlignmentFormats="0" applyWidthHeightFormats="1" dataCaption="Werte" updatedVersion="7" minRefreshableVersion="3" useAutoFormatting="1" itemPrintTitles="1" createdVersion="7" indent="0" outline="1" outlineData="1" multipleFieldFilters="0">
  <location ref="A2:G9" firstHeaderRow="1" firstDataRow="2" firstDataCol="1"/>
  <pivotFields count="8">
    <pivotField numFmtId="14" showAll="0"/>
    <pivotField axis="axisRow" numFmtId="1" showAll="0">
      <items count="7">
        <item x="0"/>
        <item x="2"/>
        <item x="3"/>
        <item x="1"/>
        <item x="4"/>
        <item h="1" x="5"/>
        <item t="default"/>
      </items>
    </pivotField>
    <pivotField showAll="0"/>
    <pivotField showAll="0">
      <items count="8">
        <item x="5"/>
        <item x="1"/>
        <item x="2"/>
        <item x="0"/>
        <item x="3"/>
        <item x="6"/>
        <item x="4"/>
        <item t="default"/>
      </items>
    </pivotField>
    <pivotField axis="axisCol" showAll="0">
      <items count="6">
        <item x="4"/>
        <item x="1"/>
        <item x="0"/>
        <item x="2"/>
        <item x="3"/>
        <item t="default"/>
      </items>
    </pivotField>
    <pivotField numFmtId="4" showAll="0"/>
    <pivotField numFmtId="4" showAll="0"/>
    <pivotField dataField="1" numFmtId="4" showAll="0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4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STABW von Entschädigung" fld="7" subtotal="stdDev" baseField="1" baseItem="1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836A0B-8099-4758-9065-16B580CAAE7A}" name="Objektliste2" displayName="Objektliste2" ref="A1:S47" totalsRowCount="1" headerRowDxfId="61" dataDxfId="59" totalsRowDxfId="57" headerRowBorderDxfId="60" tableBorderDxfId="58" totalsRowBorderDxfId="56" headerRowCellStyle="Standard 12" dataCellStyle="Standard 12">
  <autoFilter ref="A1:S46" xr:uid="{BA29D665-264C-48AC-90F3-F412B931B9CD}"/>
  <tableColumns count="19">
    <tableColumn id="1" xr3:uid="{3F47D609-D982-42CA-BC53-61C27C555393}" name="Pos. Nr." dataDxfId="55" totalsRowDxfId="54" dataCellStyle="Standard 12"/>
    <tableColumn id="2" xr3:uid="{DB108299-0E24-4A79-90F7-54E01CE994BA}" name="Nutzung / Anschrift" dataDxfId="53" totalsRowDxfId="52" dataCellStyle="Standard 12"/>
    <tableColumn id="17" xr3:uid="{83812F5F-70E5-4B89-BE33-3F49A4C78189}" name="GPS Daten" dataDxfId="51" totalsRowDxfId="50" dataCellStyle="Standard 12"/>
    <tableColumn id="3" xr3:uid="{54114BB2-5FE2-4315-8DA5-27808462D444}" name="Zürs-_x000a_Zone" dataDxfId="49" totalsRowDxfId="48" dataCellStyle="Standard 12"/>
    <tableColumn id="11" xr3:uid="{ED6979A6-30F0-4A47-B8CE-3A6F8E5991F7}" name="Versicherungssumme Inventar Einbruchdiebstahl" totalsRowFunction="sum" dataDxfId="47" totalsRowDxfId="46" dataCellStyle="Standard 12"/>
    <tableColumn id="6" xr3:uid="{863058EA-B409-4E8B-8538-9B74F0777649}" name="Versicherungssumme Gebäude Feuer" totalsRowFunction="sum" dataDxfId="45" totalsRowDxfId="44" dataCellStyle="Standard 12"/>
    <tableColumn id="8" xr3:uid="{30745D43-7BCF-4DD1-9E97-60F93F0260F3}" name="Versicherungssumme Inventar Feuer " totalsRowFunction="sum" dataDxfId="43" totalsRowDxfId="42" dataCellStyle="Standard 12"/>
    <tableColumn id="4" xr3:uid="{FCA8B6C6-BB30-4081-8591-546AB1A4E9CA}" name="Versicherungssumme Gebäude Leitungswasser" totalsRowFunction="sum" dataDxfId="41" totalsRowDxfId="40" dataCellStyle="Standard 12"/>
    <tableColumn id="9" xr3:uid="{9AD117B1-19B9-4A8D-8534-116EA4E25F3C}" name="Versicherungssumme Inventar Leitungswasser" totalsRowFunction="sum" dataDxfId="39" totalsRowDxfId="38" dataCellStyle="Standard 12"/>
    <tableColumn id="5" xr3:uid="{0068CAD7-1595-4972-B4A2-F02467E96F39}" name="Versicherungssumme Gebäude Sturm" totalsRowFunction="sum" dataDxfId="37" totalsRowDxfId="36" dataCellStyle="Standard 12"/>
    <tableColumn id="10" xr3:uid="{0E681BC0-7AC7-4992-8694-98887336CEC9}" name="Versicherungssumme Inventar Sturm " totalsRowFunction="sum" dataDxfId="35" totalsRowDxfId="34" dataCellStyle="Standard 12"/>
    <tableColumn id="19" xr3:uid="{A7723FF4-BEA6-4327-B1D4-547C5E338712}" name="Versicherungssumme Gebäude Überschwemmung Prüfung" dataDxfId="33" totalsRowDxfId="32" dataCellStyle="Standard 12"/>
    <tableColumn id="18" xr3:uid="{1332917C-3FA0-4D7F-A467-06593D1F54F6}" name="Versicherungssumme Inventar Überschwemmung Prüfung" dataDxfId="31" totalsRowDxfId="30" dataCellStyle="Standard 12"/>
    <tableColumn id="7" xr3:uid="{CFAFC59A-4CEA-4983-AD28-CE87255FCC95}" name="Versicherungssumme Gebäude Überschwemmung" totalsRowFunction="sum" dataDxfId="29" totalsRowDxfId="28" dataCellStyle="Standard 12">
      <calculatedColumnFormula>IF(Objektliste2[[#This Row],[Zürs-
Zone]]&gt;3,"",Objektliste2[[#This Row],[Versicherungssumme Gebäude Überschwemmung Prüfung]])</calculatedColumnFormula>
    </tableColumn>
    <tableColumn id="12" xr3:uid="{C39CDA14-0826-46E8-9220-5C1613F58DEC}" name="Versicherungssumme Inventar Überschwemmung" totalsRowFunction="sum" dataDxfId="27" totalsRowDxfId="26" dataCellStyle="Standard 12">
      <calculatedColumnFormula>IF(Objektliste2[[#This Row],[Zürs-
Zone]]&gt;3,"",M2)</calculatedColumnFormula>
    </tableColumn>
    <tableColumn id="13" xr3:uid="{BDDB6E89-BE22-428E-9B78-86E3A0F158F5}" name="Bemerkungen" dataDxfId="25" totalsRowDxfId="24" dataCellStyle="Standard 12"/>
    <tableColumn id="14" xr3:uid="{702CA6A1-21FE-4DD4-8D06-290CA2D4F4A1}" name="Denkmalschutz" dataDxfId="23" totalsRowDxfId="22" dataCellStyle="Standard 12"/>
    <tableColumn id="15" xr3:uid="{0F89148E-24BA-42FD-8A6B-1DE9CDDFADE9}" name="BJMW soweit nicht zu Wohnzwecken genutzt / EUR" dataDxfId="21" totalsRowDxfId="20" dataCellStyle="Standard 12"/>
    <tableColumn id="16" xr3:uid="{371CC07D-33AA-4AE4-B65C-CD814DCC1159}" name="Sonstige Informationen" dataDxfId="19" totalsRowDxfId="18" dataCellStyle="Standard 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168D620-EE1D-4B1D-88A4-46EA15E46F4C}" name="Schadenliste83" displayName="Schadenliste83" ref="A2:G17" totalsRowShown="0" headerRowDxfId="17" tableBorderDxfId="16">
  <autoFilter ref="A2:G17" xr:uid="{C18DCE26-EA58-4423-864B-0C17AD9E3870}"/>
  <tableColumns count="7">
    <tableColumn id="1" xr3:uid="{53C4FC7E-B906-4D1A-A8A4-C4F3ADAFF14E}" name="Jahr" dataDxfId="15"/>
    <tableColumn id="2" xr3:uid="{B77494A1-B2FE-4A39-87E8-8D4C11F263F1}" name="Anschrift (falls vorhanden)" dataDxfId="14"/>
    <tableColumn id="4" xr3:uid="{6840DFBE-C28E-44C8-AE57-29069680C0D3}" name="Schadenursache" dataDxfId="13" dataCellStyle="Standard_Einzelschadenliste Elsdorf"/>
    <tableColumn id="5" xr3:uid="{C9041BB6-9D83-418B-84CF-DFAF8DEBC7C9}" name="Aufwand" dataDxfId="12" dataCellStyle="Standard_Einzelschadenliste Elsdorf"/>
    <tableColumn id="6" xr3:uid="{5ECE3357-8DCD-4713-86D7-69F7033F33D5}" name="Davon Reserve" dataDxfId="11" dataCellStyle="Standard_Einzelschadenliste Elsdorf"/>
    <tableColumn id="8" xr3:uid="{A86D17E2-82CC-4589-8572-E32E8C27B5DE}" name="2000" dataDxfId="10" dataCellStyle="Standard_Einzelschadenliste Elsdorf">
      <calculatedColumnFormula>IF(Schadenliste83[[#This Row],[Aufwand]]-Schadenliste83[[#Headers],[2000]]&lt;0,Schadenliste83[[#This Row],[Aufwand]],Schadenliste83[[#This Row],[Aufwand]]-Schadenliste83[[#Headers],[2000]])</calculatedColumnFormula>
    </tableColumn>
    <tableColumn id="9" xr3:uid="{0894DAE9-D481-467D-8AFF-48B98ACDA954}" name="5000" dataDxfId="9" dataCellStyle="Standard_Einzelschadenliste Elsdorf">
      <calculatedColumnFormula>IF(Schadenliste83[[#This Row],[Aufwand]]-Schadenliste83[[#Headers],[5000]]&lt;0,Schadenliste83[[#This Row],[Aufwand]],Schadenliste83[[#This Row],[Aufwand]]-Schadenliste83[[#Headers],[5000]])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A29D665-264C-48AC-90F3-F412B931B9CD}" name="Objektliste" displayName="Objektliste" ref="A1:S47" totalsRowCount="1" headerRowDxfId="105" dataDxfId="103" totalsRowDxfId="101" headerRowBorderDxfId="104" tableBorderDxfId="102" totalsRowBorderDxfId="100" headerRowCellStyle="Standard 12" dataCellStyle="Standard 12">
  <autoFilter ref="A1:S46" xr:uid="{BA29D665-264C-48AC-90F3-F412B931B9CD}"/>
  <tableColumns count="19">
    <tableColumn id="1" xr3:uid="{B60E924D-D54C-4AB0-BF8A-E7B777D0A0F6}" name="Pos. Nr." dataDxfId="99" totalsRowDxfId="98" dataCellStyle="Standard 12"/>
    <tableColumn id="2" xr3:uid="{E5C6A7AE-1A63-4E2A-9B11-9DF3EC79AD21}" name="Nutzung / Anschrift" dataDxfId="97" totalsRowDxfId="96" dataCellStyle="Standard 12"/>
    <tableColumn id="17" xr3:uid="{1B887D42-079A-426C-94C4-FC0E33409C08}" name="GPS Daten" dataDxfId="95" totalsRowDxfId="94" dataCellStyle="Standard 12"/>
    <tableColumn id="3" xr3:uid="{C7D45B49-4634-4BA7-95B3-A84A2C013652}" name="Zürs-_x000a_Zone" dataDxfId="93" totalsRowDxfId="92" dataCellStyle="Standard 12"/>
    <tableColumn id="11" xr3:uid="{6C6DF8E5-6DBF-406A-9EF5-2A241EB2F6E6}" name="Versicherungssumme Inventar Einbruchdiebstahl" totalsRowFunction="sum" dataDxfId="91" totalsRowDxfId="90" dataCellStyle="Standard 12"/>
    <tableColumn id="6" xr3:uid="{1798C90D-47F3-4F09-A4B8-8BC123FDAC2D}" name="Versicherungssumme Gebäude Feuer" totalsRowFunction="sum" dataDxfId="89" totalsRowDxfId="88" dataCellStyle="Standard 12"/>
    <tableColumn id="8" xr3:uid="{FB400DDB-1BA6-4E9C-974E-9785E76C3CFF}" name="Versicherungssumme Inventar Feuer " totalsRowFunction="sum" dataDxfId="87" totalsRowDxfId="86" dataCellStyle="Standard 12"/>
    <tableColumn id="4" xr3:uid="{11BC5FF2-347C-42B8-A9AF-D20588AE211A}" name="Versicherungssumme Gebäude Leitungswasser" totalsRowFunction="sum" dataDxfId="85" totalsRowDxfId="84" dataCellStyle="Standard 12"/>
    <tableColumn id="9" xr3:uid="{EB6EE996-7883-49EC-AED7-F688506F80DE}" name="Versicherungssumme Inventar Leitungswasser" totalsRowFunction="sum" dataDxfId="83" totalsRowDxfId="82" dataCellStyle="Standard 12"/>
    <tableColumn id="5" xr3:uid="{B9E9EC12-F0EA-4C87-8DD3-B754AF0068E7}" name="Versicherungssumme Gebäude Sturm" totalsRowFunction="sum" dataDxfId="81" totalsRowDxfId="80" dataCellStyle="Standard 12"/>
    <tableColumn id="10" xr3:uid="{4E9F7B5A-6022-4032-8D42-89DD7671F1F0}" name="Versicherungssumme Inventar Sturm " totalsRowFunction="sum" dataDxfId="79" totalsRowDxfId="78" dataCellStyle="Standard 12"/>
    <tableColumn id="19" xr3:uid="{BE60C6D5-D40E-4865-9FC3-8F9C7EE7995E}" name="Versicherungssumme Gebäude Überschwemmung Prüfung" dataDxfId="77" totalsRowDxfId="76" dataCellStyle="Standard 12"/>
    <tableColumn id="18" xr3:uid="{F6293931-CF6D-4399-A3E0-2475BE38CBE9}" name="Versicherungssumme Inventar Überschwemmung Prüfung" dataDxfId="75" totalsRowDxfId="74" dataCellStyle="Standard 12"/>
    <tableColumn id="7" xr3:uid="{56502E00-B414-4466-A793-831178130444}" name="Versicherungssumme Gebäude Überschwemmung" totalsRowFunction="sum" dataDxfId="73" totalsRowDxfId="72" dataCellStyle="Standard 12"/>
    <tableColumn id="12" xr3:uid="{6F7F7229-B556-4926-8DAC-C8C8A8B9296C}" name="Versicherungssumme Inventar Überschwemmung" totalsRowFunction="sum" dataDxfId="71" totalsRowDxfId="70" dataCellStyle="Standard 12"/>
    <tableColumn id="13" xr3:uid="{B044DCC1-1063-4C83-AC23-F7973E309466}" name="Bemerkungen" dataDxfId="69" totalsRowDxfId="68" dataCellStyle="Standard 12"/>
    <tableColumn id="14" xr3:uid="{F8095606-D26D-47B9-B5A9-B70E02E4006C}" name="Denkmalschutz" dataDxfId="67" totalsRowDxfId="66" dataCellStyle="Standard 12"/>
    <tableColumn id="15" xr3:uid="{74029F75-E6A7-44AA-B6FF-09CF9E53C0E9}" name="BJMW soweit nicht zu Wohnzwecken genutzt / EUR" dataDxfId="65" totalsRowDxfId="64" dataCellStyle="Standard 12"/>
    <tableColumn id="16" xr3:uid="{58EEE3F6-4EAA-48C8-85B2-A8ED6483D794}" name="Sonstige Informationen" dataDxfId="63" totalsRowDxfId="62" dataCellStyle="Standard 1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BDFAC59-9AA9-4089-811B-56184C83D50D}" name="Schadenliste8" displayName="Schadenliste8" ref="A2:G17" totalsRowShown="0" headerRowDxfId="8" tableBorderDxfId="7">
  <autoFilter ref="A2:G17" xr:uid="{C18DCE26-EA58-4423-864B-0C17AD9E3870}"/>
  <tableColumns count="7">
    <tableColumn id="1" xr3:uid="{F3860DDE-4CEE-44B0-97D8-CDA5861F3438}" name="Jahr" dataDxfId="6"/>
    <tableColumn id="2" xr3:uid="{3C526171-FA8D-418E-92A9-CF1FD3AC1AAF}" name="Anschrift (falls vorhanden)" dataDxfId="5"/>
    <tableColumn id="4" xr3:uid="{C63BBF24-79F6-42D0-BDD9-16E508A67496}" name="Schadenursache" dataDxfId="4" dataCellStyle="Standard_Einzelschadenliste Elsdorf"/>
    <tableColumn id="5" xr3:uid="{EA2AB3E2-1519-4975-9D79-5BA9DF8B480D}" name="Aufwand" dataDxfId="3" dataCellStyle="Standard_Einzelschadenliste Elsdorf"/>
    <tableColumn id="6" xr3:uid="{18265427-A8C0-476C-9577-7779EA426B8E}" name="Davon Reserve" dataDxfId="2" dataCellStyle="Standard_Einzelschadenliste Elsdorf"/>
    <tableColumn id="8" xr3:uid="{BE2E071C-DD6A-4A99-9322-F0EB4F025CF1}" name="2000" dataDxfId="1" dataCellStyle="Standard_Einzelschadenliste Elsdorf">
      <calculatedColumnFormula>IF(Schadenliste8[[#This Row],[Aufwand]]-Schadenliste8[[#Headers],[2000]]&lt;0,Schadenliste8[[#This Row],[Aufwand]],Schadenliste8[[#This Row],[Aufwand]]-Schadenliste8[[#Headers],[2000]])</calculatedColumnFormula>
    </tableColumn>
    <tableColumn id="9" xr3:uid="{013DE9AD-3120-4AE8-982B-5C9A30862212}" name="5000" dataDxfId="0" dataCellStyle="Standard_Einzelschadenliste Elsdorf">
      <calculatedColumnFormula>IF(Schadenliste8[[#This Row],[Aufwand]]-Schadenliste8[[#Headers],[5000]]&lt;0,Schadenliste8[[#This Row],[Aufwand]],Schadenliste8[[#This Row],[Aufwand]]-Schadenliste8[[#Headers],[5000]])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Q49"/>
  <sheetViews>
    <sheetView workbookViewId="0">
      <selection activeCell="F44" sqref="F44:I49"/>
    </sheetView>
  </sheetViews>
  <sheetFormatPr baseColWidth="10" defaultColWidth="11.42578125" defaultRowHeight="12.75" x14ac:dyDescent="0.2"/>
  <cols>
    <col min="1" max="1" width="20.28515625" style="1" bestFit="1" customWidth="1"/>
    <col min="2" max="7" width="11.42578125" style="1"/>
    <col min="8" max="8" width="13" style="1" customWidth="1"/>
    <col min="9" max="9" width="12.28515625" style="1" customWidth="1"/>
    <col min="10" max="13" width="11.42578125" style="1"/>
    <col min="14" max="14" width="12.7109375" style="8" customWidth="1"/>
    <col min="15" max="15" width="12.42578125" style="1" customWidth="1"/>
    <col min="16" max="16384" width="11.42578125" style="1"/>
  </cols>
  <sheetData>
    <row r="1" spans="1:17" ht="12.75" customHeight="1" x14ac:dyDescent="0.2">
      <c r="A1" s="103" t="s">
        <v>12</v>
      </c>
      <c r="B1" s="103" t="s">
        <v>13</v>
      </c>
      <c r="C1" s="103" t="s">
        <v>14</v>
      </c>
      <c r="D1" s="103" t="s">
        <v>15</v>
      </c>
      <c r="E1" s="103" t="s">
        <v>16</v>
      </c>
      <c r="F1" s="103" t="s">
        <v>17</v>
      </c>
      <c r="G1" s="103" t="s">
        <v>18</v>
      </c>
      <c r="H1" s="103" t="s">
        <v>19</v>
      </c>
      <c r="I1" s="103" t="s">
        <v>20</v>
      </c>
      <c r="J1" s="105" t="s">
        <v>21</v>
      </c>
      <c r="K1" s="105"/>
      <c r="L1" s="105" t="s">
        <v>22</v>
      </c>
      <c r="M1" s="105"/>
      <c r="N1" s="106" t="s">
        <v>18</v>
      </c>
      <c r="O1" s="103" t="s">
        <v>20</v>
      </c>
    </row>
    <row r="2" spans="1:17" s="3" customFormat="1" x14ac:dyDescent="0.2">
      <c r="A2" s="104"/>
      <c r="B2" s="104"/>
      <c r="C2" s="104"/>
      <c r="D2" s="104"/>
      <c r="E2" s="104"/>
      <c r="F2" s="104"/>
      <c r="G2" s="104"/>
      <c r="H2" s="104"/>
      <c r="I2" s="104"/>
      <c r="J2" s="2" t="s">
        <v>7</v>
      </c>
      <c r="K2" s="2" t="s">
        <v>23</v>
      </c>
      <c r="L2" s="2" t="s">
        <v>7</v>
      </c>
      <c r="M2" s="2" t="s">
        <v>23</v>
      </c>
      <c r="N2" s="107"/>
      <c r="O2" s="104"/>
    </row>
    <row r="3" spans="1:17" x14ac:dyDescent="0.2">
      <c r="A3" s="4" t="s">
        <v>3</v>
      </c>
      <c r="B3" s="5" t="e">
        <f>GETPIVOTDATA("Summe von Entschädigung",#REF!,"Gefahr ","Feuer")</f>
        <v>#REF!</v>
      </c>
      <c r="C3" s="19" t="e">
        <f>GETPIVOTDATA("Anzahl von Entschädigung2",#REF!,"Gefahr ","Feuer")</f>
        <v>#REF!</v>
      </c>
      <c r="D3" s="5" t="e">
        <f>B3/C3</f>
        <v>#REF!</v>
      </c>
      <c r="E3" s="5" t="e">
        <f>B3/5</f>
        <v>#REF!</v>
      </c>
      <c r="F3" s="4">
        <f>IF($D$11=0,$D$12,$D$11)</f>
        <v>19.027012216128593</v>
      </c>
      <c r="G3" s="5" t="e">
        <f t="shared" ref="G3:G7" si="0">E3/(1-F3/100)</f>
        <v>#REF!</v>
      </c>
      <c r="H3" s="5" t="e">
        <f>G3*0.6*0.22</f>
        <v>#REF!</v>
      </c>
      <c r="I3" s="5" t="e">
        <f t="shared" ref="I3:I7" si="1">G3+H3</f>
        <v>#REF!</v>
      </c>
      <c r="J3" s="6" t="e">
        <f>#REF!</f>
        <v>#REF!</v>
      </c>
      <c r="K3" s="6" t="e">
        <f>#REF!</f>
        <v>#REF!</v>
      </c>
      <c r="L3" s="7">
        <v>0.12</v>
      </c>
      <c r="M3" s="7">
        <v>0.12</v>
      </c>
      <c r="N3" s="5" t="e">
        <f t="shared" ref="N3:N7" si="2">ROUND(L3*J3/1000,2)+ROUND(M3*K3/1000,2)</f>
        <v>#REF!</v>
      </c>
      <c r="O3" s="5" t="e">
        <f>ROUND(N3*1.132,2)</f>
        <v>#REF!</v>
      </c>
      <c r="P3" s="8"/>
      <c r="Q3" s="15"/>
    </row>
    <row r="4" spans="1:17" x14ac:dyDescent="0.2">
      <c r="A4" s="4" t="s">
        <v>4</v>
      </c>
      <c r="B4" s="5" t="e">
        <f>GETPIVOTDATA("Summe von Entschädigung",#REF!,"Gefahr ","LW")</f>
        <v>#REF!</v>
      </c>
      <c r="C4" s="19" t="e">
        <f>GETPIVOTDATA("Anzahl von Entschädigung2",#REF!,"Gefahr ","LW")</f>
        <v>#REF!</v>
      </c>
      <c r="D4" s="5" t="e">
        <f t="shared" ref="D4:D7" si="3">B4/C4</f>
        <v>#REF!</v>
      </c>
      <c r="E4" s="5" t="e">
        <f>B4/5</f>
        <v>#REF!</v>
      </c>
      <c r="F4" s="4">
        <f>IF($D$11=0,$D$12,$D$11)</f>
        <v>19.027012216128593</v>
      </c>
      <c r="G4" s="5" t="e">
        <f t="shared" si="0"/>
        <v>#REF!</v>
      </c>
      <c r="H4" s="5" t="e">
        <f>G4*0.19</f>
        <v>#REF!</v>
      </c>
      <c r="I4" s="5" t="e">
        <f t="shared" si="1"/>
        <v>#REF!</v>
      </c>
      <c r="J4" s="6" t="e">
        <f>#REF!</f>
        <v>#REF!</v>
      </c>
      <c r="K4" s="6" t="e">
        <f>#REF!</f>
        <v>#REF!</v>
      </c>
      <c r="L4" s="7">
        <v>0.115</v>
      </c>
      <c r="M4" s="7">
        <v>0.115</v>
      </c>
      <c r="N4" s="5" t="e">
        <f t="shared" si="2"/>
        <v>#REF!</v>
      </c>
      <c r="O4" s="5" t="e">
        <f>ROUND(N4*1.19,2)</f>
        <v>#REF!</v>
      </c>
      <c r="P4" s="8"/>
      <c r="Q4" s="15"/>
    </row>
    <row r="5" spans="1:17" x14ac:dyDescent="0.2">
      <c r="A5" s="4" t="s">
        <v>5</v>
      </c>
      <c r="B5" s="5" t="e">
        <f>GETPIVOTDATA("Summe von Entschädigung",#REF!,"Gefahr ","ST")</f>
        <v>#REF!</v>
      </c>
      <c r="C5" s="19" t="e">
        <f>GETPIVOTDATA("Anzahl von Entschädigung2",#REF!,"Gefahr ","ST")</f>
        <v>#REF!</v>
      </c>
      <c r="D5" s="5" t="e">
        <f t="shared" si="3"/>
        <v>#REF!</v>
      </c>
      <c r="E5" s="5" t="e">
        <f>B5/5</f>
        <v>#REF!</v>
      </c>
      <c r="F5" s="4">
        <f>IF($D$11=0,$D$12,$D$11)</f>
        <v>19.027012216128593</v>
      </c>
      <c r="G5" s="5" t="e">
        <f t="shared" si="0"/>
        <v>#REF!</v>
      </c>
      <c r="H5" s="5" t="e">
        <f>G5*0.19</f>
        <v>#REF!</v>
      </c>
      <c r="I5" s="5" t="e">
        <f t="shared" si="1"/>
        <v>#REF!</v>
      </c>
      <c r="J5" s="6" t="e">
        <f>#REF!</f>
        <v>#REF!</v>
      </c>
      <c r="K5" s="6" t="e">
        <f>#REF!</f>
        <v>#REF!</v>
      </c>
      <c r="L5" s="7">
        <v>5.7000000000000002E-2</v>
      </c>
      <c r="M5" s="7">
        <v>5.7000000000000002E-2</v>
      </c>
      <c r="N5" s="5" t="e">
        <f t="shared" si="2"/>
        <v>#REF!</v>
      </c>
      <c r="O5" s="5" t="e">
        <f>ROUND(N5*1.19,2)</f>
        <v>#REF!</v>
      </c>
      <c r="P5" s="8"/>
      <c r="Q5" s="15"/>
    </row>
    <row r="6" spans="1:17" x14ac:dyDescent="0.2">
      <c r="A6" s="4" t="s">
        <v>6</v>
      </c>
      <c r="B6" s="5">
        <v>0</v>
      </c>
      <c r="C6" s="4">
        <v>0</v>
      </c>
      <c r="D6" s="5">
        <v>0</v>
      </c>
      <c r="E6" s="5">
        <v>0</v>
      </c>
      <c r="F6" s="4">
        <f>IF($D$11=0,$D$12,$D$11)</f>
        <v>19.027012216128593</v>
      </c>
      <c r="G6" s="5">
        <f t="shared" si="0"/>
        <v>0</v>
      </c>
      <c r="H6" s="5">
        <f>G6*0.19</f>
        <v>0</v>
      </c>
      <c r="I6" s="5">
        <f t="shared" si="1"/>
        <v>0</v>
      </c>
      <c r="J6" s="6" t="e">
        <f>#REF!</f>
        <v>#REF!</v>
      </c>
      <c r="K6" s="6" t="e">
        <f>#REF!</f>
        <v>#REF!</v>
      </c>
      <c r="L6" s="7"/>
      <c r="M6" s="7"/>
      <c r="N6" s="5" t="e">
        <f t="shared" si="2"/>
        <v>#REF!</v>
      </c>
      <c r="O6" s="5" t="e">
        <f>ROUND(N6*1.19,2)</f>
        <v>#REF!</v>
      </c>
      <c r="P6" s="8"/>
      <c r="Q6" s="15"/>
    </row>
    <row r="7" spans="1:17" x14ac:dyDescent="0.2">
      <c r="A7" s="4" t="s">
        <v>2</v>
      </c>
      <c r="B7" s="5" t="e">
        <f>GETPIVOTDATA("Summe von Entschädigung",#REF!,"Gefahr ","ED")</f>
        <v>#REF!</v>
      </c>
      <c r="C7" s="19" t="e">
        <f>GETPIVOTDATA("Anzahl von Entschädigung2",#REF!,"Gefahr ","ED")</f>
        <v>#REF!</v>
      </c>
      <c r="D7" s="5" t="e">
        <f t="shared" si="3"/>
        <v>#REF!</v>
      </c>
      <c r="E7" s="5" t="e">
        <f>B7/5</f>
        <v>#REF!</v>
      </c>
      <c r="F7" s="4">
        <f>IF($D$11=0,$D$12,$D$11)</f>
        <v>19.027012216128593</v>
      </c>
      <c r="G7" s="5" t="e">
        <f t="shared" si="0"/>
        <v>#REF!</v>
      </c>
      <c r="H7" s="5" t="e">
        <f>G7*0.19</f>
        <v>#REF!</v>
      </c>
      <c r="I7" s="5" t="e">
        <f t="shared" si="1"/>
        <v>#REF!</v>
      </c>
      <c r="J7" s="6"/>
      <c r="K7" s="6" t="e">
        <f>#REF!</f>
        <v>#REF!</v>
      </c>
      <c r="L7" s="6"/>
      <c r="M7" s="7">
        <v>2.0859999999999999</v>
      </c>
      <c r="N7" s="5" t="e">
        <f t="shared" si="2"/>
        <v>#REF!</v>
      </c>
      <c r="O7" s="5" t="e">
        <f>ROUND(N7*1.19,2)</f>
        <v>#REF!</v>
      </c>
      <c r="P7" s="8"/>
      <c r="Q7" s="15"/>
    </row>
    <row r="8" spans="1:17" x14ac:dyDescent="0.2">
      <c r="A8" s="4"/>
      <c r="B8" s="5"/>
      <c r="C8" s="4"/>
      <c r="D8" s="5"/>
      <c r="E8" s="5"/>
      <c r="F8" s="4"/>
      <c r="G8" s="5"/>
      <c r="H8" s="5"/>
      <c r="I8" s="5"/>
      <c r="J8" s="4"/>
      <c r="K8" s="4"/>
      <c r="L8" s="4"/>
      <c r="M8" s="4"/>
      <c r="N8" s="5"/>
      <c r="O8" s="5"/>
      <c r="P8" s="8"/>
      <c r="Q8" s="15"/>
    </row>
    <row r="9" spans="1:17" x14ac:dyDescent="0.2">
      <c r="A9" s="4" t="s">
        <v>8</v>
      </c>
      <c r="B9" s="5" t="e">
        <f>SUM(B3:B7)</f>
        <v>#REF!</v>
      </c>
      <c r="C9" s="4" t="e">
        <f>SUM(C3:C7)</f>
        <v>#REF!</v>
      </c>
      <c r="D9" s="5" t="e">
        <f>B9/C9</f>
        <v>#REF!</v>
      </c>
      <c r="E9" s="5" t="e">
        <f>B9/5</f>
        <v>#REF!</v>
      </c>
      <c r="F9" s="4"/>
      <c r="G9" s="5" t="e">
        <f>SUM(G3:G7)</f>
        <v>#REF!</v>
      </c>
      <c r="H9" s="5" t="e">
        <f>SUM(H3:H7)</f>
        <v>#REF!</v>
      </c>
      <c r="I9" s="5" t="e">
        <f>SUM(I3:I7)</f>
        <v>#REF!</v>
      </c>
      <c r="J9" s="6"/>
      <c r="K9" s="6"/>
      <c r="L9" s="4"/>
      <c r="M9" s="4"/>
      <c r="N9" s="5" t="e">
        <f>SUM(N3:N7)</f>
        <v>#REF!</v>
      </c>
      <c r="O9" s="5" t="e">
        <f>SUM(O3:O7)</f>
        <v>#REF!</v>
      </c>
      <c r="P9" s="8"/>
      <c r="Q9" s="15"/>
    </row>
    <row r="11" spans="1:17" x14ac:dyDescent="0.2">
      <c r="A11" s="108" t="s">
        <v>24</v>
      </c>
      <c r="B11" s="109"/>
      <c r="C11" s="110"/>
      <c r="D11" s="7">
        <v>19.027012216128593</v>
      </c>
    </row>
    <row r="12" spans="1:17" x14ac:dyDescent="0.2">
      <c r="A12" s="108" t="s">
        <v>25</v>
      </c>
      <c r="B12" s="109"/>
      <c r="C12" s="110"/>
      <c r="D12" s="4">
        <v>20</v>
      </c>
    </row>
    <row r="14" spans="1:17" x14ac:dyDescent="0.2">
      <c r="C14" s="29"/>
      <c r="D14" s="30"/>
      <c r="E14" s="30"/>
      <c r="F14" s="30"/>
      <c r="G14" s="30"/>
      <c r="H14" s="30"/>
      <c r="I14" s="30"/>
      <c r="J14" s="31"/>
      <c r="L14" s="38"/>
      <c r="M14" s="39"/>
      <c r="N14" s="40"/>
      <c r="O14" s="41"/>
    </row>
    <row r="15" spans="1:17" x14ac:dyDescent="0.2">
      <c r="C15" s="32"/>
      <c r="D15" s="33"/>
      <c r="E15" s="33"/>
      <c r="F15" s="33" t="s">
        <v>35</v>
      </c>
      <c r="G15" s="33"/>
      <c r="H15" s="33"/>
      <c r="I15" s="33"/>
      <c r="J15" s="34"/>
      <c r="L15" s="42"/>
      <c r="M15" s="44" t="s">
        <v>32</v>
      </c>
      <c r="N15" s="43"/>
      <c r="O15" s="45"/>
    </row>
    <row r="16" spans="1:17" ht="38.25" x14ac:dyDescent="0.2">
      <c r="C16" s="32"/>
      <c r="D16" s="33"/>
      <c r="E16" s="33"/>
      <c r="F16" s="57" t="s">
        <v>29</v>
      </c>
      <c r="G16" s="57" t="s">
        <v>34</v>
      </c>
      <c r="H16" s="57" t="s">
        <v>33</v>
      </c>
      <c r="I16" s="33"/>
      <c r="J16" s="34"/>
      <c r="L16" s="42"/>
      <c r="M16" s="58" t="s">
        <v>34</v>
      </c>
      <c r="N16" s="59" t="s">
        <v>33</v>
      </c>
      <c r="O16" s="45"/>
    </row>
    <row r="17" spans="3:15" x14ac:dyDescent="0.2">
      <c r="C17" s="32"/>
      <c r="D17" s="33"/>
      <c r="E17" s="33"/>
      <c r="F17" s="55"/>
      <c r="G17" s="55"/>
      <c r="H17" s="55"/>
      <c r="I17" s="33"/>
      <c r="J17" s="34"/>
      <c r="L17" s="42"/>
      <c r="M17" s="60"/>
      <c r="N17" s="61"/>
      <c r="O17" s="45"/>
    </row>
    <row r="18" spans="3:15" x14ac:dyDescent="0.2">
      <c r="C18" s="32"/>
      <c r="D18" s="54" t="s">
        <v>28</v>
      </c>
      <c r="E18" s="56"/>
      <c r="F18" s="51" t="e">
        <f>ROUND(E9/N9*100,2)</f>
        <v>#REF!</v>
      </c>
      <c r="G18" s="52" t="e">
        <f>D9</f>
        <v>#REF!</v>
      </c>
      <c r="H18" s="52" t="e">
        <f>GETPIVOTDATA("STABW von Entschädigung2",#REF!)</f>
        <v>#REF!</v>
      </c>
      <c r="I18" s="33"/>
      <c r="J18" s="34"/>
      <c r="L18" s="42"/>
      <c r="M18" s="53">
        <v>6094.73</v>
      </c>
      <c r="N18" s="53">
        <v>141590.60999999999</v>
      </c>
      <c r="O18" s="45"/>
    </row>
    <row r="19" spans="3:15" x14ac:dyDescent="0.2">
      <c r="C19" s="32"/>
      <c r="D19" s="54" t="s">
        <v>3</v>
      </c>
      <c r="E19" s="56"/>
      <c r="F19" s="51" t="e">
        <f>ROUND(E3/N3*100,2)</f>
        <v>#REF!</v>
      </c>
      <c r="G19" s="52" t="e">
        <f>D3</f>
        <v>#REF!</v>
      </c>
      <c r="H19" s="52" t="e">
        <f>GETPIVOTDATA("STABW von Entschädigung2",#REF!,"Gefahr ","Feuer")</f>
        <v>#REF!</v>
      </c>
      <c r="I19" s="33"/>
      <c r="J19" s="34"/>
      <c r="L19" s="42"/>
      <c r="M19" s="53">
        <v>48231.35</v>
      </c>
      <c r="N19" s="53">
        <v>489565.19</v>
      </c>
      <c r="O19" s="45"/>
    </row>
    <row r="20" spans="3:15" x14ac:dyDescent="0.2">
      <c r="C20" s="32"/>
      <c r="D20" s="54" t="s">
        <v>4</v>
      </c>
      <c r="E20" s="56"/>
      <c r="F20" s="51" t="e">
        <f>ROUND(E4/N4*100,2)</f>
        <v>#REF!</v>
      </c>
      <c r="G20" s="52" t="e">
        <f>D4</f>
        <v>#REF!</v>
      </c>
      <c r="H20" s="52" t="e">
        <f>GETPIVOTDATA("STABW von Entschädigung2",#REF!,"Gefahr ","LW")</f>
        <v>#REF!</v>
      </c>
      <c r="I20" s="33"/>
      <c r="J20" s="34"/>
      <c r="L20" s="42"/>
      <c r="M20" s="53">
        <v>2243.4299999999998</v>
      </c>
      <c r="N20" s="53">
        <v>6083.09</v>
      </c>
      <c r="O20" s="45"/>
    </row>
    <row r="21" spans="3:15" x14ac:dyDescent="0.2">
      <c r="C21" s="32"/>
      <c r="D21" s="54" t="s">
        <v>5</v>
      </c>
      <c r="E21" s="56"/>
      <c r="F21" s="51" t="e">
        <f>ROUND(E5/N5*100,2)</f>
        <v>#REF!</v>
      </c>
      <c r="G21" s="52" t="e">
        <f>D5</f>
        <v>#REF!</v>
      </c>
      <c r="H21" s="52" t="e">
        <f>GETPIVOTDATA("STABW von Entschädigung2",#REF!,"Gefahr ","ST")</f>
        <v>#REF!</v>
      </c>
      <c r="I21" s="33"/>
      <c r="J21" s="34"/>
      <c r="L21" s="42"/>
      <c r="M21" s="53">
        <v>1486.31</v>
      </c>
      <c r="N21" s="53">
        <v>6420.17</v>
      </c>
      <c r="O21" s="45"/>
    </row>
    <row r="22" spans="3:15" x14ac:dyDescent="0.2">
      <c r="C22" s="32"/>
      <c r="D22" s="54" t="s">
        <v>2</v>
      </c>
      <c r="E22" s="56"/>
      <c r="F22" s="51" t="e">
        <f>ROUND(E7/N7*100,2)</f>
        <v>#REF!</v>
      </c>
      <c r="G22" s="52" t="e">
        <f>D7</f>
        <v>#REF!</v>
      </c>
      <c r="H22" s="52" t="e">
        <f>GETPIVOTDATA("STABW von Entschädigung2",#REF!,"Gefahr ","ED")</f>
        <v>#REF!</v>
      </c>
      <c r="I22" s="33"/>
      <c r="J22" s="34"/>
      <c r="L22" s="42"/>
      <c r="M22" s="53">
        <v>2158.4299999999998</v>
      </c>
      <c r="N22" s="53">
        <v>3952.84</v>
      </c>
      <c r="O22" s="45"/>
    </row>
    <row r="23" spans="3:15" x14ac:dyDescent="0.2">
      <c r="C23" s="35"/>
      <c r="D23" s="36"/>
      <c r="E23" s="36"/>
      <c r="F23" s="36"/>
      <c r="G23" s="36"/>
      <c r="H23" s="36"/>
      <c r="I23" s="36"/>
      <c r="J23" s="37"/>
      <c r="L23" s="46"/>
      <c r="M23" s="47"/>
      <c r="N23" s="48"/>
      <c r="O23" s="49"/>
    </row>
    <row r="43" spans="5:16" x14ac:dyDescent="0.2">
      <c r="F43" s="1" t="s">
        <v>36</v>
      </c>
      <c r="H43" s="1" t="s">
        <v>37</v>
      </c>
      <c r="K43" s="100" t="s">
        <v>35</v>
      </c>
      <c r="L43" s="101"/>
      <c r="M43" s="101"/>
      <c r="N43" s="102" t="s">
        <v>32</v>
      </c>
      <c r="O43" s="101"/>
      <c r="P43" s="101"/>
    </row>
    <row r="44" spans="5:16" x14ac:dyDescent="0.2">
      <c r="F44" s="1" t="s">
        <v>35</v>
      </c>
      <c r="G44" s="1" t="s">
        <v>32</v>
      </c>
      <c r="H44" s="1" t="s">
        <v>35</v>
      </c>
      <c r="I44" s="1" t="s">
        <v>32</v>
      </c>
      <c r="J44" s="1" t="s">
        <v>12</v>
      </c>
      <c r="K44" s="1" t="s">
        <v>38</v>
      </c>
      <c r="L44" s="1" t="s">
        <v>39</v>
      </c>
      <c r="M44" s="1" t="s">
        <v>40</v>
      </c>
      <c r="N44" s="1" t="s">
        <v>41</v>
      </c>
      <c r="O44" s="1" t="s">
        <v>42</v>
      </c>
      <c r="P44" s="1" t="s">
        <v>43</v>
      </c>
    </row>
    <row r="45" spans="5:16" x14ac:dyDescent="0.2">
      <c r="E45" s="54" t="s">
        <v>28</v>
      </c>
      <c r="F45" s="8" t="e">
        <f>G18</f>
        <v>#REF!</v>
      </c>
      <c r="G45" s="8">
        <f>M18</f>
        <v>6094.73</v>
      </c>
      <c r="H45" s="8" t="e">
        <f>H18</f>
        <v>#REF!</v>
      </c>
      <c r="I45" s="8">
        <f>N18</f>
        <v>141590.60999999999</v>
      </c>
      <c r="J45" s="54" t="s">
        <v>28</v>
      </c>
      <c r="K45" s="1" t="e">
        <f>IF(F45-H45&lt;0,0,F45-H45)</f>
        <v>#REF!</v>
      </c>
      <c r="L45" s="8" t="e">
        <f>F45</f>
        <v>#REF!</v>
      </c>
      <c r="M45" s="8" t="e">
        <f>L45+H45</f>
        <v>#REF!</v>
      </c>
      <c r="N45" s="1">
        <f>IF(G45-I45&lt;0,0,G45-I45)</f>
        <v>0</v>
      </c>
      <c r="O45" s="8">
        <f>G45</f>
        <v>6094.73</v>
      </c>
      <c r="P45" s="8">
        <f>O45+I45</f>
        <v>147685.34</v>
      </c>
    </row>
    <row r="46" spans="5:16" x14ac:dyDescent="0.2">
      <c r="E46" s="54" t="s">
        <v>3</v>
      </c>
      <c r="F46" s="8" t="e">
        <f t="shared" ref="F46:F49" si="4">G19</f>
        <v>#REF!</v>
      </c>
      <c r="G46" s="8">
        <f t="shared" ref="G46:G49" si="5">M19</f>
        <v>48231.35</v>
      </c>
      <c r="H46" s="8" t="e">
        <f t="shared" ref="H46:H49" si="6">H19</f>
        <v>#REF!</v>
      </c>
      <c r="I46" s="8">
        <f t="shared" ref="I46:I49" si="7">N19</f>
        <v>489565.19</v>
      </c>
      <c r="J46" s="54" t="s">
        <v>3</v>
      </c>
      <c r="K46" s="1" t="e">
        <f>IF(F46-H46&lt;0,0,F46-H46)</f>
        <v>#REF!</v>
      </c>
      <c r="L46" s="8" t="e">
        <f>F46</f>
        <v>#REF!</v>
      </c>
      <c r="M46" s="8" t="e">
        <f>L46+H46</f>
        <v>#REF!</v>
      </c>
      <c r="N46" s="1">
        <f t="shared" ref="N46:N49" si="8">IF(G46-I46&lt;0,0,G46-I46)</f>
        <v>0</v>
      </c>
      <c r="O46" s="8">
        <f t="shared" ref="O46:O49" si="9">G46</f>
        <v>48231.35</v>
      </c>
      <c r="P46" s="8">
        <f t="shared" ref="P46:P49" si="10">O46+I46</f>
        <v>537796.54</v>
      </c>
    </row>
    <row r="47" spans="5:16" x14ac:dyDescent="0.2">
      <c r="E47" s="54" t="s">
        <v>4</v>
      </c>
      <c r="F47" s="8" t="e">
        <f t="shared" si="4"/>
        <v>#REF!</v>
      </c>
      <c r="G47" s="8">
        <f t="shared" si="5"/>
        <v>2243.4299999999998</v>
      </c>
      <c r="H47" s="8" t="e">
        <f t="shared" si="6"/>
        <v>#REF!</v>
      </c>
      <c r="I47" s="8">
        <f t="shared" si="7"/>
        <v>6083.09</v>
      </c>
      <c r="J47" s="54" t="s">
        <v>4</v>
      </c>
      <c r="K47" s="1" t="e">
        <f>IF(F47-H47&lt;0,0,F47-H47)</f>
        <v>#REF!</v>
      </c>
      <c r="L47" s="8" t="e">
        <f t="shared" ref="L47:L49" si="11">F47</f>
        <v>#REF!</v>
      </c>
      <c r="M47" s="8" t="e">
        <f t="shared" ref="M47:M49" si="12">L47+H47</f>
        <v>#REF!</v>
      </c>
      <c r="N47" s="1">
        <f t="shared" si="8"/>
        <v>0</v>
      </c>
      <c r="O47" s="8">
        <f t="shared" si="9"/>
        <v>2243.4299999999998</v>
      </c>
      <c r="P47" s="8">
        <f t="shared" si="10"/>
        <v>8326.52</v>
      </c>
    </row>
    <row r="48" spans="5:16" x14ac:dyDescent="0.2">
      <c r="E48" s="54" t="s">
        <v>5</v>
      </c>
      <c r="F48" s="8" t="e">
        <f t="shared" si="4"/>
        <v>#REF!</v>
      </c>
      <c r="G48" s="8">
        <f t="shared" si="5"/>
        <v>1486.31</v>
      </c>
      <c r="H48" s="8" t="e">
        <f t="shared" si="6"/>
        <v>#REF!</v>
      </c>
      <c r="I48" s="8">
        <f t="shared" si="7"/>
        <v>6420.17</v>
      </c>
      <c r="J48" s="54" t="s">
        <v>5</v>
      </c>
      <c r="K48" s="1" t="e">
        <f t="shared" ref="K48:K49" si="13">IF(F48-H48&lt;0,0,F48-H48)</f>
        <v>#REF!</v>
      </c>
      <c r="L48" s="8" t="e">
        <f t="shared" si="11"/>
        <v>#REF!</v>
      </c>
      <c r="M48" s="8" t="e">
        <f t="shared" si="12"/>
        <v>#REF!</v>
      </c>
      <c r="N48" s="1">
        <f t="shared" si="8"/>
        <v>0</v>
      </c>
      <c r="O48" s="8">
        <f t="shared" si="9"/>
        <v>1486.31</v>
      </c>
      <c r="P48" s="8">
        <f t="shared" si="10"/>
        <v>7906.48</v>
      </c>
    </row>
    <row r="49" spans="5:16" x14ac:dyDescent="0.2">
      <c r="E49" s="54" t="s">
        <v>2</v>
      </c>
      <c r="F49" s="8" t="e">
        <f t="shared" si="4"/>
        <v>#REF!</v>
      </c>
      <c r="G49" s="8">
        <f t="shared" si="5"/>
        <v>2158.4299999999998</v>
      </c>
      <c r="H49" s="8" t="e">
        <f t="shared" si="6"/>
        <v>#REF!</v>
      </c>
      <c r="I49" s="8">
        <f t="shared" si="7"/>
        <v>3952.84</v>
      </c>
      <c r="J49" s="54" t="s">
        <v>2</v>
      </c>
      <c r="K49" s="1" t="e">
        <f t="shared" si="13"/>
        <v>#REF!</v>
      </c>
      <c r="L49" s="8" t="e">
        <f t="shared" si="11"/>
        <v>#REF!</v>
      </c>
      <c r="M49" s="8" t="e">
        <f t="shared" si="12"/>
        <v>#REF!</v>
      </c>
      <c r="N49" s="1">
        <f t="shared" si="8"/>
        <v>0</v>
      </c>
      <c r="O49" s="8">
        <f t="shared" si="9"/>
        <v>2158.4299999999998</v>
      </c>
      <c r="P49" s="8">
        <f t="shared" si="10"/>
        <v>6111.27</v>
      </c>
    </row>
  </sheetData>
  <sheetProtection selectLockedCells="1"/>
  <mergeCells count="17">
    <mergeCell ref="A11:C11"/>
    <mergeCell ref="A12:C12"/>
    <mergeCell ref="G1:G2"/>
    <mergeCell ref="H1:H2"/>
    <mergeCell ref="I1:I2"/>
    <mergeCell ref="A1:A2"/>
    <mergeCell ref="B1:B2"/>
    <mergeCell ref="C1:C2"/>
    <mergeCell ref="D1:D2"/>
    <mergeCell ref="E1:E2"/>
    <mergeCell ref="F1:F2"/>
    <mergeCell ref="K43:M43"/>
    <mergeCell ref="N43:P43"/>
    <mergeCell ref="O1:O2"/>
    <mergeCell ref="J1:K1"/>
    <mergeCell ref="L1:M1"/>
    <mergeCell ref="N1:N2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7" orientation="landscape" r:id="rId1"/>
  <headerFooter alignWithMargins="0">
    <oddHeader>&amp;C&amp;"MS Sans Serif,Fett"&amp;13Kalkulationsschema</oddHeader>
    <oddFooter>&amp;LPlettenberg, den &amp;D</oddFooter>
  </headerFooter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9"/>
  <sheetViews>
    <sheetView workbookViewId="0">
      <selection activeCell="B5" sqref="B5"/>
    </sheetView>
  </sheetViews>
  <sheetFormatPr baseColWidth="10" defaultRowHeight="12.75" x14ac:dyDescent="0.2"/>
  <cols>
    <col min="1" max="1" width="28.5703125" bestFit="1" customWidth="1"/>
    <col min="2" max="2" width="25.85546875" bestFit="1" customWidth="1"/>
    <col min="3" max="3" width="9.28515625" bestFit="1" customWidth="1"/>
    <col min="4" max="4" width="7.140625" bestFit="1" customWidth="1"/>
    <col min="5" max="5" width="16.7109375" bestFit="1" customWidth="1"/>
    <col min="6" max="6" width="9.28515625" bestFit="1" customWidth="1"/>
    <col min="7" max="7" width="17.7109375" bestFit="1" customWidth="1"/>
    <col min="8" max="8" width="16.7109375" bestFit="1" customWidth="1"/>
    <col min="9" max="9" width="17.7109375" bestFit="1" customWidth="1"/>
  </cols>
  <sheetData>
    <row r="2" spans="1:7" x14ac:dyDescent="0.2">
      <c r="A2" s="20" t="s">
        <v>31</v>
      </c>
      <c r="B2" s="20" t="s">
        <v>9</v>
      </c>
    </row>
    <row r="3" spans="1:7" x14ac:dyDescent="0.2">
      <c r="A3" s="20" t="s">
        <v>10</v>
      </c>
      <c r="B3" t="s">
        <v>2</v>
      </c>
      <c r="C3" t="s">
        <v>3</v>
      </c>
      <c r="D3" t="s">
        <v>30</v>
      </c>
      <c r="E3" t="s">
        <v>4</v>
      </c>
      <c r="F3" t="s">
        <v>5</v>
      </c>
      <c r="G3" t="s">
        <v>11</v>
      </c>
    </row>
    <row r="4" spans="1:7" x14ac:dyDescent="0.2">
      <c r="A4" s="50">
        <v>2016</v>
      </c>
      <c r="B4" s="10">
        <v>780.17899127913802</v>
      </c>
      <c r="C4" s="10">
        <v>946.12976978143263</v>
      </c>
      <c r="D4" s="10" t="e">
        <v>#DIV/0!</v>
      </c>
      <c r="E4" s="10">
        <v>827.98205479748572</v>
      </c>
      <c r="F4" s="10">
        <v>282.33866980395499</v>
      </c>
      <c r="G4" s="10">
        <v>703.86496843337704</v>
      </c>
    </row>
    <row r="5" spans="1:7" x14ac:dyDescent="0.2">
      <c r="A5" s="50">
        <v>2017</v>
      </c>
      <c r="B5" s="10">
        <v>487.96003444954397</v>
      </c>
      <c r="C5" s="10">
        <v>133.83410047517791</v>
      </c>
      <c r="D5" s="10"/>
      <c r="E5" s="10">
        <v>2617.4898152279061</v>
      </c>
      <c r="F5" s="10" t="e">
        <v>#DIV/0!</v>
      </c>
      <c r="G5" s="10">
        <v>2124.3940337691674</v>
      </c>
    </row>
    <row r="6" spans="1:7" x14ac:dyDescent="0.2">
      <c r="A6" s="50">
        <v>2018</v>
      </c>
      <c r="B6" s="10">
        <v>1017.5036683471957</v>
      </c>
      <c r="C6" s="10">
        <v>1254.205919069911</v>
      </c>
      <c r="D6" s="10"/>
      <c r="E6" s="10">
        <v>2635.1119998182444</v>
      </c>
      <c r="F6" s="10">
        <v>1673.9640622337145</v>
      </c>
      <c r="G6" s="10">
        <v>1875.0909304267013</v>
      </c>
    </row>
    <row r="7" spans="1:7" x14ac:dyDescent="0.2">
      <c r="A7" s="50">
        <v>2019</v>
      </c>
      <c r="B7" s="10">
        <v>7194.1538073295515</v>
      </c>
      <c r="C7" s="10">
        <v>1443.9659959396558</v>
      </c>
      <c r="D7" s="10"/>
      <c r="E7" s="10">
        <v>2995.828129098069</v>
      </c>
      <c r="F7" s="10">
        <v>1119.0002794893053</v>
      </c>
      <c r="G7" s="10">
        <v>3582.5567478130524</v>
      </c>
    </row>
    <row r="8" spans="1:7" x14ac:dyDescent="0.2">
      <c r="A8" s="50">
        <v>2020</v>
      </c>
      <c r="B8" s="10">
        <v>0</v>
      </c>
      <c r="C8" s="10">
        <v>1000.7541063076717</v>
      </c>
      <c r="D8" s="10" t="e">
        <v>#DIV/0!</v>
      </c>
      <c r="E8" s="10">
        <v>2770.8908738412397</v>
      </c>
      <c r="F8" s="10">
        <v>1926.2844288699077</v>
      </c>
      <c r="G8" s="10">
        <v>2237.458849028877</v>
      </c>
    </row>
    <row r="9" spans="1:7" x14ac:dyDescent="0.2">
      <c r="A9" s="50" t="s">
        <v>11</v>
      </c>
      <c r="B9" s="10">
        <v>3917.0974931690557</v>
      </c>
      <c r="C9" s="10">
        <v>1256.6954944270842</v>
      </c>
      <c r="D9" s="10">
        <v>8.0327330342800387</v>
      </c>
      <c r="E9" s="10">
        <v>2526.1308465497195</v>
      </c>
      <c r="F9" s="10">
        <v>1396.1395053520341</v>
      </c>
      <c r="G9" s="10">
        <v>2470.5661295275909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D5999-3D10-4B6D-A504-B60FA5095394}">
  <dimension ref="A2:F10"/>
  <sheetViews>
    <sheetView workbookViewId="0">
      <selection activeCell="E3" sqref="E3"/>
    </sheetView>
  </sheetViews>
  <sheetFormatPr baseColWidth="10" defaultRowHeight="12.75" x14ac:dyDescent="0.2"/>
  <cols>
    <col min="1" max="1" width="24.42578125" bestFit="1" customWidth="1"/>
    <col min="2" max="2" width="21.85546875" bestFit="1" customWidth="1"/>
    <col min="3" max="4" width="18" bestFit="1" customWidth="1"/>
    <col min="5" max="5" width="21.85546875" bestFit="1" customWidth="1"/>
    <col min="6" max="7" width="18" bestFit="1" customWidth="1"/>
    <col min="8" max="8" width="21.85546875" bestFit="1" customWidth="1"/>
    <col min="9" max="10" width="18" bestFit="1" customWidth="1"/>
    <col min="11" max="11" width="21.85546875" bestFit="1" customWidth="1"/>
    <col min="12" max="13" width="18" bestFit="1" customWidth="1"/>
    <col min="14" max="14" width="29.42578125" bestFit="1" customWidth="1"/>
    <col min="15" max="16" width="18" bestFit="1" customWidth="1"/>
    <col min="17" max="17" width="30.7109375" bestFit="1" customWidth="1"/>
    <col min="18" max="19" width="27" bestFit="1" customWidth="1"/>
  </cols>
  <sheetData>
    <row r="2" spans="1:6" x14ac:dyDescent="0.2">
      <c r="E2" t="s">
        <v>62</v>
      </c>
    </row>
    <row r="3" spans="1:6" x14ac:dyDescent="0.2">
      <c r="A3" s="20" t="s">
        <v>10</v>
      </c>
      <c r="B3" t="s">
        <v>53</v>
      </c>
      <c r="C3" t="s">
        <v>60</v>
      </c>
      <c r="D3" t="s">
        <v>61</v>
      </c>
      <c r="E3">
        <v>2000</v>
      </c>
      <c r="F3">
        <v>5000</v>
      </c>
    </row>
    <row r="4" spans="1:6" x14ac:dyDescent="0.2">
      <c r="A4" s="21">
        <v>2020</v>
      </c>
      <c r="B4" s="10">
        <v>280245.50777777768</v>
      </c>
      <c r="C4" s="10">
        <v>258245.5077777777</v>
      </c>
      <c r="D4" s="10">
        <v>255245.5077777777</v>
      </c>
      <c r="E4" s="10">
        <f>GETPIVOTDATA("Summe von Aufwand",$A$3,"Jahr",2020)-GETPIVOTDATA("Summe von 2000",$A$3,"Jahr",2020)</f>
        <v>21999.999999999971</v>
      </c>
      <c r="F4" s="10">
        <f>GETPIVOTDATA("Summe von Aufwand",$A$3,"Jahr",2020)-GETPIVOTDATA("Summe von 5000",$A$3,"Jahr",2020)</f>
        <v>24999.999999999971</v>
      </c>
    </row>
    <row r="5" spans="1:6" x14ac:dyDescent="0.2">
      <c r="A5" s="21">
        <v>2021</v>
      </c>
      <c r="B5" s="10">
        <v>1143714.1411111108</v>
      </c>
      <c r="C5" s="10">
        <v>1121714.1411111108</v>
      </c>
      <c r="D5" s="10">
        <v>1123714.1411111108</v>
      </c>
      <c r="E5" s="10">
        <f>GETPIVOTDATA("Summe von Aufwand",$A$3,"Jahr",2021)-GETPIVOTDATA("Summe von 2000",$A$3,"Jahr",2021)</f>
        <v>22000</v>
      </c>
      <c r="F5" s="10">
        <f>GETPIVOTDATA("Summe von Aufwand",$A$3,"Jahr",2021)-GETPIVOTDATA("Summe von 5000",$A$3,"Jahr",2021)</f>
        <v>20000</v>
      </c>
    </row>
    <row r="6" spans="1:6" x14ac:dyDescent="0.2">
      <c r="A6" s="21">
        <v>2022</v>
      </c>
      <c r="B6" s="10">
        <v>12772.09888888889</v>
      </c>
      <c r="C6" s="10">
        <v>8772.0988888888896</v>
      </c>
      <c r="D6" s="10">
        <v>12772.09888888889</v>
      </c>
      <c r="E6" s="10">
        <f>GETPIVOTDATA("Summe von Aufwand",$A$3,"Jahr",2022)-GETPIVOTDATA("Summe von 2000",$A$3,"Jahr",2022)</f>
        <v>4000</v>
      </c>
      <c r="F6" s="10">
        <f>GETPIVOTDATA("Summe von Aufwand",$A$3,"Jahr",2022)-GETPIVOTDATA("Summe von 5000",$A$3,"Jahr",2022)</f>
        <v>0</v>
      </c>
    </row>
    <row r="7" spans="1:6" x14ac:dyDescent="0.2">
      <c r="A7" s="21">
        <v>2023</v>
      </c>
      <c r="B7" s="10">
        <v>546071.9800000001</v>
      </c>
      <c r="C7" s="10">
        <v>520071.98</v>
      </c>
      <c r="D7" s="10">
        <v>516071.98</v>
      </c>
      <c r="E7" s="10">
        <f>GETPIVOTDATA("Summe von Aufwand",$A$3,"Jahr",2023)-GETPIVOTDATA("Summe von 2000",$A$3,"Jahr",2023)</f>
        <v>26000.000000000116</v>
      </c>
      <c r="F7" s="10">
        <f>GETPIVOTDATA("Summe von Aufwand",$A$3,"Jahr",2023)-GETPIVOTDATA("Summe von 5000",$A$3,"Jahr",2023)</f>
        <v>30000.000000000116</v>
      </c>
    </row>
    <row r="8" spans="1:6" x14ac:dyDescent="0.2">
      <c r="A8" s="21">
        <v>2024</v>
      </c>
      <c r="B8" s="10">
        <v>321402.31999999995</v>
      </c>
      <c r="C8" s="10">
        <v>275402.32</v>
      </c>
      <c r="D8" s="10">
        <v>236402.32</v>
      </c>
      <c r="E8" s="10">
        <f>GETPIVOTDATA("Summe von Aufwand",$A$3,"Jahr",2024)-GETPIVOTDATA("Summe von 2000",$A$3,"Jahr",2024)</f>
        <v>45999.999999999942</v>
      </c>
      <c r="F8" s="10">
        <f>GETPIVOTDATA("Summe von Aufwand",$A$3,"Jahr",2024)-GETPIVOTDATA("Summe von 5000",$A$3,"Jahr",2024)</f>
        <v>84999.999999999942</v>
      </c>
    </row>
    <row r="9" spans="1:6" x14ac:dyDescent="0.2">
      <c r="A9" s="21">
        <v>2025</v>
      </c>
      <c r="B9" s="10">
        <v>225264.89000000007</v>
      </c>
      <c r="C9" s="10">
        <v>189264.89000000007</v>
      </c>
      <c r="D9" s="10">
        <v>170264.89</v>
      </c>
      <c r="E9" s="10">
        <f>GETPIVOTDATA("Summe von Aufwand",$A$3,"Jahr",2025)-GETPIVOTDATA("Summe von 2000",$A$3,"Jahr",2025)</f>
        <v>36000</v>
      </c>
      <c r="F9" s="10">
        <f>GETPIVOTDATA("Summe von Aufwand",$A$3,"Jahr",2025)-GETPIVOTDATA("Summe von 5000",$A$3,"Jahr",2025)</f>
        <v>55000.000000000058</v>
      </c>
    </row>
    <row r="10" spans="1:6" x14ac:dyDescent="0.2">
      <c r="A10" s="21" t="s">
        <v>11</v>
      </c>
      <c r="B10" s="10">
        <v>2529470.9377777777</v>
      </c>
      <c r="C10" s="10">
        <v>2373470.9377777777</v>
      </c>
      <c r="D10" s="10">
        <v>2314470.9377777777</v>
      </c>
      <c r="E10" s="10">
        <f>AVERAGE(E4:E9)</f>
        <v>26000.000000000004</v>
      </c>
      <c r="F10" s="10">
        <f>AVERAGE(F4:F9)</f>
        <v>35833.33333333335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1732D-22C0-47A2-8314-A425D6B6ECD1}">
  <sheetPr>
    <tabColor rgb="FFFFFF00"/>
    <pageSetUpPr fitToPage="1"/>
  </sheetPr>
  <dimension ref="A1:Y47"/>
  <sheetViews>
    <sheetView zoomScaleNormal="100" workbookViewId="0">
      <selection activeCell="B14" sqref="B14"/>
    </sheetView>
  </sheetViews>
  <sheetFormatPr baseColWidth="10" defaultRowHeight="20.100000000000001" customHeight="1" x14ac:dyDescent="0.4"/>
  <cols>
    <col min="1" max="1" width="6.7109375" style="74" customWidth="1"/>
    <col min="2" max="2" width="84.28515625" style="75" bestFit="1" customWidth="1"/>
    <col min="3" max="3" width="26.42578125" style="70" customWidth="1"/>
    <col min="4" max="4" width="5.85546875" style="70" customWidth="1"/>
    <col min="5" max="5" width="46.5703125" style="76" customWidth="1"/>
    <col min="6" max="6" width="36.42578125" style="76" customWidth="1"/>
    <col min="7" max="7" width="48" style="76" customWidth="1"/>
    <col min="8" max="8" width="44.85546875" style="76" customWidth="1"/>
    <col min="9" max="9" width="11.42578125" customWidth="1"/>
    <col min="10" max="10" width="36.5703125" style="76" customWidth="1"/>
    <col min="11" max="11" width="11.42578125" customWidth="1"/>
    <col min="12" max="13" width="11.42578125" hidden="1" customWidth="1"/>
    <col min="14" max="14" width="17.28515625" customWidth="1"/>
    <col min="15" max="15" width="23.5703125" customWidth="1"/>
    <col min="16" max="16" width="36.140625" style="76" customWidth="1"/>
    <col min="17" max="17" width="44.140625" style="76" customWidth="1"/>
    <col min="18" max="18" width="36.28515625" style="76" customWidth="1"/>
    <col min="20" max="20" width="47.28515625" style="76" customWidth="1"/>
    <col min="21" max="21" width="33.85546875" style="70" customWidth="1"/>
    <col min="22" max="22" width="19.5703125" style="70" customWidth="1"/>
    <col min="23" max="23" width="48.5703125" style="70" customWidth="1"/>
    <col min="24" max="24" width="24" style="73" customWidth="1"/>
    <col min="25" max="16384" width="11.42578125" style="70"/>
  </cols>
  <sheetData>
    <row r="1" spans="1:25" ht="69" customHeight="1" x14ac:dyDescent="0.25">
      <c r="A1" s="94" t="s">
        <v>50</v>
      </c>
      <c r="B1" s="94" t="s">
        <v>100</v>
      </c>
      <c r="C1" s="94" t="s">
        <v>65</v>
      </c>
      <c r="D1" s="98" t="s">
        <v>63</v>
      </c>
      <c r="E1" s="79" t="s">
        <v>72</v>
      </c>
      <c r="F1" s="79" t="s">
        <v>68</v>
      </c>
      <c r="G1" s="79" t="s">
        <v>69</v>
      </c>
      <c r="H1" s="79" t="s">
        <v>66</v>
      </c>
      <c r="I1" s="79" t="s">
        <v>70</v>
      </c>
      <c r="J1" s="79" t="s">
        <v>67</v>
      </c>
      <c r="K1" s="79" t="s">
        <v>71</v>
      </c>
      <c r="L1" s="79" t="s">
        <v>164</v>
      </c>
      <c r="M1" s="79" t="s">
        <v>163</v>
      </c>
      <c r="N1" s="79" t="s">
        <v>138</v>
      </c>
      <c r="O1" s="79" t="s">
        <v>73</v>
      </c>
      <c r="P1" s="78" t="s">
        <v>49</v>
      </c>
      <c r="Q1" s="78" t="s">
        <v>64</v>
      </c>
      <c r="R1" s="78" t="s">
        <v>1</v>
      </c>
      <c r="S1" s="80" t="s">
        <v>0</v>
      </c>
      <c r="T1" s="70"/>
      <c r="X1" s="70"/>
    </row>
    <row r="2" spans="1:25" s="72" customFormat="1" ht="20.100000000000001" customHeight="1" x14ac:dyDescent="0.25">
      <c r="A2" s="92">
        <v>1</v>
      </c>
      <c r="B2" s="92" t="s">
        <v>76</v>
      </c>
      <c r="C2" s="92"/>
      <c r="D2" s="99">
        <v>2</v>
      </c>
      <c r="E2" s="96">
        <v>16111135</v>
      </c>
      <c r="F2" s="96">
        <v>70072078</v>
      </c>
      <c r="G2" s="96">
        <v>16111135</v>
      </c>
      <c r="H2" s="96">
        <v>70072078</v>
      </c>
      <c r="I2" s="96">
        <v>16111135</v>
      </c>
      <c r="J2" s="96">
        <v>70072078</v>
      </c>
      <c r="K2" s="96">
        <v>16111135</v>
      </c>
      <c r="L2" s="96">
        <v>70072078</v>
      </c>
      <c r="M2" s="96">
        <v>16111135</v>
      </c>
      <c r="N2" s="96">
        <f>IF(Objektliste2[[#This Row],[Zürs-
Zone]]&gt;3,"",Objektliste2[[#This Row],[Versicherungssumme Gebäude Überschwemmung Prüfung]])</f>
        <v>70072078</v>
      </c>
      <c r="O2" s="96">
        <f>IF(Objektliste2[[#This Row],[Zürs-
Zone]]&gt;3,"",M2)</f>
        <v>16111135</v>
      </c>
      <c r="P2" s="69" t="s">
        <v>150</v>
      </c>
      <c r="Q2" s="69"/>
      <c r="R2" s="69"/>
      <c r="S2" s="77"/>
      <c r="T2" s="71"/>
      <c r="U2" s="71"/>
      <c r="V2" s="71"/>
      <c r="W2" s="71"/>
      <c r="X2" s="71"/>
      <c r="Y2" s="71"/>
    </row>
    <row r="3" spans="1:25" ht="20.100000000000001" customHeight="1" x14ac:dyDescent="0.25">
      <c r="A3" s="91">
        <v>2</v>
      </c>
      <c r="B3" s="91" t="s">
        <v>101</v>
      </c>
      <c r="C3" s="91"/>
      <c r="D3" s="99">
        <v>1</v>
      </c>
      <c r="E3" s="96">
        <v>2800000</v>
      </c>
      <c r="F3" s="96">
        <v>6465609</v>
      </c>
      <c r="G3" s="96">
        <v>2800000</v>
      </c>
      <c r="H3" s="96">
        <v>6465609</v>
      </c>
      <c r="I3" s="96">
        <v>2800000</v>
      </c>
      <c r="J3" s="96">
        <v>6465609</v>
      </c>
      <c r="K3" s="96">
        <v>2800000</v>
      </c>
      <c r="L3" s="96">
        <v>6465609</v>
      </c>
      <c r="M3" s="96">
        <v>2800000</v>
      </c>
      <c r="N3" s="96">
        <f>IF(Objektliste2[[#This Row],[Zürs-
Zone]]&gt;3,"",Objektliste2[[#This Row],[Versicherungssumme Gebäude Überschwemmung Prüfung]])</f>
        <v>6465609</v>
      </c>
      <c r="O3" s="96">
        <f>IF(Objektliste2[[#This Row],[Zürs-
Zone]]&gt;3,"",M3)</f>
        <v>2800000</v>
      </c>
      <c r="P3" s="69" t="s">
        <v>143</v>
      </c>
      <c r="Q3" s="69"/>
      <c r="R3" s="69"/>
      <c r="S3" s="77"/>
      <c r="T3" s="73"/>
      <c r="U3" s="73"/>
      <c r="V3" s="73"/>
      <c r="W3" s="73"/>
      <c r="Y3" s="73"/>
    </row>
    <row r="4" spans="1:25" ht="20.100000000000001" customHeight="1" x14ac:dyDescent="0.25">
      <c r="A4" s="91">
        <v>3</v>
      </c>
      <c r="B4" s="91" t="s">
        <v>119</v>
      </c>
      <c r="C4" s="91"/>
      <c r="D4" s="99">
        <v>1</v>
      </c>
      <c r="E4" s="96">
        <v>6500000</v>
      </c>
      <c r="F4" s="96">
        <v>65938148</v>
      </c>
      <c r="G4" s="96">
        <v>6500000</v>
      </c>
      <c r="H4" s="96">
        <v>65938148</v>
      </c>
      <c r="I4" s="96">
        <v>6500000</v>
      </c>
      <c r="J4" s="96">
        <v>65938148</v>
      </c>
      <c r="K4" s="96">
        <v>6500000</v>
      </c>
      <c r="L4" s="96">
        <v>65938148</v>
      </c>
      <c r="M4" s="96">
        <v>6500000</v>
      </c>
      <c r="N4" s="96">
        <f>IF(Objektliste2[[#This Row],[Zürs-
Zone]]&gt;3,"",Objektliste2[[#This Row],[Versicherungssumme Gebäude Überschwemmung Prüfung]])</f>
        <v>65938148</v>
      </c>
      <c r="O4" s="96">
        <f>IF(Objektliste2[[#This Row],[Zürs-
Zone]]&gt;3,"",M4)</f>
        <v>6500000</v>
      </c>
      <c r="P4" s="69"/>
      <c r="Q4" s="69"/>
      <c r="R4" s="69"/>
      <c r="S4" s="77"/>
      <c r="T4" s="73"/>
      <c r="U4" s="73"/>
      <c r="V4" s="73"/>
      <c r="W4" s="73"/>
      <c r="Y4" s="73"/>
    </row>
    <row r="5" spans="1:25" ht="20.100000000000001" customHeight="1" x14ac:dyDescent="0.25">
      <c r="A5" s="91">
        <v>4</v>
      </c>
      <c r="B5" s="91" t="s">
        <v>77</v>
      </c>
      <c r="C5" s="91"/>
      <c r="D5" s="99">
        <v>1</v>
      </c>
      <c r="E5" s="96">
        <v>499762</v>
      </c>
      <c r="F5" s="96">
        <v>5600000</v>
      </c>
      <c r="G5" s="96">
        <v>499762</v>
      </c>
      <c r="H5" s="96">
        <v>5600000</v>
      </c>
      <c r="I5" s="96">
        <v>499762</v>
      </c>
      <c r="J5" s="96">
        <v>5600000</v>
      </c>
      <c r="K5" s="96">
        <v>499762</v>
      </c>
      <c r="L5" s="96">
        <v>5600000</v>
      </c>
      <c r="M5" s="96">
        <v>499762</v>
      </c>
      <c r="N5" s="96">
        <f>IF(Objektliste2[[#This Row],[Zürs-
Zone]]&gt;3,"",Objektliste2[[#This Row],[Versicherungssumme Gebäude Überschwemmung Prüfung]])</f>
        <v>5600000</v>
      </c>
      <c r="O5" s="96">
        <f>IF(Objektliste2[[#This Row],[Zürs-
Zone]]&gt;3,"",M5)</f>
        <v>499762</v>
      </c>
      <c r="P5" s="69" t="s">
        <v>148</v>
      </c>
      <c r="Q5" s="69"/>
      <c r="R5" s="69"/>
      <c r="S5" s="77"/>
      <c r="T5" s="73"/>
      <c r="U5" s="73"/>
      <c r="V5" s="73"/>
      <c r="W5" s="73"/>
      <c r="Y5" s="73"/>
    </row>
    <row r="6" spans="1:25" ht="19.5" customHeight="1" x14ac:dyDescent="0.25">
      <c r="A6" s="91">
        <v>5</v>
      </c>
      <c r="B6" s="91" t="s">
        <v>78</v>
      </c>
      <c r="C6" s="91"/>
      <c r="D6" s="99">
        <v>1</v>
      </c>
      <c r="E6" s="96">
        <v>5200000</v>
      </c>
      <c r="F6" s="96">
        <v>52094433</v>
      </c>
      <c r="G6" s="96">
        <v>5200000</v>
      </c>
      <c r="H6" s="96">
        <v>52094433</v>
      </c>
      <c r="I6" s="96">
        <v>5200000</v>
      </c>
      <c r="J6" s="96">
        <v>52094433</v>
      </c>
      <c r="K6" s="96">
        <v>5200000</v>
      </c>
      <c r="L6" s="96">
        <v>52094433</v>
      </c>
      <c r="M6" s="96">
        <v>5200000</v>
      </c>
      <c r="N6" s="96">
        <f>IF(Objektliste2[[#This Row],[Zürs-
Zone]]&gt;3,"",Objektliste2[[#This Row],[Versicherungssumme Gebäude Überschwemmung Prüfung]])</f>
        <v>52094433</v>
      </c>
      <c r="O6" s="96">
        <f>IF(Objektliste2[[#This Row],[Zürs-
Zone]]&gt;3,"",M6)</f>
        <v>5200000</v>
      </c>
      <c r="P6" s="69" t="s">
        <v>146</v>
      </c>
      <c r="Q6" s="69"/>
      <c r="R6" s="69"/>
      <c r="S6" s="77"/>
      <c r="T6" s="73"/>
      <c r="U6" s="73"/>
      <c r="V6" s="73"/>
      <c r="W6" s="73"/>
      <c r="Y6" s="73"/>
    </row>
    <row r="7" spans="1:25" ht="59.25" customHeight="1" x14ac:dyDescent="0.25">
      <c r="A7" s="91">
        <v>6</v>
      </c>
      <c r="B7" s="91" t="s">
        <v>79</v>
      </c>
      <c r="C7" s="91"/>
      <c r="D7" s="99">
        <v>1</v>
      </c>
      <c r="E7" s="96">
        <v>4500000</v>
      </c>
      <c r="F7" s="96">
        <v>40500000</v>
      </c>
      <c r="G7" s="96">
        <v>4500000</v>
      </c>
      <c r="H7" s="96">
        <v>40500000</v>
      </c>
      <c r="I7" s="96">
        <v>4500000</v>
      </c>
      <c r="J7" s="96">
        <v>40500000</v>
      </c>
      <c r="K7" s="96">
        <v>4500000</v>
      </c>
      <c r="L7" s="96">
        <v>40500000</v>
      </c>
      <c r="M7" s="96">
        <v>4500000</v>
      </c>
      <c r="N7" s="96">
        <f>IF(Objektliste2[[#This Row],[Zürs-
Zone]]&gt;3,"",Objektliste2[[#This Row],[Versicherungssumme Gebäude Überschwemmung Prüfung]])</f>
        <v>40500000</v>
      </c>
      <c r="O7" s="96">
        <f>IF(Objektliste2[[#This Row],[Zürs-
Zone]]&gt;3,"",M7)</f>
        <v>4500000</v>
      </c>
      <c r="P7" s="69" t="s">
        <v>149</v>
      </c>
      <c r="Q7" s="69"/>
      <c r="R7" s="69"/>
      <c r="S7" s="77"/>
      <c r="T7" s="73"/>
      <c r="U7" s="73"/>
      <c r="V7" s="73"/>
      <c r="W7" s="73"/>
      <c r="Y7" s="73"/>
    </row>
    <row r="8" spans="1:25" ht="31.5" customHeight="1" x14ac:dyDescent="0.25">
      <c r="A8" s="91">
        <v>7</v>
      </c>
      <c r="B8" s="91" t="s">
        <v>80</v>
      </c>
      <c r="C8" s="91"/>
      <c r="D8" s="99">
        <v>1</v>
      </c>
      <c r="E8" s="96">
        <v>0</v>
      </c>
      <c r="F8" s="96">
        <v>2895984</v>
      </c>
      <c r="G8" s="96">
        <v>0</v>
      </c>
      <c r="H8" s="96">
        <v>2895984</v>
      </c>
      <c r="I8" s="96">
        <v>0</v>
      </c>
      <c r="J8" s="96">
        <v>2895984</v>
      </c>
      <c r="K8" s="96">
        <v>0</v>
      </c>
      <c r="L8" s="96">
        <v>2895984</v>
      </c>
      <c r="M8" s="96">
        <v>0</v>
      </c>
      <c r="N8" s="96">
        <f>IF(Objektliste2[[#This Row],[Zürs-
Zone]]&gt;3,"",Objektliste2[[#This Row],[Versicherungssumme Gebäude Überschwemmung Prüfung]])</f>
        <v>2895984</v>
      </c>
      <c r="O8" s="96">
        <f>IF(Objektliste2[[#This Row],[Zürs-
Zone]]&gt;3,"",M8)</f>
        <v>0</v>
      </c>
      <c r="P8" s="69"/>
      <c r="Q8" s="69"/>
      <c r="R8" s="69"/>
      <c r="S8" s="77"/>
      <c r="T8" s="73"/>
      <c r="U8" s="73"/>
      <c r="V8" s="73"/>
      <c r="W8" s="73"/>
      <c r="Y8" s="73"/>
    </row>
    <row r="9" spans="1:25" ht="20.100000000000001" customHeight="1" x14ac:dyDescent="0.25">
      <c r="A9" s="91">
        <v>8</v>
      </c>
      <c r="B9" s="91" t="s">
        <v>81</v>
      </c>
      <c r="C9" s="91"/>
      <c r="D9" s="99">
        <v>1</v>
      </c>
      <c r="E9" s="96">
        <v>146000</v>
      </c>
      <c r="F9" s="96">
        <v>6060222</v>
      </c>
      <c r="G9" s="96">
        <v>146000</v>
      </c>
      <c r="H9" s="96">
        <v>6060222</v>
      </c>
      <c r="I9" s="96">
        <v>146000</v>
      </c>
      <c r="J9" s="96">
        <v>6060222</v>
      </c>
      <c r="K9" s="96">
        <v>146000</v>
      </c>
      <c r="L9" s="96">
        <v>6060222</v>
      </c>
      <c r="M9" s="96">
        <v>146000</v>
      </c>
      <c r="N9" s="96">
        <f>IF(Objektliste2[[#This Row],[Zürs-
Zone]]&gt;3,"",Objektliste2[[#This Row],[Versicherungssumme Gebäude Überschwemmung Prüfung]])</f>
        <v>6060222</v>
      </c>
      <c r="O9" s="96">
        <f>IF(Objektliste2[[#This Row],[Zürs-
Zone]]&gt;3,"",M9)</f>
        <v>146000</v>
      </c>
      <c r="P9" s="69"/>
      <c r="Q9" s="69"/>
      <c r="R9" s="69"/>
      <c r="S9" s="77"/>
      <c r="T9" s="73"/>
      <c r="U9" s="73"/>
      <c r="V9" s="73"/>
      <c r="W9" s="73"/>
      <c r="Y9" s="73"/>
    </row>
    <row r="10" spans="1:25" ht="50.25" customHeight="1" x14ac:dyDescent="0.25">
      <c r="A10" s="91">
        <v>9</v>
      </c>
      <c r="B10" s="91" t="s">
        <v>82</v>
      </c>
      <c r="C10" s="91"/>
      <c r="D10" s="99">
        <v>1</v>
      </c>
      <c r="E10" s="96">
        <v>9500000</v>
      </c>
      <c r="F10" s="96">
        <v>90500000</v>
      </c>
      <c r="G10" s="96">
        <v>9500000</v>
      </c>
      <c r="H10" s="96">
        <v>90500000</v>
      </c>
      <c r="I10" s="96">
        <v>9500000</v>
      </c>
      <c r="J10" s="96">
        <v>90500000</v>
      </c>
      <c r="K10" s="96">
        <v>9500000</v>
      </c>
      <c r="L10" s="96">
        <v>90500000</v>
      </c>
      <c r="M10" s="96">
        <v>9500000</v>
      </c>
      <c r="N10" s="96">
        <f>IF(Objektliste2[[#This Row],[Zürs-
Zone]]&gt;3,"",Objektliste2[[#This Row],[Versicherungssumme Gebäude Überschwemmung Prüfung]])</f>
        <v>90500000</v>
      </c>
      <c r="O10" s="96">
        <f>IF(Objektliste2[[#This Row],[Zürs-
Zone]]&gt;3,"",M10)</f>
        <v>9500000</v>
      </c>
      <c r="P10" s="69" t="s">
        <v>140</v>
      </c>
      <c r="Q10" s="69"/>
      <c r="R10" s="69"/>
      <c r="S10" s="77"/>
      <c r="T10" s="73"/>
      <c r="U10" s="73"/>
      <c r="V10" s="73"/>
      <c r="W10" s="73"/>
      <c r="Y10" s="73"/>
    </row>
    <row r="11" spans="1:25" ht="20.100000000000001" customHeight="1" x14ac:dyDescent="0.25">
      <c r="A11" s="91">
        <v>10</v>
      </c>
      <c r="B11" s="91" t="s">
        <v>117</v>
      </c>
      <c r="C11" s="91"/>
      <c r="D11" s="99">
        <v>1</v>
      </c>
      <c r="E11" s="96">
        <v>0</v>
      </c>
      <c r="F11" s="96">
        <v>504000</v>
      </c>
      <c r="G11" s="96">
        <v>0</v>
      </c>
      <c r="H11" s="96">
        <v>504000</v>
      </c>
      <c r="I11" s="96">
        <v>0</v>
      </c>
      <c r="J11" s="96">
        <v>504000</v>
      </c>
      <c r="K11" s="96">
        <v>0</v>
      </c>
      <c r="L11" s="96">
        <v>504000</v>
      </c>
      <c r="M11" s="96">
        <v>0</v>
      </c>
      <c r="N11" s="96">
        <f>IF(Objektliste2[[#This Row],[Zürs-
Zone]]&gt;3,"",Objektliste2[[#This Row],[Versicherungssumme Gebäude Überschwemmung Prüfung]])</f>
        <v>504000</v>
      </c>
      <c r="O11" s="96">
        <f>IF(Objektliste2[[#This Row],[Zürs-
Zone]]&gt;3,"",M11)</f>
        <v>0</v>
      </c>
      <c r="P11" s="69"/>
      <c r="Q11" s="69"/>
      <c r="R11" s="69"/>
      <c r="S11" s="77"/>
      <c r="T11" s="73"/>
      <c r="U11" s="73"/>
      <c r="V11" s="73"/>
      <c r="W11" s="73"/>
      <c r="Y11" s="73"/>
    </row>
    <row r="12" spans="1:25" ht="20.100000000000001" customHeight="1" x14ac:dyDescent="0.25">
      <c r="A12" s="91">
        <v>11</v>
      </c>
      <c r="B12" s="91" t="s">
        <v>83</v>
      </c>
      <c r="C12" s="91" t="s">
        <v>121</v>
      </c>
      <c r="D12" s="99">
        <v>1</v>
      </c>
      <c r="E12" s="96">
        <v>0</v>
      </c>
      <c r="F12" s="96">
        <v>2753956</v>
      </c>
      <c r="G12" s="96">
        <v>0</v>
      </c>
      <c r="H12" s="96">
        <v>2753956</v>
      </c>
      <c r="I12" s="96">
        <v>0</v>
      </c>
      <c r="J12" s="96">
        <v>2753956</v>
      </c>
      <c r="K12" s="96">
        <v>0</v>
      </c>
      <c r="L12" s="96">
        <v>2753956</v>
      </c>
      <c r="M12" s="96">
        <v>0</v>
      </c>
      <c r="N12" s="96">
        <f>IF(Objektliste2[[#This Row],[Zürs-
Zone]]&gt;3,"",Objektliste2[[#This Row],[Versicherungssumme Gebäude Überschwemmung Prüfung]])</f>
        <v>2753956</v>
      </c>
      <c r="O12" s="96">
        <f>IF(Objektliste2[[#This Row],[Zürs-
Zone]]&gt;3,"",M12)</f>
        <v>0</v>
      </c>
      <c r="P12" s="69"/>
      <c r="Q12" s="69"/>
      <c r="R12" s="69"/>
      <c r="S12" s="77"/>
      <c r="T12" s="73"/>
      <c r="U12" s="73"/>
      <c r="V12" s="73"/>
      <c r="W12" s="73"/>
      <c r="Y12" s="73"/>
    </row>
    <row r="13" spans="1:25" ht="20.100000000000001" customHeight="1" x14ac:dyDescent="0.25">
      <c r="A13" s="91">
        <v>12</v>
      </c>
      <c r="B13" s="91" t="s">
        <v>118</v>
      </c>
      <c r="C13" s="91"/>
      <c r="D13" s="99">
        <v>1</v>
      </c>
      <c r="E13" s="96">
        <v>146000</v>
      </c>
      <c r="F13" s="96">
        <v>5661535</v>
      </c>
      <c r="G13" s="96">
        <v>146000</v>
      </c>
      <c r="H13" s="96">
        <v>5661535</v>
      </c>
      <c r="I13" s="96">
        <v>146000</v>
      </c>
      <c r="J13" s="96">
        <v>5661535</v>
      </c>
      <c r="K13" s="96">
        <v>146000</v>
      </c>
      <c r="L13" s="96">
        <v>5661535</v>
      </c>
      <c r="M13" s="96">
        <v>146000</v>
      </c>
      <c r="N13" s="96">
        <f>IF(Objektliste2[[#This Row],[Zürs-
Zone]]&gt;3,"",Objektliste2[[#This Row],[Versicherungssumme Gebäude Überschwemmung Prüfung]])</f>
        <v>5661535</v>
      </c>
      <c r="O13" s="96">
        <f>IF(Objektliste2[[#This Row],[Zürs-
Zone]]&gt;3,"",M13)</f>
        <v>146000</v>
      </c>
      <c r="P13" s="69"/>
      <c r="Q13" s="69"/>
      <c r="R13" s="69"/>
      <c r="S13" s="77"/>
      <c r="T13" s="73"/>
      <c r="U13" s="73"/>
      <c r="V13" s="73"/>
      <c r="W13" s="73"/>
      <c r="Y13" s="73"/>
    </row>
    <row r="14" spans="1:25" ht="20.100000000000001" customHeight="1" x14ac:dyDescent="0.25">
      <c r="A14" s="91">
        <v>13</v>
      </c>
      <c r="B14" s="91" t="s">
        <v>120</v>
      </c>
      <c r="C14" s="91"/>
      <c r="D14" s="99">
        <v>1</v>
      </c>
      <c r="E14" s="96">
        <v>146000</v>
      </c>
      <c r="F14" s="96">
        <v>2748470</v>
      </c>
      <c r="G14" s="96">
        <v>146000</v>
      </c>
      <c r="H14" s="96">
        <v>2748470</v>
      </c>
      <c r="I14" s="96">
        <v>146000</v>
      </c>
      <c r="J14" s="96">
        <v>2748470</v>
      </c>
      <c r="K14" s="96">
        <v>146000</v>
      </c>
      <c r="L14" s="96">
        <v>2748470</v>
      </c>
      <c r="M14" s="96">
        <v>146000</v>
      </c>
      <c r="N14" s="96">
        <f>IF(Objektliste2[[#This Row],[Zürs-
Zone]]&gt;3,"",Objektliste2[[#This Row],[Versicherungssumme Gebäude Überschwemmung Prüfung]])</f>
        <v>2748470</v>
      </c>
      <c r="O14" s="96">
        <f>IF(Objektliste2[[#This Row],[Zürs-
Zone]]&gt;3,"",M14)</f>
        <v>146000</v>
      </c>
      <c r="P14" s="69" t="s">
        <v>147</v>
      </c>
      <c r="Q14" s="69"/>
      <c r="R14" s="69"/>
      <c r="S14" s="77"/>
      <c r="T14" s="73"/>
      <c r="U14" s="73"/>
      <c r="V14" s="73"/>
      <c r="W14" s="73"/>
      <c r="Y14" s="73"/>
    </row>
    <row r="15" spans="1:25" ht="20.100000000000001" customHeight="1" x14ac:dyDescent="0.25">
      <c r="A15" s="91">
        <v>14</v>
      </c>
      <c r="B15" s="91" t="s">
        <v>84</v>
      </c>
      <c r="C15" s="91"/>
      <c r="D15" s="99">
        <v>1</v>
      </c>
      <c r="E15" s="96">
        <v>1950000</v>
      </c>
      <c r="F15" s="96">
        <v>10950000</v>
      </c>
      <c r="G15" s="96">
        <v>1950000</v>
      </c>
      <c r="H15" s="96">
        <v>10950000</v>
      </c>
      <c r="I15" s="96">
        <v>1950000</v>
      </c>
      <c r="J15" s="96">
        <v>10950000</v>
      </c>
      <c r="K15" s="96">
        <v>1950000</v>
      </c>
      <c r="L15" s="96">
        <v>10950000</v>
      </c>
      <c r="M15" s="96">
        <v>1950000</v>
      </c>
      <c r="N15" s="96">
        <f>IF(Objektliste2[[#This Row],[Zürs-
Zone]]&gt;3,"",Objektliste2[[#This Row],[Versicherungssumme Gebäude Überschwemmung Prüfung]])</f>
        <v>10950000</v>
      </c>
      <c r="O15" s="96">
        <f>IF(Objektliste2[[#This Row],[Zürs-
Zone]]&gt;3,"",M15)</f>
        <v>1950000</v>
      </c>
      <c r="P15" s="69" t="s">
        <v>145</v>
      </c>
      <c r="Q15" s="69"/>
      <c r="R15" s="69"/>
      <c r="S15" s="77"/>
      <c r="T15" s="73"/>
      <c r="U15" s="73"/>
      <c r="V15" s="73"/>
      <c r="W15" s="73"/>
      <c r="Y15" s="73"/>
    </row>
    <row r="16" spans="1:25" ht="15" x14ac:dyDescent="0.25">
      <c r="A16" s="91">
        <v>15</v>
      </c>
      <c r="B16" s="91" t="s">
        <v>85</v>
      </c>
      <c r="C16" s="91"/>
      <c r="D16" s="99">
        <v>1</v>
      </c>
      <c r="E16" s="96">
        <v>758000</v>
      </c>
      <c r="F16" s="96">
        <v>7582000</v>
      </c>
      <c r="G16" s="96">
        <v>758000</v>
      </c>
      <c r="H16" s="96">
        <v>7582000</v>
      </c>
      <c r="I16" s="96">
        <v>758000</v>
      </c>
      <c r="J16" s="96">
        <v>7582000</v>
      </c>
      <c r="K16" s="96">
        <v>758000</v>
      </c>
      <c r="L16" s="96">
        <v>7582000</v>
      </c>
      <c r="M16" s="96">
        <v>758000</v>
      </c>
      <c r="N16" s="96">
        <f>IF(Objektliste2[[#This Row],[Zürs-
Zone]]&gt;3,"",Objektliste2[[#This Row],[Versicherungssumme Gebäude Überschwemmung Prüfung]])</f>
        <v>7582000</v>
      </c>
      <c r="O16" s="96">
        <f>IF(Objektliste2[[#This Row],[Zürs-
Zone]]&gt;3,"",M16)</f>
        <v>758000</v>
      </c>
      <c r="P16" s="69"/>
      <c r="Q16" s="69"/>
      <c r="R16" s="69"/>
      <c r="S16" s="77"/>
      <c r="T16" s="73"/>
      <c r="U16" s="73"/>
      <c r="V16" s="73"/>
      <c r="W16" s="73"/>
      <c r="Y16" s="73"/>
    </row>
    <row r="17" spans="1:25" ht="15" x14ac:dyDescent="0.25">
      <c r="A17" s="91">
        <v>16</v>
      </c>
      <c r="B17" s="91" t="s">
        <v>123</v>
      </c>
      <c r="C17" s="91" t="s">
        <v>122</v>
      </c>
      <c r="D17" s="99">
        <v>1</v>
      </c>
      <c r="E17" s="96">
        <v>57500</v>
      </c>
      <c r="F17" s="96">
        <v>575000</v>
      </c>
      <c r="G17" s="96">
        <v>57500</v>
      </c>
      <c r="H17" s="96">
        <v>575000</v>
      </c>
      <c r="I17" s="96">
        <v>57500</v>
      </c>
      <c r="J17" s="96">
        <v>575000</v>
      </c>
      <c r="K17" s="96">
        <v>57500</v>
      </c>
      <c r="L17" s="96">
        <v>575000</v>
      </c>
      <c r="M17" s="96">
        <v>57500</v>
      </c>
      <c r="N17" s="96">
        <f>IF(Objektliste2[[#This Row],[Zürs-
Zone]]&gt;3,"",Objektliste2[[#This Row],[Versicherungssumme Gebäude Überschwemmung Prüfung]])</f>
        <v>575000</v>
      </c>
      <c r="O17" s="96">
        <f>IF(Objektliste2[[#This Row],[Zürs-
Zone]]&gt;3,"",M17)</f>
        <v>57500</v>
      </c>
      <c r="P17" s="69"/>
      <c r="Q17" s="69"/>
      <c r="R17" s="69"/>
      <c r="S17" s="77"/>
      <c r="T17" s="73"/>
      <c r="U17" s="73"/>
      <c r="V17" s="73"/>
      <c r="W17" s="73"/>
      <c r="Y17" s="73"/>
    </row>
    <row r="18" spans="1:25" ht="15" x14ac:dyDescent="0.25">
      <c r="A18" s="91">
        <v>17</v>
      </c>
      <c r="B18" s="91" t="s">
        <v>86</v>
      </c>
      <c r="C18" s="91"/>
      <c r="D18" s="99">
        <v>1</v>
      </c>
      <c r="E18" s="96">
        <v>63000</v>
      </c>
      <c r="F18" s="96">
        <v>630000</v>
      </c>
      <c r="G18" s="96">
        <v>63000</v>
      </c>
      <c r="H18" s="96">
        <v>630000</v>
      </c>
      <c r="I18" s="96">
        <v>63000</v>
      </c>
      <c r="J18" s="96">
        <v>630000</v>
      </c>
      <c r="K18" s="96">
        <v>63000</v>
      </c>
      <c r="L18" s="96">
        <v>630000</v>
      </c>
      <c r="M18" s="96">
        <v>63000</v>
      </c>
      <c r="N18" s="96">
        <f>IF(Objektliste2[[#This Row],[Zürs-
Zone]]&gt;3,"",Objektliste2[[#This Row],[Versicherungssumme Gebäude Überschwemmung Prüfung]])</f>
        <v>630000</v>
      </c>
      <c r="O18" s="96">
        <f>IF(Objektliste2[[#This Row],[Zürs-
Zone]]&gt;3,"",M18)</f>
        <v>63000</v>
      </c>
      <c r="P18" s="69"/>
      <c r="Q18" s="69"/>
      <c r="R18" s="69"/>
      <c r="S18" s="77"/>
      <c r="T18" s="73"/>
      <c r="U18" s="73"/>
      <c r="V18" s="73"/>
      <c r="W18" s="73"/>
      <c r="Y18" s="73"/>
    </row>
    <row r="19" spans="1:25" ht="15" x14ac:dyDescent="0.25">
      <c r="A19" s="91">
        <v>18</v>
      </c>
      <c r="B19" s="91" t="s">
        <v>87</v>
      </c>
      <c r="C19" s="91" t="s">
        <v>124</v>
      </c>
      <c r="D19" s="99">
        <v>1</v>
      </c>
      <c r="E19" s="96">
        <v>91000</v>
      </c>
      <c r="F19" s="96">
        <v>910000</v>
      </c>
      <c r="G19" s="96">
        <v>91000</v>
      </c>
      <c r="H19" s="96">
        <v>910000</v>
      </c>
      <c r="I19" s="96">
        <v>91000</v>
      </c>
      <c r="J19" s="96">
        <v>910000</v>
      </c>
      <c r="K19" s="96">
        <v>91000</v>
      </c>
      <c r="L19" s="96">
        <v>910000</v>
      </c>
      <c r="M19" s="96">
        <v>91000</v>
      </c>
      <c r="N19" s="96">
        <f>IF(Objektliste2[[#This Row],[Zürs-
Zone]]&gt;3,"",Objektliste2[[#This Row],[Versicherungssumme Gebäude Überschwemmung Prüfung]])</f>
        <v>910000</v>
      </c>
      <c r="O19" s="96">
        <f>IF(Objektliste2[[#This Row],[Zürs-
Zone]]&gt;3,"",M19)</f>
        <v>91000</v>
      </c>
      <c r="P19" s="69"/>
      <c r="Q19" s="69"/>
      <c r="R19" s="69"/>
      <c r="S19" s="77"/>
      <c r="T19" s="73"/>
      <c r="U19" s="73"/>
      <c r="V19" s="73"/>
      <c r="W19" s="73"/>
      <c r="Y19" s="73"/>
    </row>
    <row r="20" spans="1:25" ht="20.100000000000001" customHeight="1" x14ac:dyDescent="0.25">
      <c r="A20" s="91">
        <v>19</v>
      </c>
      <c r="B20" s="91" t="s">
        <v>88</v>
      </c>
      <c r="C20" s="91"/>
      <c r="D20" s="99">
        <v>1</v>
      </c>
      <c r="E20" s="96">
        <v>919977</v>
      </c>
      <c r="F20" s="96">
        <v>9199768</v>
      </c>
      <c r="G20" s="96">
        <v>919977</v>
      </c>
      <c r="H20" s="96">
        <v>9199768</v>
      </c>
      <c r="I20" s="96">
        <v>919977</v>
      </c>
      <c r="J20" s="96">
        <v>9199768</v>
      </c>
      <c r="K20" s="96">
        <v>919977</v>
      </c>
      <c r="L20" s="96">
        <v>9199768</v>
      </c>
      <c r="M20" s="96">
        <v>919977</v>
      </c>
      <c r="N20" s="96">
        <f>IF(Objektliste2[[#This Row],[Zürs-
Zone]]&gt;3,"",Objektliste2[[#This Row],[Versicherungssumme Gebäude Überschwemmung Prüfung]])</f>
        <v>9199768</v>
      </c>
      <c r="O20" s="96">
        <f>IF(Objektliste2[[#This Row],[Zürs-
Zone]]&gt;3,"",M20)</f>
        <v>919977</v>
      </c>
      <c r="P20" s="69" t="s">
        <v>144</v>
      </c>
      <c r="Q20" s="69"/>
      <c r="R20" s="69"/>
      <c r="S20" s="77"/>
      <c r="T20" s="73"/>
      <c r="U20" s="73"/>
      <c r="V20" s="73"/>
      <c r="W20" s="73"/>
      <c r="Y20" s="73"/>
    </row>
    <row r="21" spans="1:25" ht="20.100000000000001" customHeight="1" x14ac:dyDescent="0.25">
      <c r="A21" s="91">
        <v>20</v>
      </c>
      <c r="B21" s="91" t="s">
        <v>89</v>
      </c>
      <c r="C21" s="91"/>
      <c r="D21" s="99">
        <v>1</v>
      </c>
      <c r="E21" s="96">
        <v>396292</v>
      </c>
      <c r="F21" s="96">
        <v>3166300</v>
      </c>
      <c r="G21" s="96">
        <v>396292</v>
      </c>
      <c r="H21" s="96">
        <v>3166300</v>
      </c>
      <c r="I21" s="96">
        <v>396292</v>
      </c>
      <c r="J21" s="96">
        <v>3166300</v>
      </c>
      <c r="K21" s="96">
        <v>396292</v>
      </c>
      <c r="L21" s="96">
        <v>3166300</v>
      </c>
      <c r="M21" s="96">
        <v>396292</v>
      </c>
      <c r="N21" s="96">
        <f>IF(Objektliste2[[#This Row],[Zürs-
Zone]]&gt;3,"",Objektliste2[[#This Row],[Versicherungssumme Gebäude Überschwemmung Prüfung]])</f>
        <v>3166300</v>
      </c>
      <c r="O21" s="96">
        <f>IF(Objektliste2[[#This Row],[Zürs-
Zone]]&gt;3,"",M21)</f>
        <v>396292</v>
      </c>
      <c r="P21" s="69"/>
      <c r="Q21" s="69"/>
      <c r="R21" s="69"/>
      <c r="S21" s="77"/>
      <c r="T21" s="73"/>
      <c r="U21" s="73"/>
      <c r="V21" s="73"/>
      <c r="W21" s="73"/>
      <c r="Y21" s="73"/>
    </row>
    <row r="22" spans="1:25" ht="15" x14ac:dyDescent="0.25">
      <c r="A22" s="91">
        <v>21</v>
      </c>
      <c r="B22" s="91" t="s">
        <v>90</v>
      </c>
      <c r="C22" s="91"/>
      <c r="D22" s="99">
        <v>1</v>
      </c>
      <c r="E22" s="96">
        <v>380000</v>
      </c>
      <c r="F22" s="96">
        <v>3800000</v>
      </c>
      <c r="G22" s="96">
        <v>380000</v>
      </c>
      <c r="H22" s="96">
        <v>3800000</v>
      </c>
      <c r="I22" s="96">
        <v>380000</v>
      </c>
      <c r="J22" s="96">
        <v>3800000</v>
      </c>
      <c r="K22" s="96">
        <v>380000</v>
      </c>
      <c r="L22" s="96">
        <v>3800000</v>
      </c>
      <c r="M22" s="96">
        <v>380000</v>
      </c>
      <c r="N22" s="96">
        <f>IF(Objektliste2[[#This Row],[Zürs-
Zone]]&gt;3,"",Objektliste2[[#This Row],[Versicherungssumme Gebäude Überschwemmung Prüfung]])</f>
        <v>3800000</v>
      </c>
      <c r="O22" s="96">
        <f>IF(Objektliste2[[#This Row],[Zürs-
Zone]]&gt;3,"",M22)</f>
        <v>380000</v>
      </c>
      <c r="P22" s="69" t="s">
        <v>139</v>
      </c>
      <c r="Q22" s="69"/>
      <c r="R22" s="69"/>
      <c r="S22" s="77"/>
      <c r="T22" s="73"/>
      <c r="U22" s="73"/>
      <c r="V22" s="73"/>
      <c r="W22" s="73"/>
      <c r="Y22" s="73"/>
    </row>
    <row r="23" spans="1:25" ht="15" x14ac:dyDescent="0.25">
      <c r="A23" s="91">
        <v>22</v>
      </c>
      <c r="B23" s="91" t="s">
        <v>91</v>
      </c>
      <c r="C23" s="91"/>
      <c r="D23" s="99">
        <v>1</v>
      </c>
      <c r="E23" s="96">
        <v>0</v>
      </c>
      <c r="F23" s="96">
        <v>744316</v>
      </c>
      <c r="G23" s="96">
        <v>0</v>
      </c>
      <c r="H23" s="96">
        <v>744316</v>
      </c>
      <c r="I23" s="96">
        <v>0</v>
      </c>
      <c r="J23" s="96">
        <v>744316</v>
      </c>
      <c r="K23" s="96">
        <v>0</v>
      </c>
      <c r="L23" s="96">
        <v>744316</v>
      </c>
      <c r="M23" s="96">
        <v>0</v>
      </c>
      <c r="N23" s="96">
        <f>IF(Objektliste2[[#This Row],[Zürs-
Zone]]&gt;3,"",Objektliste2[[#This Row],[Versicherungssumme Gebäude Überschwemmung Prüfung]])</f>
        <v>744316</v>
      </c>
      <c r="O23" s="96">
        <f>IF(Objektliste2[[#This Row],[Zürs-
Zone]]&gt;3,"",M23)</f>
        <v>0</v>
      </c>
      <c r="P23" s="69"/>
      <c r="Q23" s="69"/>
      <c r="R23" s="69"/>
      <c r="S23" s="77"/>
      <c r="T23" s="73"/>
      <c r="U23" s="73"/>
      <c r="V23" s="73"/>
      <c r="W23" s="73"/>
      <c r="Y23" s="73"/>
    </row>
    <row r="24" spans="1:25" ht="20.100000000000001" customHeight="1" x14ac:dyDescent="0.25">
      <c r="A24" s="91">
        <v>23</v>
      </c>
      <c r="B24" s="91" t="s">
        <v>92</v>
      </c>
      <c r="C24" s="91"/>
      <c r="D24" s="99">
        <v>1</v>
      </c>
      <c r="E24" s="96">
        <v>247000</v>
      </c>
      <c r="F24" s="96">
        <v>2475000</v>
      </c>
      <c r="G24" s="96">
        <v>247000</v>
      </c>
      <c r="H24" s="96">
        <v>2475000</v>
      </c>
      <c r="I24" s="96">
        <v>247000</v>
      </c>
      <c r="J24" s="96">
        <v>2475000</v>
      </c>
      <c r="K24" s="96">
        <v>247000</v>
      </c>
      <c r="L24" s="96">
        <v>2475000</v>
      </c>
      <c r="M24" s="96">
        <v>247000</v>
      </c>
      <c r="N24" s="96">
        <f>IF(Objektliste2[[#This Row],[Zürs-
Zone]]&gt;3,"",Objektliste2[[#This Row],[Versicherungssumme Gebäude Überschwemmung Prüfung]])</f>
        <v>2475000</v>
      </c>
      <c r="O24" s="96">
        <f>IF(Objektliste2[[#This Row],[Zürs-
Zone]]&gt;3,"",M24)</f>
        <v>247000</v>
      </c>
      <c r="P24" s="69"/>
      <c r="Q24" s="69"/>
      <c r="R24" s="69"/>
      <c r="S24" s="77"/>
      <c r="T24" s="73"/>
      <c r="U24" s="73"/>
      <c r="V24" s="73"/>
      <c r="W24" s="73"/>
      <c r="Y24" s="73"/>
    </row>
    <row r="25" spans="1:25" ht="20.100000000000001" customHeight="1" x14ac:dyDescent="0.25">
      <c r="A25" s="91">
        <v>24</v>
      </c>
      <c r="B25" s="91" t="s">
        <v>93</v>
      </c>
      <c r="C25" s="91"/>
      <c r="D25" s="99">
        <v>1</v>
      </c>
      <c r="E25" s="96">
        <v>310000</v>
      </c>
      <c r="F25" s="96">
        <v>3100000</v>
      </c>
      <c r="G25" s="96">
        <v>310000</v>
      </c>
      <c r="H25" s="96">
        <v>3100000</v>
      </c>
      <c r="I25" s="96">
        <v>310000</v>
      </c>
      <c r="J25" s="96">
        <v>3100000</v>
      </c>
      <c r="K25" s="96">
        <v>310000</v>
      </c>
      <c r="L25" s="96">
        <v>3100000</v>
      </c>
      <c r="M25" s="96">
        <v>310000</v>
      </c>
      <c r="N25" s="96">
        <f>IF(Objektliste2[[#This Row],[Zürs-
Zone]]&gt;3,"",Objektliste2[[#This Row],[Versicherungssumme Gebäude Überschwemmung Prüfung]])</f>
        <v>3100000</v>
      </c>
      <c r="O25" s="96">
        <f>IF(Objektliste2[[#This Row],[Zürs-
Zone]]&gt;3,"",M25)</f>
        <v>310000</v>
      </c>
      <c r="P25" s="69"/>
      <c r="Q25" s="69"/>
      <c r="R25" s="69"/>
      <c r="S25" s="77"/>
      <c r="T25" s="73"/>
      <c r="U25" s="73"/>
      <c r="V25" s="73"/>
      <c r="W25" s="73"/>
      <c r="Y25" s="73"/>
    </row>
    <row r="26" spans="1:25" ht="20.100000000000001" customHeight="1" x14ac:dyDescent="0.25">
      <c r="A26" s="91">
        <v>25</v>
      </c>
      <c r="B26" s="91" t="s">
        <v>94</v>
      </c>
      <c r="C26" s="91" t="s">
        <v>128</v>
      </c>
      <c r="D26" s="99">
        <v>1</v>
      </c>
      <c r="E26" s="96">
        <v>50000</v>
      </c>
      <c r="F26" s="96">
        <v>356632</v>
      </c>
      <c r="G26" s="96">
        <v>50000</v>
      </c>
      <c r="H26" s="96">
        <v>356632</v>
      </c>
      <c r="I26" s="96">
        <v>50000</v>
      </c>
      <c r="J26" s="96">
        <v>356632</v>
      </c>
      <c r="K26" s="96">
        <v>50000</v>
      </c>
      <c r="L26" s="96">
        <v>356632</v>
      </c>
      <c r="M26" s="96">
        <v>50000</v>
      </c>
      <c r="N26" s="96">
        <f>IF(Objektliste2[[#This Row],[Zürs-
Zone]]&gt;3,"",Objektliste2[[#This Row],[Versicherungssumme Gebäude Überschwemmung Prüfung]])</f>
        <v>356632</v>
      </c>
      <c r="O26" s="96">
        <f>IF(Objektliste2[[#This Row],[Zürs-
Zone]]&gt;3,"",M26)</f>
        <v>50000</v>
      </c>
      <c r="P26" s="69"/>
      <c r="Q26" s="69"/>
      <c r="R26" s="69"/>
      <c r="S26" s="77"/>
      <c r="T26" s="73"/>
      <c r="U26" s="73"/>
      <c r="V26" s="73"/>
      <c r="W26" s="73"/>
      <c r="Y26" s="73"/>
    </row>
    <row r="27" spans="1:25" ht="20.100000000000001" customHeight="1" x14ac:dyDescent="0.25">
      <c r="A27" s="91">
        <v>26</v>
      </c>
      <c r="B27" s="91" t="s">
        <v>95</v>
      </c>
      <c r="C27" s="91" t="s">
        <v>126</v>
      </c>
      <c r="D27" s="99">
        <v>1</v>
      </c>
      <c r="E27" s="96">
        <v>120000</v>
      </c>
      <c r="F27" s="96">
        <v>738449</v>
      </c>
      <c r="G27" s="96">
        <v>120000</v>
      </c>
      <c r="H27" s="96">
        <v>738449</v>
      </c>
      <c r="I27" s="96">
        <v>120000</v>
      </c>
      <c r="J27" s="96">
        <v>738449</v>
      </c>
      <c r="K27" s="96">
        <v>120000</v>
      </c>
      <c r="L27" s="96">
        <v>738449</v>
      </c>
      <c r="M27" s="96">
        <v>120000</v>
      </c>
      <c r="N27" s="96">
        <f>IF(Objektliste2[[#This Row],[Zürs-
Zone]]&gt;3,"",Objektliste2[[#This Row],[Versicherungssumme Gebäude Überschwemmung Prüfung]])</f>
        <v>738449</v>
      </c>
      <c r="O27" s="96">
        <f>IF(Objektliste2[[#This Row],[Zürs-
Zone]]&gt;3,"",M27)</f>
        <v>120000</v>
      </c>
      <c r="P27" s="69"/>
      <c r="Q27" s="69"/>
      <c r="R27" s="69"/>
      <c r="S27" s="77"/>
      <c r="T27" s="73"/>
      <c r="U27" s="73"/>
      <c r="V27" s="73"/>
      <c r="W27" s="73"/>
      <c r="Y27" s="73"/>
    </row>
    <row r="28" spans="1:25" ht="20.100000000000001" customHeight="1" x14ac:dyDescent="0.25">
      <c r="A28" s="91">
        <v>27</v>
      </c>
      <c r="B28" s="91" t="s">
        <v>96</v>
      </c>
      <c r="C28" s="91" t="s">
        <v>125</v>
      </c>
      <c r="D28" s="99">
        <v>1</v>
      </c>
      <c r="E28" s="96">
        <v>50000</v>
      </c>
      <c r="F28" s="96">
        <v>425813</v>
      </c>
      <c r="G28" s="96">
        <v>50000</v>
      </c>
      <c r="H28" s="96">
        <v>425813</v>
      </c>
      <c r="I28" s="96">
        <v>50000</v>
      </c>
      <c r="J28" s="96">
        <v>425813</v>
      </c>
      <c r="K28" s="96">
        <v>50000</v>
      </c>
      <c r="L28" s="96">
        <v>425813</v>
      </c>
      <c r="M28" s="96">
        <v>50000</v>
      </c>
      <c r="N28" s="96">
        <f>IF(Objektliste2[[#This Row],[Zürs-
Zone]]&gt;3,"",Objektliste2[[#This Row],[Versicherungssumme Gebäude Überschwemmung Prüfung]])</f>
        <v>425813</v>
      </c>
      <c r="O28" s="96">
        <f>IF(Objektliste2[[#This Row],[Zürs-
Zone]]&gt;3,"",M28)</f>
        <v>50000</v>
      </c>
      <c r="P28" s="69" t="s">
        <v>141</v>
      </c>
      <c r="Q28" s="69"/>
      <c r="R28" s="69"/>
      <c r="S28" s="77"/>
      <c r="T28" s="73"/>
      <c r="U28" s="73"/>
      <c r="V28" s="73"/>
      <c r="W28" s="73"/>
      <c r="Y28" s="73"/>
    </row>
    <row r="29" spans="1:25" ht="15" x14ac:dyDescent="0.25">
      <c r="A29" s="91">
        <v>28</v>
      </c>
      <c r="B29" s="91" t="s">
        <v>97</v>
      </c>
      <c r="C29" s="91" t="s">
        <v>127</v>
      </c>
      <c r="D29" s="99">
        <v>1</v>
      </c>
      <c r="E29" s="96">
        <v>40000</v>
      </c>
      <c r="F29" s="96">
        <v>600000</v>
      </c>
      <c r="G29" s="96">
        <v>40000</v>
      </c>
      <c r="H29" s="96">
        <v>600000</v>
      </c>
      <c r="I29" s="96">
        <v>40000</v>
      </c>
      <c r="J29" s="96">
        <v>600000</v>
      </c>
      <c r="K29" s="96">
        <v>40000</v>
      </c>
      <c r="L29" s="96">
        <v>600000</v>
      </c>
      <c r="M29" s="96">
        <v>40000</v>
      </c>
      <c r="N29" s="96">
        <f>IF(Objektliste2[[#This Row],[Zürs-
Zone]]&gt;3,"",Objektliste2[[#This Row],[Versicherungssumme Gebäude Überschwemmung Prüfung]])</f>
        <v>600000</v>
      </c>
      <c r="O29" s="96">
        <f>IF(Objektliste2[[#This Row],[Zürs-
Zone]]&gt;3,"",M29)</f>
        <v>40000</v>
      </c>
      <c r="P29" s="69" t="s">
        <v>142</v>
      </c>
      <c r="Q29" s="69"/>
      <c r="R29" s="69"/>
      <c r="S29" s="77"/>
      <c r="T29" s="73"/>
      <c r="U29" s="73"/>
      <c r="V29" s="73"/>
      <c r="W29" s="73"/>
      <c r="Y29" s="73"/>
    </row>
    <row r="30" spans="1:25" ht="20.100000000000001" customHeight="1" x14ac:dyDescent="0.25">
      <c r="A30" s="91">
        <v>29</v>
      </c>
      <c r="B30" s="91" t="s">
        <v>98</v>
      </c>
      <c r="C30" s="91"/>
      <c r="D30" s="99">
        <v>1</v>
      </c>
      <c r="E30" s="96">
        <v>0</v>
      </c>
      <c r="F30" s="96">
        <v>750607</v>
      </c>
      <c r="G30" s="96">
        <v>0</v>
      </c>
      <c r="H30" s="96">
        <v>750607</v>
      </c>
      <c r="I30" s="96">
        <v>0</v>
      </c>
      <c r="J30" s="96">
        <v>750607</v>
      </c>
      <c r="K30" s="96">
        <v>0</v>
      </c>
      <c r="L30" s="96">
        <v>750607</v>
      </c>
      <c r="M30" s="96">
        <v>0</v>
      </c>
      <c r="N30" s="96">
        <f>IF(Objektliste2[[#This Row],[Zürs-
Zone]]&gt;3,"",Objektliste2[[#This Row],[Versicherungssumme Gebäude Überschwemmung Prüfung]])</f>
        <v>750607</v>
      </c>
      <c r="O30" s="96">
        <f>IF(Objektliste2[[#This Row],[Zürs-
Zone]]&gt;3,"",M30)</f>
        <v>0</v>
      </c>
      <c r="P30" s="69"/>
      <c r="Q30" s="69"/>
      <c r="R30" s="69"/>
      <c r="S30" s="77"/>
      <c r="T30" s="73"/>
      <c r="U30" s="73"/>
      <c r="V30" s="73"/>
      <c r="W30" s="73"/>
      <c r="Y30" s="73"/>
    </row>
    <row r="31" spans="1:25" ht="20.100000000000001" customHeight="1" x14ac:dyDescent="0.25">
      <c r="A31" s="91">
        <v>30</v>
      </c>
      <c r="B31" s="91" t="s">
        <v>99</v>
      </c>
      <c r="C31" s="91"/>
      <c r="D31" s="99">
        <v>1</v>
      </c>
      <c r="E31" s="96">
        <v>0</v>
      </c>
      <c r="F31" s="96">
        <v>0</v>
      </c>
      <c r="G31" s="96">
        <v>0</v>
      </c>
      <c r="H31" s="96">
        <v>0</v>
      </c>
      <c r="I31" s="96">
        <v>0</v>
      </c>
      <c r="J31" s="96">
        <v>0</v>
      </c>
      <c r="K31" s="96">
        <v>0</v>
      </c>
      <c r="L31" s="96">
        <v>0</v>
      </c>
      <c r="M31" s="96">
        <v>0</v>
      </c>
      <c r="N31" s="96">
        <f>IF(Objektliste2[[#This Row],[Zürs-
Zone]]&gt;3,"",Objektliste2[[#This Row],[Versicherungssumme Gebäude Überschwemmung Prüfung]])</f>
        <v>0</v>
      </c>
      <c r="O31" s="96">
        <f>IF(Objektliste2[[#This Row],[Zürs-
Zone]]&gt;3,"",M31)</f>
        <v>0</v>
      </c>
      <c r="P31" s="69" t="s">
        <v>102</v>
      </c>
      <c r="Q31" s="69"/>
      <c r="R31" s="69"/>
      <c r="S31" s="77"/>
      <c r="T31" s="73"/>
      <c r="U31" s="73"/>
      <c r="V31" s="73"/>
      <c r="W31" s="73"/>
      <c r="Y31" s="73"/>
    </row>
    <row r="32" spans="1:25" ht="20.100000000000001" customHeight="1" x14ac:dyDescent="0.25">
      <c r="A32" s="91">
        <v>31</v>
      </c>
      <c r="B32" s="91" t="s">
        <v>103</v>
      </c>
      <c r="C32" s="91"/>
      <c r="D32" s="99">
        <v>1</v>
      </c>
      <c r="E32" s="96">
        <v>40000</v>
      </c>
      <c r="F32" s="96"/>
      <c r="G32" s="96">
        <v>40000</v>
      </c>
      <c r="H32" s="96"/>
      <c r="I32" s="96">
        <v>40000</v>
      </c>
      <c r="J32" s="96"/>
      <c r="K32" s="96">
        <v>40000</v>
      </c>
      <c r="L32" s="96"/>
      <c r="M32" s="96">
        <v>40000</v>
      </c>
      <c r="N32" s="96">
        <f>IF(Objektliste2[[#This Row],[Zürs-
Zone]]&gt;3,"",Objektliste2[[#This Row],[Versicherungssumme Gebäude Überschwemmung Prüfung]])</f>
        <v>0</v>
      </c>
      <c r="O32" s="96">
        <f>IF(Objektliste2[[#This Row],[Zürs-
Zone]]&gt;3,"",M32)</f>
        <v>40000</v>
      </c>
      <c r="P32" s="69"/>
      <c r="Q32" s="69"/>
      <c r="R32" s="69"/>
      <c r="S32" s="77"/>
      <c r="T32" s="73"/>
      <c r="U32" s="73"/>
      <c r="V32" s="73"/>
      <c r="W32" s="73"/>
      <c r="Y32" s="73"/>
    </row>
    <row r="33" spans="1:25" ht="15" x14ac:dyDescent="0.25">
      <c r="A33" s="91">
        <v>32</v>
      </c>
      <c r="B33" s="91" t="s">
        <v>129</v>
      </c>
      <c r="C33" s="91"/>
      <c r="D33" s="99">
        <v>1</v>
      </c>
      <c r="E33" s="96">
        <v>40000</v>
      </c>
      <c r="F33" s="96"/>
      <c r="G33" s="96">
        <v>40000</v>
      </c>
      <c r="H33" s="96"/>
      <c r="I33" s="96">
        <v>40000</v>
      </c>
      <c r="J33" s="96"/>
      <c r="K33" s="96">
        <v>40000</v>
      </c>
      <c r="L33" s="96"/>
      <c r="M33" s="96">
        <v>40000</v>
      </c>
      <c r="N33" s="96">
        <f>IF(Objektliste2[[#This Row],[Zürs-
Zone]]&gt;3,"",Objektliste2[[#This Row],[Versicherungssumme Gebäude Überschwemmung Prüfung]])</f>
        <v>0</v>
      </c>
      <c r="O33" s="96">
        <f>IF(Objektliste2[[#This Row],[Zürs-
Zone]]&gt;3,"",M33)</f>
        <v>40000</v>
      </c>
      <c r="P33" s="69"/>
      <c r="Q33" s="69"/>
      <c r="R33" s="69"/>
      <c r="S33" s="77"/>
      <c r="T33" s="73"/>
      <c r="U33" s="73"/>
      <c r="V33" s="73"/>
      <c r="W33" s="73"/>
      <c r="Y33" s="73"/>
    </row>
    <row r="34" spans="1:25" ht="20.100000000000001" customHeight="1" x14ac:dyDescent="0.25">
      <c r="A34" s="91">
        <v>33</v>
      </c>
      <c r="B34" s="91" t="s">
        <v>104</v>
      </c>
      <c r="C34" s="91"/>
      <c r="D34" s="99">
        <v>2</v>
      </c>
      <c r="E34" s="96">
        <v>102000</v>
      </c>
      <c r="F34" s="96"/>
      <c r="G34" s="96">
        <v>102000</v>
      </c>
      <c r="H34" s="96"/>
      <c r="I34" s="96">
        <v>102000</v>
      </c>
      <c r="J34" s="96"/>
      <c r="K34" s="96">
        <v>102000</v>
      </c>
      <c r="L34" s="96"/>
      <c r="M34" s="96">
        <v>102000</v>
      </c>
      <c r="N34" s="96">
        <f>IF(Objektliste2[[#This Row],[Zürs-
Zone]]&gt;3,"",Objektliste2[[#This Row],[Versicherungssumme Gebäude Überschwemmung Prüfung]])</f>
        <v>0</v>
      </c>
      <c r="O34" s="96">
        <f>IF(Objektliste2[[#This Row],[Zürs-
Zone]]&gt;3,"",M34)</f>
        <v>102000</v>
      </c>
      <c r="P34" s="69"/>
      <c r="Q34" s="69"/>
      <c r="R34" s="69"/>
      <c r="S34" s="77"/>
      <c r="T34" s="73"/>
      <c r="U34" s="73"/>
      <c r="V34" s="73"/>
      <c r="W34" s="73"/>
      <c r="Y34" s="73"/>
    </row>
    <row r="35" spans="1:25" ht="15" x14ac:dyDescent="0.25">
      <c r="A35" s="91">
        <v>34</v>
      </c>
      <c r="B35" s="91" t="s">
        <v>130</v>
      </c>
      <c r="C35" s="91"/>
      <c r="D35" s="99">
        <v>1</v>
      </c>
      <c r="E35" s="96">
        <v>60000</v>
      </c>
      <c r="F35" s="96"/>
      <c r="G35" s="96">
        <v>60000</v>
      </c>
      <c r="H35" s="96"/>
      <c r="I35" s="96">
        <v>60000</v>
      </c>
      <c r="J35" s="96"/>
      <c r="K35" s="96">
        <v>60000</v>
      </c>
      <c r="L35" s="96"/>
      <c r="M35" s="96">
        <v>60000</v>
      </c>
      <c r="N35" s="96">
        <f>IF(Objektliste2[[#This Row],[Zürs-
Zone]]&gt;3,"",Objektliste2[[#This Row],[Versicherungssumme Gebäude Überschwemmung Prüfung]])</f>
        <v>0</v>
      </c>
      <c r="O35" s="96">
        <f>IF(Objektliste2[[#This Row],[Zürs-
Zone]]&gt;3,"",M35)</f>
        <v>60000</v>
      </c>
      <c r="P35" s="69"/>
      <c r="Q35" s="69"/>
      <c r="R35" s="69"/>
      <c r="S35" s="77"/>
      <c r="T35" s="73"/>
      <c r="U35" s="73"/>
      <c r="V35" s="73"/>
      <c r="W35" s="73"/>
      <c r="Y35" s="73"/>
    </row>
    <row r="36" spans="1:25" ht="20.100000000000001" customHeight="1" x14ac:dyDescent="0.25">
      <c r="A36" s="91">
        <v>35</v>
      </c>
      <c r="B36" s="91" t="s">
        <v>105</v>
      </c>
      <c r="C36" s="91"/>
      <c r="D36" s="99">
        <v>1</v>
      </c>
      <c r="E36" s="96">
        <v>130000</v>
      </c>
      <c r="F36" s="96"/>
      <c r="G36" s="96">
        <v>130000</v>
      </c>
      <c r="H36" s="96"/>
      <c r="I36" s="96">
        <v>130000</v>
      </c>
      <c r="J36" s="96"/>
      <c r="K36" s="96">
        <v>130000</v>
      </c>
      <c r="L36" s="96"/>
      <c r="M36" s="96">
        <v>130000</v>
      </c>
      <c r="N36" s="96">
        <f>IF(Objektliste2[[#This Row],[Zürs-
Zone]]&gt;3,"",Objektliste2[[#This Row],[Versicherungssumme Gebäude Überschwemmung Prüfung]])</f>
        <v>0</v>
      </c>
      <c r="O36" s="96">
        <f>IF(Objektliste2[[#This Row],[Zürs-
Zone]]&gt;3,"",M36)</f>
        <v>130000</v>
      </c>
      <c r="P36" s="69"/>
      <c r="Q36" s="69"/>
      <c r="R36" s="69"/>
      <c r="S36" s="77"/>
      <c r="T36" s="73"/>
      <c r="U36" s="73"/>
      <c r="V36" s="73"/>
      <c r="W36" s="73"/>
      <c r="Y36" s="73"/>
    </row>
    <row r="37" spans="1:25" ht="20.100000000000001" customHeight="1" x14ac:dyDescent="0.25">
      <c r="A37" s="91">
        <v>36</v>
      </c>
      <c r="B37" s="91" t="s">
        <v>106</v>
      </c>
      <c r="C37" s="91"/>
      <c r="D37" s="99">
        <v>1</v>
      </c>
      <c r="E37" s="96">
        <v>40000</v>
      </c>
      <c r="F37" s="96"/>
      <c r="G37" s="96">
        <v>40000</v>
      </c>
      <c r="H37" s="96"/>
      <c r="I37" s="96">
        <v>40000</v>
      </c>
      <c r="J37" s="96"/>
      <c r="K37" s="96">
        <v>40000</v>
      </c>
      <c r="L37" s="96"/>
      <c r="M37" s="96">
        <v>40000</v>
      </c>
      <c r="N37" s="96">
        <f>IF(Objektliste2[[#This Row],[Zürs-
Zone]]&gt;3,"",Objektliste2[[#This Row],[Versicherungssumme Gebäude Überschwemmung Prüfung]])</f>
        <v>0</v>
      </c>
      <c r="O37" s="96">
        <f>IF(Objektliste2[[#This Row],[Zürs-
Zone]]&gt;3,"",M37)</f>
        <v>40000</v>
      </c>
      <c r="P37" s="69"/>
      <c r="Q37" s="69"/>
      <c r="R37" s="69"/>
      <c r="S37" s="77"/>
      <c r="T37" s="73"/>
      <c r="U37" s="73"/>
      <c r="V37" s="73"/>
      <c r="W37" s="73"/>
      <c r="Y37" s="73"/>
    </row>
    <row r="38" spans="1:25" ht="20.100000000000001" customHeight="1" x14ac:dyDescent="0.25">
      <c r="A38" s="91">
        <v>37</v>
      </c>
      <c r="B38" s="91" t="s">
        <v>107</v>
      </c>
      <c r="C38" s="91"/>
      <c r="D38" s="99">
        <v>1</v>
      </c>
      <c r="E38" s="96">
        <v>30000</v>
      </c>
      <c r="F38" s="96"/>
      <c r="G38" s="96">
        <v>30000</v>
      </c>
      <c r="H38" s="96"/>
      <c r="I38" s="96">
        <v>30000</v>
      </c>
      <c r="J38" s="96"/>
      <c r="K38" s="96">
        <v>30000</v>
      </c>
      <c r="L38" s="96"/>
      <c r="M38" s="96">
        <v>30000</v>
      </c>
      <c r="N38" s="96">
        <f>IF(Objektliste2[[#This Row],[Zürs-
Zone]]&gt;3,"",Objektliste2[[#This Row],[Versicherungssumme Gebäude Überschwemmung Prüfung]])</f>
        <v>0</v>
      </c>
      <c r="O38" s="96">
        <f>IF(Objektliste2[[#This Row],[Zürs-
Zone]]&gt;3,"",M38)</f>
        <v>30000</v>
      </c>
      <c r="P38" s="69"/>
      <c r="Q38" s="69"/>
      <c r="R38" s="69"/>
      <c r="S38" s="77"/>
      <c r="T38" s="73"/>
      <c r="U38" s="73"/>
      <c r="V38" s="73"/>
      <c r="W38" s="73"/>
      <c r="Y38" s="73"/>
    </row>
    <row r="39" spans="1:25" ht="20.100000000000001" customHeight="1" x14ac:dyDescent="0.25">
      <c r="A39" s="91">
        <v>38</v>
      </c>
      <c r="B39" s="91" t="s">
        <v>108</v>
      </c>
      <c r="C39" s="91"/>
      <c r="D39" s="99">
        <v>1</v>
      </c>
      <c r="E39" s="96">
        <v>30000</v>
      </c>
      <c r="F39" s="96"/>
      <c r="G39" s="96">
        <v>30000</v>
      </c>
      <c r="H39" s="96"/>
      <c r="I39" s="96">
        <v>30000</v>
      </c>
      <c r="J39" s="96"/>
      <c r="K39" s="96">
        <v>30000</v>
      </c>
      <c r="L39" s="96"/>
      <c r="M39" s="96">
        <v>30000</v>
      </c>
      <c r="N39" s="96">
        <f>IF(Objektliste2[[#This Row],[Zürs-
Zone]]&gt;3,"",Objektliste2[[#This Row],[Versicherungssumme Gebäude Überschwemmung Prüfung]])</f>
        <v>0</v>
      </c>
      <c r="O39" s="96">
        <f>IF(Objektliste2[[#This Row],[Zürs-
Zone]]&gt;3,"",M39)</f>
        <v>30000</v>
      </c>
      <c r="P39" s="69"/>
      <c r="Q39" s="69"/>
      <c r="R39" s="69"/>
      <c r="S39" s="77"/>
      <c r="T39" s="73"/>
      <c r="U39" s="73"/>
      <c r="V39" s="73"/>
      <c r="W39" s="73"/>
      <c r="Y39" s="73"/>
    </row>
    <row r="40" spans="1:25" ht="20.100000000000001" customHeight="1" x14ac:dyDescent="0.25">
      <c r="A40" s="91">
        <v>39</v>
      </c>
      <c r="B40" s="91" t="s">
        <v>109</v>
      </c>
      <c r="C40" s="91"/>
      <c r="D40" s="99">
        <v>1</v>
      </c>
      <c r="E40" s="96">
        <v>450000</v>
      </c>
      <c r="F40" s="96"/>
      <c r="G40" s="96">
        <v>450000</v>
      </c>
      <c r="H40" s="96"/>
      <c r="I40" s="96">
        <v>450000</v>
      </c>
      <c r="J40" s="96"/>
      <c r="K40" s="96">
        <v>450000</v>
      </c>
      <c r="L40" s="96"/>
      <c r="M40" s="96">
        <v>450000</v>
      </c>
      <c r="N40" s="96">
        <f>IF(Objektliste2[[#This Row],[Zürs-
Zone]]&gt;3,"",Objektliste2[[#This Row],[Versicherungssumme Gebäude Überschwemmung Prüfung]])</f>
        <v>0</v>
      </c>
      <c r="O40" s="96">
        <f>IF(Objektliste2[[#This Row],[Zürs-
Zone]]&gt;3,"",M40)</f>
        <v>450000</v>
      </c>
      <c r="P40" s="69"/>
      <c r="Q40" s="69"/>
      <c r="R40" s="69"/>
      <c r="S40" s="77"/>
      <c r="T40" s="73"/>
      <c r="U40" s="73"/>
      <c r="V40" s="73"/>
      <c r="W40" s="73"/>
      <c r="Y40" s="73"/>
    </row>
    <row r="41" spans="1:25" ht="30" x14ac:dyDescent="0.25">
      <c r="A41" s="91">
        <v>40</v>
      </c>
      <c r="B41" s="91" t="s">
        <v>110</v>
      </c>
      <c r="C41" s="91"/>
      <c r="D41" s="99">
        <v>1</v>
      </c>
      <c r="E41" s="96">
        <v>1000000</v>
      </c>
      <c r="F41" s="96"/>
      <c r="G41" s="96">
        <v>1000000</v>
      </c>
      <c r="H41" s="96"/>
      <c r="I41" s="96">
        <v>1000000</v>
      </c>
      <c r="J41" s="96"/>
      <c r="K41" s="96">
        <v>1000000</v>
      </c>
      <c r="L41" s="96"/>
      <c r="M41" s="96">
        <v>1000000</v>
      </c>
      <c r="N41" s="96">
        <f>IF(Objektliste2[[#This Row],[Zürs-
Zone]]&gt;3,"",Objektliste2[[#This Row],[Versicherungssumme Gebäude Überschwemmung Prüfung]])</f>
        <v>0</v>
      </c>
      <c r="O41" s="96">
        <f>IF(Objektliste2[[#This Row],[Zürs-
Zone]]&gt;3,"",M41)</f>
        <v>1000000</v>
      </c>
      <c r="P41" s="69" t="s">
        <v>116</v>
      </c>
      <c r="Q41" s="69"/>
      <c r="R41" s="69"/>
      <c r="S41" s="77"/>
      <c r="T41" s="73"/>
      <c r="U41" s="73"/>
      <c r="V41" s="73"/>
      <c r="W41" s="73"/>
      <c r="Y41" s="73"/>
    </row>
    <row r="42" spans="1:25" ht="20.100000000000001" customHeight="1" x14ac:dyDescent="0.25">
      <c r="A42" s="91">
        <v>41</v>
      </c>
      <c r="B42" s="91" t="s">
        <v>111</v>
      </c>
      <c r="C42" s="91"/>
      <c r="D42" s="99">
        <v>1</v>
      </c>
      <c r="E42" s="96">
        <v>450000</v>
      </c>
      <c r="F42" s="96"/>
      <c r="G42" s="96">
        <v>450000</v>
      </c>
      <c r="H42" s="96"/>
      <c r="I42" s="96">
        <v>450000</v>
      </c>
      <c r="J42" s="96"/>
      <c r="K42" s="96">
        <v>450000</v>
      </c>
      <c r="L42" s="96"/>
      <c r="M42" s="96">
        <v>450000</v>
      </c>
      <c r="N42" s="96">
        <f>IF(Objektliste2[[#This Row],[Zürs-
Zone]]&gt;3,"",Objektliste2[[#This Row],[Versicherungssumme Gebäude Überschwemmung Prüfung]])</f>
        <v>0</v>
      </c>
      <c r="O42" s="96">
        <f>IF(Objektliste2[[#This Row],[Zürs-
Zone]]&gt;3,"",M42)</f>
        <v>450000</v>
      </c>
      <c r="P42" s="69"/>
      <c r="Q42" s="69"/>
      <c r="R42" s="69"/>
      <c r="S42" s="77"/>
      <c r="T42" s="73"/>
      <c r="U42" s="73"/>
      <c r="V42" s="73"/>
      <c r="W42" s="73"/>
      <c r="Y42" s="73"/>
    </row>
    <row r="43" spans="1:25" ht="20.100000000000001" customHeight="1" x14ac:dyDescent="0.25">
      <c r="A43" s="91">
        <v>42</v>
      </c>
      <c r="B43" s="91" t="s">
        <v>112</v>
      </c>
      <c r="C43" s="91"/>
      <c r="D43" s="99">
        <v>1</v>
      </c>
      <c r="E43" s="96">
        <v>500000</v>
      </c>
      <c r="F43" s="96"/>
      <c r="G43" s="96">
        <v>500000</v>
      </c>
      <c r="H43" s="96"/>
      <c r="I43" s="96">
        <v>500000</v>
      </c>
      <c r="J43" s="96"/>
      <c r="K43" s="96">
        <v>500000</v>
      </c>
      <c r="L43" s="96"/>
      <c r="M43" s="96">
        <v>500000</v>
      </c>
      <c r="N43" s="96">
        <f>IF(Objektliste2[[#This Row],[Zürs-
Zone]]&gt;3,"",Objektliste2[[#This Row],[Versicherungssumme Gebäude Überschwemmung Prüfung]])</f>
        <v>0</v>
      </c>
      <c r="O43" s="96">
        <f>IF(Objektliste2[[#This Row],[Zürs-
Zone]]&gt;3,"",M43)</f>
        <v>500000</v>
      </c>
      <c r="P43" s="69"/>
      <c r="Q43" s="69"/>
      <c r="R43" s="69"/>
      <c r="S43" s="77"/>
      <c r="T43" s="73"/>
      <c r="U43" s="73"/>
      <c r="V43" s="73"/>
      <c r="W43" s="73"/>
      <c r="Y43" s="73"/>
    </row>
    <row r="44" spans="1:25" ht="20.100000000000001" customHeight="1" x14ac:dyDescent="0.25">
      <c r="A44" s="91">
        <v>43</v>
      </c>
      <c r="B44" s="91" t="s">
        <v>113</v>
      </c>
      <c r="C44" s="91"/>
      <c r="D44" s="99">
        <v>1</v>
      </c>
      <c r="E44" s="96">
        <v>80000</v>
      </c>
      <c r="F44" s="96"/>
      <c r="G44" s="96">
        <v>80000</v>
      </c>
      <c r="H44" s="96"/>
      <c r="I44" s="96">
        <v>80000</v>
      </c>
      <c r="J44" s="96"/>
      <c r="K44" s="96">
        <v>80000</v>
      </c>
      <c r="L44" s="96"/>
      <c r="M44" s="96">
        <v>80000</v>
      </c>
      <c r="N44" s="96">
        <f>IF(Objektliste2[[#This Row],[Zürs-
Zone]]&gt;3,"",Objektliste2[[#This Row],[Versicherungssumme Gebäude Überschwemmung Prüfung]])</f>
        <v>0</v>
      </c>
      <c r="O44" s="96">
        <f>IF(Objektliste2[[#This Row],[Zürs-
Zone]]&gt;3,"",M44)</f>
        <v>80000</v>
      </c>
      <c r="P44" s="69"/>
      <c r="Q44" s="69"/>
      <c r="R44" s="69"/>
      <c r="S44" s="77"/>
      <c r="T44" s="73"/>
      <c r="U44" s="73"/>
      <c r="V44" s="73"/>
      <c r="W44" s="73"/>
      <c r="Y44" s="73"/>
    </row>
    <row r="45" spans="1:25" ht="20.100000000000001" customHeight="1" x14ac:dyDescent="0.25">
      <c r="A45" s="91">
        <v>44</v>
      </c>
      <c r="B45" s="91" t="s">
        <v>114</v>
      </c>
      <c r="C45" s="91"/>
      <c r="D45" s="99">
        <v>1</v>
      </c>
      <c r="E45" s="96">
        <v>80000</v>
      </c>
      <c r="F45" s="96"/>
      <c r="G45" s="96">
        <v>80000</v>
      </c>
      <c r="H45" s="96"/>
      <c r="I45" s="96">
        <v>80000</v>
      </c>
      <c r="J45" s="96"/>
      <c r="K45" s="96">
        <v>80000</v>
      </c>
      <c r="L45" s="96"/>
      <c r="M45" s="96">
        <v>80000</v>
      </c>
      <c r="N45" s="96">
        <f>IF(Objektliste2[[#This Row],[Zürs-
Zone]]&gt;3,"",Objektliste2[[#This Row],[Versicherungssumme Gebäude Überschwemmung Prüfung]])</f>
        <v>0</v>
      </c>
      <c r="O45" s="96">
        <f>IF(Objektliste2[[#This Row],[Zürs-
Zone]]&gt;3,"",M45)</f>
        <v>80000</v>
      </c>
      <c r="P45" s="69"/>
      <c r="Q45" s="69"/>
      <c r="R45" s="69"/>
      <c r="S45" s="77"/>
      <c r="T45" s="73"/>
      <c r="U45" s="73"/>
      <c r="V45" s="73"/>
      <c r="W45" s="73"/>
      <c r="Y45" s="73"/>
    </row>
    <row r="46" spans="1:25" ht="20.100000000000001" customHeight="1" x14ac:dyDescent="0.25">
      <c r="A46" s="93">
        <v>45</v>
      </c>
      <c r="B46" s="93" t="s">
        <v>115</v>
      </c>
      <c r="C46" s="93"/>
      <c r="D46" s="99">
        <v>1</v>
      </c>
      <c r="E46" s="96">
        <v>80000</v>
      </c>
      <c r="F46" s="96"/>
      <c r="G46" s="96">
        <v>80000</v>
      </c>
      <c r="H46" s="96"/>
      <c r="I46" s="96">
        <v>80000</v>
      </c>
      <c r="J46" s="96"/>
      <c r="K46" s="96">
        <v>80000</v>
      </c>
      <c r="L46" s="96"/>
      <c r="M46" s="96">
        <v>80000</v>
      </c>
      <c r="N46" s="96">
        <f>IF(Objektliste2[[#This Row],[Zürs-
Zone]]&gt;3,"",Objektliste2[[#This Row],[Versicherungssumme Gebäude Überschwemmung Prüfung]])</f>
        <v>0</v>
      </c>
      <c r="O46" s="96">
        <f>IF(Objektliste2[[#This Row],[Zürs-
Zone]]&gt;3,"",M46)</f>
        <v>80000</v>
      </c>
      <c r="P46" s="69"/>
      <c r="Q46" s="69"/>
      <c r="R46" s="69"/>
      <c r="S46" s="77"/>
      <c r="T46" s="73"/>
      <c r="U46" s="73"/>
      <c r="V46" s="73"/>
      <c r="W46" s="73"/>
      <c r="Y46" s="73"/>
    </row>
    <row r="47" spans="1:25" ht="20.100000000000001" customHeight="1" x14ac:dyDescent="0.25">
      <c r="A47" s="95"/>
      <c r="B47" s="95"/>
      <c r="C47" s="95"/>
      <c r="D47" s="81"/>
      <c r="E47" s="97">
        <f>SUBTOTAL(109,Objektliste2[Versicherungssumme Inventar Einbruchdiebstahl])</f>
        <v>54093666</v>
      </c>
      <c r="F47" s="97">
        <f>SUBTOTAL(109,Objektliste2[Versicherungssumme Gebäude Feuer])</f>
        <v>397798320</v>
      </c>
      <c r="G47" s="97">
        <f>SUBTOTAL(109,Objektliste2[[Versicherungssumme Inventar Feuer ]])</f>
        <v>54093666</v>
      </c>
      <c r="H47" s="97">
        <f>SUBTOTAL(109,Objektliste2[Versicherungssumme Gebäude Leitungswasser])</f>
        <v>397798320</v>
      </c>
      <c r="I47" s="97">
        <f>SUBTOTAL(109,Objektliste2[Versicherungssumme Inventar Leitungswasser])</f>
        <v>54093666</v>
      </c>
      <c r="J47" s="97">
        <f>SUBTOTAL(109,Objektliste2[Versicherungssumme Gebäude Sturm])</f>
        <v>397798320</v>
      </c>
      <c r="K47" s="97">
        <f>SUBTOTAL(109,Objektliste2[[Versicherungssumme Inventar Sturm ]])</f>
        <v>54093666</v>
      </c>
      <c r="L47" s="97"/>
      <c r="M47" s="97"/>
      <c r="N47" s="97">
        <f>SUBTOTAL(109,Objektliste2[Versicherungssumme Gebäude Überschwemmung])</f>
        <v>397798320</v>
      </c>
      <c r="O47" s="97">
        <f>SUBTOTAL(109,Objektliste2[Versicherungssumme Inventar Überschwemmung])</f>
        <v>54093666</v>
      </c>
      <c r="P47" s="82"/>
      <c r="Q47" s="82"/>
      <c r="R47" s="82"/>
      <c r="S47" s="83"/>
      <c r="T47" s="70"/>
      <c r="X47" s="70"/>
    </row>
  </sheetData>
  <pageMargins left="0.23622047244094491" right="0.23622047244094491" top="0.74803149606299213" bottom="0.74803149606299213" header="0.31496062992125984" footer="0.31496062992125984"/>
  <pageSetup paperSize="9" scale="20" fitToHeight="13" orientation="landscape" r:id="rId1"/>
  <headerFooter>
    <oddHeader>&amp;LLos 1&amp;CObjektliste 
 Gebäude- und Inhaltversicherung &amp;RAnlage 04</oddHeader>
    <oddFooter>&amp;L&amp;D&amp;RSeite &amp;P von &amp;N Seiten</oddFooter>
  </headerFooter>
  <colBreaks count="1" manualBreakCount="1">
    <brk id="20" max="1048575" man="1"/>
  </colBreak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23CD3-9A85-42E2-990B-7C624997AA3E}">
  <sheetPr>
    <tabColor rgb="FFFFFF00"/>
    <pageSetUpPr fitToPage="1"/>
  </sheetPr>
  <dimension ref="A1:G17"/>
  <sheetViews>
    <sheetView zoomScale="120" zoomScaleNormal="120" workbookViewId="0">
      <pane ySplit="2" topLeftCell="A3" activePane="bottomLeft" state="frozen"/>
      <selection pane="bottomLeft" activeCell="B31" sqref="B31"/>
    </sheetView>
  </sheetViews>
  <sheetFormatPr baseColWidth="10" defaultColWidth="9.140625" defaultRowHeight="12.75" x14ac:dyDescent="0.2"/>
  <cols>
    <col min="1" max="1" width="14.28515625" bestFit="1" customWidth="1"/>
    <col min="2" max="2" width="47.7109375" style="17" bestFit="1" customWidth="1"/>
    <col min="3" max="3" width="17.42578125" style="9" customWidth="1"/>
    <col min="4" max="4" width="12.140625" style="9" bestFit="1" customWidth="1"/>
    <col min="5" max="5" width="16.42578125" style="9" customWidth="1"/>
    <col min="6" max="7" width="12.140625" style="9" hidden="1" customWidth="1"/>
    <col min="8" max="16384" width="9.140625" style="9"/>
  </cols>
  <sheetData>
    <row r="1" spans="1:7" x14ac:dyDescent="0.2">
      <c r="F1" s="66" t="s">
        <v>57</v>
      </c>
    </row>
    <row r="2" spans="1:7" ht="15" x14ac:dyDescent="0.25">
      <c r="A2" s="63" t="s">
        <v>46</v>
      </c>
      <c r="B2" s="63" t="s">
        <v>47</v>
      </c>
      <c r="C2" s="64" t="s">
        <v>48</v>
      </c>
      <c r="D2" s="64" t="s">
        <v>51</v>
      </c>
      <c r="E2" s="64" t="s">
        <v>52</v>
      </c>
      <c r="F2" s="67" t="s">
        <v>58</v>
      </c>
      <c r="G2" s="67" t="s">
        <v>59</v>
      </c>
    </row>
    <row r="3" spans="1:7" x14ac:dyDescent="0.2">
      <c r="A3" s="65">
        <v>2020</v>
      </c>
      <c r="B3" s="65" t="s">
        <v>131</v>
      </c>
      <c r="C3" s="65" t="s">
        <v>4</v>
      </c>
      <c r="D3" s="85">
        <v>1506.9</v>
      </c>
      <c r="E3" s="85">
        <v>0</v>
      </c>
      <c r="F3" s="68">
        <f>IF(Schadenliste83[[#This Row],[Aufwand]]-Schadenliste83[[#Headers],[2000]]&lt;0,Schadenliste83[[#This Row],[Aufwand]],Schadenliste83[[#This Row],[Aufwand]]-Schadenliste83[[#Headers],[2000]])</f>
        <v>1506.9</v>
      </c>
      <c r="G3" s="68">
        <f>IF(Schadenliste83[[#This Row],[Aufwand]]-Schadenliste83[[#Headers],[5000]]&lt;0,Schadenliste83[[#This Row],[Aufwand]],Schadenliste83[[#This Row],[Aufwand]]-Schadenliste83[[#Headers],[5000]])</f>
        <v>1506.9</v>
      </c>
    </row>
    <row r="4" spans="1:7" x14ac:dyDescent="0.2">
      <c r="A4" s="65">
        <v>2020</v>
      </c>
      <c r="B4" s="65" t="s">
        <v>131</v>
      </c>
      <c r="C4" s="65" t="s">
        <v>4</v>
      </c>
      <c r="D4" s="85">
        <v>4853.26</v>
      </c>
      <c r="E4" s="85">
        <v>0</v>
      </c>
      <c r="F4" s="68">
        <f>IF(Schadenliste83[[#This Row],[Aufwand]]-Schadenliste83[[#Headers],[2000]]&lt;0,Schadenliste83[[#This Row],[Aufwand]],Schadenliste83[[#This Row],[Aufwand]]-Schadenliste83[[#Headers],[2000]])</f>
        <v>2853.26</v>
      </c>
      <c r="G4" s="68">
        <f>IF(Schadenliste83[[#This Row],[Aufwand]]-Schadenliste83[[#Headers],[5000]]&lt;0,Schadenliste83[[#This Row],[Aufwand]],Schadenliste83[[#This Row],[Aufwand]]-Schadenliste83[[#Headers],[5000]])</f>
        <v>4853.26</v>
      </c>
    </row>
    <row r="5" spans="1:7" x14ac:dyDescent="0.2">
      <c r="A5" s="65">
        <v>2021</v>
      </c>
      <c r="B5" s="65" t="s">
        <v>132</v>
      </c>
      <c r="C5" s="65" t="s">
        <v>4</v>
      </c>
      <c r="D5" s="85">
        <v>5187.92</v>
      </c>
      <c r="E5" s="85">
        <v>0</v>
      </c>
      <c r="F5" s="68">
        <f>IF(Schadenliste83[[#This Row],[Aufwand]]-Schadenliste83[[#Headers],[2000]]&lt;0,Schadenliste83[[#This Row],[Aufwand]],Schadenliste83[[#This Row],[Aufwand]]-Schadenliste83[[#Headers],[2000]])</f>
        <v>3187.92</v>
      </c>
      <c r="G5" s="68">
        <f>IF(Schadenliste83[[#This Row],[Aufwand]]-Schadenliste83[[#Headers],[5000]]&lt;0,Schadenliste83[[#This Row],[Aufwand]],Schadenliste83[[#This Row],[Aufwand]]-Schadenliste83[[#Headers],[5000]])</f>
        <v>187.92000000000007</v>
      </c>
    </row>
    <row r="6" spans="1:7" x14ac:dyDescent="0.2">
      <c r="A6" s="65">
        <v>2021</v>
      </c>
      <c r="B6" s="65" t="s">
        <v>131</v>
      </c>
      <c r="C6" s="65" t="s">
        <v>4</v>
      </c>
      <c r="D6" s="85">
        <v>1350.22</v>
      </c>
      <c r="E6" s="85">
        <v>0</v>
      </c>
      <c r="F6" s="68">
        <f>IF(Schadenliste83[[#This Row],[Aufwand]]-Schadenliste83[[#Headers],[2000]]&lt;0,Schadenliste83[[#This Row],[Aufwand]],Schadenliste83[[#This Row],[Aufwand]]-Schadenliste83[[#Headers],[2000]])</f>
        <v>1350.22</v>
      </c>
      <c r="G6" s="68">
        <f>IF(Schadenliste83[[#This Row],[Aufwand]]-Schadenliste83[[#Headers],[5000]]&lt;0,Schadenliste83[[#This Row],[Aufwand]],Schadenliste83[[#This Row],[Aufwand]]-Schadenliste83[[#Headers],[5000]])</f>
        <v>1350.22</v>
      </c>
    </row>
    <row r="7" spans="1:7" x14ac:dyDescent="0.2">
      <c r="A7" s="65">
        <v>2021</v>
      </c>
      <c r="B7" s="65" t="s">
        <v>133</v>
      </c>
      <c r="C7" s="65" t="s">
        <v>4</v>
      </c>
      <c r="D7" s="85">
        <v>16529.18</v>
      </c>
      <c r="E7" s="85">
        <v>0</v>
      </c>
      <c r="F7" s="68">
        <f>IF(Schadenliste83[[#This Row],[Aufwand]]-Schadenliste83[[#Headers],[2000]]&lt;0,Schadenliste83[[#This Row],[Aufwand]],Schadenliste83[[#This Row],[Aufwand]]-Schadenliste83[[#Headers],[2000]])</f>
        <v>14529.18</v>
      </c>
      <c r="G7" s="68">
        <f>IF(Schadenliste83[[#This Row],[Aufwand]]-Schadenliste83[[#Headers],[5000]]&lt;0,Schadenliste83[[#This Row],[Aufwand]],Schadenliste83[[#This Row],[Aufwand]]-Schadenliste83[[#Headers],[5000]])</f>
        <v>11529.18</v>
      </c>
    </row>
    <row r="8" spans="1:7" x14ac:dyDescent="0.2">
      <c r="A8" s="65">
        <v>2022</v>
      </c>
      <c r="B8" s="65" t="s">
        <v>131</v>
      </c>
      <c r="C8" s="65" t="s">
        <v>4</v>
      </c>
      <c r="D8" s="85">
        <v>4579.91</v>
      </c>
      <c r="E8" s="85">
        <v>0</v>
      </c>
      <c r="F8" s="68">
        <f>IF(Schadenliste83[[#This Row],[Aufwand]]-Schadenliste83[[#Headers],[2000]]&lt;0,Schadenliste83[[#This Row],[Aufwand]],Schadenliste83[[#This Row],[Aufwand]]-Schadenliste83[[#Headers],[2000]])</f>
        <v>2579.91</v>
      </c>
      <c r="G8" s="68">
        <f>IF(Schadenliste83[[#This Row],[Aufwand]]-Schadenliste83[[#Headers],[5000]]&lt;0,Schadenliste83[[#This Row],[Aufwand]],Schadenliste83[[#This Row],[Aufwand]]-Schadenliste83[[#Headers],[5000]])</f>
        <v>4579.91</v>
      </c>
    </row>
    <row r="9" spans="1:7" x14ac:dyDescent="0.2">
      <c r="A9" s="65">
        <v>2022</v>
      </c>
      <c r="B9" s="65" t="s">
        <v>131</v>
      </c>
      <c r="C9" s="65" t="s">
        <v>4</v>
      </c>
      <c r="D9" s="85">
        <v>949.78</v>
      </c>
      <c r="E9" s="85">
        <v>0</v>
      </c>
      <c r="F9" s="68">
        <f>IF(Schadenliste83[[#This Row],[Aufwand]]-Schadenliste83[[#Headers],[2000]]&lt;0,Schadenliste83[[#This Row],[Aufwand]],Schadenliste83[[#This Row],[Aufwand]]-Schadenliste83[[#Headers],[2000]])</f>
        <v>949.78</v>
      </c>
      <c r="G9" s="68">
        <f>IF(Schadenliste83[[#This Row],[Aufwand]]-Schadenliste83[[#Headers],[5000]]&lt;0,Schadenliste83[[#This Row],[Aufwand]],Schadenliste83[[#This Row],[Aufwand]]-Schadenliste83[[#Headers],[5000]])</f>
        <v>949.78</v>
      </c>
    </row>
    <row r="10" spans="1:7" x14ac:dyDescent="0.2">
      <c r="A10" s="65">
        <v>2022</v>
      </c>
      <c r="B10" s="65" t="s">
        <v>131</v>
      </c>
      <c r="C10" s="65" t="s">
        <v>4</v>
      </c>
      <c r="D10" s="85">
        <v>10000</v>
      </c>
      <c r="E10" s="85">
        <v>0</v>
      </c>
      <c r="F10" s="68">
        <f>IF(Schadenliste83[[#This Row],[Aufwand]]-Schadenliste83[[#Headers],[2000]]&lt;0,Schadenliste83[[#This Row],[Aufwand]],Schadenliste83[[#This Row],[Aufwand]]-Schadenliste83[[#Headers],[2000]])</f>
        <v>8000</v>
      </c>
      <c r="G10" s="68">
        <f>IF(Schadenliste83[[#This Row],[Aufwand]]-Schadenliste83[[#Headers],[5000]]&lt;0,Schadenliste83[[#This Row],[Aufwand]],Schadenliste83[[#This Row],[Aufwand]]-Schadenliste83[[#Headers],[5000]])</f>
        <v>5000</v>
      </c>
    </row>
    <row r="11" spans="1:7" x14ac:dyDescent="0.2">
      <c r="A11" s="65">
        <v>2023</v>
      </c>
      <c r="B11" s="65" t="s">
        <v>131</v>
      </c>
      <c r="C11" s="65" t="s">
        <v>4</v>
      </c>
      <c r="D11" s="85">
        <v>5084.92</v>
      </c>
      <c r="E11" s="85">
        <v>0</v>
      </c>
      <c r="F11" s="68">
        <f>IF(Schadenliste83[[#This Row],[Aufwand]]-Schadenliste83[[#Headers],[2000]]&lt;0,Schadenliste83[[#This Row],[Aufwand]],Schadenliste83[[#This Row],[Aufwand]]-Schadenliste83[[#Headers],[2000]])</f>
        <v>3084.92</v>
      </c>
      <c r="G11" s="68">
        <f>IF(Schadenliste83[[#This Row],[Aufwand]]-Schadenliste83[[#Headers],[5000]]&lt;0,Schadenliste83[[#This Row],[Aufwand]],Schadenliste83[[#This Row],[Aufwand]]-Schadenliste83[[#Headers],[5000]])</f>
        <v>84.920000000000073</v>
      </c>
    </row>
    <row r="12" spans="1:7" x14ac:dyDescent="0.2">
      <c r="A12" s="65">
        <v>2024</v>
      </c>
      <c r="B12" s="65" t="s">
        <v>131</v>
      </c>
      <c r="C12" s="65" t="s">
        <v>6</v>
      </c>
      <c r="D12" s="85">
        <v>2497.5100000000002</v>
      </c>
      <c r="E12" s="85">
        <v>0</v>
      </c>
      <c r="F12" s="68">
        <f>IF(Schadenliste83[[#This Row],[Aufwand]]-Schadenliste83[[#Headers],[2000]]&lt;0,Schadenliste83[[#This Row],[Aufwand]],Schadenliste83[[#This Row],[Aufwand]]-Schadenliste83[[#Headers],[2000]])</f>
        <v>497.51000000000022</v>
      </c>
      <c r="G12" s="68">
        <f>IF(Schadenliste83[[#This Row],[Aufwand]]-Schadenliste83[[#Headers],[5000]]&lt;0,Schadenliste83[[#This Row],[Aufwand]],Schadenliste83[[#This Row],[Aufwand]]-Schadenliste83[[#Headers],[5000]])</f>
        <v>2497.5100000000002</v>
      </c>
    </row>
    <row r="13" spans="1:7" x14ac:dyDescent="0.2">
      <c r="A13" s="65">
        <v>2024</v>
      </c>
      <c r="B13" s="65" t="s">
        <v>134</v>
      </c>
      <c r="C13" s="65" t="s">
        <v>4</v>
      </c>
      <c r="D13" s="85">
        <v>5247.04</v>
      </c>
      <c r="E13" s="85">
        <v>0</v>
      </c>
      <c r="F13" s="68">
        <f>IF(Schadenliste83[[#This Row],[Aufwand]]-Schadenliste83[[#Headers],[2000]]&lt;0,Schadenliste83[[#This Row],[Aufwand]],Schadenliste83[[#This Row],[Aufwand]]-Schadenliste83[[#Headers],[2000]])</f>
        <v>3247.04</v>
      </c>
      <c r="G13" s="68">
        <f>IF(Schadenliste83[[#This Row],[Aufwand]]-Schadenliste83[[#Headers],[5000]]&lt;0,Schadenliste83[[#This Row],[Aufwand]],Schadenliste83[[#This Row],[Aufwand]]-Schadenliste83[[#Headers],[5000]])</f>
        <v>247.03999999999996</v>
      </c>
    </row>
    <row r="14" spans="1:7" x14ac:dyDescent="0.2">
      <c r="A14" s="65">
        <v>2025</v>
      </c>
      <c r="B14" s="65" t="s">
        <v>135</v>
      </c>
      <c r="C14" s="65" t="s">
        <v>5</v>
      </c>
      <c r="D14" s="85">
        <v>68619.509999999995</v>
      </c>
      <c r="E14" s="85">
        <v>0</v>
      </c>
      <c r="F14" s="68">
        <f>IF(Schadenliste83[[#This Row],[Aufwand]]-Schadenliste83[[#Headers],[2000]]&lt;0,Schadenliste83[[#This Row],[Aufwand]],Schadenliste83[[#This Row],[Aufwand]]-Schadenliste83[[#Headers],[2000]])</f>
        <v>66619.509999999995</v>
      </c>
      <c r="G14" s="68">
        <f>IF(Schadenliste83[[#This Row],[Aufwand]]-Schadenliste83[[#Headers],[5000]]&lt;0,Schadenliste83[[#This Row],[Aufwand]],Schadenliste83[[#This Row],[Aufwand]]-Schadenliste83[[#Headers],[5000]])</f>
        <v>63619.509999999995</v>
      </c>
    </row>
    <row r="15" spans="1:7" x14ac:dyDescent="0.2">
      <c r="A15" s="65">
        <v>2025</v>
      </c>
      <c r="B15" s="65" t="s">
        <v>133</v>
      </c>
      <c r="C15" s="65" t="s">
        <v>4</v>
      </c>
      <c r="D15" s="85">
        <v>5545.16</v>
      </c>
      <c r="E15" s="85">
        <v>0</v>
      </c>
      <c r="F15" s="68">
        <f>IF(Schadenliste83[[#This Row],[Aufwand]]-Schadenliste83[[#Headers],[2000]]&lt;0,Schadenliste83[[#This Row],[Aufwand]],Schadenliste83[[#This Row],[Aufwand]]-Schadenliste83[[#Headers],[2000]])</f>
        <v>3545.16</v>
      </c>
      <c r="G15" s="68">
        <f>IF(Schadenliste83[[#This Row],[Aufwand]]-Schadenliste83[[#Headers],[5000]]&lt;0,Schadenliste83[[#This Row],[Aufwand]],Schadenliste83[[#This Row],[Aufwand]]-Schadenliste83[[#Headers],[5000]])</f>
        <v>545.15999999999985</v>
      </c>
    </row>
    <row r="16" spans="1:7" x14ac:dyDescent="0.2">
      <c r="A16" s="65">
        <v>2026</v>
      </c>
      <c r="B16" s="65" t="s">
        <v>136</v>
      </c>
      <c r="C16" s="84" t="s">
        <v>2</v>
      </c>
      <c r="D16" s="85">
        <v>5609.87</v>
      </c>
      <c r="E16" s="85">
        <v>5609.87</v>
      </c>
      <c r="F16" s="68">
        <f>IF(Schadenliste83[[#This Row],[Aufwand]]-Schadenliste83[[#Headers],[2000]]&lt;0,Schadenliste83[[#This Row],[Aufwand]],Schadenliste83[[#This Row],[Aufwand]]-Schadenliste83[[#Headers],[2000]])</f>
        <v>3609.87</v>
      </c>
      <c r="G16" s="68">
        <f>IF(Schadenliste83[[#This Row],[Aufwand]]-Schadenliste83[[#Headers],[5000]]&lt;0,Schadenliste83[[#This Row],[Aufwand]],Schadenliste83[[#This Row],[Aufwand]]-Schadenliste83[[#Headers],[5000]])</f>
        <v>609.86999999999989</v>
      </c>
    </row>
    <row r="17" spans="1:7" x14ac:dyDescent="0.2">
      <c r="A17" s="84">
        <v>2026</v>
      </c>
      <c r="B17" s="65" t="s">
        <v>137</v>
      </c>
      <c r="C17" s="84" t="s">
        <v>2</v>
      </c>
      <c r="D17" s="85">
        <v>7440.48</v>
      </c>
      <c r="E17" s="85">
        <v>7440.48</v>
      </c>
      <c r="F17" s="68">
        <f>IF(Schadenliste83[[#This Row],[Aufwand]]-Schadenliste83[[#Headers],[2000]]&lt;0,Schadenliste83[[#This Row],[Aufwand]],Schadenliste83[[#This Row],[Aufwand]]-Schadenliste83[[#Headers],[2000]])</f>
        <v>5440.48</v>
      </c>
      <c r="G17" s="68">
        <f>IF(Schadenliste83[[#This Row],[Aufwand]]-Schadenliste83[[#Headers],[5000]]&lt;0,Schadenliste83[[#This Row],[Aufwand]],Schadenliste83[[#This Row],[Aufwand]]-Schadenliste83[[#Headers],[5000]])</f>
        <v>2440.4799999999996</v>
      </c>
    </row>
  </sheetData>
  <sheetProtection selectLockedCells="1" selectUnlockedCells="1"/>
  <printOptions horizontalCentered="1"/>
  <pageMargins left="0.78740157480314965" right="0.78740157480314965" top="0.86614173228346458" bottom="0.98425196850393704" header="0.27559055118110237" footer="0.51181102362204722"/>
  <pageSetup paperSize="9" fitToHeight="10" orientation="landscape" r:id="rId1"/>
  <headerFooter alignWithMargins="0">
    <oddHeader>&amp;LLos 1&amp;C&amp;"Arial,Fett"&amp;14Schadenliste&amp;RAnlage 05</oddHeader>
    <oddFooter>&amp;L&amp;D&amp;RSeite &amp;P von &amp;N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556B7-6507-4BB1-ABF4-A5B840F75E94}">
  <sheetPr>
    <tabColor rgb="FF00B0F0"/>
    <pageSetUpPr fitToPage="1"/>
  </sheetPr>
  <dimension ref="A1:Y47"/>
  <sheetViews>
    <sheetView zoomScaleNormal="100" workbookViewId="0">
      <selection activeCell="E11" sqref="E11"/>
    </sheetView>
  </sheetViews>
  <sheetFormatPr baseColWidth="10" defaultRowHeight="20.100000000000001" customHeight="1" x14ac:dyDescent="0.4"/>
  <cols>
    <col min="1" max="1" width="6.7109375" style="74" customWidth="1"/>
    <col min="2" max="2" width="84.28515625" style="75" bestFit="1" customWidth="1"/>
    <col min="3" max="3" width="26.42578125" style="70" customWidth="1"/>
    <col min="4" max="4" width="5.85546875" style="70" customWidth="1"/>
    <col min="5" max="5" width="46.5703125" style="76" customWidth="1"/>
    <col min="6" max="6" width="36.42578125" style="76" customWidth="1"/>
    <col min="7" max="7" width="48" style="76" customWidth="1"/>
    <col min="8" max="8" width="44.85546875" style="76" customWidth="1"/>
    <col min="9" max="9" width="11.42578125" customWidth="1"/>
    <col min="10" max="10" width="36.5703125" style="76" customWidth="1"/>
    <col min="11" max="11" width="11.42578125" customWidth="1"/>
    <col min="12" max="13" width="11.42578125" hidden="1" customWidth="1"/>
    <col min="14" max="14" width="17.28515625" customWidth="1"/>
    <col min="15" max="15" width="23.5703125" customWidth="1"/>
    <col min="16" max="16" width="36.140625" style="76" customWidth="1"/>
    <col min="17" max="17" width="44.140625" style="76" customWidth="1"/>
    <col min="18" max="18" width="36.28515625" style="76" customWidth="1"/>
    <col min="20" max="20" width="47.28515625" style="76" customWidth="1"/>
    <col min="21" max="21" width="33.85546875" style="70" customWidth="1"/>
    <col min="22" max="22" width="19.5703125" style="70" customWidth="1"/>
    <col min="23" max="23" width="48.5703125" style="70" customWidth="1"/>
    <col min="24" max="24" width="24" style="73" customWidth="1"/>
    <col min="25" max="16384" width="11.42578125" style="70"/>
  </cols>
  <sheetData>
    <row r="1" spans="1:25" ht="69" customHeight="1" x14ac:dyDescent="0.25">
      <c r="A1" s="94" t="s">
        <v>50</v>
      </c>
      <c r="B1" s="94" t="s">
        <v>100</v>
      </c>
      <c r="C1" s="94" t="s">
        <v>65</v>
      </c>
      <c r="D1" s="98" t="s">
        <v>63</v>
      </c>
      <c r="E1" s="79" t="s">
        <v>72</v>
      </c>
      <c r="F1" s="79" t="s">
        <v>68</v>
      </c>
      <c r="G1" s="79" t="s">
        <v>69</v>
      </c>
      <c r="H1" s="79" t="s">
        <v>66</v>
      </c>
      <c r="I1" s="79" t="s">
        <v>70</v>
      </c>
      <c r="J1" s="79" t="s">
        <v>67</v>
      </c>
      <c r="K1" s="79" t="s">
        <v>71</v>
      </c>
      <c r="L1" s="79" t="s">
        <v>164</v>
      </c>
      <c r="M1" s="79" t="s">
        <v>163</v>
      </c>
      <c r="N1" s="79" t="s">
        <v>138</v>
      </c>
      <c r="O1" s="79" t="s">
        <v>73</v>
      </c>
      <c r="P1" s="78" t="s">
        <v>49</v>
      </c>
      <c r="Q1" s="78" t="s">
        <v>64</v>
      </c>
      <c r="R1" s="78" t="s">
        <v>1</v>
      </c>
      <c r="S1" s="80" t="s">
        <v>0</v>
      </c>
      <c r="T1" s="70"/>
      <c r="X1" s="70"/>
    </row>
    <row r="2" spans="1:25" s="72" customFormat="1" ht="20.100000000000001" customHeight="1" x14ac:dyDescent="0.25">
      <c r="A2" s="92">
        <v>1</v>
      </c>
      <c r="B2" s="92" t="s">
        <v>76</v>
      </c>
      <c r="C2" s="92"/>
      <c r="D2" s="99">
        <v>2</v>
      </c>
      <c r="E2" s="96">
        <v>16111135</v>
      </c>
      <c r="F2" s="96">
        <v>70072078</v>
      </c>
      <c r="G2" s="96">
        <v>16111135</v>
      </c>
      <c r="H2" s="96">
        <v>70072078</v>
      </c>
      <c r="I2" s="96">
        <v>16111135</v>
      </c>
      <c r="J2" s="96">
        <v>70072078</v>
      </c>
      <c r="K2" s="96">
        <v>16111135</v>
      </c>
      <c r="L2" s="96">
        <v>70072078</v>
      </c>
      <c r="M2" s="96">
        <v>16111135</v>
      </c>
      <c r="N2" s="96">
        <f>IF(Objektliste[[#This Row],[Zürs-
Zone]]&gt;3,"",Objektliste[[#This Row],[Versicherungssumme Gebäude Überschwemmung Prüfung]])</f>
        <v>70072078</v>
      </c>
      <c r="O2" s="96">
        <f>IF(Objektliste[[#This Row],[Zürs-
Zone]]&gt;3,"",M2)</f>
        <v>16111135</v>
      </c>
      <c r="P2" s="69" t="s">
        <v>150</v>
      </c>
      <c r="Q2" s="69"/>
      <c r="R2" s="69"/>
      <c r="S2" s="77"/>
      <c r="T2" s="71"/>
      <c r="U2" s="71"/>
      <c r="V2" s="71"/>
      <c r="W2" s="71"/>
      <c r="X2" s="71"/>
      <c r="Y2" s="71"/>
    </row>
    <row r="3" spans="1:25" ht="20.100000000000001" customHeight="1" x14ac:dyDescent="0.25">
      <c r="A3" s="91">
        <v>2</v>
      </c>
      <c r="B3" s="91" t="s">
        <v>101</v>
      </c>
      <c r="C3" s="91"/>
      <c r="D3" s="99">
        <v>1</v>
      </c>
      <c r="E3" s="96">
        <v>2800000</v>
      </c>
      <c r="F3" s="96">
        <v>6465609</v>
      </c>
      <c r="G3" s="96">
        <v>2800000</v>
      </c>
      <c r="H3" s="96">
        <v>6465609</v>
      </c>
      <c r="I3" s="96">
        <v>2800000</v>
      </c>
      <c r="J3" s="96">
        <v>6465609</v>
      </c>
      <c r="K3" s="96">
        <v>2800000</v>
      </c>
      <c r="L3" s="96">
        <v>6465609</v>
      </c>
      <c r="M3" s="96">
        <v>2800000</v>
      </c>
      <c r="N3" s="96">
        <f>IF(Objektliste[[#This Row],[Zürs-
Zone]]&gt;3,"",Objektliste[[#This Row],[Versicherungssumme Gebäude Überschwemmung Prüfung]])</f>
        <v>6465609</v>
      </c>
      <c r="O3" s="96">
        <f>IF(Objektliste[[#This Row],[Zürs-
Zone]]&gt;3,"",M3)</f>
        <v>2800000</v>
      </c>
      <c r="P3" s="69" t="s">
        <v>143</v>
      </c>
      <c r="Q3" s="69"/>
      <c r="R3" s="69"/>
      <c r="S3" s="77"/>
      <c r="T3" s="73"/>
      <c r="U3" s="73"/>
      <c r="V3" s="73"/>
      <c r="W3" s="73"/>
      <c r="Y3" s="73"/>
    </row>
    <row r="4" spans="1:25" ht="20.100000000000001" customHeight="1" x14ac:dyDescent="0.25">
      <c r="A4" s="91">
        <v>3</v>
      </c>
      <c r="B4" s="91" t="s">
        <v>119</v>
      </c>
      <c r="C4" s="91"/>
      <c r="D4" s="99">
        <v>1</v>
      </c>
      <c r="E4" s="96">
        <v>6500000</v>
      </c>
      <c r="F4" s="96">
        <v>65938148</v>
      </c>
      <c r="G4" s="96">
        <v>6500000</v>
      </c>
      <c r="H4" s="96">
        <v>65938148</v>
      </c>
      <c r="I4" s="96">
        <v>6500000</v>
      </c>
      <c r="J4" s="96">
        <v>65938148</v>
      </c>
      <c r="K4" s="96">
        <v>6500000</v>
      </c>
      <c r="L4" s="96">
        <v>65938148</v>
      </c>
      <c r="M4" s="96">
        <v>6500000</v>
      </c>
      <c r="N4" s="96">
        <f>IF(Objektliste[[#This Row],[Zürs-
Zone]]&gt;3,"",Objektliste[[#This Row],[Versicherungssumme Gebäude Überschwemmung Prüfung]])</f>
        <v>65938148</v>
      </c>
      <c r="O4" s="96">
        <f>IF(Objektliste[[#This Row],[Zürs-
Zone]]&gt;3,"",M4)</f>
        <v>6500000</v>
      </c>
      <c r="P4" s="69"/>
      <c r="Q4" s="69"/>
      <c r="R4" s="69"/>
      <c r="S4" s="77"/>
      <c r="T4" s="73"/>
      <c r="U4" s="73"/>
      <c r="V4" s="73"/>
      <c r="W4" s="73"/>
      <c r="Y4" s="73"/>
    </row>
    <row r="5" spans="1:25" ht="20.100000000000001" customHeight="1" x14ac:dyDescent="0.25">
      <c r="A5" s="91">
        <v>4</v>
      </c>
      <c r="B5" s="91" t="s">
        <v>77</v>
      </c>
      <c r="C5" s="91"/>
      <c r="D5" s="99">
        <v>1</v>
      </c>
      <c r="E5" s="96">
        <v>499762</v>
      </c>
      <c r="F5" s="96">
        <v>5600000</v>
      </c>
      <c r="G5" s="96">
        <v>499762</v>
      </c>
      <c r="H5" s="96">
        <v>5600000</v>
      </c>
      <c r="I5" s="96">
        <v>499762</v>
      </c>
      <c r="J5" s="96">
        <v>5600000</v>
      </c>
      <c r="K5" s="96">
        <v>499762</v>
      </c>
      <c r="L5" s="96">
        <v>5600000</v>
      </c>
      <c r="M5" s="96">
        <v>499762</v>
      </c>
      <c r="N5" s="96">
        <f>IF(Objektliste[[#This Row],[Zürs-
Zone]]&gt;3,"",Objektliste[[#This Row],[Versicherungssumme Gebäude Überschwemmung Prüfung]])</f>
        <v>5600000</v>
      </c>
      <c r="O5" s="96">
        <f>IF(Objektliste[[#This Row],[Zürs-
Zone]]&gt;3,"",M5)</f>
        <v>499762</v>
      </c>
      <c r="P5" s="69" t="s">
        <v>148</v>
      </c>
      <c r="Q5" s="69"/>
      <c r="R5" s="69"/>
      <c r="S5" s="77"/>
      <c r="T5" s="73"/>
      <c r="U5" s="73"/>
      <c r="V5" s="73"/>
      <c r="W5" s="73"/>
      <c r="Y5" s="73"/>
    </row>
    <row r="6" spans="1:25" ht="19.5" customHeight="1" x14ac:dyDescent="0.25">
      <c r="A6" s="91">
        <v>5</v>
      </c>
      <c r="B6" s="91" t="s">
        <v>78</v>
      </c>
      <c r="C6" s="91"/>
      <c r="D6" s="99">
        <v>1</v>
      </c>
      <c r="E6" s="96">
        <v>5200000</v>
      </c>
      <c r="F6" s="96">
        <v>52094433</v>
      </c>
      <c r="G6" s="96">
        <v>5200000</v>
      </c>
      <c r="H6" s="96">
        <v>52094433</v>
      </c>
      <c r="I6" s="96">
        <v>5200000</v>
      </c>
      <c r="J6" s="96">
        <v>52094433</v>
      </c>
      <c r="K6" s="96">
        <v>5200000</v>
      </c>
      <c r="L6" s="96">
        <v>52094433</v>
      </c>
      <c r="M6" s="96">
        <v>5200000</v>
      </c>
      <c r="N6" s="96">
        <f>IF(Objektliste[[#This Row],[Zürs-
Zone]]&gt;3,"",Objektliste[[#This Row],[Versicherungssumme Gebäude Überschwemmung Prüfung]])</f>
        <v>52094433</v>
      </c>
      <c r="O6" s="96">
        <f>IF(Objektliste[[#This Row],[Zürs-
Zone]]&gt;3,"",M6)</f>
        <v>5200000</v>
      </c>
      <c r="P6" s="69" t="s">
        <v>146</v>
      </c>
      <c r="Q6" s="69"/>
      <c r="R6" s="69"/>
      <c r="S6" s="77"/>
      <c r="T6" s="73"/>
      <c r="U6" s="73"/>
      <c r="V6" s="73"/>
      <c r="W6" s="73"/>
      <c r="Y6" s="73"/>
    </row>
    <row r="7" spans="1:25" ht="59.25" customHeight="1" x14ac:dyDescent="0.25">
      <c r="A7" s="91">
        <v>6</v>
      </c>
      <c r="B7" s="91" t="s">
        <v>79</v>
      </c>
      <c r="C7" s="91"/>
      <c r="D7" s="99">
        <v>1</v>
      </c>
      <c r="E7" s="96">
        <v>4500000</v>
      </c>
      <c r="F7" s="96">
        <v>40500000</v>
      </c>
      <c r="G7" s="96">
        <v>4500000</v>
      </c>
      <c r="H7" s="96">
        <v>40500000</v>
      </c>
      <c r="I7" s="96">
        <v>4500000</v>
      </c>
      <c r="J7" s="96">
        <v>40500000</v>
      </c>
      <c r="K7" s="96">
        <v>4500000</v>
      </c>
      <c r="L7" s="96">
        <v>40500000</v>
      </c>
      <c r="M7" s="96">
        <v>4500000</v>
      </c>
      <c r="N7" s="96">
        <f>IF(Objektliste[[#This Row],[Zürs-
Zone]]&gt;3,"",Objektliste[[#This Row],[Versicherungssumme Gebäude Überschwemmung Prüfung]])</f>
        <v>40500000</v>
      </c>
      <c r="O7" s="96">
        <f>IF(Objektliste[[#This Row],[Zürs-
Zone]]&gt;3,"",M7)</f>
        <v>4500000</v>
      </c>
      <c r="P7" s="69" t="s">
        <v>149</v>
      </c>
      <c r="Q7" s="69"/>
      <c r="R7" s="69"/>
      <c r="S7" s="77"/>
      <c r="T7" s="73"/>
      <c r="U7" s="73"/>
      <c r="V7" s="73"/>
      <c r="W7" s="73"/>
      <c r="Y7" s="73"/>
    </row>
    <row r="8" spans="1:25" ht="31.5" customHeight="1" x14ac:dyDescent="0.25">
      <c r="A8" s="91">
        <v>7</v>
      </c>
      <c r="B8" s="91" t="s">
        <v>80</v>
      </c>
      <c r="C8" s="91"/>
      <c r="D8" s="99">
        <v>1</v>
      </c>
      <c r="E8" s="96">
        <v>0</v>
      </c>
      <c r="F8" s="96">
        <v>2895984</v>
      </c>
      <c r="G8" s="96">
        <v>0</v>
      </c>
      <c r="H8" s="96">
        <v>2895984</v>
      </c>
      <c r="I8" s="96">
        <v>0</v>
      </c>
      <c r="J8" s="96">
        <v>2895984</v>
      </c>
      <c r="K8" s="96">
        <v>0</v>
      </c>
      <c r="L8" s="96">
        <v>2895984</v>
      </c>
      <c r="M8" s="96">
        <v>0</v>
      </c>
      <c r="N8" s="96">
        <f>IF(Objektliste[[#This Row],[Zürs-
Zone]]&gt;3,"",Objektliste[[#This Row],[Versicherungssumme Gebäude Überschwemmung Prüfung]])</f>
        <v>2895984</v>
      </c>
      <c r="O8" s="96">
        <f>IF(Objektliste[[#This Row],[Zürs-
Zone]]&gt;3,"",M8)</f>
        <v>0</v>
      </c>
      <c r="P8" s="69"/>
      <c r="Q8" s="69"/>
      <c r="R8" s="69"/>
      <c r="S8" s="77"/>
      <c r="T8" s="73"/>
      <c r="U8" s="73"/>
      <c r="V8" s="73"/>
      <c r="W8" s="73"/>
      <c r="Y8" s="73"/>
    </row>
    <row r="9" spans="1:25" ht="20.100000000000001" customHeight="1" x14ac:dyDescent="0.25">
      <c r="A9" s="91">
        <v>8</v>
      </c>
      <c r="B9" s="91" t="s">
        <v>81</v>
      </c>
      <c r="C9" s="91"/>
      <c r="D9" s="99">
        <v>1</v>
      </c>
      <c r="E9" s="96">
        <v>146000</v>
      </c>
      <c r="F9" s="96">
        <v>6060222</v>
      </c>
      <c r="G9" s="96">
        <v>146000</v>
      </c>
      <c r="H9" s="96">
        <v>6060222</v>
      </c>
      <c r="I9" s="96">
        <v>146000</v>
      </c>
      <c r="J9" s="96">
        <v>6060222</v>
      </c>
      <c r="K9" s="96">
        <v>146000</v>
      </c>
      <c r="L9" s="96">
        <v>6060222</v>
      </c>
      <c r="M9" s="96">
        <v>146000</v>
      </c>
      <c r="N9" s="96">
        <f>IF(Objektliste[[#This Row],[Zürs-
Zone]]&gt;3,"",Objektliste[[#This Row],[Versicherungssumme Gebäude Überschwemmung Prüfung]])</f>
        <v>6060222</v>
      </c>
      <c r="O9" s="96">
        <f>IF(Objektliste[[#This Row],[Zürs-
Zone]]&gt;3,"",M9)</f>
        <v>146000</v>
      </c>
      <c r="P9" s="69"/>
      <c r="Q9" s="69"/>
      <c r="R9" s="69"/>
      <c r="S9" s="77"/>
      <c r="T9" s="73"/>
      <c r="U9" s="73"/>
      <c r="V9" s="73"/>
      <c r="W9" s="73"/>
      <c r="Y9" s="73"/>
    </row>
    <row r="10" spans="1:25" ht="50.25" customHeight="1" x14ac:dyDescent="0.25">
      <c r="A10" s="91">
        <v>9</v>
      </c>
      <c r="B10" s="91" t="s">
        <v>82</v>
      </c>
      <c r="C10" s="91"/>
      <c r="D10" s="99">
        <v>1</v>
      </c>
      <c r="E10" s="96">
        <v>9500000</v>
      </c>
      <c r="F10" s="96">
        <v>90500000</v>
      </c>
      <c r="G10" s="96">
        <v>9500000</v>
      </c>
      <c r="H10" s="96">
        <v>90500000</v>
      </c>
      <c r="I10" s="96">
        <v>9500000</v>
      </c>
      <c r="J10" s="96">
        <v>90500000</v>
      </c>
      <c r="K10" s="96">
        <v>9500000</v>
      </c>
      <c r="L10" s="96">
        <v>90500000</v>
      </c>
      <c r="M10" s="96">
        <v>9500000</v>
      </c>
      <c r="N10" s="96">
        <f>IF(Objektliste[[#This Row],[Zürs-
Zone]]&gt;3,"",Objektliste[[#This Row],[Versicherungssumme Gebäude Überschwemmung Prüfung]])</f>
        <v>90500000</v>
      </c>
      <c r="O10" s="96">
        <f>IF(Objektliste[[#This Row],[Zürs-
Zone]]&gt;3,"",M10)</f>
        <v>9500000</v>
      </c>
      <c r="P10" s="69" t="s">
        <v>140</v>
      </c>
      <c r="Q10" s="69"/>
      <c r="R10" s="69"/>
      <c r="S10" s="77"/>
      <c r="T10" s="73"/>
      <c r="U10" s="73"/>
      <c r="V10" s="73"/>
      <c r="W10" s="73"/>
      <c r="Y10" s="73"/>
    </row>
    <row r="11" spans="1:25" ht="20.100000000000001" customHeight="1" x14ac:dyDescent="0.25">
      <c r="A11" s="91">
        <v>10</v>
      </c>
      <c r="B11" s="91" t="s">
        <v>117</v>
      </c>
      <c r="C11" s="91"/>
      <c r="D11" s="99">
        <v>1</v>
      </c>
      <c r="E11" s="96">
        <v>0</v>
      </c>
      <c r="F11" s="96">
        <v>504000</v>
      </c>
      <c r="G11" s="96">
        <v>0</v>
      </c>
      <c r="H11" s="96">
        <v>504000</v>
      </c>
      <c r="I11" s="96">
        <v>0</v>
      </c>
      <c r="J11" s="96">
        <v>504000</v>
      </c>
      <c r="K11" s="96">
        <v>0</v>
      </c>
      <c r="L11" s="96">
        <v>504000</v>
      </c>
      <c r="M11" s="96">
        <v>0</v>
      </c>
      <c r="N11" s="96">
        <f>IF(Objektliste[[#This Row],[Zürs-
Zone]]&gt;3,"",Objektliste[[#This Row],[Versicherungssumme Gebäude Überschwemmung Prüfung]])</f>
        <v>504000</v>
      </c>
      <c r="O11" s="96">
        <f>IF(Objektliste[[#This Row],[Zürs-
Zone]]&gt;3,"",M11)</f>
        <v>0</v>
      </c>
      <c r="P11" s="69"/>
      <c r="Q11" s="69"/>
      <c r="R11" s="69"/>
      <c r="S11" s="77"/>
      <c r="T11" s="73"/>
      <c r="U11" s="73"/>
      <c r="V11" s="73"/>
      <c r="W11" s="73"/>
      <c r="Y11" s="73"/>
    </row>
    <row r="12" spans="1:25" ht="20.100000000000001" customHeight="1" x14ac:dyDescent="0.25">
      <c r="A12" s="91">
        <v>11</v>
      </c>
      <c r="B12" s="91" t="s">
        <v>83</v>
      </c>
      <c r="C12" s="91" t="s">
        <v>121</v>
      </c>
      <c r="D12" s="99">
        <v>1</v>
      </c>
      <c r="E12" s="96">
        <v>0</v>
      </c>
      <c r="F12" s="96">
        <v>2753956</v>
      </c>
      <c r="G12" s="96">
        <v>0</v>
      </c>
      <c r="H12" s="96">
        <v>2753956</v>
      </c>
      <c r="I12" s="96">
        <v>0</v>
      </c>
      <c r="J12" s="96">
        <v>2753956</v>
      </c>
      <c r="K12" s="96">
        <v>0</v>
      </c>
      <c r="L12" s="96">
        <v>2753956</v>
      </c>
      <c r="M12" s="96">
        <v>0</v>
      </c>
      <c r="N12" s="96">
        <f>IF(Objektliste[[#This Row],[Zürs-
Zone]]&gt;3,"",Objektliste[[#This Row],[Versicherungssumme Gebäude Überschwemmung Prüfung]])</f>
        <v>2753956</v>
      </c>
      <c r="O12" s="96">
        <f>IF(Objektliste[[#This Row],[Zürs-
Zone]]&gt;3,"",M12)</f>
        <v>0</v>
      </c>
      <c r="P12" s="69"/>
      <c r="Q12" s="69"/>
      <c r="R12" s="69"/>
      <c r="S12" s="77"/>
      <c r="T12" s="73"/>
      <c r="U12" s="73"/>
      <c r="V12" s="73"/>
      <c r="W12" s="73"/>
      <c r="Y12" s="73"/>
    </row>
    <row r="13" spans="1:25" ht="20.100000000000001" customHeight="1" x14ac:dyDescent="0.25">
      <c r="A13" s="91">
        <v>12</v>
      </c>
      <c r="B13" s="91" t="s">
        <v>118</v>
      </c>
      <c r="C13" s="91"/>
      <c r="D13" s="99">
        <v>1</v>
      </c>
      <c r="E13" s="96">
        <v>146000</v>
      </c>
      <c r="F13" s="96">
        <v>5661535</v>
      </c>
      <c r="G13" s="96">
        <v>146000</v>
      </c>
      <c r="H13" s="96">
        <v>5661535</v>
      </c>
      <c r="I13" s="96">
        <v>146000</v>
      </c>
      <c r="J13" s="96">
        <v>5661535</v>
      </c>
      <c r="K13" s="96">
        <v>146000</v>
      </c>
      <c r="L13" s="96">
        <v>5661535</v>
      </c>
      <c r="M13" s="96">
        <v>146000</v>
      </c>
      <c r="N13" s="96">
        <f>IF(Objektliste[[#This Row],[Zürs-
Zone]]&gt;3,"",Objektliste[[#This Row],[Versicherungssumme Gebäude Überschwemmung Prüfung]])</f>
        <v>5661535</v>
      </c>
      <c r="O13" s="96">
        <f>IF(Objektliste[[#This Row],[Zürs-
Zone]]&gt;3,"",M13)</f>
        <v>146000</v>
      </c>
      <c r="P13" s="69"/>
      <c r="Q13" s="69"/>
      <c r="R13" s="69"/>
      <c r="S13" s="77"/>
      <c r="T13" s="73"/>
      <c r="U13" s="73"/>
      <c r="V13" s="73"/>
      <c r="W13" s="73"/>
      <c r="Y13" s="73"/>
    </row>
    <row r="14" spans="1:25" ht="20.100000000000001" customHeight="1" x14ac:dyDescent="0.25">
      <c r="A14" s="91">
        <v>13</v>
      </c>
      <c r="B14" s="91" t="s">
        <v>120</v>
      </c>
      <c r="C14" s="91"/>
      <c r="D14" s="99">
        <v>1</v>
      </c>
      <c r="E14" s="96">
        <v>146000</v>
      </c>
      <c r="F14" s="96">
        <v>2748470</v>
      </c>
      <c r="G14" s="96">
        <v>146000</v>
      </c>
      <c r="H14" s="96">
        <v>2748470</v>
      </c>
      <c r="I14" s="96">
        <v>146000</v>
      </c>
      <c r="J14" s="96">
        <v>2748470</v>
      </c>
      <c r="K14" s="96">
        <v>146000</v>
      </c>
      <c r="L14" s="96">
        <v>2748470</v>
      </c>
      <c r="M14" s="96">
        <v>146000</v>
      </c>
      <c r="N14" s="96">
        <f>IF(Objektliste[[#This Row],[Zürs-
Zone]]&gt;3,"",Objektliste[[#This Row],[Versicherungssumme Gebäude Überschwemmung Prüfung]])</f>
        <v>2748470</v>
      </c>
      <c r="O14" s="96">
        <f>IF(Objektliste[[#This Row],[Zürs-
Zone]]&gt;3,"",M14)</f>
        <v>146000</v>
      </c>
      <c r="P14" s="69" t="s">
        <v>147</v>
      </c>
      <c r="Q14" s="69"/>
      <c r="R14" s="69"/>
      <c r="S14" s="77"/>
      <c r="T14" s="73"/>
      <c r="U14" s="73"/>
      <c r="V14" s="73"/>
      <c r="W14" s="73"/>
      <c r="Y14" s="73"/>
    </row>
    <row r="15" spans="1:25" ht="20.100000000000001" customHeight="1" x14ac:dyDescent="0.25">
      <c r="A15" s="91">
        <v>14</v>
      </c>
      <c r="B15" s="91" t="s">
        <v>84</v>
      </c>
      <c r="C15" s="91"/>
      <c r="D15" s="99">
        <v>1</v>
      </c>
      <c r="E15" s="96">
        <v>1950000</v>
      </c>
      <c r="F15" s="96">
        <v>10950000</v>
      </c>
      <c r="G15" s="96">
        <v>1950000</v>
      </c>
      <c r="H15" s="96">
        <v>10950000</v>
      </c>
      <c r="I15" s="96">
        <v>1950000</v>
      </c>
      <c r="J15" s="96">
        <v>10950000</v>
      </c>
      <c r="K15" s="96">
        <v>1950000</v>
      </c>
      <c r="L15" s="96">
        <v>10950000</v>
      </c>
      <c r="M15" s="96">
        <v>1950000</v>
      </c>
      <c r="N15" s="96">
        <f>IF(Objektliste[[#This Row],[Zürs-
Zone]]&gt;3,"",Objektliste[[#This Row],[Versicherungssumme Gebäude Überschwemmung Prüfung]])</f>
        <v>10950000</v>
      </c>
      <c r="O15" s="96">
        <f>IF(Objektliste[[#This Row],[Zürs-
Zone]]&gt;3,"",M15)</f>
        <v>1950000</v>
      </c>
      <c r="P15" s="69" t="s">
        <v>145</v>
      </c>
      <c r="Q15" s="69"/>
      <c r="R15" s="69"/>
      <c r="S15" s="77"/>
      <c r="T15" s="73"/>
      <c r="U15" s="73"/>
      <c r="V15" s="73"/>
      <c r="W15" s="73"/>
      <c r="Y15" s="73"/>
    </row>
    <row r="16" spans="1:25" ht="15" x14ac:dyDescent="0.25">
      <c r="A16" s="91">
        <v>15</v>
      </c>
      <c r="B16" s="91" t="s">
        <v>85</v>
      </c>
      <c r="C16" s="91"/>
      <c r="D16" s="99">
        <v>1</v>
      </c>
      <c r="E16" s="96">
        <v>758000</v>
      </c>
      <c r="F16" s="96">
        <v>7582000</v>
      </c>
      <c r="G16" s="96">
        <v>758000</v>
      </c>
      <c r="H16" s="96">
        <v>7582000</v>
      </c>
      <c r="I16" s="96">
        <v>758000</v>
      </c>
      <c r="J16" s="96">
        <v>7582000</v>
      </c>
      <c r="K16" s="96">
        <v>758000</v>
      </c>
      <c r="L16" s="96">
        <v>7582000</v>
      </c>
      <c r="M16" s="96">
        <v>758000</v>
      </c>
      <c r="N16" s="96">
        <f>IF(Objektliste[[#This Row],[Zürs-
Zone]]&gt;3,"",Objektliste[[#This Row],[Versicherungssumme Gebäude Überschwemmung Prüfung]])</f>
        <v>7582000</v>
      </c>
      <c r="O16" s="96">
        <f>IF(Objektliste[[#This Row],[Zürs-
Zone]]&gt;3,"",M16)</f>
        <v>758000</v>
      </c>
      <c r="P16" s="69"/>
      <c r="Q16" s="69"/>
      <c r="R16" s="69"/>
      <c r="S16" s="77"/>
      <c r="T16" s="73"/>
      <c r="U16" s="73"/>
      <c r="V16" s="73"/>
      <c r="W16" s="73"/>
      <c r="Y16" s="73"/>
    </row>
    <row r="17" spans="1:25" ht="15" x14ac:dyDescent="0.25">
      <c r="A17" s="91">
        <v>16</v>
      </c>
      <c r="B17" s="91" t="s">
        <v>123</v>
      </c>
      <c r="C17" s="91" t="s">
        <v>122</v>
      </c>
      <c r="D17" s="99">
        <v>1</v>
      </c>
      <c r="E17" s="96">
        <v>57500</v>
      </c>
      <c r="F17" s="96">
        <v>575000</v>
      </c>
      <c r="G17" s="96">
        <v>57500</v>
      </c>
      <c r="H17" s="96">
        <v>575000</v>
      </c>
      <c r="I17" s="96">
        <v>57500</v>
      </c>
      <c r="J17" s="96">
        <v>575000</v>
      </c>
      <c r="K17" s="96">
        <v>57500</v>
      </c>
      <c r="L17" s="96">
        <v>575000</v>
      </c>
      <c r="M17" s="96">
        <v>57500</v>
      </c>
      <c r="N17" s="96">
        <f>IF(Objektliste[[#This Row],[Zürs-
Zone]]&gt;3,"",Objektliste[[#This Row],[Versicherungssumme Gebäude Überschwemmung Prüfung]])</f>
        <v>575000</v>
      </c>
      <c r="O17" s="96">
        <f>IF(Objektliste[[#This Row],[Zürs-
Zone]]&gt;3,"",M17)</f>
        <v>57500</v>
      </c>
      <c r="P17" s="69"/>
      <c r="Q17" s="69"/>
      <c r="R17" s="69"/>
      <c r="S17" s="77"/>
      <c r="T17" s="73"/>
      <c r="U17" s="73"/>
      <c r="V17" s="73"/>
      <c r="W17" s="73"/>
      <c r="Y17" s="73"/>
    </row>
    <row r="18" spans="1:25" ht="15" x14ac:dyDescent="0.25">
      <c r="A18" s="91">
        <v>17</v>
      </c>
      <c r="B18" s="91" t="s">
        <v>86</v>
      </c>
      <c r="C18" s="91"/>
      <c r="D18" s="99">
        <v>1</v>
      </c>
      <c r="E18" s="96">
        <v>63000</v>
      </c>
      <c r="F18" s="96">
        <v>630000</v>
      </c>
      <c r="G18" s="96">
        <v>63000</v>
      </c>
      <c r="H18" s="96">
        <v>630000</v>
      </c>
      <c r="I18" s="96">
        <v>63000</v>
      </c>
      <c r="J18" s="96">
        <v>630000</v>
      </c>
      <c r="K18" s="96">
        <v>63000</v>
      </c>
      <c r="L18" s="96">
        <v>630000</v>
      </c>
      <c r="M18" s="96">
        <v>63000</v>
      </c>
      <c r="N18" s="96">
        <f>IF(Objektliste[[#This Row],[Zürs-
Zone]]&gt;3,"",Objektliste[[#This Row],[Versicherungssumme Gebäude Überschwemmung Prüfung]])</f>
        <v>630000</v>
      </c>
      <c r="O18" s="96">
        <f>IF(Objektliste[[#This Row],[Zürs-
Zone]]&gt;3,"",M18)</f>
        <v>63000</v>
      </c>
      <c r="P18" s="69"/>
      <c r="Q18" s="69"/>
      <c r="R18" s="69"/>
      <c r="S18" s="77"/>
      <c r="T18" s="73"/>
      <c r="U18" s="73"/>
      <c r="V18" s="73"/>
      <c r="W18" s="73"/>
      <c r="Y18" s="73"/>
    </row>
    <row r="19" spans="1:25" ht="15" x14ac:dyDescent="0.25">
      <c r="A19" s="91">
        <v>18</v>
      </c>
      <c r="B19" s="91" t="s">
        <v>87</v>
      </c>
      <c r="C19" s="91" t="s">
        <v>124</v>
      </c>
      <c r="D19" s="99">
        <v>1</v>
      </c>
      <c r="E19" s="96">
        <v>91000</v>
      </c>
      <c r="F19" s="96">
        <v>910000</v>
      </c>
      <c r="G19" s="96">
        <v>91000</v>
      </c>
      <c r="H19" s="96">
        <v>910000</v>
      </c>
      <c r="I19" s="96">
        <v>91000</v>
      </c>
      <c r="J19" s="96">
        <v>910000</v>
      </c>
      <c r="K19" s="96">
        <v>91000</v>
      </c>
      <c r="L19" s="96">
        <v>910000</v>
      </c>
      <c r="M19" s="96">
        <v>91000</v>
      </c>
      <c r="N19" s="96">
        <f>IF(Objektliste[[#This Row],[Zürs-
Zone]]&gt;3,"",Objektliste[[#This Row],[Versicherungssumme Gebäude Überschwemmung Prüfung]])</f>
        <v>910000</v>
      </c>
      <c r="O19" s="96">
        <f>IF(Objektliste[[#This Row],[Zürs-
Zone]]&gt;3,"",M19)</f>
        <v>91000</v>
      </c>
      <c r="P19" s="69"/>
      <c r="Q19" s="69"/>
      <c r="R19" s="69"/>
      <c r="S19" s="77"/>
      <c r="T19" s="73"/>
      <c r="U19" s="73"/>
      <c r="V19" s="73"/>
      <c r="W19" s="73"/>
      <c r="Y19" s="73"/>
    </row>
    <row r="20" spans="1:25" ht="20.100000000000001" customHeight="1" x14ac:dyDescent="0.25">
      <c r="A20" s="91">
        <v>19</v>
      </c>
      <c r="B20" s="91" t="s">
        <v>88</v>
      </c>
      <c r="C20" s="91"/>
      <c r="D20" s="99">
        <v>1</v>
      </c>
      <c r="E20" s="96">
        <v>919977</v>
      </c>
      <c r="F20" s="96">
        <v>9199768</v>
      </c>
      <c r="G20" s="96">
        <v>919977</v>
      </c>
      <c r="H20" s="96">
        <v>9199768</v>
      </c>
      <c r="I20" s="96">
        <v>919977</v>
      </c>
      <c r="J20" s="96">
        <v>9199768</v>
      </c>
      <c r="K20" s="96">
        <v>919977</v>
      </c>
      <c r="L20" s="96">
        <v>9199768</v>
      </c>
      <c r="M20" s="96">
        <v>919977</v>
      </c>
      <c r="N20" s="96">
        <f>IF(Objektliste[[#This Row],[Zürs-
Zone]]&gt;3,"",Objektliste[[#This Row],[Versicherungssumme Gebäude Überschwemmung Prüfung]])</f>
        <v>9199768</v>
      </c>
      <c r="O20" s="96">
        <f>IF(Objektliste[[#This Row],[Zürs-
Zone]]&gt;3,"",M20)</f>
        <v>919977</v>
      </c>
      <c r="P20" s="69" t="s">
        <v>144</v>
      </c>
      <c r="Q20" s="69"/>
      <c r="R20" s="69"/>
      <c r="S20" s="77"/>
      <c r="T20" s="73"/>
      <c r="U20" s="73"/>
      <c r="V20" s="73"/>
      <c r="W20" s="73"/>
      <c r="Y20" s="73"/>
    </row>
    <row r="21" spans="1:25" ht="20.100000000000001" customHeight="1" x14ac:dyDescent="0.25">
      <c r="A21" s="91">
        <v>20</v>
      </c>
      <c r="B21" s="91" t="s">
        <v>89</v>
      </c>
      <c r="C21" s="91"/>
      <c r="D21" s="99">
        <v>1</v>
      </c>
      <c r="E21" s="96">
        <v>396292</v>
      </c>
      <c r="F21" s="96">
        <v>3166300</v>
      </c>
      <c r="G21" s="96">
        <v>396292</v>
      </c>
      <c r="H21" s="96">
        <v>3166300</v>
      </c>
      <c r="I21" s="96">
        <v>396292</v>
      </c>
      <c r="J21" s="96">
        <v>3166300</v>
      </c>
      <c r="K21" s="96">
        <v>396292</v>
      </c>
      <c r="L21" s="96">
        <v>3166300</v>
      </c>
      <c r="M21" s="96">
        <v>396292</v>
      </c>
      <c r="N21" s="96">
        <f>IF(Objektliste[[#This Row],[Zürs-
Zone]]&gt;3,"",Objektliste[[#This Row],[Versicherungssumme Gebäude Überschwemmung Prüfung]])</f>
        <v>3166300</v>
      </c>
      <c r="O21" s="96">
        <f>IF(Objektliste[[#This Row],[Zürs-
Zone]]&gt;3,"",M21)</f>
        <v>396292</v>
      </c>
      <c r="P21" s="69"/>
      <c r="Q21" s="69"/>
      <c r="R21" s="69"/>
      <c r="S21" s="77"/>
      <c r="T21" s="73"/>
      <c r="U21" s="73"/>
      <c r="V21" s="73"/>
      <c r="W21" s="73"/>
      <c r="Y21" s="73"/>
    </row>
    <row r="22" spans="1:25" ht="15" x14ac:dyDescent="0.25">
      <c r="A22" s="91">
        <v>21</v>
      </c>
      <c r="B22" s="91" t="s">
        <v>90</v>
      </c>
      <c r="C22" s="91"/>
      <c r="D22" s="99">
        <v>1</v>
      </c>
      <c r="E22" s="96">
        <v>380000</v>
      </c>
      <c r="F22" s="96">
        <v>3800000</v>
      </c>
      <c r="G22" s="96">
        <v>380000</v>
      </c>
      <c r="H22" s="96">
        <v>3800000</v>
      </c>
      <c r="I22" s="96">
        <v>380000</v>
      </c>
      <c r="J22" s="96">
        <v>3800000</v>
      </c>
      <c r="K22" s="96">
        <v>380000</v>
      </c>
      <c r="L22" s="96">
        <v>3800000</v>
      </c>
      <c r="M22" s="96">
        <v>380000</v>
      </c>
      <c r="N22" s="96">
        <f>IF(Objektliste[[#This Row],[Zürs-
Zone]]&gt;3,"",Objektliste[[#This Row],[Versicherungssumme Gebäude Überschwemmung Prüfung]])</f>
        <v>3800000</v>
      </c>
      <c r="O22" s="96">
        <f>IF(Objektliste[[#This Row],[Zürs-
Zone]]&gt;3,"",M22)</f>
        <v>380000</v>
      </c>
      <c r="P22" s="69" t="s">
        <v>139</v>
      </c>
      <c r="Q22" s="69"/>
      <c r="R22" s="69"/>
      <c r="S22" s="77"/>
      <c r="T22" s="73"/>
      <c r="U22" s="73"/>
      <c r="V22" s="73"/>
      <c r="W22" s="73"/>
      <c r="Y22" s="73"/>
    </row>
    <row r="23" spans="1:25" ht="15" x14ac:dyDescent="0.25">
      <c r="A23" s="91">
        <v>22</v>
      </c>
      <c r="B23" s="91" t="s">
        <v>91</v>
      </c>
      <c r="C23" s="91"/>
      <c r="D23" s="99">
        <v>1</v>
      </c>
      <c r="E23" s="96">
        <v>0</v>
      </c>
      <c r="F23" s="96">
        <v>744316</v>
      </c>
      <c r="G23" s="96">
        <v>0</v>
      </c>
      <c r="H23" s="96">
        <v>744316</v>
      </c>
      <c r="I23" s="96">
        <v>0</v>
      </c>
      <c r="J23" s="96">
        <v>744316</v>
      </c>
      <c r="K23" s="96">
        <v>0</v>
      </c>
      <c r="L23" s="96">
        <v>744316</v>
      </c>
      <c r="M23" s="96">
        <v>0</v>
      </c>
      <c r="N23" s="96">
        <f>IF(Objektliste[[#This Row],[Zürs-
Zone]]&gt;3,"",Objektliste[[#This Row],[Versicherungssumme Gebäude Überschwemmung Prüfung]])</f>
        <v>744316</v>
      </c>
      <c r="O23" s="96">
        <f>IF(Objektliste[[#This Row],[Zürs-
Zone]]&gt;3,"",M23)</f>
        <v>0</v>
      </c>
      <c r="P23" s="69"/>
      <c r="Q23" s="69"/>
      <c r="R23" s="69"/>
      <c r="S23" s="77"/>
      <c r="T23" s="73"/>
      <c r="U23" s="73"/>
      <c r="V23" s="73"/>
      <c r="W23" s="73"/>
      <c r="Y23" s="73"/>
    </row>
    <row r="24" spans="1:25" ht="20.100000000000001" customHeight="1" x14ac:dyDescent="0.25">
      <c r="A24" s="91">
        <v>23</v>
      </c>
      <c r="B24" s="91" t="s">
        <v>92</v>
      </c>
      <c r="C24" s="91"/>
      <c r="D24" s="99">
        <v>1</v>
      </c>
      <c r="E24" s="96">
        <v>247000</v>
      </c>
      <c r="F24" s="96">
        <v>2475000</v>
      </c>
      <c r="G24" s="96">
        <v>247000</v>
      </c>
      <c r="H24" s="96">
        <v>2475000</v>
      </c>
      <c r="I24" s="96">
        <v>247000</v>
      </c>
      <c r="J24" s="96">
        <v>2475000</v>
      </c>
      <c r="K24" s="96">
        <v>247000</v>
      </c>
      <c r="L24" s="96">
        <v>2475000</v>
      </c>
      <c r="M24" s="96">
        <v>247000</v>
      </c>
      <c r="N24" s="96">
        <f>IF(Objektliste[[#This Row],[Zürs-
Zone]]&gt;3,"",Objektliste[[#This Row],[Versicherungssumme Gebäude Überschwemmung Prüfung]])</f>
        <v>2475000</v>
      </c>
      <c r="O24" s="96">
        <f>IF(Objektliste[[#This Row],[Zürs-
Zone]]&gt;3,"",M24)</f>
        <v>247000</v>
      </c>
      <c r="P24" s="69"/>
      <c r="Q24" s="69"/>
      <c r="R24" s="69"/>
      <c r="S24" s="77"/>
      <c r="T24" s="73"/>
      <c r="U24" s="73"/>
      <c r="V24" s="73"/>
      <c r="W24" s="73"/>
      <c r="Y24" s="73"/>
    </row>
    <row r="25" spans="1:25" ht="20.100000000000001" customHeight="1" x14ac:dyDescent="0.25">
      <c r="A25" s="91">
        <v>24</v>
      </c>
      <c r="B25" s="91" t="s">
        <v>93</v>
      </c>
      <c r="C25" s="91"/>
      <c r="D25" s="99">
        <v>1</v>
      </c>
      <c r="E25" s="96">
        <v>310000</v>
      </c>
      <c r="F25" s="96">
        <v>3100000</v>
      </c>
      <c r="G25" s="96">
        <v>310000</v>
      </c>
      <c r="H25" s="96">
        <v>3100000</v>
      </c>
      <c r="I25" s="96">
        <v>310000</v>
      </c>
      <c r="J25" s="96">
        <v>3100000</v>
      </c>
      <c r="K25" s="96">
        <v>310000</v>
      </c>
      <c r="L25" s="96">
        <v>3100000</v>
      </c>
      <c r="M25" s="96">
        <v>310000</v>
      </c>
      <c r="N25" s="96">
        <f>IF(Objektliste[[#This Row],[Zürs-
Zone]]&gt;3,"",Objektliste[[#This Row],[Versicherungssumme Gebäude Überschwemmung Prüfung]])</f>
        <v>3100000</v>
      </c>
      <c r="O25" s="96">
        <f>IF(Objektliste[[#This Row],[Zürs-
Zone]]&gt;3,"",M25)</f>
        <v>310000</v>
      </c>
      <c r="P25" s="69"/>
      <c r="Q25" s="69"/>
      <c r="R25" s="69"/>
      <c r="S25" s="77"/>
      <c r="T25" s="73"/>
      <c r="U25" s="73"/>
      <c r="V25" s="73"/>
      <c r="W25" s="73"/>
      <c r="Y25" s="73"/>
    </row>
    <row r="26" spans="1:25" ht="20.100000000000001" customHeight="1" x14ac:dyDescent="0.25">
      <c r="A26" s="91">
        <v>25</v>
      </c>
      <c r="B26" s="91" t="s">
        <v>94</v>
      </c>
      <c r="C26" s="91" t="s">
        <v>128</v>
      </c>
      <c r="D26" s="99">
        <v>1</v>
      </c>
      <c r="E26" s="96">
        <v>50000</v>
      </c>
      <c r="F26" s="96">
        <v>356632</v>
      </c>
      <c r="G26" s="96">
        <v>50000</v>
      </c>
      <c r="H26" s="96">
        <v>356632</v>
      </c>
      <c r="I26" s="96">
        <v>50000</v>
      </c>
      <c r="J26" s="96">
        <v>356632</v>
      </c>
      <c r="K26" s="96">
        <v>50000</v>
      </c>
      <c r="L26" s="96">
        <v>356632</v>
      </c>
      <c r="M26" s="96">
        <v>50000</v>
      </c>
      <c r="N26" s="96">
        <f>IF(Objektliste[[#This Row],[Zürs-
Zone]]&gt;3,"",Objektliste[[#This Row],[Versicherungssumme Gebäude Überschwemmung Prüfung]])</f>
        <v>356632</v>
      </c>
      <c r="O26" s="96">
        <f>IF(Objektliste[[#This Row],[Zürs-
Zone]]&gt;3,"",M26)</f>
        <v>50000</v>
      </c>
      <c r="P26" s="69"/>
      <c r="Q26" s="69"/>
      <c r="R26" s="69"/>
      <c r="S26" s="77"/>
      <c r="T26" s="73"/>
      <c r="U26" s="73"/>
      <c r="V26" s="73"/>
      <c r="W26" s="73"/>
      <c r="Y26" s="73"/>
    </row>
    <row r="27" spans="1:25" ht="20.100000000000001" customHeight="1" x14ac:dyDescent="0.25">
      <c r="A27" s="91">
        <v>26</v>
      </c>
      <c r="B27" s="91" t="s">
        <v>95</v>
      </c>
      <c r="C27" s="91" t="s">
        <v>126</v>
      </c>
      <c r="D27" s="99">
        <v>1</v>
      </c>
      <c r="E27" s="96">
        <v>120000</v>
      </c>
      <c r="F27" s="96">
        <v>738449</v>
      </c>
      <c r="G27" s="96">
        <v>120000</v>
      </c>
      <c r="H27" s="96">
        <v>738449</v>
      </c>
      <c r="I27" s="96">
        <v>120000</v>
      </c>
      <c r="J27" s="96">
        <v>738449</v>
      </c>
      <c r="K27" s="96">
        <v>120000</v>
      </c>
      <c r="L27" s="96">
        <v>738449</v>
      </c>
      <c r="M27" s="96">
        <v>120000</v>
      </c>
      <c r="N27" s="96">
        <f>IF(Objektliste[[#This Row],[Zürs-
Zone]]&gt;3,"",Objektliste[[#This Row],[Versicherungssumme Gebäude Überschwemmung Prüfung]])</f>
        <v>738449</v>
      </c>
      <c r="O27" s="96">
        <f>IF(Objektliste[[#This Row],[Zürs-
Zone]]&gt;3,"",M27)</f>
        <v>120000</v>
      </c>
      <c r="P27" s="69"/>
      <c r="Q27" s="69"/>
      <c r="R27" s="69"/>
      <c r="S27" s="77"/>
      <c r="T27" s="73"/>
      <c r="U27" s="73"/>
      <c r="V27" s="73"/>
      <c r="W27" s="73"/>
      <c r="Y27" s="73"/>
    </row>
    <row r="28" spans="1:25" ht="20.100000000000001" customHeight="1" x14ac:dyDescent="0.25">
      <c r="A28" s="91">
        <v>27</v>
      </c>
      <c r="B28" s="91" t="s">
        <v>96</v>
      </c>
      <c r="C28" s="91" t="s">
        <v>125</v>
      </c>
      <c r="D28" s="99">
        <v>1</v>
      </c>
      <c r="E28" s="96">
        <v>50000</v>
      </c>
      <c r="F28" s="96">
        <v>425813</v>
      </c>
      <c r="G28" s="96">
        <v>50000</v>
      </c>
      <c r="H28" s="96">
        <v>425813</v>
      </c>
      <c r="I28" s="96">
        <v>50000</v>
      </c>
      <c r="J28" s="96">
        <v>425813</v>
      </c>
      <c r="K28" s="96">
        <v>50000</v>
      </c>
      <c r="L28" s="96">
        <v>425813</v>
      </c>
      <c r="M28" s="96">
        <v>50000</v>
      </c>
      <c r="N28" s="96">
        <f>IF(Objektliste[[#This Row],[Zürs-
Zone]]&gt;3,"",Objektliste[[#This Row],[Versicherungssumme Gebäude Überschwemmung Prüfung]])</f>
        <v>425813</v>
      </c>
      <c r="O28" s="96">
        <f>IF(Objektliste[[#This Row],[Zürs-
Zone]]&gt;3,"",M28)</f>
        <v>50000</v>
      </c>
      <c r="P28" s="69" t="s">
        <v>141</v>
      </c>
      <c r="Q28" s="69"/>
      <c r="R28" s="69"/>
      <c r="S28" s="77"/>
      <c r="T28" s="73"/>
      <c r="U28" s="73"/>
      <c r="V28" s="73"/>
      <c r="W28" s="73"/>
      <c r="Y28" s="73"/>
    </row>
    <row r="29" spans="1:25" ht="15" x14ac:dyDescent="0.25">
      <c r="A29" s="91">
        <v>28</v>
      </c>
      <c r="B29" s="91" t="s">
        <v>97</v>
      </c>
      <c r="C29" s="91" t="s">
        <v>127</v>
      </c>
      <c r="D29" s="99">
        <v>1</v>
      </c>
      <c r="E29" s="96">
        <v>40000</v>
      </c>
      <c r="F29" s="96">
        <v>600000</v>
      </c>
      <c r="G29" s="96">
        <v>40000</v>
      </c>
      <c r="H29" s="96">
        <v>600000</v>
      </c>
      <c r="I29" s="96">
        <v>40000</v>
      </c>
      <c r="J29" s="96">
        <v>600000</v>
      </c>
      <c r="K29" s="96">
        <v>40000</v>
      </c>
      <c r="L29" s="96">
        <v>600000</v>
      </c>
      <c r="M29" s="96">
        <v>40000</v>
      </c>
      <c r="N29" s="96">
        <f>IF(Objektliste[[#This Row],[Zürs-
Zone]]&gt;3,"",Objektliste[[#This Row],[Versicherungssumme Gebäude Überschwemmung Prüfung]])</f>
        <v>600000</v>
      </c>
      <c r="O29" s="96">
        <f>IF(Objektliste[[#This Row],[Zürs-
Zone]]&gt;3,"",M29)</f>
        <v>40000</v>
      </c>
      <c r="P29" s="69" t="s">
        <v>142</v>
      </c>
      <c r="Q29" s="69"/>
      <c r="R29" s="69"/>
      <c r="S29" s="77"/>
      <c r="T29" s="73"/>
      <c r="U29" s="73"/>
      <c r="V29" s="73"/>
      <c r="W29" s="73"/>
      <c r="Y29" s="73"/>
    </row>
    <row r="30" spans="1:25" ht="20.100000000000001" customHeight="1" x14ac:dyDescent="0.25">
      <c r="A30" s="91">
        <v>29</v>
      </c>
      <c r="B30" s="91" t="s">
        <v>98</v>
      </c>
      <c r="C30" s="91"/>
      <c r="D30" s="99">
        <v>1</v>
      </c>
      <c r="E30" s="96">
        <v>0</v>
      </c>
      <c r="F30" s="96">
        <v>750607</v>
      </c>
      <c r="G30" s="96">
        <v>0</v>
      </c>
      <c r="H30" s="96">
        <v>750607</v>
      </c>
      <c r="I30" s="96">
        <v>0</v>
      </c>
      <c r="J30" s="96">
        <v>750607</v>
      </c>
      <c r="K30" s="96">
        <v>0</v>
      </c>
      <c r="L30" s="96">
        <v>750607</v>
      </c>
      <c r="M30" s="96">
        <v>0</v>
      </c>
      <c r="N30" s="96">
        <f>IF(Objektliste[[#This Row],[Zürs-
Zone]]&gt;3,"",Objektliste[[#This Row],[Versicherungssumme Gebäude Überschwemmung Prüfung]])</f>
        <v>750607</v>
      </c>
      <c r="O30" s="96">
        <f>IF(Objektliste[[#This Row],[Zürs-
Zone]]&gt;3,"",M30)</f>
        <v>0</v>
      </c>
      <c r="P30" s="69"/>
      <c r="Q30" s="69"/>
      <c r="R30" s="69"/>
      <c r="S30" s="77"/>
      <c r="T30" s="73"/>
      <c r="U30" s="73"/>
      <c r="V30" s="73"/>
      <c r="W30" s="73"/>
      <c r="Y30" s="73"/>
    </row>
    <row r="31" spans="1:25" ht="20.100000000000001" customHeight="1" x14ac:dyDescent="0.25">
      <c r="A31" s="91">
        <v>30</v>
      </c>
      <c r="B31" s="91" t="s">
        <v>99</v>
      </c>
      <c r="C31" s="91"/>
      <c r="D31" s="99">
        <v>1</v>
      </c>
      <c r="E31" s="96">
        <v>0</v>
      </c>
      <c r="F31" s="96">
        <v>0</v>
      </c>
      <c r="G31" s="96">
        <v>0</v>
      </c>
      <c r="H31" s="96">
        <v>0</v>
      </c>
      <c r="I31" s="96">
        <v>0</v>
      </c>
      <c r="J31" s="96">
        <v>0</v>
      </c>
      <c r="K31" s="96">
        <v>0</v>
      </c>
      <c r="L31" s="96">
        <v>0</v>
      </c>
      <c r="M31" s="96">
        <v>0</v>
      </c>
      <c r="N31" s="96">
        <f>IF(Objektliste[[#This Row],[Zürs-
Zone]]&gt;3,"",Objektliste[[#This Row],[Versicherungssumme Gebäude Überschwemmung Prüfung]])</f>
        <v>0</v>
      </c>
      <c r="O31" s="96">
        <f>IF(Objektliste[[#This Row],[Zürs-
Zone]]&gt;3,"",M31)</f>
        <v>0</v>
      </c>
      <c r="P31" s="69" t="s">
        <v>102</v>
      </c>
      <c r="Q31" s="69"/>
      <c r="R31" s="69"/>
      <c r="S31" s="77"/>
      <c r="T31" s="73"/>
      <c r="U31" s="73"/>
      <c r="V31" s="73"/>
      <c r="W31" s="73"/>
      <c r="Y31" s="73"/>
    </row>
    <row r="32" spans="1:25" ht="20.100000000000001" customHeight="1" x14ac:dyDescent="0.25">
      <c r="A32" s="91">
        <v>31</v>
      </c>
      <c r="B32" s="91" t="s">
        <v>103</v>
      </c>
      <c r="C32" s="91"/>
      <c r="D32" s="99">
        <v>1</v>
      </c>
      <c r="E32" s="96">
        <v>40000</v>
      </c>
      <c r="F32" s="96"/>
      <c r="G32" s="96">
        <v>40000</v>
      </c>
      <c r="H32" s="96"/>
      <c r="I32" s="96">
        <v>40000</v>
      </c>
      <c r="J32" s="96"/>
      <c r="K32" s="96">
        <v>40000</v>
      </c>
      <c r="L32" s="96"/>
      <c r="M32" s="96">
        <v>40000</v>
      </c>
      <c r="N32" s="96">
        <f>IF(Objektliste[[#This Row],[Zürs-
Zone]]&gt;3,"",Objektliste[[#This Row],[Versicherungssumme Gebäude Überschwemmung Prüfung]])</f>
        <v>0</v>
      </c>
      <c r="O32" s="96">
        <f>IF(Objektliste[[#This Row],[Zürs-
Zone]]&gt;3,"",M32)</f>
        <v>40000</v>
      </c>
      <c r="P32" s="69"/>
      <c r="Q32" s="69"/>
      <c r="R32" s="69"/>
      <c r="S32" s="77"/>
      <c r="T32" s="73"/>
      <c r="U32" s="73"/>
      <c r="V32" s="73"/>
      <c r="W32" s="73"/>
      <c r="Y32" s="73"/>
    </row>
    <row r="33" spans="1:25" ht="15" x14ac:dyDescent="0.25">
      <c r="A33" s="91">
        <v>32</v>
      </c>
      <c r="B33" s="91" t="s">
        <v>129</v>
      </c>
      <c r="C33" s="91"/>
      <c r="D33" s="99">
        <v>1</v>
      </c>
      <c r="E33" s="96">
        <v>40000</v>
      </c>
      <c r="F33" s="96"/>
      <c r="G33" s="96">
        <v>40000</v>
      </c>
      <c r="H33" s="96"/>
      <c r="I33" s="96">
        <v>40000</v>
      </c>
      <c r="J33" s="96"/>
      <c r="K33" s="96">
        <v>40000</v>
      </c>
      <c r="L33" s="96"/>
      <c r="M33" s="96">
        <v>40000</v>
      </c>
      <c r="N33" s="96">
        <f>IF(Objektliste[[#This Row],[Zürs-
Zone]]&gt;3,"",Objektliste[[#This Row],[Versicherungssumme Gebäude Überschwemmung Prüfung]])</f>
        <v>0</v>
      </c>
      <c r="O33" s="96">
        <f>IF(Objektliste[[#This Row],[Zürs-
Zone]]&gt;3,"",M33)</f>
        <v>40000</v>
      </c>
      <c r="P33" s="69"/>
      <c r="Q33" s="69"/>
      <c r="R33" s="69"/>
      <c r="S33" s="77"/>
      <c r="T33" s="73"/>
      <c r="U33" s="73"/>
      <c r="V33" s="73"/>
      <c r="W33" s="73"/>
      <c r="Y33" s="73"/>
    </row>
    <row r="34" spans="1:25" ht="20.100000000000001" customHeight="1" x14ac:dyDescent="0.25">
      <c r="A34" s="91">
        <v>33</v>
      </c>
      <c r="B34" s="91" t="s">
        <v>104</v>
      </c>
      <c r="C34" s="91"/>
      <c r="D34" s="99">
        <v>2</v>
      </c>
      <c r="E34" s="96">
        <v>102000</v>
      </c>
      <c r="F34" s="96"/>
      <c r="G34" s="96">
        <v>102000</v>
      </c>
      <c r="H34" s="96"/>
      <c r="I34" s="96">
        <v>102000</v>
      </c>
      <c r="J34" s="96"/>
      <c r="K34" s="96">
        <v>102000</v>
      </c>
      <c r="L34" s="96"/>
      <c r="M34" s="96">
        <v>102000</v>
      </c>
      <c r="N34" s="96">
        <f>IF(Objektliste[[#This Row],[Zürs-
Zone]]&gt;3,"",Objektliste[[#This Row],[Versicherungssumme Gebäude Überschwemmung Prüfung]])</f>
        <v>0</v>
      </c>
      <c r="O34" s="96">
        <f>IF(Objektliste[[#This Row],[Zürs-
Zone]]&gt;3,"",M34)</f>
        <v>102000</v>
      </c>
      <c r="P34" s="69"/>
      <c r="Q34" s="69"/>
      <c r="R34" s="69"/>
      <c r="S34" s="77"/>
      <c r="T34" s="73"/>
      <c r="U34" s="73"/>
      <c r="V34" s="73"/>
      <c r="W34" s="73"/>
      <c r="Y34" s="73"/>
    </row>
    <row r="35" spans="1:25" ht="15" x14ac:dyDescent="0.25">
      <c r="A35" s="91">
        <v>34</v>
      </c>
      <c r="B35" s="91" t="s">
        <v>130</v>
      </c>
      <c r="C35" s="91"/>
      <c r="D35" s="99">
        <v>1</v>
      </c>
      <c r="E35" s="96">
        <v>60000</v>
      </c>
      <c r="F35" s="96"/>
      <c r="G35" s="96">
        <v>60000</v>
      </c>
      <c r="H35" s="96"/>
      <c r="I35" s="96">
        <v>60000</v>
      </c>
      <c r="J35" s="96"/>
      <c r="K35" s="96">
        <v>60000</v>
      </c>
      <c r="L35" s="96"/>
      <c r="M35" s="96">
        <v>60000</v>
      </c>
      <c r="N35" s="96">
        <f>IF(Objektliste[[#This Row],[Zürs-
Zone]]&gt;3,"",Objektliste[[#This Row],[Versicherungssumme Gebäude Überschwemmung Prüfung]])</f>
        <v>0</v>
      </c>
      <c r="O35" s="96">
        <f>IF(Objektliste[[#This Row],[Zürs-
Zone]]&gt;3,"",M35)</f>
        <v>60000</v>
      </c>
      <c r="P35" s="69"/>
      <c r="Q35" s="69"/>
      <c r="R35" s="69"/>
      <c r="S35" s="77"/>
      <c r="T35" s="73"/>
      <c r="U35" s="73"/>
      <c r="V35" s="73"/>
      <c r="W35" s="73"/>
      <c r="Y35" s="73"/>
    </row>
    <row r="36" spans="1:25" ht="20.100000000000001" customHeight="1" x14ac:dyDescent="0.25">
      <c r="A36" s="91">
        <v>35</v>
      </c>
      <c r="B36" s="91" t="s">
        <v>105</v>
      </c>
      <c r="C36" s="91"/>
      <c r="D36" s="99">
        <v>1</v>
      </c>
      <c r="E36" s="96">
        <v>130000</v>
      </c>
      <c r="F36" s="96"/>
      <c r="G36" s="96">
        <v>130000</v>
      </c>
      <c r="H36" s="96"/>
      <c r="I36" s="96">
        <v>130000</v>
      </c>
      <c r="J36" s="96"/>
      <c r="K36" s="96">
        <v>130000</v>
      </c>
      <c r="L36" s="96"/>
      <c r="M36" s="96">
        <v>130000</v>
      </c>
      <c r="N36" s="96">
        <f>IF(Objektliste[[#This Row],[Zürs-
Zone]]&gt;3,"",Objektliste[[#This Row],[Versicherungssumme Gebäude Überschwemmung Prüfung]])</f>
        <v>0</v>
      </c>
      <c r="O36" s="96">
        <f>IF(Objektliste[[#This Row],[Zürs-
Zone]]&gt;3,"",M36)</f>
        <v>130000</v>
      </c>
      <c r="P36" s="69"/>
      <c r="Q36" s="69"/>
      <c r="R36" s="69"/>
      <c r="S36" s="77"/>
      <c r="T36" s="73"/>
      <c r="U36" s="73"/>
      <c r="V36" s="73"/>
      <c r="W36" s="73"/>
      <c r="Y36" s="73"/>
    </row>
    <row r="37" spans="1:25" ht="20.100000000000001" customHeight="1" x14ac:dyDescent="0.25">
      <c r="A37" s="91">
        <v>36</v>
      </c>
      <c r="B37" s="91" t="s">
        <v>106</v>
      </c>
      <c r="C37" s="91"/>
      <c r="D37" s="99">
        <v>1</v>
      </c>
      <c r="E37" s="96">
        <v>40000</v>
      </c>
      <c r="F37" s="96"/>
      <c r="G37" s="96">
        <v>40000</v>
      </c>
      <c r="H37" s="96"/>
      <c r="I37" s="96">
        <v>40000</v>
      </c>
      <c r="J37" s="96"/>
      <c r="K37" s="96">
        <v>40000</v>
      </c>
      <c r="L37" s="96"/>
      <c r="M37" s="96">
        <v>40000</v>
      </c>
      <c r="N37" s="96">
        <f>IF(Objektliste[[#This Row],[Zürs-
Zone]]&gt;3,"",Objektliste[[#This Row],[Versicherungssumme Gebäude Überschwemmung Prüfung]])</f>
        <v>0</v>
      </c>
      <c r="O37" s="96">
        <f>IF(Objektliste[[#This Row],[Zürs-
Zone]]&gt;3,"",M37)</f>
        <v>40000</v>
      </c>
      <c r="P37" s="69"/>
      <c r="Q37" s="69"/>
      <c r="R37" s="69"/>
      <c r="S37" s="77"/>
      <c r="T37" s="73"/>
      <c r="U37" s="73"/>
      <c r="V37" s="73"/>
      <c r="W37" s="73"/>
      <c r="Y37" s="73"/>
    </row>
    <row r="38" spans="1:25" ht="20.100000000000001" customHeight="1" x14ac:dyDescent="0.25">
      <c r="A38" s="91">
        <v>37</v>
      </c>
      <c r="B38" s="91" t="s">
        <v>107</v>
      </c>
      <c r="C38" s="91"/>
      <c r="D38" s="99">
        <v>1</v>
      </c>
      <c r="E38" s="96">
        <v>30000</v>
      </c>
      <c r="F38" s="96"/>
      <c r="G38" s="96">
        <v>30000</v>
      </c>
      <c r="H38" s="96"/>
      <c r="I38" s="96">
        <v>30000</v>
      </c>
      <c r="J38" s="96"/>
      <c r="K38" s="96">
        <v>30000</v>
      </c>
      <c r="L38" s="96"/>
      <c r="M38" s="96">
        <v>30000</v>
      </c>
      <c r="N38" s="96">
        <f>IF(Objektliste[[#This Row],[Zürs-
Zone]]&gt;3,"",Objektliste[[#This Row],[Versicherungssumme Gebäude Überschwemmung Prüfung]])</f>
        <v>0</v>
      </c>
      <c r="O38" s="96">
        <f>IF(Objektliste[[#This Row],[Zürs-
Zone]]&gt;3,"",M38)</f>
        <v>30000</v>
      </c>
      <c r="P38" s="69"/>
      <c r="Q38" s="69"/>
      <c r="R38" s="69"/>
      <c r="S38" s="77"/>
      <c r="T38" s="73"/>
      <c r="U38" s="73"/>
      <c r="V38" s="73"/>
      <c r="W38" s="73"/>
      <c r="Y38" s="73"/>
    </row>
    <row r="39" spans="1:25" ht="20.100000000000001" customHeight="1" x14ac:dyDescent="0.25">
      <c r="A39" s="91">
        <v>38</v>
      </c>
      <c r="B39" s="91" t="s">
        <v>108</v>
      </c>
      <c r="C39" s="91"/>
      <c r="D39" s="99">
        <v>1</v>
      </c>
      <c r="E39" s="96">
        <v>30000</v>
      </c>
      <c r="F39" s="96"/>
      <c r="G39" s="96">
        <v>30000</v>
      </c>
      <c r="H39" s="96"/>
      <c r="I39" s="96">
        <v>30000</v>
      </c>
      <c r="J39" s="96"/>
      <c r="K39" s="96">
        <v>30000</v>
      </c>
      <c r="L39" s="96"/>
      <c r="M39" s="96">
        <v>30000</v>
      </c>
      <c r="N39" s="96">
        <f>IF(Objektliste[[#This Row],[Zürs-
Zone]]&gt;3,"",Objektliste[[#This Row],[Versicherungssumme Gebäude Überschwemmung Prüfung]])</f>
        <v>0</v>
      </c>
      <c r="O39" s="96">
        <f>IF(Objektliste[[#This Row],[Zürs-
Zone]]&gt;3,"",M39)</f>
        <v>30000</v>
      </c>
      <c r="P39" s="69"/>
      <c r="Q39" s="69"/>
      <c r="R39" s="69"/>
      <c r="S39" s="77"/>
      <c r="T39" s="73"/>
      <c r="U39" s="73"/>
      <c r="V39" s="73"/>
      <c r="W39" s="73"/>
      <c r="Y39" s="73"/>
    </row>
    <row r="40" spans="1:25" ht="20.100000000000001" customHeight="1" x14ac:dyDescent="0.25">
      <c r="A40" s="91">
        <v>39</v>
      </c>
      <c r="B40" s="91" t="s">
        <v>109</v>
      </c>
      <c r="C40" s="91"/>
      <c r="D40" s="99">
        <v>1</v>
      </c>
      <c r="E40" s="96">
        <v>450000</v>
      </c>
      <c r="F40" s="96"/>
      <c r="G40" s="96">
        <v>450000</v>
      </c>
      <c r="H40" s="96"/>
      <c r="I40" s="96">
        <v>450000</v>
      </c>
      <c r="J40" s="96"/>
      <c r="K40" s="96">
        <v>450000</v>
      </c>
      <c r="L40" s="96"/>
      <c r="M40" s="96">
        <v>450000</v>
      </c>
      <c r="N40" s="96">
        <f>IF(Objektliste[[#This Row],[Zürs-
Zone]]&gt;3,"",Objektliste[[#This Row],[Versicherungssumme Gebäude Überschwemmung Prüfung]])</f>
        <v>0</v>
      </c>
      <c r="O40" s="96">
        <f>IF(Objektliste[[#This Row],[Zürs-
Zone]]&gt;3,"",M40)</f>
        <v>450000</v>
      </c>
      <c r="P40" s="69"/>
      <c r="Q40" s="69"/>
      <c r="R40" s="69"/>
      <c r="S40" s="77"/>
      <c r="T40" s="73"/>
      <c r="U40" s="73"/>
      <c r="V40" s="73"/>
      <c r="W40" s="73"/>
      <c r="Y40" s="73"/>
    </row>
    <row r="41" spans="1:25" ht="30" x14ac:dyDescent="0.25">
      <c r="A41" s="91">
        <v>40</v>
      </c>
      <c r="B41" s="91" t="s">
        <v>110</v>
      </c>
      <c r="C41" s="91"/>
      <c r="D41" s="99">
        <v>1</v>
      </c>
      <c r="E41" s="96">
        <v>1000000</v>
      </c>
      <c r="F41" s="96"/>
      <c r="G41" s="96">
        <v>1000000</v>
      </c>
      <c r="H41" s="96"/>
      <c r="I41" s="96">
        <v>1000000</v>
      </c>
      <c r="J41" s="96"/>
      <c r="K41" s="96">
        <v>1000000</v>
      </c>
      <c r="L41" s="96"/>
      <c r="M41" s="96">
        <v>1000000</v>
      </c>
      <c r="N41" s="96">
        <f>IF(Objektliste[[#This Row],[Zürs-
Zone]]&gt;3,"",Objektliste[[#This Row],[Versicherungssumme Gebäude Überschwemmung Prüfung]])</f>
        <v>0</v>
      </c>
      <c r="O41" s="96">
        <f>IF(Objektliste[[#This Row],[Zürs-
Zone]]&gt;3,"",M41)</f>
        <v>1000000</v>
      </c>
      <c r="P41" s="69" t="s">
        <v>116</v>
      </c>
      <c r="Q41" s="69"/>
      <c r="R41" s="69"/>
      <c r="S41" s="77"/>
      <c r="T41" s="73"/>
      <c r="U41" s="73"/>
      <c r="V41" s="73"/>
      <c r="W41" s="73"/>
      <c r="Y41" s="73"/>
    </row>
    <row r="42" spans="1:25" ht="20.100000000000001" customHeight="1" x14ac:dyDescent="0.25">
      <c r="A42" s="91">
        <v>41</v>
      </c>
      <c r="B42" s="91" t="s">
        <v>111</v>
      </c>
      <c r="C42" s="91"/>
      <c r="D42" s="99">
        <v>1</v>
      </c>
      <c r="E42" s="96">
        <v>450000</v>
      </c>
      <c r="F42" s="96"/>
      <c r="G42" s="96">
        <v>450000</v>
      </c>
      <c r="H42" s="96"/>
      <c r="I42" s="96">
        <v>450000</v>
      </c>
      <c r="J42" s="96"/>
      <c r="K42" s="96">
        <v>450000</v>
      </c>
      <c r="L42" s="96"/>
      <c r="M42" s="96">
        <v>450000</v>
      </c>
      <c r="N42" s="96">
        <f>IF(Objektliste[[#This Row],[Zürs-
Zone]]&gt;3,"",Objektliste[[#This Row],[Versicherungssumme Gebäude Überschwemmung Prüfung]])</f>
        <v>0</v>
      </c>
      <c r="O42" s="96">
        <f>IF(Objektliste[[#This Row],[Zürs-
Zone]]&gt;3,"",M42)</f>
        <v>450000</v>
      </c>
      <c r="P42" s="69"/>
      <c r="Q42" s="69"/>
      <c r="R42" s="69"/>
      <c r="S42" s="77"/>
      <c r="T42" s="73"/>
      <c r="U42" s="73"/>
      <c r="V42" s="73"/>
      <c r="W42" s="73"/>
      <c r="Y42" s="73"/>
    </row>
    <row r="43" spans="1:25" ht="20.100000000000001" customHeight="1" x14ac:dyDescent="0.25">
      <c r="A43" s="91">
        <v>42</v>
      </c>
      <c r="B43" s="91" t="s">
        <v>112</v>
      </c>
      <c r="C43" s="91"/>
      <c r="D43" s="99">
        <v>1</v>
      </c>
      <c r="E43" s="96">
        <v>500000</v>
      </c>
      <c r="F43" s="96"/>
      <c r="G43" s="96">
        <v>500000</v>
      </c>
      <c r="H43" s="96"/>
      <c r="I43" s="96">
        <v>500000</v>
      </c>
      <c r="J43" s="96"/>
      <c r="K43" s="96">
        <v>500000</v>
      </c>
      <c r="L43" s="96"/>
      <c r="M43" s="96">
        <v>500000</v>
      </c>
      <c r="N43" s="96">
        <f>IF(Objektliste[[#This Row],[Zürs-
Zone]]&gt;3,"",Objektliste[[#This Row],[Versicherungssumme Gebäude Überschwemmung Prüfung]])</f>
        <v>0</v>
      </c>
      <c r="O43" s="96">
        <f>IF(Objektliste[[#This Row],[Zürs-
Zone]]&gt;3,"",M43)</f>
        <v>500000</v>
      </c>
      <c r="P43" s="69"/>
      <c r="Q43" s="69"/>
      <c r="R43" s="69"/>
      <c r="S43" s="77"/>
      <c r="T43" s="73"/>
      <c r="U43" s="73"/>
      <c r="V43" s="73"/>
      <c r="W43" s="73"/>
      <c r="Y43" s="73"/>
    </row>
    <row r="44" spans="1:25" ht="20.100000000000001" customHeight="1" x14ac:dyDescent="0.25">
      <c r="A44" s="91">
        <v>43</v>
      </c>
      <c r="B44" s="91" t="s">
        <v>113</v>
      </c>
      <c r="C44" s="91"/>
      <c r="D44" s="99">
        <v>1</v>
      </c>
      <c r="E44" s="96">
        <v>80000</v>
      </c>
      <c r="F44" s="96"/>
      <c r="G44" s="96">
        <v>80000</v>
      </c>
      <c r="H44" s="96"/>
      <c r="I44" s="96">
        <v>80000</v>
      </c>
      <c r="J44" s="96"/>
      <c r="K44" s="96">
        <v>80000</v>
      </c>
      <c r="L44" s="96"/>
      <c r="M44" s="96">
        <v>80000</v>
      </c>
      <c r="N44" s="96">
        <f>IF(Objektliste[[#This Row],[Zürs-
Zone]]&gt;3,"",Objektliste[[#This Row],[Versicherungssumme Gebäude Überschwemmung Prüfung]])</f>
        <v>0</v>
      </c>
      <c r="O44" s="96">
        <f>IF(Objektliste[[#This Row],[Zürs-
Zone]]&gt;3,"",M44)</f>
        <v>80000</v>
      </c>
      <c r="P44" s="69"/>
      <c r="Q44" s="69"/>
      <c r="R44" s="69"/>
      <c r="S44" s="77"/>
      <c r="T44" s="73"/>
      <c r="U44" s="73"/>
      <c r="V44" s="73"/>
      <c r="W44" s="73"/>
      <c r="Y44" s="73"/>
    </row>
    <row r="45" spans="1:25" ht="20.100000000000001" customHeight="1" x14ac:dyDescent="0.25">
      <c r="A45" s="91">
        <v>44</v>
      </c>
      <c r="B45" s="91" t="s">
        <v>114</v>
      </c>
      <c r="C45" s="91"/>
      <c r="D45" s="99">
        <v>1</v>
      </c>
      <c r="E45" s="96">
        <v>80000</v>
      </c>
      <c r="F45" s="96"/>
      <c r="G45" s="96">
        <v>80000</v>
      </c>
      <c r="H45" s="96"/>
      <c r="I45" s="96">
        <v>80000</v>
      </c>
      <c r="J45" s="96"/>
      <c r="K45" s="96">
        <v>80000</v>
      </c>
      <c r="L45" s="96"/>
      <c r="M45" s="96">
        <v>80000</v>
      </c>
      <c r="N45" s="96">
        <f>IF(Objektliste[[#This Row],[Zürs-
Zone]]&gt;3,"",Objektliste[[#This Row],[Versicherungssumme Gebäude Überschwemmung Prüfung]])</f>
        <v>0</v>
      </c>
      <c r="O45" s="96">
        <f>IF(Objektliste[[#This Row],[Zürs-
Zone]]&gt;3,"",M45)</f>
        <v>80000</v>
      </c>
      <c r="P45" s="69"/>
      <c r="Q45" s="69"/>
      <c r="R45" s="69"/>
      <c r="S45" s="77"/>
      <c r="T45" s="73"/>
      <c r="U45" s="73"/>
      <c r="V45" s="73"/>
      <c r="W45" s="73"/>
      <c r="Y45" s="73"/>
    </row>
    <row r="46" spans="1:25" ht="20.100000000000001" customHeight="1" x14ac:dyDescent="0.25">
      <c r="A46" s="93">
        <v>45</v>
      </c>
      <c r="B46" s="93" t="s">
        <v>115</v>
      </c>
      <c r="C46" s="93"/>
      <c r="D46" s="99">
        <v>1</v>
      </c>
      <c r="E46" s="96">
        <v>80000</v>
      </c>
      <c r="F46" s="96"/>
      <c r="G46" s="96">
        <v>80000</v>
      </c>
      <c r="H46" s="96"/>
      <c r="I46" s="96">
        <v>80000</v>
      </c>
      <c r="J46" s="96"/>
      <c r="K46" s="96">
        <v>80000</v>
      </c>
      <c r="L46" s="96"/>
      <c r="M46" s="96">
        <v>80000</v>
      </c>
      <c r="N46" s="96">
        <f>IF(Objektliste[[#This Row],[Zürs-
Zone]]&gt;3,"",Objektliste[[#This Row],[Versicherungssumme Gebäude Überschwemmung Prüfung]])</f>
        <v>0</v>
      </c>
      <c r="O46" s="96">
        <f>IF(Objektliste[[#This Row],[Zürs-
Zone]]&gt;3,"",M46)</f>
        <v>80000</v>
      </c>
      <c r="P46" s="69"/>
      <c r="Q46" s="69"/>
      <c r="R46" s="69"/>
      <c r="S46" s="77"/>
      <c r="T46" s="73"/>
      <c r="U46" s="73"/>
      <c r="V46" s="73"/>
      <c r="W46" s="73"/>
      <c r="Y46" s="73"/>
    </row>
    <row r="47" spans="1:25" ht="20.100000000000001" customHeight="1" x14ac:dyDescent="0.25">
      <c r="A47" s="95"/>
      <c r="B47" s="95"/>
      <c r="C47" s="95"/>
      <c r="D47" s="81"/>
      <c r="E47" s="97">
        <f>SUBTOTAL(109,Objektliste[Versicherungssumme Inventar Einbruchdiebstahl])</f>
        <v>54093666</v>
      </c>
      <c r="F47" s="97">
        <f>SUBTOTAL(109,Objektliste[Versicherungssumme Gebäude Feuer])</f>
        <v>397798320</v>
      </c>
      <c r="G47" s="97">
        <f>SUBTOTAL(109,Objektliste[[Versicherungssumme Inventar Feuer ]])</f>
        <v>54093666</v>
      </c>
      <c r="H47" s="97">
        <f>SUBTOTAL(109,Objektliste[Versicherungssumme Gebäude Leitungswasser])</f>
        <v>397798320</v>
      </c>
      <c r="I47" s="97">
        <f>SUBTOTAL(109,Objektliste[Versicherungssumme Inventar Leitungswasser])</f>
        <v>54093666</v>
      </c>
      <c r="J47" s="97">
        <f>SUBTOTAL(109,Objektliste[Versicherungssumme Gebäude Sturm])</f>
        <v>397798320</v>
      </c>
      <c r="K47" s="97">
        <f>SUBTOTAL(109,Objektliste[[Versicherungssumme Inventar Sturm ]])</f>
        <v>54093666</v>
      </c>
      <c r="L47" s="97"/>
      <c r="M47" s="97"/>
      <c r="N47" s="97">
        <f>SUBTOTAL(109,Objektliste[Versicherungssumme Gebäude Überschwemmung])</f>
        <v>397798320</v>
      </c>
      <c r="O47" s="97">
        <f>SUBTOTAL(109,Objektliste[Versicherungssumme Inventar Überschwemmung])</f>
        <v>54093666</v>
      </c>
      <c r="P47" s="82"/>
      <c r="Q47" s="82"/>
      <c r="R47" s="82"/>
      <c r="S47" s="83"/>
      <c r="T47" s="70"/>
      <c r="X47" s="70"/>
    </row>
  </sheetData>
  <sheetProtection algorithmName="SHA-512" hashValue="3JHojY0ZctfCnI6Zh44lP4h2fMikptL3/cFcEBJ8sJDLeQC7bCnv1eOi0BOyq52Y0stFqzJ85J8DwKfEpSW6DQ==" saltValue="mnWWbOWZIZpkYio0fyYrQg==" spinCount="100000" sheet="1" objects="1" scenarios="1"/>
  <pageMargins left="0.23622047244094491" right="0.23622047244094491" top="0.74803149606299213" bottom="0.74803149606299213" header="0.31496062992125984" footer="0.31496062992125984"/>
  <pageSetup paperSize="9" scale="20" fitToHeight="13" orientation="landscape" r:id="rId1"/>
  <headerFooter>
    <oddHeader>&amp;LLos 1&amp;CObjektliste 
 Gebäude- und Inhaltversicherung &amp;RAnlage 04</oddHeader>
    <oddFooter>&amp;L&amp;D&amp;RSeite &amp;P von &amp;N Seiten</oddFooter>
  </headerFooter>
  <colBreaks count="1" manualBreakCount="1">
    <brk id="20" max="1048575" man="1"/>
  </colBreak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BF662-2E1B-4FAF-94C8-1599A08944B8}">
  <sheetPr>
    <tabColor rgb="FFFFFF00"/>
  </sheetPr>
  <dimension ref="A3:K13"/>
  <sheetViews>
    <sheetView workbookViewId="0">
      <selection activeCell="A3" sqref="A3"/>
    </sheetView>
  </sheetViews>
  <sheetFormatPr baseColWidth="10" defaultRowHeight="12.75" x14ac:dyDescent="0.2"/>
  <cols>
    <col min="1" max="1" width="24.42578125" bestFit="1" customWidth="1"/>
    <col min="2" max="2" width="25.85546875" bestFit="1" customWidth="1"/>
    <col min="3" max="3" width="22.28515625" bestFit="1" customWidth="1"/>
    <col min="4" max="4" width="21.85546875" bestFit="1" customWidth="1"/>
    <col min="5" max="5" width="22.28515625" bestFit="1" customWidth="1"/>
    <col min="6" max="6" width="21.85546875" bestFit="1" customWidth="1"/>
    <col min="7" max="7" width="22.28515625" bestFit="1" customWidth="1"/>
    <col min="8" max="8" width="21.85546875" bestFit="1" customWidth="1"/>
    <col min="9" max="9" width="22.28515625" bestFit="1" customWidth="1"/>
    <col min="10" max="10" width="30.7109375" bestFit="1" customWidth="1"/>
    <col min="11" max="11" width="31.140625" bestFit="1" customWidth="1"/>
  </cols>
  <sheetData>
    <row r="3" spans="1:11" x14ac:dyDescent="0.2">
      <c r="B3" s="20" t="s">
        <v>9</v>
      </c>
    </row>
    <row r="4" spans="1:11" x14ac:dyDescent="0.2">
      <c r="B4" t="s">
        <v>2</v>
      </c>
      <c r="D4" t="s">
        <v>4</v>
      </c>
      <c r="F4" t="s">
        <v>5</v>
      </c>
      <c r="H4" t="s">
        <v>6</v>
      </c>
      <c r="J4" t="s">
        <v>54</v>
      </c>
      <c r="K4" t="s">
        <v>55</v>
      </c>
    </row>
    <row r="5" spans="1:11" x14ac:dyDescent="0.2">
      <c r="A5" s="20" t="s">
        <v>10</v>
      </c>
      <c r="B5" t="s">
        <v>53</v>
      </c>
      <c r="C5" t="s">
        <v>56</v>
      </c>
      <c r="D5" t="s">
        <v>53</v>
      </c>
      <c r="E5" t="s">
        <v>56</v>
      </c>
      <c r="F5" t="s">
        <v>53</v>
      </c>
      <c r="G5" t="s">
        <v>56</v>
      </c>
      <c r="H5" t="s">
        <v>53</v>
      </c>
      <c r="I5" t="s">
        <v>56</v>
      </c>
    </row>
    <row r="6" spans="1:11" x14ac:dyDescent="0.2">
      <c r="A6" s="21">
        <v>2020</v>
      </c>
      <c r="B6" s="90"/>
      <c r="C6" s="89"/>
      <c r="D6" s="90">
        <v>6360.16</v>
      </c>
      <c r="E6" s="89">
        <v>2</v>
      </c>
      <c r="F6" s="90"/>
      <c r="G6" s="89"/>
      <c r="H6" s="90"/>
      <c r="I6" s="89"/>
      <c r="J6" s="90">
        <v>6360.16</v>
      </c>
      <c r="K6" s="89">
        <v>2</v>
      </c>
    </row>
    <row r="7" spans="1:11" x14ac:dyDescent="0.2">
      <c r="A7" s="21">
        <v>2021</v>
      </c>
      <c r="B7" s="90"/>
      <c r="C7" s="89"/>
      <c r="D7" s="90">
        <v>23067.32</v>
      </c>
      <c r="E7" s="89">
        <v>3</v>
      </c>
      <c r="F7" s="90"/>
      <c r="G7" s="89"/>
      <c r="H7" s="90"/>
      <c r="I7" s="89"/>
      <c r="J7" s="90">
        <v>23067.32</v>
      </c>
      <c r="K7" s="89">
        <v>3</v>
      </c>
    </row>
    <row r="8" spans="1:11" x14ac:dyDescent="0.2">
      <c r="A8" s="21">
        <v>2022</v>
      </c>
      <c r="B8" s="90"/>
      <c r="C8" s="89"/>
      <c r="D8" s="90">
        <v>15529.689999999999</v>
      </c>
      <c r="E8" s="89">
        <v>3</v>
      </c>
      <c r="F8" s="90"/>
      <c r="G8" s="89"/>
      <c r="H8" s="90"/>
      <c r="I8" s="89"/>
      <c r="J8" s="90">
        <v>15529.689999999999</v>
      </c>
      <c r="K8" s="89">
        <v>3</v>
      </c>
    </row>
    <row r="9" spans="1:11" x14ac:dyDescent="0.2">
      <c r="A9" s="21">
        <v>2023</v>
      </c>
      <c r="B9" s="90"/>
      <c r="C9" s="89"/>
      <c r="D9" s="90">
        <v>5084.92</v>
      </c>
      <c r="E9" s="89">
        <v>1</v>
      </c>
      <c r="F9" s="90"/>
      <c r="G9" s="89"/>
      <c r="H9" s="90"/>
      <c r="I9" s="89"/>
      <c r="J9" s="90">
        <v>5084.92</v>
      </c>
      <c r="K9" s="89">
        <v>1</v>
      </c>
    </row>
    <row r="10" spans="1:11" x14ac:dyDescent="0.2">
      <c r="A10" s="21">
        <v>2024</v>
      </c>
      <c r="B10" s="90"/>
      <c r="C10" s="89"/>
      <c r="D10" s="90">
        <v>5247.04</v>
      </c>
      <c r="E10" s="89">
        <v>1</v>
      </c>
      <c r="F10" s="90"/>
      <c r="G10" s="89"/>
      <c r="H10" s="90">
        <v>2497.5100000000002</v>
      </c>
      <c r="I10" s="89">
        <v>1</v>
      </c>
      <c r="J10" s="90">
        <v>7744.55</v>
      </c>
      <c r="K10" s="89">
        <v>2</v>
      </c>
    </row>
    <row r="11" spans="1:11" x14ac:dyDescent="0.2">
      <c r="A11" s="21">
        <v>2025</v>
      </c>
      <c r="B11" s="90"/>
      <c r="C11" s="89"/>
      <c r="D11" s="90">
        <v>5545.16</v>
      </c>
      <c r="E11" s="89">
        <v>1</v>
      </c>
      <c r="F11" s="90">
        <v>68619.509999999995</v>
      </c>
      <c r="G11" s="89">
        <v>1</v>
      </c>
      <c r="H11" s="90"/>
      <c r="I11" s="89"/>
      <c r="J11" s="90">
        <v>74164.67</v>
      </c>
      <c r="K11" s="89">
        <v>2</v>
      </c>
    </row>
    <row r="12" spans="1:11" x14ac:dyDescent="0.2">
      <c r="A12" s="21">
        <v>2026</v>
      </c>
      <c r="B12" s="90">
        <v>13050.349999999999</v>
      </c>
      <c r="C12" s="89">
        <v>2</v>
      </c>
      <c r="D12" s="90"/>
      <c r="E12" s="89"/>
      <c r="F12" s="90"/>
      <c r="G12" s="89"/>
      <c r="H12" s="90"/>
      <c r="I12" s="89"/>
      <c r="J12" s="90">
        <v>13050.349999999999</v>
      </c>
      <c r="K12" s="89">
        <v>2</v>
      </c>
    </row>
    <row r="13" spans="1:11" x14ac:dyDescent="0.2">
      <c r="A13" s="21" t="s">
        <v>11</v>
      </c>
      <c r="B13" s="90">
        <v>13050.349999999999</v>
      </c>
      <c r="C13" s="89">
        <v>2</v>
      </c>
      <c r="D13" s="90">
        <v>60834.289999999994</v>
      </c>
      <c r="E13" s="89">
        <v>11</v>
      </c>
      <c r="F13" s="90">
        <v>68619.509999999995</v>
      </c>
      <c r="G13" s="89">
        <v>1</v>
      </c>
      <c r="H13" s="90">
        <v>2497.5100000000002</v>
      </c>
      <c r="I13" s="89">
        <v>1</v>
      </c>
      <c r="J13" s="90">
        <v>145001.66</v>
      </c>
      <c r="K13" s="89">
        <v>15</v>
      </c>
    </row>
  </sheetData>
  <pageMargins left="0.7" right="0.7" top="0.78740157499999996" bottom="0.78740157499999996" header="0.3" footer="0.3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FCBAB-854F-4F84-A263-7E3E8E4C46F5}">
  <sheetPr>
    <tabColor rgb="FF00B0F0"/>
    <pageSetUpPr fitToPage="1"/>
  </sheetPr>
  <dimension ref="A1:G17"/>
  <sheetViews>
    <sheetView zoomScale="120" zoomScaleNormal="120" workbookViewId="0">
      <pane ySplit="2" topLeftCell="A3" activePane="bottomLeft" state="frozen"/>
      <selection pane="bottomLeft" activeCell="A8" sqref="A8"/>
    </sheetView>
  </sheetViews>
  <sheetFormatPr baseColWidth="10" defaultColWidth="9.140625" defaultRowHeight="12.75" x14ac:dyDescent="0.2"/>
  <cols>
    <col min="1" max="1" width="14.28515625" bestFit="1" customWidth="1"/>
    <col min="2" max="2" width="47.7109375" style="17" bestFit="1" customWidth="1"/>
    <col min="3" max="3" width="17.42578125" style="9" customWidth="1"/>
    <col min="4" max="4" width="12.140625" style="9" bestFit="1" customWidth="1"/>
    <col min="5" max="5" width="16.42578125" style="9" customWidth="1"/>
    <col min="6" max="7" width="12.140625" style="9" hidden="1" customWidth="1"/>
    <col min="8" max="16384" width="9.140625" style="9"/>
  </cols>
  <sheetData>
    <row r="1" spans="1:7" x14ac:dyDescent="0.2">
      <c r="F1" s="66" t="s">
        <v>57</v>
      </c>
    </row>
    <row r="2" spans="1:7" ht="15" x14ac:dyDescent="0.25">
      <c r="A2" s="63" t="s">
        <v>46</v>
      </c>
      <c r="B2" s="63" t="s">
        <v>47</v>
      </c>
      <c r="C2" s="64" t="s">
        <v>48</v>
      </c>
      <c r="D2" s="64" t="s">
        <v>51</v>
      </c>
      <c r="E2" s="64" t="s">
        <v>52</v>
      </c>
      <c r="F2" s="67" t="s">
        <v>58</v>
      </c>
      <c r="G2" s="67" t="s">
        <v>59</v>
      </c>
    </row>
    <row r="3" spans="1:7" x14ac:dyDescent="0.2">
      <c r="A3" s="65">
        <v>2020</v>
      </c>
      <c r="B3" s="65" t="s">
        <v>131</v>
      </c>
      <c r="C3" s="65" t="s">
        <v>4</v>
      </c>
      <c r="D3" s="85">
        <v>1506.9</v>
      </c>
      <c r="E3" s="85">
        <v>0</v>
      </c>
      <c r="F3" s="68">
        <f>IF(Schadenliste8[[#This Row],[Aufwand]]-Schadenliste8[[#Headers],[2000]]&lt;0,Schadenliste8[[#This Row],[Aufwand]],Schadenliste8[[#This Row],[Aufwand]]-Schadenliste8[[#Headers],[2000]])</f>
        <v>1506.9</v>
      </c>
      <c r="G3" s="68">
        <f>IF(Schadenliste8[[#This Row],[Aufwand]]-Schadenliste8[[#Headers],[5000]]&lt;0,Schadenliste8[[#This Row],[Aufwand]],Schadenliste8[[#This Row],[Aufwand]]-Schadenliste8[[#Headers],[5000]])</f>
        <v>1506.9</v>
      </c>
    </row>
    <row r="4" spans="1:7" x14ac:dyDescent="0.2">
      <c r="A4" s="65">
        <v>2020</v>
      </c>
      <c r="B4" s="65" t="s">
        <v>131</v>
      </c>
      <c r="C4" s="65" t="s">
        <v>4</v>
      </c>
      <c r="D4" s="85">
        <v>4853.26</v>
      </c>
      <c r="E4" s="85">
        <v>0</v>
      </c>
      <c r="F4" s="68">
        <f>IF(Schadenliste8[[#This Row],[Aufwand]]-Schadenliste8[[#Headers],[2000]]&lt;0,Schadenliste8[[#This Row],[Aufwand]],Schadenliste8[[#This Row],[Aufwand]]-Schadenliste8[[#Headers],[2000]])</f>
        <v>2853.26</v>
      </c>
      <c r="G4" s="68">
        <f>IF(Schadenliste8[[#This Row],[Aufwand]]-Schadenliste8[[#Headers],[5000]]&lt;0,Schadenliste8[[#This Row],[Aufwand]],Schadenliste8[[#This Row],[Aufwand]]-Schadenliste8[[#Headers],[5000]])</f>
        <v>4853.26</v>
      </c>
    </row>
    <row r="5" spans="1:7" x14ac:dyDescent="0.2">
      <c r="A5" s="65">
        <v>2021</v>
      </c>
      <c r="B5" s="65" t="s">
        <v>132</v>
      </c>
      <c r="C5" s="65" t="s">
        <v>4</v>
      </c>
      <c r="D5" s="85">
        <v>5187.92</v>
      </c>
      <c r="E5" s="85">
        <v>0</v>
      </c>
      <c r="F5" s="68">
        <f>IF(Schadenliste8[[#This Row],[Aufwand]]-Schadenliste8[[#Headers],[2000]]&lt;0,Schadenliste8[[#This Row],[Aufwand]],Schadenliste8[[#This Row],[Aufwand]]-Schadenliste8[[#Headers],[2000]])</f>
        <v>3187.92</v>
      </c>
      <c r="G5" s="68">
        <f>IF(Schadenliste8[[#This Row],[Aufwand]]-Schadenliste8[[#Headers],[5000]]&lt;0,Schadenliste8[[#This Row],[Aufwand]],Schadenliste8[[#This Row],[Aufwand]]-Schadenliste8[[#Headers],[5000]])</f>
        <v>187.92000000000007</v>
      </c>
    </row>
    <row r="6" spans="1:7" x14ac:dyDescent="0.2">
      <c r="A6" s="65">
        <v>2021</v>
      </c>
      <c r="B6" s="65" t="s">
        <v>131</v>
      </c>
      <c r="C6" s="65" t="s">
        <v>4</v>
      </c>
      <c r="D6" s="85">
        <v>1350.22</v>
      </c>
      <c r="E6" s="85">
        <v>0</v>
      </c>
      <c r="F6" s="68">
        <f>IF(Schadenliste8[[#This Row],[Aufwand]]-Schadenliste8[[#Headers],[2000]]&lt;0,Schadenliste8[[#This Row],[Aufwand]],Schadenliste8[[#This Row],[Aufwand]]-Schadenliste8[[#Headers],[2000]])</f>
        <v>1350.22</v>
      </c>
      <c r="G6" s="68">
        <f>IF(Schadenliste8[[#This Row],[Aufwand]]-Schadenliste8[[#Headers],[5000]]&lt;0,Schadenliste8[[#This Row],[Aufwand]],Schadenliste8[[#This Row],[Aufwand]]-Schadenliste8[[#Headers],[5000]])</f>
        <v>1350.22</v>
      </c>
    </row>
    <row r="7" spans="1:7" x14ac:dyDescent="0.2">
      <c r="A7" s="65">
        <v>2021</v>
      </c>
      <c r="B7" s="65" t="s">
        <v>133</v>
      </c>
      <c r="C7" s="65" t="s">
        <v>4</v>
      </c>
      <c r="D7" s="85">
        <v>16529.18</v>
      </c>
      <c r="E7" s="85">
        <v>0</v>
      </c>
      <c r="F7" s="68">
        <f>IF(Schadenliste8[[#This Row],[Aufwand]]-Schadenliste8[[#Headers],[2000]]&lt;0,Schadenliste8[[#This Row],[Aufwand]],Schadenliste8[[#This Row],[Aufwand]]-Schadenliste8[[#Headers],[2000]])</f>
        <v>14529.18</v>
      </c>
      <c r="G7" s="68">
        <f>IF(Schadenliste8[[#This Row],[Aufwand]]-Schadenliste8[[#Headers],[5000]]&lt;0,Schadenliste8[[#This Row],[Aufwand]],Schadenliste8[[#This Row],[Aufwand]]-Schadenliste8[[#Headers],[5000]])</f>
        <v>11529.18</v>
      </c>
    </row>
    <row r="8" spans="1:7" x14ac:dyDescent="0.2">
      <c r="A8" s="65">
        <v>2022</v>
      </c>
      <c r="B8" s="65" t="s">
        <v>131</v>
      </c>
      <c r="C8" s="65" t="s">
        <v>4</v>
      </c>
      <c r="D8" s="85">
        <v>4579.91</v>
      </c>
      <c r="E8" s="85">
        <v>0</v>
      </c>
      <c r="F8" s="68">
        <f>IF(Schadenliste8[[#This Row],[Aufwand]]-Schadenliste8[[#Headers],[2000]]&lt;0,Schadenliste8[[#This Row],[Aufwand]],Schadenliste8[[#This Row],[Aufwand]]-Schadenliste8[[#Headers],[2000]])</f>
        <v>2579.91</v>
      </c>
      <c r="G8" s="68">
        <f>IF(Schadenliste8[[#This Row],[Aufwand]]-Schadenliste8[[#Headers],[5000]]&lt;0,Schadenliste8[[#This Row],[Aufwand]],Schadenliste8[[#This Row],[Aufwand]]-Schadenliste8[[#Headers],[5000]])</f>
        <v>4579.91</v>
      </c>
    </row>
    <row r="9" spans="1:7" x14ac:dyDescent="0.2">
      <c r="A9" s="65">
        <v>2022</v>
      </c>
      <c r="B9" s="65" t="s">
        <v>131</v>
      </c>
      <c r="C9" s="65" t="s">
        <v>4</v>
      </c>
      <c r="D9" s="85">
        <v>949.78</v>
      </c>
      <c r="E9" s="85">
        <v>0</v>
      </c>
      <c r="F9" s="68">
        <f>IF(Schadenliste8[[#This Row],[Aufwand]]-Schadenliste8[[#Headers],[2000]]&lt;0,Schadenliste8[[#This Row],[Aufwand]],Schadenliste8[[#This Row],[Aufwand]]-Schadenliste8[[#Headers],[2000]])</f>
        <v>949.78</v>
      </c>
      <c r="G9" s="68">
        <f>IF(Schadenliste8[[#This Row],[Aufwand]]-Schadenliste8[[#Headers],[5000]]&lt;0,Schadenliste8[[#This Row],[Aufwand]],Schadenliste8[[#This Row],[Aufwand]]-Schadenliste8[[#Headers],[5000]])</f>
        <v>949.78</v>
      </c>
    </row>
    <row r="10" spans="1:7" x14ac:dyDescent="0.2">
      <c r="A10" s="65">
        <v>2022</v>
      </c>
      <c r="B10" s="65" t="s">
        <v>131</v>
      </c>
      <c r="C10" s="65" t="s">
        <v>4</v>
      </c>
      <c r="D10" s="85">
        <v>10000</v>
      </c>
      <c r="E10" s="85">
        <v>0</v>
      </c>
      <c r="F10" s="68">
        <f>IF(Schadenliste8[[#This Row],[Aufwand]]-Schadenliste8[[#Headers],[2000]]&lt;0,Schadenliste8[[#This Row],[Aufwand]],Schadenliste8[[#This Row],[Aufwand]]-Schadenliste8[[#Headers],[2000]])</f>
        <v>8000</v>
      </c>
      <c r="G10" s="68">
        <f>IF(Schadenliste8[[#This Row],[Aufwand]]-Schadenliste8[[#Headers],[5000]]&lt;0,Schadenliste8[[#This Row],[Aufwand]],Schadenliste8[[#This Row],[Aufwand]]-Schadenliste8[[#Headers],[5000]])</f>
        <v>5000</v>
      </c>
    </row>
    <row r="11" spans="1:7" x14ac:dyDescent="0.2">
      <c r="A11" s="65">
        <v>2023</v>
      </c>
      <c r="B11" s="65" t="s">
        <v>131</v>
      </c>
      <c r="C11" s="65" t="s">
        <v>4</v>
      </c>
      <c r="D11" s="85">
        <v>5084.92</v>
      </c>
      <c r="E11" s="85">
        <v>0</v>
      </c>
      <c r="F11" s="68">
        <f>IF(Schadenliste8[[#This Row],[Aufwand]]-Schadenliste8[[#Headers],[2000]]&lt;0,Schadenliste8[[#This Row],[Aufwand]],Schadenliste8[[#This Row],[Aufwand]]-Schadenliste8[[#Headers],[2000]])</f>
        <v>3084.92</v>
      </c>
      <c r="G11" s="68">
        <f>IF(Schadenliste8[[#This Row],[Aufwand]]-Schadenliste8[[#Headers],[5000]]&lt;0,Schadenliste8[[#This Row],[Aufwand]],Schadenliste8[[#This Row],[Aufwand]]-Schadenliste8[[#Headers],[5000]])</f>
        <v>84.920000000000073</v>
      </c>
    </row>
    <row r="12" spans="1:7" x14ac:dyDescent="0.2">
      <c r="A12" s="65">
        <v>2024</v>
      </c>
      <c r="B12" s="65" t="s">
        <v>131</v>
      </c>
      <c r="C12" s="65" t="s">
        <v>6</v>
      </c>
      <c r="D12" s="85">
        <v>2497.5100000000002</v>
      </c>
      <c r="E12" s="85">
        <v>0</v>
      </c>
      <c r="F12" s="68">
        <f>IF(Schadenliste8[[#This Row],[Aufwand]]-Schadenliste8[[#Headers],[2000]]&lt;0,Schadenliste8[[#This Row],[Aufwand]],Schadenliste8[[#This Row],[Aufwand]]-Schadenliste8[[#Headers],[2000]])</f>
        <v>497.51000000000022</v>
      </c>
      <c r="G12" s="68">
        <f>IF(Schadenliste8[[#This Row],[Aufwand]]-Schadenliste8[[#Headers],[5000]]&lt;0,Schadenliste8[[#This Row],[Aufwand]],Schadenliste8[[#This Row],[Aufwand]]-Schadenliste8[[#Headers],[5000]])</f>
        <v>2497.5100000000002</v>
      </c>
    </row>
    <row r="13" spans="1:7" x14ac:dyDescent="0.2">
      <c r="A13" s="65">
        <v>2024</v>
      </c>
      <c r="B13" s="65" t="s">
        <v>134</v>
      </c>
      <c r="C13" s="65" t="s">
        <v>4</v>
      </c>
      <c r="D13" s="85">
        <v>5247.04</v>
      </c>
      <c r="E13" s="85">
        <v>0</v>
      </c>
      <c r="F13" s="68">
        <f>IF(Schadenliste8[[#This Row],[Aufwand]]-Schadenliste8[[#Headers],[2000]]&lt;0,Schadenliste8[[#This Row],[Aufwand]],Schadenliste8[[#This Row],[Aufwand]]-Schadenliste8[[#Headers],[2000]])</f>
        <v>3247.04</v>
      </c>
      <c r="G13" s="68">
        <f>IF(Schadenliste8[[#This Row],[Aufwand]]-Schadenliste8[[#Headers],[5000]]&lt;0,Schadenliste8[[#This Row],[Aufwand]],Schadenliste8[[#This Row],[Aufwand]]-Schadenliste8[[#Headers],[5000]])</f>
        <v>247.03999999999996</v>
      </c>
    </row>
    <row r="14" spans="1:7" x14ac:dyDescent="0.2">
      <c r="A14" s="65">
        <v>2025</v>
      </c>
      <c r="B14" s="65" t="s">
        <v>135</v>
      </c>
      <c r="C14" s="65" t="s">
        <v>5</v>
      </c>
      <c r="D14" s="85">
        <v>68619.509999999995</v>
      </c>
      <c r="E14" s="85">
        <v>0</v>
      </c>
      <c r="F14" s="68">
        <f>IF(Schadenliste8[[#This Row],[Aufwand]]-Schadenliste8[[#Headers],[2000]]&lt;0,Schadenliste8[[#This Row],[Aufwand]],Schadenliste8[[#This Row],[Aufwand]]-Schadenliste8[[#Headers],[2000]])</f>
        <v>66619.509999999995</v>
      </c>
      <c r="G14" s="68">
        <f>IF(Schadenliste8[[#This Row],[Aufwand]]-Schadenliste8[[#Headers],[5000]]&lt;0,Schadenliste8[[#This Row],[Aufwand]],Schadenliste8[[#This Row],[Aufwand]]-Schadenliste8[[#Headers],[5000]])</f>
        <v>63619.509999999995</v>
      </c>
    </row>
    <row r="15" spans="1:7" x14ac:dyDescent="0.2">
      <c r="A15" s="65">
        <v>2025</v>
      </c>
      <c r="B15" s="65" t="s">
        <v>133</v>
      </c>
      <c r="C15" s="65" t="s">
        <v>4</v>
      </c>
      <c r="D15" s="85">
        <v>5545.16</v>
      </c>
      <c r="E15" s="85">
        <v>0</v>
      </c>
      <c r="F15" s="68">
        <f>IF(Schadenliste8[[#This Row],[Aufwand]]-Schadenliste8[[#Headers],[2000]]&lt;0,Schadenliste8[[#This Row],[Aufwand]],Schadenliste8[[#This Row],[Aufwand]]-Schadenliste8[[#Headers],[2000]])</f>
        <v>3545.16</v>
      </c>
      <c r="G15" s="68">
        <f>IF(Schadenliste8[[#This Row],[Aufwand]]-Schadenliste8[[#Headers],[5000]]&lt;0,Schadenliste8[[#This Row],[Aufwand]],Schadenliste8[[#This Row],[Aufwand]]-Schadenliste8[[#Headers],[5000]])</f>
        <v>545.15999999999985</v>
      </c>
    </row>
    <row r="16" spans="1:7" x14ac:dyDescent="0.2">
      <c r="A16" s="65">
        <v>2026</v>
      </c>
      <c r="B16" s="65" t="s">
        <v>136</v>
      </c>
      <c r="C16" s="84" t="s">
        <v>2</v>
      </c>
      <c r="D16" s="85">
        <v>5609.87</v>
      </c>
      <c r="E16" s="85">
        <v>5609.87</v>
      </c>
      <c r="F16" s="68">
        <f>IF(Schadenliste8[[#This Row],[Aufwand]]-Schadenliste8[[#Headers],[2000]]&lt;0,Schadenliste8[[#This Row],[Aufwand]],Schadenliste8[[#This Row],[Aufwand]]-Schadenliste8[[#Headers],[2000]])</f>
        <v>3609.87</v>
      </c>
      <c r="G16" s="68">
        <f>IF(Schadenliste8[[#This Row],[Aufwand]]-Schadenliste8[[#Headers],[5000]]&lt;0,Schadenliste8[[#This Row],[Aufwand]],Schadenliste8[[#This Row],[Aufwand]]-Schadenliste8[[#Headers],[5000]])</f>
        <v>609.86999999999989</v>
      </c>
    </row>
    <row r="17" spans="1:7" x14ac:dyDescent="0.2">
      <c r="A17" s="84">
        <v>2026</v>
      </c>
      <c r="B17" s="65" t="s">
        <v>137</v>
      </c>
      <c r="C17" s="84" t="s">
        <v>2</v>
      </c>
      <c r="D17" s="85">
        <v>7440.48</v>
      </c>
      <c r="E17" s="85">
        <v>7440.48</v>
      </c>
      <c r="F17" s="68">
        <f>IF(Schadenliste8[[#This Row],[Aufwand]]-Schadenliste8[[#Headers],[2000]]&lt;0,Schadenliste8[[#This Row],[Aufwand]],Schadenliste8[[#This Row],[Aufwand]]-Schadenliste8[[#Headers],[2000]])</f>
        <v>5440.48</v>
      </c>
      <c r="G17" s="68">
        <f>IF(Schadenliste8[[#This Row],[Aufwand]]-Schadenliste8[[#Headers],[5000]]&lt;0,Schadenliste8[[#This Row],[Aufwand]],Schadenliste8[[#This Row],[Aufwand]]-Schadenliste8[[#Headers],[5000]])</f>
        <v>2440.4799999999996</v>
      </c>
    </row>
  </sheetData>
  <sheetProtection algorithmName="SHA-512" hashValue="vVxxjDH0SPmQHDko3X/bkW00Dg7DwEYZEI9/s5oTgEYBCsQfVkp2K7tbCFMXpKULXtPNkoDvbKgJJitJqf+9Ww==" saltValue="9isuPp6T1vmmvwUXssl5XQ==" spinCount="100000" sheet="1" selectLockedCells="1" selectUnlockedCells="1"/>
  <phoneticPr fontId="42" type="noConversion"/>
  <printOptions horizontalCentered="1"/>
  <pageMargins left="0.78740157480314965" right="0.78740157480314965" top="0.86614173228346458" bottom="0.98425196850393704" header="0.27559055118110237" footer="0.51181102362204722"/>
  <pageSetup paperSize="9" fitToHeight="10" orientation="landscape" r:id="rId1"/>
  <headerFooter alignWithMargins="0">
    <oddHeader>&amp;LLos 1&amp;C&amp;"Arial,Fett"&amp;14Schadenliste&amp;RAnlage 05</oddHeader>
    <oddFooter>&amp;L&amp;D&amp;RSeite &amp;P von &amp;N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Q12"/>
  <sheetViews>
    <sheetView workbookViewId="0">
      <selection activeCell="L3" sqref="L3"/>
    </sheetView>
  </sheetViews>
  <sheetFormatPr baseColWidth="10" defaultColWidth="11.42578125" defaultRowHeight="12.75" x14ac:dyDescent="0.2"/>
  <cols>
    <col min="1" max="1" width="20.28515625" style="1" bestFit="1" customWidth="1"/>
    <col min="2" max="7" width="11.42578125" style="1"/>
    <col min="8" max="8" width="13" style="1" customWidth="1"/>
    <col min="9" max="9" width="12.28515625" style="1" customWidth="1"/>
    <col min="10" max="13" width="11.42578125" style="1"/>
    <col min="14" max="14" width="11.42578125" style="8"/>
    <col min="15" max="15" width="12.42578125" style="1" customWidth="1"/>
    <col min="16" max="16384" width="11.42578125" style="1"/>
  </cols>
  <sheetData>
    <row r="1" spans="1:17" ht="12.75" customHeight="1" x14ac:dyDescent="0.2">
      <c r="A1" s="103" t="s">
        <v>12</v>
      </c>
      <c r="B1" s="103" t="s">
        <v>13</v>
      </c>
      <c r="C1" s="103" t="s">
        <v>14</v>
      </c>
      <c r="D1" s="103" t="s">
        <v>15</v>
      </c>
      <c r="E1" s="103" t="s">
        <v>16</v>
      </c>
      <c r="F1" s="103" t="s">
        <v>17</v>
      </c>
      <c r="G1" s="103" t="s">
        <v>18</v>
      </c>
      <c r="H1" s="103" t="s">
        <v>19</v>
      </c>
      <c r="I1" s="103" t="s">
        <v>20</v>
      </c>
      <c r="J1" s="105" t="s">
        <v>21</v>
      </c>
      <c r="K1" s="105"/>
      <c r="L1" s="105" t="s">
        <v>22</v>
      </c>
      <c r="M1" s="105"/>
      <c r="N1" s="106" t="s">
        <v>18</v>
      </c>
      <c r="O1" s="103" t="s">
        <v>20</v>
      </c>
    </row>
    <row r="2" spans="1:17" s="3" customFormat="1" x14ac:dyDescent="0.2">
      <c r="A2" s="104"/>
      <c r="B2" s="104"/>
      <c r="C2" s="104"/>
      <c r="D2" s="104"/>
      <c r="E2" s="104"/>
      <c r="F2" s="104"/>
      <c r="G2" s="104"/>
      <c r="H2" s="104"/>
      <c r="I2" s="104"/>
      <c r="J2" s="2" t="s">
        <v>7</v>
      </c>
      <c r="K2" s="2" t="s">
        <v>23</v>
      </c>
      <c r="L2" s="2" t="s">
        <v>7</v>
      </c>
      <c r="M2" s="2" t="s">
        <v>23</v>
      </c>
      <c r="N2" s="107"/>
      <c r="O2" s="104"/>
    </row>
    <row r="3" spans="1:17" x14ac:dyDescent="0.2">
      <c r="A3" s="4" t="s">
        <v>3</v>
      </c>
      <c r="B3" s="5">
        <v>0</v>
      </c>
      <c r="C3" s="19">
        <v>0</v>
      </c>
      <c r="D3" s="5">
        <v>0</v>
      </c>
      <c r="E3" s="5">
        <f>B3/5</f>
        <v>0</v>
      </c>
      <c r="F3" s="4">
        <f>IF($D$11=0,$D$12,$D$11)</f>
        <v>20</v>
      </c>
      <c r="G3" s="5">
        <f t="shared" ref="G3:G7" si="0">E3/(1-F3/100)</f>
        <v>0</v>
      </c>
      <c r="H3" s="5">
        <f>G3*0.6*0.22</f>
        <v>0</v>
      </c>
      <c r="I3" s="5">
        <f t="shared" ref="I3:I7" si="1">G3+H3</f>
        <v>0</v>
      </c>
      <c r="J3" s="6">
        <f>Objektliste[[#Totals],[Versicherungssumme Gebäude Feuer]]</f>
        <v>397798320</v>
      </c>
      <c r="K3" s="6">
        <f>Objektliste[[#Totals],[Versicherungssumme Inventar Feuer ]]</f>
        <v>54093666</v>
      </c>
      <c r="L3" s="7"/>
      <c r="M3" s="7"/>
      <c r="N3" s="5">
        <f t="shared" ref="N3:N5" si="2">ROUND(L3*J3/1000,2)+ROUND(M3*K3/1000,2)</f>
        <v>0</v>
      </c>
      <c r="O3" s="5">
        <f>ROUND(N3*1.132,2)</f>
        <v>0</v>
      </c>
      <c r="P3" s="8"/>
      <c r="Q3" s="15"/>
    </row>
    <row r="4" spans="1:17" x14ac:dyDescent="0.2">
      <c r="A4" s="4" t="s">
        <v>4</v>
      </c>
      <c r="B4" s="5">
        <f>GETPIVOTDATA("Summe von Aufwand",Schadenauswertung!$A$3,"Schadenursache","Leitungswasser")</f>
        <v>60834.289999999994</v>
      </c>
      <c r="C4" s="19">
        <f>GETPIVOTDATA("Anzahl von Aufwand2",Schadenauswertung!$A$3,"Schadenursache","Leitungswasser")</f>
        <v>11</v>
      </c>
      <c r="D4" s="5">
        <f t="shared" ref="D4:D7" si="3">B4/C4</f>
        <v>5530.3899999999994</v>
      </c>
      <c r="E4" s="5">
        <f>B4/5</f>
        <v>12166.857999999998</v>
      </c>
      <c r="F4" s="4">
        <f>IF($D$11=0,$D$12,$D$11)</f>
        <v>20</v>
      </c>
      <c r="G4" s="5">
        <f t="shared" si="0"/>
        <v>15208.572499999997</v>
      </c>
      <c r="H4" s="5">
        <f>G4*0.19</f>
        <v>2889.6287749999992</v>
      </c>
      <c r="I4" s="5">
        <f t="shared" si="1"/>
        <v>18098.201274999996</v>
      </c>
      <c r="J4" s="6">
        <f>Objektliste[[#Totals],[Versicherungssumme Gebäude Leitungswasser]]</f>
        <v>397798320</v>
      </c>
      <c r="K4" s="6">
        <f>Objektliste[[#Totals],[Versicherungssumme Inventar Leitungswasser]]</f>
        <v>54093666</v>
      </c>
      <c r="L4" s="7"/>
      <c r="M4" s="7"/>
      <c r="N4" s="5">
        <f t="shared" si="2"/>
        <v>0</v>
      </c>
      <c r="O4" s="5">
        <f>ROUND(N4*1.19,2)</f>
        <v>0</v>
      </c>
      <c r="P4" s="8"/>
      <c r="Q4" s="15"/>
    </row>
    <row r="5" spans="1:17" x14ac:dyDescent="0.2">
      <c r="A5" s="4" t="s">
        <v>5</v>
      </c>
      <c r="B5" s="5">
        <f>GETPIVOTDATA("Summe von Aufwand",Schadenauswertung!$A$3,"Schadenursache","Sturm")</f>
        <v>68619.509999999995</v>
      </c>
      <c r="C5" s="19">
        <f>GETPIVOTDATA("Anzahl von Aufwand2",Schadenauswertung!$A$3,"Schadenursache","Sturm")</f>
        <v>1</v>
      </c>
      <c r="D5" s="5">
        <f t="shared" si="3"/>
        <v>68619.509999999995</v>
      </c>
      <c r="E5" s="5">
        <f>B5/5</f>
        <v>13723.901999999998</v>
      </c>
      <c r="F5" s="4">
        <f>IF($D$11=0,$D$12,$D$11)</f>
        <v>20</v>
      </c>
      <c r="G5" s="5">
        <f t="shared" si="0"/>
        <v>17154.877499999995</v>
      </c>
      <c r="H5" s="5">
        <f>G5*0.19</f>
        <v>3259.4267249999989</v>
      </c>
      <c r="I5" s="5">
        <f t="shared" si="1"/>
        <v>20414.304224999993</v>
      </c>
      <c r="J5" s="6">
        <f>Objektliste[[#Totals],[Versicherungssumme Gebäude Sturm]]</f>
        <v>397798320</v>
      </c>
      <c r="K5" s="6">
        <f>Objektliste[[#Totals],[Versicherungssumme Inventar Sturm ]]</f>
        <v>54093666</v>
      </c>
      <c r="L5" s="7"/>
      <c r="M5" s="7"/>
      <c r="N5" s="5">
        <f t="shared" si="2"/>
        <v>0</v>
      </c>
      <c r="O5" s="5">
        <f>ROUND(N5*1.19,2)</f>
        <v>0</v>
      </c>
      <c r="P5" s="8"/>
      <c r="Q5" s="15"/>
    </row>
    <row r="6" spans="1:17" ht="26.25" customHeight="1" x14ac:dyDescent="0.2">
      <c r="A6" s="62" t="s">
        <v>44</v>
      </c>
      <c r="B6" s="5">
        <f>GETPIVOTDATA("Summe von Aufwand",Schadenauswertung!$A$3,"Schadenursache","Überschwemmung")</f>
        <v>2497.5100000000002</v>
      </c>
      <c r="C6" s="4">
        <f>GETPIVOTDATA("Anzahl von Aufwand2",Schadenauswertung!$A$3,"Schadenursache","Überschwemmung")</f>
        <v>1</v>
      </c>
      <c r="D6" s="5">
        <v>0</v>
      </c>
      <c r="E6" s="5">
        <v>0</v>
      </c>
      <c r="F6" s="4">
        <f>IF($D$11=0,$D$12,$D$11)</f>
        <v>20</v>
      </c>
      <c r="G6" s="5">
        <f t="shared" ref="G6" si="4">E6/(1-F6/100)</f>
        <v>0</v>
      </c>
      <c r="H6" s="5">
        <f>G6*0.19</f>
        <v>0</v>
      </c>
      <c r="I6" s="5">
        <f t="shared" ref="I6" si="5">G6+H6</f>
        <v>0</v>
      </c>
      <c r="J6" s="6">
        <f>Objektliste[[#Totals],[Versicherungssumme Gebäude Überschwemmung]]</f>
        <v>397798320</v>
      </c>
      <c r="K6" s="6">
        <f>Objektliste[[#Totals],[Versicherungssumme Inventar Überschwemmung]]</f>
        <v>54093666</v>
      </c>
      <c r="L6" s="7"/>
      <c r="M6" s="7"/>
      <c r="N6" s="5">
        <f t="shared" ref="N6" si="6">ROUND(L6*J6/1000,2)+ROUND(M6*K6/1000,2)</f>
        <v>0</v>
      </c>
      <c r="O6" s="5">
        <f>ROUND(N6*1.19,2)</f>
        <v>0</v>
      </c>
      <c r="P6" s="8"/>
      <c r="Q6" s="15"/>
    </row>
    <row r="7" spans="1:17" x14ac:dyDescent="0.2">
      <c r="A7" s="4" t="s">
        <v>2</v>
      </c>
      <c r="B7" s="5">
        <f>GETPIVOTDATA("Summe von Aufwand",Schadenauswertung!$A$3,"Schadenursache","Einbruchdiebstahl")</f>
        <v>13050.349999999999</v>
      </c>
      <c r="C7" s="19">
        <f>GETPIVOTDATA("Anzahl von Aufwand2",Schadenauswertung!$A$3,"Schadenursache","Einbruchdiebstahl")</f>
        <v>2</v>
      </c>
      <c r="D7" s="5">
        <f t="shared" si="3"/>
        <v>6525.1749999999993</v>
      </c>
      <c r="E7" s="5">
        <f>B7/5</f>
        <v>2610.0699999999997</v>
      </c>
      <c r="F7" s="4">
        <f>IF($D$11=0,$D$12,$D$11)</f>
        <v>20</v>
      </c>
      <c r="G7" s="5">
        <f t="shared" si="0"/>
        <v>3262.5874999999996</v>
      </c>
      <c r="H7" s="5">
        <f>G7*0.19</f>
        <v>619.89162499999998</v>
      </c>
      <c r="I7" s="5">
        <f t="shared" si="1"/>
        <v>3882.4791249999998</v>
      </c>
      <c r="J7" s="6"/>
      <c r="K7" s="6">
        <f>Objektliste[[#Totals],[Versicherungssumme Inventar Einbruchdiebstahl]]</f>
        <v>54093666</v>
      </c>
      <c r="L7" s="4"/>
      <c r="M7" s="7"/>
      <c r="N7" s="5">
        <f>ROUND(M7*K7/1000,2)</f>
        <v>0</v>
      </c>
      <c r="O7" s="5">
        <f>ROUND(N7*1.19,2)</f>
        <v>0</v>
      </c>
      <c r="P7" s="8"/>
      <c r="Q7" s="15"/>
    </row>
    <row r="8" spans="1:17" x14ac:dyDescent="0.2">
      <c r="A8" s="4"/>
      <c r="B8" s="5"/>
      <c r="C8" s="4"/>
      <c r="D8" s="5"/>
      <c r="E8" s="5"/>
      <c r="F8" s="4"/>
      <c r="G8" s="5"/>
      <c r="H8" s="5"/>
      <c r="I8" s="5"/>
      <c r="J8" s="4"/>
      <c r="K8" s="4"/>
      <c r="L8" s="4"/>
      <c r="M8" s="4"/>
      <c r="N8" s="5"/>
      <c r="O8" s="5"/>
      <c r="P8" s="8"/>
      <c r="Q8" s="15"/>
    </row>
    <row r="9" spans="1:17" x14ac:dyDescent="0.2">
      <c r="A9" s="4" t="s">
        <v>8</v>
      </c>
      <c r="B9" s="5">
        <f>SUM(B3:B7)</f>
        <v>145001.66</v>
      </c>
      <c r="C9" s="6">
        <f>SUM(C3:C7)</f>
        <v>15</v>
      </c>
      <c r="D9" s="5">
        <f>B9/C9</f>
        <v>9666.7773333333334</v>
      </c>
      <c r="E9" s="5">
        <f>B9/5</f>
        <v>29000.332000000002</v>
      </c>
      <c r="F9" s="4"/>
      <c r="G9" s="5">
        <f>SUM(G3:G7)</f>
        <v>35626.037499999991</v>
      </c>
      <c r="H9" s="5">
        <f>SUM(H3:H7)</f>
        <v>6768.9471249999988</v>
      </c>
      <c r="I9" s="5">
        <f>SUM(I3:I7)</f>
        <v>42394.984624999983</v>
      </c>
      <c r="J9" s="6"/>
      <c r="K9" s="6"/>
      <c r="L9" s="4"/>
      <c r="M9" s="4"/>
      <c r="N9" s="5">
        <f>SUM(N3:N7)</f>
        <v>0</v>
      </c>
      <c r="O9" s="5">
        <f>SUM(O3:O7)</f>
        <v>0</v>
      </c>
      <c r="P9" s="8"/>
      <c r="Q9" s="15"/>
    </row>
    <row r="11" spans="1:17" x14ac:dyDescent="0.2">
      <c r="A11" s="108" t="s">
        <v>24</v>
      </c>
      <c r="B11" s="109"/>
      <c r="C11" s="110"/>
      <c r="D11" s="7"/>
    </row>
    <row r="12" spans="1:17" x14ac:dyDescent="0.2">
      <c r="A12" s="108" t="s">
        <v>25</v>
      </c>
      <c r="B12" s="109"/>
      <c r="C12" s="110"/>
      <c r="D12" s="4">
        <v>20</v>
      </c>
    </row>
  </sheetData>
  <sheetProtection algorithmName="SHA-512" hashValue="k9QzJDA7gjsKTrloDYxNnbA7Y8YTMKXvUpnUzzDDrLJywfIH49te0jZNAsc+XbUIw37ZXsiCZXYrNsoh8xxedg==" saltValue="9Ijk7AXoPmhBcBd5UEkO+w==" spinCount="100000" sheet="1" selectLockedCells="1"/>
  <mergeCells count="15">
    <mergeCell ref="O1:O2"/>
    <mergeCell ref="A11:C11"/>
    <mergeCell ref="A12:C12"/>
    <mergeCell ref="I1:I2"/>
    <mergeCell ref="J1:K1"/>
    <mergeCell ref="A1:A2"/>
    <mergeCell ref="B1:B2"/>
    <mergeCell ref="C1:C2"/>
    <mergeCell ref="D1:D2"/>
    <mergeCell ref="L1:M1"/>
    <mergeCell ref="N1:N2"/>
    <mergeCell ref="E1:E2"/>
    <mergeCell ref="F1:F2"/>
    <mergeCell ref="G1:G2"/>
    <mergeCell ref="H1:H2"/>
  </mergeCells>
  <phoneticPr fontId="9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1" orientation="landscape" r:id="rId1"/>
  <headerFooter alignWithMargins="0">
    <oddHeader>&amp;C&amp;"MS Sans Serif,Fett"&amp;13Kalkulationsschema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0"/>
    <pageSetUpPr fitToPage="1"/>
  </sheetPr>
  <dimension ref="A2:J42"/>
  <sheetViews>
    <sheetView tabSelected="1" zoomScale="115" zoomScaleNormal="115" workbookViewId="0">
      <selection activeCell="D6" sqref="D6"/>
    </sheetView>
  </sheetViews>
  <sheetFormatPr baseColWidth="10" defaultColWidth="11.42578125" defaultRowHeight="12.75" x14ac:dyDescent="0.2"/>
  <cols>
    <col min="1" max="1" width="20.28515625" style="1" bestFit="1" customWidth="1"/>
    <col min="2" max="2" width="13.28515625" style="1" bestFit="1" customWidth="1"/>
    <col min="3" max="5" width="11.42578125" style="1"/>
    <col min="6" max="6" width="11.42578125" style="8"/>
    <col min="7" max="7" width="12.42578125" style="1" customWidth="1"/>
    <col min="8" max="16384" width="11.42578125" style="1"/>
  </cols>
  <sheetData>
    <row r="2" spans="1:10" ht="15.75" x14ac:dyDescent="0.25">
      <c r="A2" s="11" t="s">
        <v>151</v>
      </c>
    </row>
    <row r="4" spans="1:10" ht="12.75" customHeight="1" x14ac:dyDescent="0.2">
      <c r="A4" s="103" t="s">
        <v>12</v>
      </c>
      <c r="B4" s="105" t="s">
        <v>21</v>
      </c>
      <c r="C4" s="105"/>
      <c r="D4" s="105" t="s">
        <v>22</v>
      </c>
      <c r="E4" s="105"/>
      <c r="F4" s="106" t="s">
        <v>18</v>
      </c>
      <c r="G4" s="103" t="s">
        <v>20</v>
      </c>
    </row>
    <row r="5" spans="1:10" s="3" customFormat="1" x14ac:dyDescent="0.2">
      <c r="A5" s="112"/>
      <c r="B5" s="2" t="s">
        <v>7</v>
      </c>
      <c r="C5" s="2" t="s">
        <v>23</v>
      </c>
      <c r="D5" s="2" t="s">
        <v>7</v>
      </c>
      <c r="E5" s="2" t="s">
        <v>23</v>
      </c>
      <c r="F5" s="111"/>
      <c r="G5" s="112"/>
    </row>
    <row r="6" spans="1:10" x14ac:dyDescent="0.2">
      <c r="A6" s="4" t="s">
        <v>3</v>
      </c>
      <c r="B6" s="6">
        <f>'Sach-Kalkulation'!J3</f>
        <v>397798320</v>
      </c>
      <c r="C6" s="6">
        <f>'Sach-Kalkulation'!K3</f>
        <v>54093666</v>
      </c>
      <c r="D6" s="7"/>
      <c r="E6" s="7"/>
      <c r="F6" s="5">
        <f>ROUND(D6*B6/1000,2)+ROUND(E6*C6/1000,2)</f>
        <v>0</v>
      </c>
      <c r="G6" s="5">
        <f>ROUND(F6*1.132,2)</f>
        <v>0</v>
      </c>
    </row>
    <row r="7" spans="1:10" x14ac:dyDescent="0.2">
      <c r="A7" s="4" t="s">
        <v>4</v>
      </c>
      <c r="B7" s="6">
        <f>'Sach-Kalkulation'!J4</f>
        <v>397798320</v>
      </c>
      <c r="C7" s="6">
        <f>'Sach-Kalkulation'!K4</f>
        <v>54093666</v>
      </c>
      <c r="D7" s="7"/>
      <c r="E7" s="7"/>
      <c r="F7" s="5">
        <f>ROUND(D7*B7/1000,2)+ROUND(E7*C7/1000,2)</f>
        <v>0</v>
      </c>
      <c r="G7" s="5">
        <f>ROUND(F7*1.19,2)</f>
        <v>0</v>
      </c>
    </row>
    <row r="8" spans="1:10" x14ac:dyDescent="0.2">
      <c r="A8" s="4" t="s">
        <v>5</v>
      </c>
      <c r="B8" s="6">
        <f>'Sach-Kalkulation'!J5</f>
        <v>397798320</v>
      </c>
      <c r="C8" s="6">
        <f>'Sach-Kalkulation'!K5</f>
        <v>54093666</v>
      </c>
      <c r="D8" s="7"/>
      <c r="E8" s="7"/>
      <c r="F8" s="5">
        <f>ROUND(D8*B8/1000,2)+ROUND(E8*C8/1000,2)</f>
        <v>0</v>
      </c>
      <c r="G8" s="5">
        <f>ROUND(F8*1.19,2)</f>
        <v>0</v>
      </c>
    </row>
    <row r="9" spans="1:10" ht="25.5" customHeight="1" x14ac:dyDescent="0.2">
      <c r="A9" s="16" t="s">
        <v>45</v>
      </c>
      <c r="B9" s="6">
        <f>'Sach-Kalkulation'!J6</f>
        <v>397798320</v>
      </c>
      <c r="C9" s="6">
        <f>'Sach-Kalkulation'!K6</f>
        <v>54093666</v>
      </c>
      <c r="D9" s="7"/>
      <c r="E9" s="7"/>
      <c r="F9" s="5">
        <f t="shared" ref="F9" si="0">ROUND(D9*B9/1000,2)+ROUND(E9*C9/1000,2)</f>
        <v>0</v>
      </c>
      <c r="G9" s="5">
        <f t="shared" ref="G9" si="1">ROUND(F9*1.19,2)</f>
        <v>0</v>
      </c>
    </row>
    <row r="10" spans="1:10" x14ac:dyDescent="0.2">
      <c r="A10" s="4" t="s">
        <v>2</v>
      </c>
      <c r="B10" s="6"/>
      <c r="C10" s="6">
        <f>'Sach-Kalkulation'!K7</f>
        <v>54093666</v>
      </c>
      <c r="D10" s="4"/>
      <c r="E10" s="7"/>
      <c r="F10" s="5">
        <f>ROUND(E10*C10/1000,2)</f>
        <v>0</v>
      </c>
      <c r="G10" s="5">
        <f>ROUND(F10*1.19,2)</f>
        <v>0</v>
      </c>
    </row>
    <row r="11" spans="1:10" x14ac:dyDescent="0.2">
      <c r="A11" s="4"/>
      <c r="B11" s="4"/>
      <c r="C11" s="4"/>
      <c r="D11" s="4"/>
      <c r="E11" s="4"/>
      <c r="F11" s="5"/>
      <c r="G11" s="5"/>
    </row>
    <row r="12" spans="1:10" x14ac:dyDescent="0.2">
      <c r="A12" s="4" t="s">
        <v>8</v>
      </c>
      <c r="B12" s="6"/>
      <c r="C12" s="6"/>
      <c r="D12" s="4"/>
      <c r="E12" s="4"/>
      <c r="F12" s="5">
        <f>SUM(F6:F10)</f>
        <v>0</v>
      </c>
      <c r="J12" s="12">
        <f>SUM(G6:G10)</f>
        <v>0</v>
      </c>
    </row>
    <row r="14" spans="1:10" x14ac:dyDescent="0.2">
      <c r="A14" s="13"/>
      <c r="B14" s="22"/>
      <c r="C14" s="22"/>
      <c r="D14" s="22"/>
      <c r="E14" s="22"/>
      <c r="F14" s="22"/>
      <c r="G14" s="22"/>
      <c r="H14" s="23"/>
    </row>
    <row r="15" spans="1:10" x14ac:dyDescent="0.2">
      <c r="A15" s="14" t="s">
        <v>157</v>
      </c>
      <c r="B15" s="24"/>
      <c r="C15" s="24"/>
      <c r="D15" s="24"/>
      <c r="E15" s="24"/>
      <c r="F15" s="24"/>
      <c r="G15" s="24"/>
      <c r="H15" s="25"/>
    </row>
    <row r="16" spans="1:10" x14ac:dyDescent="0.2">
      <c r="A16" s="14" t="s">
        <v>26</v>
      </c>
      <c r="B16" s="24"/>
      <c r="C16" s="24"/>
      <c r="D16" s="24"/>
      <c r="E16" s="24"/>
      <c r="F16" s="24"/>
      <c r="G16" s="24"/>
      <c r="H16" s="25"/>
    </row>
    <row r="17" spans="1:8" x14ac:dyDescent="0.2">
      <c r="A17" s="14" t="s">
        <v>27</v>
      </c>
      <c r="B17" s="24"/>
      <c r="C17" s="24"/>
      <c r="D17" s="24"/>
      <c r="E17" s="24"/>
      <c r="F17" s="24"/>
      <c r="G17" s="24"/>
      <c r="H17" s="25"/>
    </row>
    <row r="18" spans="1:8" x14ac:dyDescent="0.2">
      <c r="A18" s="14" t="s">
        <v>75</v>
      </c>
      <c r="B18" s="24"/>
      <c r="C18" s="24"/>
      <c r="D18" s="24"/>
      <c r="E18" s="24"/>
      <c r="F18" s="24"/>
      <c r="G18" s="24"/>
      <c r="H18" s="25"/>
    </row>
    <row r="19" spans="1:8" x14ac:dyDescent="0.2">
      <c r="A19" s="14"/>
      <c r="B19" s="24"/>
      <c r="C19" s="24"/>
      <c r="D19" s="24"/>
      <c r="E19" s="24"/>
      <c r="F19" s="24"/>
      <c r="G19" s="24"/>
      <c r="H19" s="25"/>
    </row>
    <row r="20" spans="1:8" x14ac:dyDescent="0.2">
      <c r="A20" s="14" t="s">
        <v>158</v>
      </c>
      <c r="B20" s="24"/>
      <c r="C20" s="24"/>
      <c r="D20" s="24"/>
      <c r="E20" s="24"/>
      <c r="F20" s="24"/>
      <c r="G20" s="24"/>
      <c r="H20" s="25"/>
    </row>
    <row r="21" spans="1:8" x14ac:dyDescent="0.2">
      <c r="A21" s="14" t="s">
        <v>160</v>
      </c>
      <c r="B21" s="24"/>
      <c r="C21" s="24"/>
      <c r="D21" s="24"/>
      <c r="E21" s="24"/>
      <c r="F21" s="24"/>
      <c r="G21" s="24"/>
      <c r="H21" s="25"/>
    </row>
    <row r="22" spans="1:8" x14ac:dyDescent="0.2">
      <c r="A22" s="14" t="s">
        <v>161</v>
      </c>
      <c r="B22" s="24"/>
      <c r="C22" s="24"/>
      <c r="D22" s="24"/>
      <c r="E22" s="24"/>
      <c r="F22" s="24"/>
      <c r="G22" s="24"/>
      <c r="H22" s="25"/>
    </row>
    <row r="23" spans="1:8" x14ac:dyDescent="0.2">
      <c r="A23" s="14" t="s">
        <v>74</v>
      </c>
      <c r="B23" s="24"/>
      <c r="C23" s="24"/>
      <c r="D23" s="24"/>
      <c r="E23" s="24"/>
      <c r="F23" s="24"/>
      <c r="G23" s="24"/>
      <c r="H23" s="25"/>
    </row>
    <row r="24" spans="1:8" x14ac:dyDescent="0.2">
      <c r="A24" s="14"/>
      <c r="B24" s="24"/>
      <c r="C24" s="24"/>
      <c r="D24" s="24"/>
      <c r="E24" s="24"/>
      <c r="F24" s="24"/>
      <c r="G24" s="24"/>
      <c r="H24" s="25"/>
    </row>
    <row r="25" spans="1:8" x14ac:dyDescent="0.2">
      <c r="A25" s="14" t="s">
        <v>159</v>
      </c>
      <c r="B25" s="24"/>
      <c r="C25" s="24"/>
      <c r="D25" s="24"/>
      <c r="E25" s="24"/>
      <c r="F25" s="24"/>
      <c r="G25" s="24"/>
      <c r="H25" s="25"/>
    </row>
    <row r="26" spans="1:8" x14ac:dyDescent="0.2">
      <c r="A26" s="14" t="s">
        <v>162</v>
      </c>
      <c r="B26" s="24"/>
      <c r="C26" s="24"/>
      <c r="D26" s="24"/>
      <c r="E26" s="24"/>
      <c r="F26" s="24"/>
      <c r="G26" s="24"/>
      <c r="H26" s="25"/>
    </row>
    <row r="27" spans="1:8" x14ac:dyDescent="0.2">
      <c r="A27" s="14"/>
      <c r="B27" s="24"/>
      <c r="C27" s="24"/>
      <c r="D27" s="24"/>
      <c r="E27" s="24"/>
      <c r="F27" s="24"/>
      <c r="G27" s="24"/>
      <c r="H27" s="25"/>
    </row>
    <row r="28" spans="1:8" x14ac:dyDescent="0.2">
      <c r="A28" s="26"/>
      <c r="B28" s="27"/>
      <c r="C28" s="27"/>
      <c r="D28" s="27"/>
      <c r="E28" s="27"/>
      <c r="F28" s="27"/>
      <c r="G28" s="27"/>
      <c r="H28" s="28"/>
    </row>
    <row r="29" spans="1:8" x14ac:dyDescent="0.2">
      <c r="A29" s="18"/>
      <c r="B29" s="18"/>
      <c r="C29" s="18"/>
      <c r="D29" s="18"/>
      <c r="E29" s="18"/>
      <c r="F29" s="18"/>
      <c r="G29" s="18"/>
      <c r="H29" s="18"/>
    </row>
    <row r="30" spans="1:8" ht="15.75" x14ac:dyDescent="0.25">
      <c r="A30" s="11" t="s">
        <v>152</v>
      </c>
    </row>
    <row r="32" spans="1:8" ht="25.5" x14ac:dyDescent="0.2">
      <c r="A32" s="86" t="s">
        <v>155</v>
      </c>
      <c r="B32" s="87" t="s">
        <v>154</v>
      </c>
      <c r="C32" s="87" t="s">
        <v>22</v>
      </c>
      <c r="D32" s="88" t="s">
        <v>18</v>
      </c>
      <c r="E32" s="86" t="s">
        <v>20</v>
      </c>
      <c r="F32" s="1"/>
    </row>
    <row r="33" spans="1:10" x14ac:dyDescent="0.2">
      <c r="A33" s="4" t="s">
        <v>153</v>
      </c>
      <c r="B33" s="5">
        <v>25896.76</v>
      </c>
      <c r="C33" s="7"/>
      <c r="D33" s="5">
        <f>ROUND(C33*B33/1000*6.6246,2)</f>
        <v>0</v>
      </c>
      <c r="E33" s="5">
        <f>ROUND(D33*1.19,2)</f>
        <v>0</v>
      </c>
      <c r="F33" s="1"/>
    </row>
    <row r="34" spans="1:10" x14ac:dyDescent="0.2">
      <c r="A34" s="4" t="s">
        <v>156</v>
      </c>
      <c r="B34" s="5">
        <v>339439</v>
      </c>
      <c r="C34" s="7"/>
      <c r="D34" s="5">
        <f>ROUND(C34*B34/1000*6.6246,2)</f>
        <v>0</v>
      </c>
      <c r="E34" s="5">
        <f>ROUND(D34*1.19,2)</f>
        <v>0</v>
      </c>
      <c r="F34" s="1"/>
    </row>
    <row r="35" spans="1:10" x14ac:dyDescent="0.2">
      <c r="A35" s="4"/>
      <c r="B35" s="4"/>
      <c r="C35" s="4"/>
      <c r="D35" s="4"/>
      <c r="E35" s="4"/>
      <c r="F35" s="1"/>
    </row>
    <row r="36" spans="1:10" x14ac:dyDescent="0.2">
      <c r="A36" s="4" t="s">
        <v>8</v>
      </c>
      <c r="B36" s="6"/>
      <c r="C36" s="6"/>
      <c r="D36" s="4"/>
      <c r="E36" s="4"/>
      <c r="F36" s="5">
        <f>SUM(D33:D34)</f>
        <v>0</v>
      </c>
      <c r="J36" s="12">
        <f>SUM(E33:E34)</f>
        <v>0</v>
      </c>
    </row>
    <row r="38" spans="1:10" x14ac:dyDescent="0.2">
      <c r="A38" s="13"/>
      <c r="B38" s="22"/>
      <c r="C38" s="22"/>
      <c r="D38" s="22"/>
      <c r="E38" s="22"/>
      <c r="F38" s="22"/>
      <c r="G38" s="22"/>
      <c r="H38" s="23"/>
    </row>
    <row r="39" spans="1:10" x14ac:dyDescent="0.2">
      <c r="A39" s="14" t="s">
        <v>165</v>
      </c>
      <c r="B39" s="24"/>
      <c r="C39" s="24"/>
      <c r="D39" s="24"/>
      <c r="E39" s="24"/>
      <c r="F39" s="24"/>
      <c r="G39" s="24"/>
      <c r="H39" s="25"/>
    </row>
    <row r="40" spans="1:10" x14ac:dyDescent="0.2">
      <c r="A40" s="14" t="s">
        <v>162</v>
      </c>
      <c r="B40" s="24"/>
      <c r="C40" s="24"/>
      <c r="D40" s="24"/>
      <c r="E40" s="24"/>
      <c r="F40" s="24"/>
      <c r="G40" s="24"/>
      <c r="H40" s="25"/>
    </row>
    <row r="41" spans="1:10" x14ac:dyDescent="0.2">
      <c r="A41" s="14"/>
      <c r="B41" s="24"/>
      <c r="C41" s="24"/>
      <c r="D41" s="24"/>
      <c r="E41" s="24"/>
      <c r="F41" s="24"/>
      <c r="G41" s="24"/>
      <c r="H41" s="25"/>
    </row>
    <row r="42" spans="1:10" x14ac:dyDescent="0.2">
      <c r="A42" s="26"/>
      <c r="B42" s="27"/>
      <c r="C42" s="27"/>
      <c r="D42" s="27"/>
      <c r="E42" s="27"/>
      <c r="F42" s="27"/>
      <c r="G42" s="27"/>
      <c r="H42" s="28"/>
    </row>
  </sheetData>
  <sheetProtection algorithmName="SHA-512" hashValue="+mUxJkOdpegwUpv9nM1CrZitTlHsPsO2Sl7PECoCHFIMLx+92VtKSZXOoCASWcyfxG9m5WijhrvdNbeF24N3Lg==" saltValue="0BJlqj3axUKNMjha134cVg==" spinCount="100000" sheet="1" selectLockedCells="1"/>
  <mergeCells count="5">
    <mergeCell ref="F4:F5"/>
    <mergeCell ref="G4:G5"/>
    <mergeCell ref="B4:C4"/>
    <mergeCell ref="A4:A5"/>
    <mergeCell ref="D4:E4"/>
  </mergeCells>
  <phoneticPr fontId="9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7" orientation="portrait" r:id="rId1"/>
  <headerFooter alignWithMargins="0">
    <oddHeader>&amp;C&amp;"MS Sans Serif,Fett"&amp;13Preisblatt&amp;RAnlage 06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>
                <anchor moveWithCells="1">
                  <from>
                    <xdr:col>6</xdr:col>
                    <xdr:colOff>142875</xdr:colOff>
                    <xdr:row>15</xdr:row>
                    <xdr:rowOff>0</xdr:rowOff>
                  </from>
                  <to>
                    <xdr:col>6</xdr:col>
                    <xdr:colOff>504825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Check Box 2">
              <controlPr defaultSize="0" autoFill="0" autoLine="0" autoPict="0">
                <anchor moveWithCells="1">
                  <from>
                    <xdr:col>6</xdr:col>
                    <xdr:colOff>733425</xdr:colOff>
                    <xdr:row>14</xdr:row>
                    <xdr:rowOff>0</xdr:rowOff>
                  </from>
                  <to>
                    <xdr:col>7</xdr:col>
                    <xdr:colOff>409575</xdr:colOff>
                    <xdr:row>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6" name="Check Box 10">
              <controlPr defaultSize="0" autoFill="0" autoLine="0" autoPict="0">
                <anchor moveWithCells="1">
                  <from>
                    <xdr:col>6</xdr:col>
                    <xdr:colOff>142875</xdr:colOff>
                    <xdr:row>20</xdr:row>
                    <xdr:rowOff>9525</xdr:rowOff>
                  </from>
                  <to>
                    <xdr:col>6</xdr:col>
                    <xdr:colOff>504825</xdr:colOff>
                    <xdr:row>21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7" name="Check Box 11">
              <controlPr defaultSize="0" autoFill="0" autoLine="0" autoPict="0">
                <anchor moveWithCells="1">
                  <from>
                    <xdr:col>6</xdr:col>
                    <xdr:colOff>142875</xdr:colOff>
                    <xdr:row>20</xdr:row>
                    <xdr:rowOff>152400</xdr:rowOff>
                  </from>
                  <to>
                    <xdr:col>6</xdr:col>
                    <xdr:colOff>504825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8" name="Check Box 10">
              <controlPr defaultSize="0" autoFill="0" autoLine="0" autoPict="0">
                <anchor moveWithCells="1">
                  <from>
                    <xdr:col>6</xdr:col>
                    <xdr:colOff>142875</xdr:colOff>
                    <xdr:row>24</xdr:row>
                    <xdr:rowOff>142875</xdr:rowOff>
                  </from>
                  <to>
                    <xdr:col>6</xdr:col>
                    <xdr:colOff>504825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9" name="Check Box 9">
              <controlPr defaultSize="0" autoFill="0" autoLine="0" autoPict="0">
                <anchor moveWithCells="1">
                  <from>
                    <xdr:col>6</xdr:col>
                    <xdr:colOff>142875</xdr:colOff>
                    <xdr:row>15</xdr:row>
                    <xdr:rowOff>133350</xdr:rowOff>
                  </from>
                  <to>
                    <xdr:col>6</xdr:col>
                    <xdr:colOff>504825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0" name="Check Box 10">
              <controlPr defaultSize="0" autoFill="0" autoLine="0" autoPict="0">
                <anchor moveWithCells="1">
                  <from>
                    <xdr:col>6</xdr:col>
                    <xdr:colOff>142875</xdr:colOff>
                    <xdr:row>38</xdr:row>
                    <xdr:rowOff>142875</xdr:rowOff>
                  </from>
                  <to>
                    <xdr:col>6</xdr:col>
                    <xdr:colOff>504825</xdr:colOff>
                    <xdr:row>40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epr_x00fc_ft xmlns="d32a31de-027b-4509-89b0-811d2f0d1f25">false</Gepr_x00fc_ft>
    <Pr_x00fc_fdatum xmlns="d32a31de-027b-4509-89b0-811d2f0d1f25">2020-07-07T07:59:09+00:00</Pr_x00fc_fdatum>
    <Sachbearbeiter xmlns="d32a31de-027b-4509-89b0-811d2f0d1f25">
      <UserInfo>
        <DisplayName/>
        <AccountId xsi:nil="true"/>
        <AccountType/>
      </UserInfo>
    </Sachbearbeit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EE1793C6319AD4BA7B8B827AA5A192A" ma:contentTypeVersion="7" ma:contentTypeDescription="Ein neues Dokument erstellen." ma:contentTypeScope="" ma:versionID="f393ac5cc2893999b3f51a95af530726">
  <xsd:schema xmlns:xsd="http://www.w3.org/2001/XMLSchema" xmlns:xs="http://www.w3.org/2001/XMLSchema" xmlns:p="http://schemas.microsoft.com/office/2006/metadata/properties" xmlns:ns2="d32a31de-027b-4509-89b0-811d2f0d1f25" xmlns:ns3="3147d05b-70e8-427c-81c2-06f600d78cc4" targetNamespace="http://schemas.microsoft.com/office/2006/metadata/properties" ma:root="true" ma:fieldsID="9ffeb9f45ca71b06ff4ead65cec8a524" ns2:_="" ns3:_="">
    <xsd:import namespace="d32a31de-027b-4509-89b0-811d2f0d1f25"/>
    <xsd:import namespace="3147d05b-70e8-427c-81c2-06f600d78c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Gepr_x00fc_ft" minOccurs="0"/>
                <xsd:element ref="ns3:SharedWithUsers" minOccurs="0"/>
                <xsd:element ref="ns3:SharedWithDetails" minOccurs="0"/>
                <xsd:element ref="ns2:Sachbearbeiter" minOccurs="0"/>
                <xsd:element ref="ns2:Pr_x00fc_f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2a31de-027b-4509-89b0-811d2f0d1f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Gepr_x00fc_ft" ma:index="10" nillable="true" ma:displayName="Geprüft" ma:default="0" ma:format="Dropdown" ma:internalName="Gepr_x00fc_ft">
      <xsd:simpleType>
        <xsd:restriction base="dms:Boolean"/>
      </xsd:simpleType>
    </xsd:element>
    <xsd:element name="Sachbearbeiter" ma:index="13" nillable="true" ma:displayName="Sachbearbeiter" ma:format="Dropdown" ma:list="UserInfo" ma:SharePointGroup="0" ma:internalName="Sachbearbeit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_x00fc_fdatum" ma:index="14" nillable="true" ma:displayName="Prüfdatum" ma:default="[today]" ma:description="Bitte das Datum der Prüfung und Freiggabe eintragen" ma:format="DateOnly" ma:internalName="Pr_x00fc_f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47d05b-70e8-427c-81c2-06f600d78cc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D75B0B-3FF4-4F46-9741-3462E0A5AB95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d32a31de-027b-4509-89b0-811d2f0d1f25"/>
    <ds:schemaRef ds:uri="3147d05b-70e8-427c-81c2-06f600d78cc4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515B6FE-3276-48A6-9D1A-902CC80C3C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838BAF-A32A-445B-BA38-ABF5F1FA07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2a31de-027b-4509-89b0-811d2f0d1f25"/>
    <ds:schemaRef ds:uri="3147d05b-70e8-427c-81c2-06f600d78c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2</vt:i4>
      </vt:variant>
    </vt:vector>
  </HeadingPairs>
  <TitlesOfParts>
    <vt:vector size="12" baseType="lpstr">
      <vt:lpstr>Auswertung</vt:lpstr>
      <vt:lpstr>SB-Alternativen</vt:lpstr>
      <vt:lpstr>Anlage 04 ohne Passwort</vt:lpstr>
      <vt:lpstr>Anlage 05 ohne Passwort</vt:lpstr>
      <vt:lpstr>Anlage 04 mit Passwort</vt:lpstr>
      <vt:lpstr>Schadenauswertung</vt:lpstr>
      <vt:lpstr>Anlage 05 mit Passwort</vt:lpstr>
      <vt:lpstr>Sach-Kalkulation</vt:lpstr>
      <vt:lpstr>Anlage 06</vt:lpstr>
      <vt:lpstr>Vorschlag1</vt:lpstr>
      <vt:lpstr>'Anlage 04 mit Passwort'!Drucktitel</vt:lpstr>
      <vt:lpstr>'Anlage 04 ohne Passwort'!Drucktitel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Andreas Kutschera</dc:creator>
  <cp:keywords/>
  <dc:description/>
  <cp:lastModifiedBy>Klaus Demand</cp:lastModifiedBy>
  <cp:revision/>
  <cp:lastPrinted>2026-07-10T13:52:18Z</cp:lastPrinted>
  <dcterms:created xsi:type="dcterms:W3CDTF">2010-11-15T10:24:21Z</dcterms:created>
  <dcterms:modified xsi:type="dcterms:W3CDTF">2026-07-14T06:21:44Z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  <property fmtid="{D5CDD505-2E9C-101B-9397-08002B2CF9AE}" pid="3" name="ContentTypeId">
    <vt:lpwstr>0x010100BEE1793C6319AD4BA7B8B827AA5A192A</vt:lpwstr>
  </property>
</Properties>
</file>